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6.xml"/>
  <Override ContentType="application/vnd.openxmlformats-officedocument.spreadsheetml.pivotCacheDefinition+xml" PartName="/xl/pivotCache/pivotCacheDefinition5.xml"/>
  <Override ContentType="application/vnd.openxmlformats-officedocument.spreadsheetml.pivotCacheDefinition+xml" PartName="/xl/pivotCache/pivotCacheDefinition7.xml"/>
  <Override ContentType="application/vnd.openxmlformats-officedocument.spreadsheetml.pivotCacheDefinition+xml" PartName="/xl/pivotCache/pivotCacheDefinition8.xml"/>
  <Override ContentType="application/vnd.openxmlformats-officedocument.spreadsheetml.pivotCacheDefinition+xml" PartName="/xl/pivotCache/pivotCacheDefinition9.xml"/>
  <Override ContentType="application/vnd.openxmlformats-officedocument.spreadsheetml.pivotCacheDefinition+xml" PartName="/xl/pivotCache/pivotCacheDefinition10.xml"/>
  <Override ContentType="application/vnd.openxmlformats-officedocument.spreadsheetml.pivotCacheDefinition+xml" PartName="/xl/pivotCache/pivotCacheDefinition3.xml"/>
  <Override ContentType="application/vnd.openxmlformats-officedocument.spreadsheetml.pivotCacheDefinition+xml" PartName="/xl/pivotCache/pivotCacheDefinition4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5.xml"/>
  <Override ContentType="application/vnd.openxmlformats-officedocument.spreadsheetml.table+xml" PartName="/xl/tables/table4.xml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6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15.xml"/>
  <Override ContentType="application/vnd.openxmlformats-officedocument.spreadsheetml.pivotTable+xml" PartName="/xl/pivotTables/pivotTable7.xml"/>
  <Override ContentType="application/vnd.openxmlformats-officedocument.spreadsheetml.pivotTable+xml" PartName="/xl/pivotTables/pivotTable9.xml"/>
  <Override ContentType="application/vnd.openxmlformats-officedocument.spreadsheetml.pivotTable+xml" PartName="/xl/pivotTables/pivotTable11.xml"/>
  <Override ContentType="application/vnd.openxmlformats-officedocument.spreadsheetml.pivotTable+xml" PartName="/xl/pivotTables/pivotTable13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18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pivotTable+xml" PartName="/xl/pivotTables/pivotTable8.xml"/>
  <Override ContentType="application/vnd.openxmlformats-officedocument.spreadsheetml.pivotTable+xml" PartName="/xl/pivotTables/pivotTable10.xml"/>
  <Override ContentType="application/vnd.openxmlformats-officedocument.spreadsheetml.pivotTable+xml" PartName="/xl/pivotTables/pivotTable16.xml"/>
  <Override ContentType="application/vnd.openxmlformats-officedocument.spreadsheetml.pivotTable+xml" PartName="/xl/pivotTables/pivotTable14.xml"/>
  <Override ContentType="application/vnd.openxmlformats-officedocument.spreadsheetml.pivotTable+xml" PartName="/xl/pivotTables/pivotTable1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bicaciones" sheetId="1" r:id="rId4"/>
    <sheet state="hidden" name="Copia de Ubicaciones" sheetId="2" r:id="rId5"/>
    <sheet state="hidden" name="21.04.25 Ubicaciones" sheetId="3" r:id="rId6"/>
    <sheet state="hidden" name="descuentos al 170425" sheetId="4" r:id="rId7"/>
    <sheet state="hidden" name="RESP170425" sheetId="5" r:id="rId8"/>
    <sheet state="hidden" name="MOVI" sheetId="6" r:id="rId9"/>
    <sheet state="hidden" name="Respaldo" sheetId="7" r:id="rId10"/>
    <sheet state="hidden" name="Inventarios" sheetId="8" r:id="rId11"/>
  </sheets>
  <definedNames>
    <definedName localSheetId="2" name="UBICACIONESSMT">'21.04.25 Ubicaciones'!$BC$2:$BF$936</definedName>
    <definedName name="UBICACIONESSMT">Ubicaciones!$BD$2:$BG$935</definedName>
    <definedName localSheetId="1" name="UBICACIONESSMT">'Copia de Ubicaciones'!$BD$2:$BG$936</definedName>
    <definedName hidden="1" localSheetId="0" name="_xlnm._FilterDatabase">Ubicaciones!$A$1:$O$438</definedName>
    <definedName hidden="1" localSheetId="1" name="_xlnm._FilterDatabase">'Copia de Ubicaciones'!$A$1:$O$439</definedName>
    <definedName hidden="1" localSheetId="2" name="_xlnm._FilterDatabase">'21.04.25 Ubicaciones'!$A$1:$U$439</definedName>
    <definedName hidden="1" localSheetId="5" name="_xlnm._FilterDatabase">MOVI!$A$1:$H$18</definedName>
  </definedNames>
  <calcPr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8" r:id="rId20"/>
    <pivotCache cacheId="9" r:id="rId21"/>
  </pivotCaches>
</workbook>
</file>

<file path=xl/sharedStrings.xml><?xml version="1.0" encoding="utf-8"?>
<sst xmlns="http://schemas.openxmlformats.org/spreadsheetml/2006/main" count="23280" uniqueCount="840">
  <si>
    <t>SALA</t>
  </si>
  <si>
    <t>FILA</t>
  </si>
  <si>
    <t>POSICIÓN</t>
  </si>
  <si>
    <t>UBICACION</t>
  </si>
  <si>
    <t>FECHA INGRESO</t>
  </si>
  <si>
    <t>DOCUMENTO</t>
  </si>
  <si>
    <t>SKU</t>
  </si>
  <si>
    <t>DESCRIPCION</t>
  </si>
  <si>
    <t>UNIDADADES TOTAL</t>
  </si>
  <si>
    <t>ORIGEN INGRESO</t>
  </si>
  <si>
    <t>ESTADO</t>
  </si>
  <si>
    <t>#</t>
  </si>
  <si>
    <t>TIPO</t>
  </si>
  <si>
    <t>OBS</t>
  </si>
  <si>
    <t>Cliente</t>
  </si>
  <si>
    <t>SUM de UNIDADADES TOTAL</t>
  </si>
  <si>
    <t>UBICACIONES SMT</t>
  </si>
  <si>
    <t>UBICACIONES KIT</t>
  </si>
  <si>
    <t>1</t>
  </si>
  <si>
    <t>Ajuste</t>
  </si>
  <si>
    <t>691015</t>
  </si>
  <si>
    <t>CAJA TV</t>
  </si>
  <si>
    <t>PROVEEDOR</t>
  </si>
  <si>
    <t>PISO</t>
  </si>
  <si>
    <t>SUMMIT</t>
  </si>
  <si>
    <t>5</t>
  </si>
  <si>
    <t>1-1-5</t>
  </si>
  <si>
    <t>1-1-1</t>
  </si>
  <si>
    <t>M/D</t>
  </si>
  <si>
    <t>CANT</t>
  </si>
  <si>
    <t>MAXIMO</t>
  </si>
  <si>
    <t>COUNTA de UNIDADADES TOTAL</t>
  </si>
  <si>
    <t>2</t>
  </si>
  <si>
    <t>691410</t>
  </si>
  <si>
    <t>CAJA CARTON ENVIOS PACK</t>
  </si>
  <si>
    <t>PRODUCTO TERMINADO</t>
  </si>
  <si>
    <t>6</t>
  </si>
  <si>
    <t>1-1-6</t>
  </si>
  <si>
    <t>ROLLO PAPEL PANAL 0,50 X 25MTS</t>
  </si>
  <si>
    <t>1-1-2</t>
  </si>
  <si>
    <t>4-1-A</t>
  </si>
  <si>
    <t>HF25L</t>
  </si>
  <si>
    <t>Horno Freidora Smart Edition 25L</t>
  </si>
  <si>
    <t>Contenedor</t>
  </si>
  <si>
    <t>3</t>
  </si>
  <si>
    <t>6092</t>
  </si>
  <si>
    <t>692432</t>
  </si>
  <si>
    <t>CAJA CARTON ENVIOS 25x17x13 CM</t>
  </si>
  <si>
    <t>7</t>
  </si>
  <si>
    <t>1-1-7</t>
  </si>
  <si>
    <t>ROLLO CARTON CORRUGADO 1.20X73Mt aprox. 25K</t>
  </si>
  <si>
    <t>1-1-3</t>
  </si>
  <si>
    <t>4-1-B</t>
  </si>
  <si>
    <t>4</t>
  </si>
  <si>
    <t>692425</t>
  </si>
  <si>
    <t>CAJA CARTON PISQUERA 31x23x31 CM</t>
  </si>
  <si>
    <t>2-1-1</t>
  </si>
  <si>
    <t>ROLLO CARTON ACOLCHADO 40CMx5MT</t>
  </si>
  <si>
    <t>1-1-4</t>
  </si>
  <si>
    <t>4-1-C</t>
  </si>
  <si>
    <t>2-1-2</t>
  </si>
  <si>
    <t>CAJA CARTON CORRUGADO 60x60x50 CM</t>
  </si>
  <si>
    <t>2-1-3</t>
  </si>
  <si>
    <t>600574</t>
  </si>
  <si>
    <t>SEPARADOR VASOS BOTELLAS 32X23X32</t>
  </si>
  <si>
    <t>4-1-D</t>
  </si>
  <si>
    <t>2-2-2</t>
  </si>
  <si>
    <t>600482X</t>
  </si>
  <si>
    <t>CAJA CARTON CON ASAS 40X30X30 CM  EASY</t>
  </si>
  <si>
    <t>2-2-1</t>
  </si>
  <si>
    <t>691411</t>
  </si>
  <si>
    <t>CAJA CARTON ENVIOS SB 18x10x8 CM.</t>
  </si>
  <si>
    <t>4-1-E</t>
  </si>
  <si>
    <t>2-3-1</t>
  </si>
  <si>
    <t>600499X</t>
  </si>
  <si>
    <t>CAJA CARTON CON ASAS 50X30X30 CM EASY</t>
  </si>
  <si>
    <t>2-2-3</t>
  </si>
  <si>
    <t>600666</t>
  </si>
  <si>
    <t>CAJA CARTON S/IMP 32x23x32 CM</t>
  </si>
  <si>
    <t>4-10-A</t>
  </si>
  <si>
    <t>FACE4L</t>
  </si>
  <si>
    <t>Freidora de Aire Chef Edition 4L</t>
  </si>
  <si>
    <t>2-3-2</t>
  </si>
  <si>
    <t>600505X</t>
  </si>
  <si>
    <t>CAJA CARTON CON ASAS 70X30X30 CM EASY</t>
  </si>
  <si>
    <t>2-4-2</t>
  </si>
  <si>
    <t>4-10-B</t>
  </si>
  <si>
    <t>FAPE5L</t>
  </si>
  <si>
    <t>Freidora de Aire Plus Edition 5L</t>
  </si>
  <si>
    <t>2-3-3</t>
  </si>
  <si>
    <t>600512</t>
  </si>
  <si>
    <t>ROLLO ESPUMA EMBALAJE 1 MM 0,70X5 MT</t>
  </si>
  <si>
    <t>2-5-1</t>
  </si>
  <si>
    <t>600673</t>
  </si>
  <si>
    <t>ROLLO PAPEL KRAFT 35GR 57X25 MT</t>
  </si>
  <si>
    <t>4-10-C</t>
  </si>
  <si>
    <t>FADE9L</t>
  </si>
  <si>
    <t>Freidora de Aire Dual Edition 9L</t>
  </si>
  <si>
    <t>6154</t>
  </si>
  <si>
    <t>2-4-1</t>
  </si>
  <si>
    <t>600523XX</t>
  </si>
  <si>
    <t>PDQ FUNDA PANAL</t>
  </si>
  <si>
    <t>2-6-1</t>
  </si>
  <si>
    <t>600536</t>
  </si>
  <si>
    <t>ROLLO PAPEL KRAFT 35GR 57X20 MT</t>
  </si>
  <si>
    <t>4-10-D</t>
  </si>
  <si>
    <t>2-4-3</t>
  </si>
  <si>
    <t>2-6-2</t>
  </si>
  <si>
    <t>600567XX</t>
  </si>
  <si>
    <t>PDQ SEPARADOR PLATO</t>
  </si>
  <si>
    <t>4-11-A</t>
  </si>
  <si>
    <t>FAFE7L</t>
  </si>
  <si>
    <t>Freidora de Aire Family Edition 7L</t>
  </si>
  <si>
    <t>2-5-2</t>
  </si>
  <si>
    <t>600567</t>
  </si>
  <si>
    <t>SEPARADORES PLATOS 32X23X32</t>
  </si>
  <si>
    <t>3-1-1A</t>
  </si>
  <si>
    <t>657325</t>
  </si>
  <si>
    <t>FILM STRECH MANUAL 20MIC X 500MM 2,0KG</t>
  </si>
  <si>
    <t>1A</t>
  </si>
  <si>
    <t>4-11-B</t>
  </si>
  <si>
    <t>6148</t>
  </si>
  <si>
    <t>2-5-3</t>
  </si>
  <si>
    <t>3-1-2A</t>
  </si>
  <si>
    <t>2A</t>
  </si>
  <si>
    <t>4-11-C</t>
  </si>
  <si>
    <t>2-6-3</t>
  </si>
  <si>
    <t>3-1-3A</t>
  </si>
  <si>
    <t>PENDIENTE</t>
  </si>
  <si>
    <t>SEPARADOR BOTELLA DOS RANURAS</t>
  </si>
  <si>
    <t>3A</t>
  </si>
  <si>
    <t>4-11-D</t>
  </si>
  <si>
    <t>1B</t>
  </si>
  <si>
    <t>3-1-1B</t>
  </si>
  <si>
    <t>600574XX</t>
  </si>
  <si>
    <t>PDQ BOTELLAS VASOS</t>
  </si>
  <si>
    <t>3-2-1A</t>
  </si>
  <si>
    <t>692012X</t>
  </si>
  <si>
    <t xml:space="preserve">CAJA CARTON CORRUGADO 50x40x30 </t>
  </si>
  <si>
    <t>4-12-A</t>
  </si>
  <si>
    <t>2B</t>
  </si>
  <si>
    <t>3-1-2B</t>
  </si>
  <si>
    <t>3-2-4A</t>
  </si>
  <si>
    <t>692036X</t>
  </si>
  <si>
    <t xml:space="preserve">CAJA CARTON CORRUGADO 47x31x31 </t>
  </si>
  <si>
    <t>4A</t>
  </si>
  <si>
    <t>4-12-B</t>
  </si>
  <si>
    <t>400 40x30x30</t>
  </si>
  <si>
    <t>3B</t>
  </si>
  <si>
    <t>3-1-3B</t>
  </si>
  <si>
    <t>3-3-1A</t>
  </si>
  <si>
    <t>692029X</t>
  </si>
  <si>
    <t xml:space="preserve">CAJA CARTON CORRUGADO 60x40x40 </t>
  </si>
  <si>
    <t>4-12-C</t>
  </si>
  <si>
    <t>6053</t>
  </si>
  <si>
    <t>3-2-1B</t>
  </si>
  <si>
    <t>600697</t>
  </si>
  <si>
    <t>CAJA PLUMAVIT 35 LITROS</t>
  </si>
  <si>
    <t>3-3-2A</t>
  </si>
  <si>
    <t>4-12-D</t>
  </si>
  <si>
    <t>3-2-2A</t>
  </si>
  <si>
    <t>600772</t>
  </si>
  <si>
    <t>ROLLO PAPEL KRAFT 35G 57X230MT</t>
  </si>
  <si>
    <t>3-3-3A</t>
  </si>
  <si>
    <t>4-13-A</t>
  </si>
  <si>
    <t>ok</t>
  </si>
  <si>
    <t>3-2-2B</t>
  </si>
  <si>
    <t>600900P</t>
  </si>
  <si>
    <t>ROLLO ESPUMA EMBALAJE 1 MM 1.40X220 MT</t>
  </si>
  <si>
    <t>3-4-1A</t>
  </si>
  <si>
    <t>4-13-B</t>
  </si>
  <si>
    <t>3-2-3A</t>
  </si>
  <si>
    <t>605678</t>
  </si>
  <si>
    <t>3-4-2A</t>
  </si>
  <si>
    <t>4-13-C</t>
  </si>
  <si>
    <t>3-2-3B</t>
  </si>
  <si>
    <t>3-4-4A</t>
  </si>
  <si>
    <t>4-14-A</t>
  </si>
  <si>
    <t>TV4PKI</t>
  </si>
  <si>
    <t>Tostador Vienna Kitchen-It</t>
  </si>
  <si>
    <t>5359</t>
  </si>
  <si>
    <t>4B</t>
  </si>
  <si>
    <t>3-2-4B</t>
  </si>
  <si>
    <t>682778</t>
  </si>
  <si>
    <t>ROLLO CARTON CORRUGADO 1.20X25 MT</t>
  </si>
  <si>
    <t>3-5-1A</t>
  </si>
  <si>
    <t>4-14-B</t>
  </si>
  <si>
    <t>3-5-2A</t>
  </si>
  <si>
    <t>5A</t>
  </si>
  <si>
    <t>3-2-5A</t>
  </si>
  <si>
    <t>4-14-C</t>
  </si>
  <si>
    <t>3-6-4A</t>
  </si>
  <si>
    <t>5B</t>
  </si>
  <si>
    <t>3-2-5B</t>
  </si>
  <si>
    <t>3-5-3A</t>
  </si>
  <si>
    <t>4-15-A</t>
  </si>
  <si>
    <t>FAME12L</t>
  </si>
  <si>
    <t>Freidora de Aire Max Edition 12L</t>
  </si>
  <si>
    <t>3-7-2B</t>
  </si>
  <si>
    <t>259773</t>
  </si>
  <si>
    <t>3-3-1B</t>
  </si>
  <si>
    <t>4-15-B</t>
  </si>
  <si>
    <t>3-7-3A</t>
  </si>
  <si>
    <t>3-3-2B</t>
  </si>
  <si>
    <t>4-15-C</t>
  </si>
  <si>
    <t>3-7-4B</t>
  </si>
  <si>
    <t>3-3-3B</t>
  </si>
  <si>
    <t>CAJA CARTON CORRUGADO 60x40x40</t>
  </si>
  <si>
    <t>4-16-A</t>
  </si>
  <si>
    <t>3-NV-1</t>
  </si>
  <si>
    <t>692265</t>
  </si>
  <si>
    <t>ROLLO CARTON CORRUGADO 0.80X100 MT</t>
  </si>
  <si>
    <t>3-3-4A</t>
  </si>
  <si>
    <t>4-16-B</t>
  </si>
  <si>
    <t>3-NV-2</t>
  </si>
  <si>
    <t>3-3-4B</t>
  </si>
  <si>
    <t>NV</t>
  </si>
  <si>
    <t>3-5-4A</t>
  </si>
  <si>
    <t>4-16-C</t>
  </si>
  <si>
    <t>3-NV-3</t>
  </si>
  <si>
    <t>3-3-5A</t>
  </si>
  <si>
    <t>692043</t>
  </si>
  <si>
    <t xml:space="preserve">CAJA CARTON CORRUGADO 60x60x50 CM </t>
  </si>
  <si>
    <t>3-5-5A</t>
  </si>
  <si>
    <t>4-16-D</t>
  </si>
  <si>
    <t>3-NV-4</t>
  </si>
  <si>
    <t>3-3-5B</t>
  </si>
  <si>
    <t>4-17-A</t>
  </si>
  <si>
    <t>3-PRD-F1-3</t>
  </si>
  <si>
    <t>3-4-1B</t>
  </si>
  <si>
    <t>3-7-1B</t>
  </si>
  <si>
    <t>4-17-B</t>
  </si>
  <si>
    <t>3-PRD-F1-4</t>
  </si>
  <si>
    <t>3-4-2B</t>
  </si>
  <si>
    <t>PRD-F1</t>
  </si>
  <si>
    <t>4-17-C</t>
  </si>
  <si>
    <t>3-PRD-F2-1</t>
  </si>
  <si>
    <t>3-4-3A</t>
  </si>
  <si>
    <t>CAFA4</t>
  </si>
  <si>
    <t>Cafetera Arezzo 4 en 1</t>
  </si>
  <si>
    <t>4-17-D</t>
  </si>
  <si>
    <t>3-R-2A1</t>
  </si>
  <si>
    <t>SEPARADOR 2 RANURAS</t>
  </si>
  <si>
    <t>3-4-3B</t>
  </si>
  <si>
    <t>ELAF41</t>
  </si>
  <si>
    <t>Espumador Aerofoam 4 en 1</t>
  </si>
  <si>
    <t>PRD-F2</t>
  </si>
  <si>
    <t>3-7-3B</t>
  </si>
  <si>
    <t>4-18-A</t>
  </si>
  <si>
    <t>HEBE25L</t>
  </si>
  <si>
    <t>Hervidor Big Edition 2.5L</t>
  </si>
  <si>
    <t>3-R-2A2</t>
  </si>
  <si>
    <t>SEPARADOR  VASOS 3 RANURAS</t>
  </si>
  <si>
    <t>3-4-4B</t>
  </si>
  <si>
    <t>R</t>
  </si>
  <si>
    <t>2A1</t>
  </si>
  <si>
    <t>4-18-B</t>
  </si>
  <si>
    <t>3-R-2B</t>
  </si>
  <si>
    <t>6172</t>
  </si>
  <si>
    <t>3-4-5A</t>
  </si>
  <si>
    <t>FADCXL10L</t>
  </si>
  <si>
    <t>Freidora de Aire Dual Crisp XL 10L</t>
  </si>
  <si>
    <t>2A2</t>
  </si>
  <si>
    <t>4-18-C</t>
  </si>
  <si>
    <t>4-21-A</t>
  </si>
  <si>
    <t>3-4-5B</t>
  </si>
  <si>
    <t>4-18-D</t>
  </si>
  <si>
    <t>4-21-B</t>
  </si>
  <si>
    <t>3-5-1B</t>
  </si>
  <si>
    <t>A</t>
  </si>
  <si>
    <t>KITCHEN-IT</t>
  </si>
  <si>
    <t>4-19-A</t>
  </si>
  <si>
    <t>HEGE18L</t>
  </si>
  <si>
    <t>Hervidor Glass Edition 1.8L</t>
  </si>
  <si>
    <t>Movimiento Interno</t>
  </si>
  <si>
    <t>4-21-C</t>
  </si>
  <si>
    <t>3-5-2B</t>
  </si>
  <si>
    <t>B</t>
  </si>
  <si>
    <t>4-19-B</t>
  </si>
  <si>
    <t>4-21-D</t>
  </si>
  <si>
    <t>6526</t>
  </si>
  <si>
    <t>3-5-3B</t>
  </si>
  <si>
    <t>C</t>
  </si>
  <si>
    <t>4-19-C</t>
  </si>
  <si>
    <t>ANDEN-1-1</t>
  </si>
  <si>
    <t>D</t>
  </si>
  <si>
    <t>4-19-D</t>
  </si>
  <si>
    <t>ANDEN-1-10</t>
  </si>
  <si>
    <t>3-5-4B</t>
  </si>
  <si>
    <t>E</t>
  </si>
  <si>
    <t>4-2-A</t>
  </si>
  <si>
    <t>PPPMXL</t>
  </si>
  <si>
    <t>Plancha Panini Pro Max XL</t>
  </si>
  <si>
    <t>ANDEN-1-11</t>
  </si>
  <si>
    <t>HESS45</t>
  </si>
  <si>
    <t>Horno Eléctrico Silver Series 45L</t>
  </si>
  <si>
    <t>10</t>
  </si>
  <si>
    <t>3-PRD-F4-1</t>
  </si>
  <si>
    <t>4-2-B</t>
  </si>
  <si>
    <t>ANDEN-1-14</t>
  </si>
  <si>
    <t>3-5-5B</t>
  </si>
  <si>
    <t>HESS60</t>
  </si>
  <si>
    <t>Horno Eléctrico Silver Series 60L</t>
  </si>
  <si>
    <t>4-2-C</t>
  </si>
  <si>
    <t>ANDEN-1-16</t>
  </si>
  <si>
    <t>3-6-1A</t>
  </si>
  <si>
    <t>4-20-B</t>
  </si>
  <si>
    <t>ANDEN-1-2</t>
  </si>
  <si>
    <t>3-6-1B</t>
  </si>
  <si>
    <t>HPBE22</t>
  </si>
  <si>
    <t>Horno Pizza a la Piedra Black Edition</t>
  </si>
  <si>
    <t>4-20-C</t>
  </si>
  <si>
    <t>ANDEN-1-3</t>
  </si>
  <si>
    <t>3-6-2A</t>
  </si>
  <si>
    <t>HSC17L</t>
  </si>
  <si>
    <t>Hervidor Smart Control 1,7L</t>
  </si>
  <si>
    <t>11</t>
  </si>
  <si>
    <t>4-20-D</t>
  </si>
  <si>
    <t>ANDEN-1-4</t>
  </si>
  <si>
    <t>3-6-2B</t>
  </si>
  <si>
    <t>LIPS850</t>
  </si>
  <si>
    <t>Licuadora Professional Series 850W</t>
  </si>
  <si>
    <t>4-3-A</t>
  </si>
  <si>
    <t>ANDEN-1-5</t>
  </si>
  <si>
    <t>3-6-3A</t>
  </si>
  <si>
    <t>LPP800W</t>
  </si>
  <si>
    <t>Licuadora Power Pro 800W</t>
  </si>
  <si>
    <t>4-3-B</t>
  </si>
  <si>
    <t>ANDEN-1-6</t>
  </si>
  <si>
    <t>3-6-3B</t>
  </si>
  <si>
    <t>LSS1200</t>
  </si>
  <si>
    <t>Licuadora Smart System 1200W</t>
  </si>
  <si>
    <t>4-3-C</t>
  </si>
  <si>
    <t>ANDEN-1-7</t>
  </si>
  <si>
    <t>OK</t>
  </si>
  <si>
    <t>3-6-4B</t>
  </si>
  <si>
    <t>12</t>
  </si>
  <si>
    <t>4-3-D</t>
  </si>
  <si>
    <t>ANDEN-1-8</t>
  </si>
  <si>
    <t>3-6-5A</t>
  </si>
  <si>
    <t>4-4-A</t>
  </si>
  <si>
    <t>CASINO-1-1</t>
  </si>
  <si>
    <t>3-6-5B</t>
  </si>
  <si>
    <t>4-4-B</t>
  </si>
  <si>
    <t>PATIO-1-1</t>
  </si>
  <si>
    <t>3-7-1A</t>
  </si>
  <si>
    <t>PPME</t>
  </si>
  <si>
    <t>Sandwichera Panini Master Edition</t>
  </si>
  <si>
    <t>4-4-C</t>
  </si>
  <si>
    <t>PATIO-1-10</t>
  </si>
  <si>
    <t>13</t>
  </si>
  <si>
    <t>4-5-A</t>
  </si>
  <si>
    <t>PATIO-1-11</t>
  </si>
  <si>
    <t>3-7-2A</t>
  </si>
  <si>
    <t>TCK0ZESE</t>
  </si>
  <si>
    <t>Air Fryer Parrilla Ckozese by Onson 7L</t>
  </si>
  <si>
    <t>4-5-B</t>
  </si>
  <si>
    <t>PATIO-1-12</t>
  </si>
  <si>
    <t>6157</t>
  </si>
  <si>
    <t>4-5-C</t>
  </si>
  <si>
    <t>PATIO-1-13</t>
  </si>
  <si>
    <t>3-7-4A</t>
  </si>
  <si>
    <t>14</t>
  </si>
  <si>
    <t>4-5-D</t>
  </si>
  <si>
    <t>PATIO-1-14</t>
  </si>
  <si>
    <t>3-7-5A</t>
  </si>
  <si>
    <t>4-6-A</t>
  </si>
  <si>
    <t>PATIO-1-15</t>
  </si>
  <si>
    <t>3-7-5B</t>
  </si>
  <si>
    <t>4-6-B</t>
  </si>
  <si>
    <t>PATIO-1-17</t>
  </si>
  <si>
    <t>3-PRD-F1-1</t>
  </si>
  <si>
    <t>15</t>
  </si>
  <si>
    <t>4-6-C</t>
  </si>
  <si>
    <t>PATIO-1-18</t>
  </si>
  <si>
    <t>3-PRD-F1-2</t>
  </si>
  <si>
    <t>4-7-A</t>
  </si>
  <si>
    <t>PATIO-1-19</t>
  </si>
  <si>
    <t>3-PRD-F1-5</t>
  </si>
  <si>
    <t>4-7-B</t>
  </si>
  <si>
    <t>PATIO-1-2</t>
  </si>
  <si>
    <t>3-PRD-F2-2</t>
  </si>
  <si>
    <t>16</t>
  </si>
  <si>
    <t>4-7-C</t>
  </si>
  <si>
    <t>PATIO-1-21</t>
  </si>
  <si>
    <t>3-PRD-F2-3</t>
  </si>
  <si>
    <t>4-7-D</t>
  </si>
  <si>
    <t>PATIO-1-22</t>
  </si>
  <si>
    <t>3-PRD-F2-4</t>
  </si>
  <si>
    <t>4-8-A</t>
  </si>
  <si>
    <t>PATIO-1-26</t>
  </si>
  <si>
    <t>3-PRD-F2-5</t>
  </si>
  <si>
    <t>4-8-B</t>
  </si>
  <si>
    <t>PATIO-1-3</t>
  </si>
  <si>
    <t>PRD-F3</t>
  </si>
  <si>
    <t>3-PRD-F3-1</t>
  </si>
  <si>
    <t>17</t>
  </si>
  <si>
    <t>4-8-C</t>
  </si>
  <si>
    <t>PATIO-1-4</t>
  </si>
  <si>
    <t>3-PRD-F3-2</t>
  </si>
  <si>
    <t>4-9-A</t>
  </si>
  <si>
    <t>PATIO-1-5</t>
  </si>
  <si>
    <t>3-PRD-F3-3</t>
  </si>
  <si>
    <t>4-9-B</t>
  </si>
  <si>
    <t>PATIO-1-9</t>
  </si>
  <si>
    <t>40x30x30 34</t>
  </si>
  <si>
    <t>3-PRD-F3-4</t>
  </si>
  <si>
    <t>PATIO-1-16</t>
  </si>
  <si>
    <t>4-9-C</t>
  </si>
  <si>
    <t>T-1-1</t>
  </si>
  <si>
    <t>3-PRD-F3-5</t>
  </si>
  <si>
    <t>18</t>
  </si>
  <si>
    <t>4-9-D</t>
  </si>
  <si>
    <t>T-1-10</t>
  </si>
  <si>
    <t>625 70x30x30</t>
  </si>
  <si>
    <t>PRD-F4</t>
  </si>
  <si>
    <t>4-R-10A</t>
  </si>
  <si>
    <t>T-1-11</t>
  </si>
  <si>
    <t>3-PRD-F4-2</t>
  </si>
  <si>
    <t>4-R-10B</t>
  </si>
  <si>
    <t>T-1-12</t>
  </si>
  <si>
    <t>3-PRD-F4-3</t>
  </si>
  <si>
    <t>4-R-1A</t>
  </si>
  <si>
    <t>T-1-13</t>
  </si>
  <si>
    <t>3-PRD-F4-4</t>
  </si>
  <si>
    <t>19</t>
  </si>
  <si>
    <t>PATIO-1-20</t>
  </si>
  <si>
    <t>4-R-1B</t>
  </si>
  <si>
    <t>T-1-14</t>
  </si>
  <si>
    <t>27861</t>
  </si>
  <si>
    <t>3-PRD-F4-5</t>
  </si>
  <si>
    <t>4-R-1C</t>
  </si>
  <si>
    <t>T-1-15</t>
  </si>
  <si>
    <t>3-R-1A</t>
  </si>
  <si>
    <t>4-R-2B</t>
  </si>
  <si>
    <t>T-1-16</t>
  </si>
  <si>
    <t>4-13-D</t>
  </si>
  <si>
    <t>4-R-3B</t>
  </si>
  <si>
    <t>T-1-17</t>
  </si>
  <si>
    <t>4-14-D</t>
  </si>
  <si>
    <t>4-R-4B</t>
  </si>
  <si>
    <t>T-1-18</t>
  </si>
  <si>
    <t>JAULA</t>
  </si>
  <si>
    <t>4-15-D</t>
  </si>
  <si>
    <t>4-R-5A</t>
  </si>
  <si>
    <t>T-1-19</t>
  </si>
  <si>
    <t>pendiente de ingreso kraft diferentes medidas</t>
  </si>
  <si>
    <t>4-2-D</t>
  </si>
  <si>
    <t>4-R-5B</t>
  </si>
  <si>
    <t>T-1-20</t>
  </si>
  <si>
    <t xml:space="preserve">pendiente de ingreso film 1.7 </t>
  </si>
  <si>
    <t>20</t>
  </si>
  <si>
    <t>4-20-A</t>
  </si>
  <si>
    <t>PATIO-1-6</t>
  </si>
  <si>
    <t>4-R-6A</t>
  </si>
  <si>
    <t>T-1-21</t>
  </si>
  <si>
    <t>Wen 12/05</t>
  </si>
  <si>
    <t>4-4-D</t>
  </si>
  <si>
    <t>4-R-6B</t>
  </si>
  <si>
    <t>T-1-22</t>
  </si>
  <si>
    <t xml:space="preserve">PRODUCCION </t>
  </si>
  <si>
    <t>4-6-D</t>
  </si>
  <si>
    <t>4-R-7A</t>
  </si>
  <si>
    <t>Retorno Falabella</t>
  </si>
  <si>
    <t>T-1-23</t>
  </si>
  <si>
    <t>8</t>
  </si>
  <si>
    <t>4-8-D</t>
  </si>
  <si>
    <t>21</t>
  </si>
  <si>
    <t>4-R-7B</t>
  </si>
  <si>
    <t>T-1-24</t>
  </si>
  <si>
    <t>4-R-2A</t>
  </si>
  <si>
    <t>4-R-9A</t>
  </si>
  <si>
    <t>T-1-28</t>
  </si>
  <si>
    <t>4-R-3A</t>
  </si>
  <si>
    <t>4-R-9B</t>
  </si>
  <si>
    <t>T-1-29</t>
  </si>
  <si>
    <t>4-R-4A</t>
  </si>
  <si>
    <t>R-8-B1</t>
  </si>
  <si>
    <t>Devoluciones</t>
  </si>
  <si>
    <t>T-1-30</t>
  </si>
  <si>
    <t>ANDEN</t>
  </si>
  <si>
    <t>ANDEN-1-12</t>
  </si>
  <si>
    <t>R-8-B10</t>
  </si>
  <si>
    <t>T-1-31</t>
  </si>
  <si>
    <t>000</t>
  </si>
  <si>
    <t>NAVE PSIO</t>
  </si>
  <si>
    <t>ANDEN-1-13</t>
  </si>
  <si>
    <t>R-8-B2</t>
  </si>
  <si>
    <t>T-1-32</t>
  </si>
  <si>
    <t>10399</t>
  </si>
  <si>
    <t>ANDEN-1-15</t>
  </si>
  <si>
    <t>R-8-B3</t>
  </si>
  <si>
    <t>T-1-33</t>
  </si>
  <si>
    <t>5708</t>
  </si>
  <si>
    <t>ANDEN-1-17</t>
  </si>
  <si>
    <t>R-8-B4</t>
  </si>
  <si>
    <t>T-1-34</t>
  </si>
  <si>
    <t>6238</t>
  </si>
  <si>
    <t>ANDEN-1-18</t>
  </si>
  <si>
    <t>R-8-B6</t>
  </si>
  <si>
    <t>T-1-35</t>
  </si>
  <si>
    <t>RACK</t>
  </si>
  <si>
    <t>ANDEN-1-19</t>
  </si>
  <si>
    <t>R-8-B7</t>
  </si>
  <si>
    <t>T-1-36</t>
  </si>
  <si>
    <t>ANDEN-1-20</t>
  </si>
  <si>
    <t>R-8-B9</t>
  </si>
  <si>
    <t>T-1-37</t>
  </si>
  <si>
    <t>ANDEN-1-21</t>
  </si>
  <si>
    <t>T-1-2</t>
  </si>
  <si>
    <t>T-1-38</t>
  </si>
  <si>
    <t>9</t>
  </si>
  <si>
    <t>ANDEN-1-9</t>
  </si>
  <si>
    <t>T-1-25</t>
  </si>
  <si>
    <t>T-1-39</t>
  </si>
  <si>
    <t>PRODUCTO TERM</t>
  </si>
  <si>
    <t>CASINO</t>
  </si>
  <si>
    <t>CASINO-1-10</t>
  </si>
  <si>
    <t>T-1-26</t>
  </si>
  <si>
    <t>T-1-4</t>
  </si>
  <si>
    <t>CASINO-1-11</t>
  </si>
  <si>
    <t>T-1-27</t>
  </si>
  <si>
    <t>T-1-40</t>
  </si>
  <si>
    <t>SOBRANTE</t>
  </si>
  <si>
    <t>CASINO-1-2</t>
  </si>
  <si>
    <t>T-1-3</t>
  </si>
  <si>
    <t>T-1-6</t>
  </si>
  <si>
    <t>CASINO-1-3</t>
  </si>
  <si>
    <t>T-1-5</t>
  </si>
  <si>
    <t>ZEST-1-1</t>
  </si>
  <si>
    <t>CASINO-1-4</t>
  </si>
  <si>
    <t>T-1-7</t>
  </si>
  <si>
    <t>ZEST-1-2</t>
  </si>
  <si>
    <t>ROLLO CARTON ACOLCHADO 40cmx5mt</t>
  </si>
  <si>
    <t>CASINO-1-5</t>
  </si>
  <si>
    <t>T-1-8</t>
  </si>
  <si>
    <t>ZEST-1-5</t>
  </si>
  <si>
    <t>CASINO-1-6</t>
  </si>
  <si>
    <t>T-1-9</t>
  </si>
  <si>
    <t>ZEST-2-1</t>
  </si>
  <si>
    <t>CASINO-1-7</t>
  </si>
  <si>
    <t>ZEST-2-5</t>
  </si>
  <si>
    <t>CASINO-1-8</t>
  </si>
  <si>
    <t>ZEST-3-4</t>
  </si>
  <si>
    <t>CASINO-1-9</t>
  </si>
  <si>
    <t>ZEST-3-5</t>
  </si>
  <si>
    <t>DEV</t>
  </si>
  <si>
    <t>DEV-1-1</t>
  </si>
  <si>
    <t>DEV-1-2</t>
  </si>
  <si>
    <t>DEV-1-3</t>
  </si>
  <si>
    <t>DEV-1-4</t>
  </si>
  <si>
    <t>DEV-1-5</t>
  </si>
  <si>
    <t>DEV-1-6</t>
  </si>
  <si>
    <t>DEV-1-7</t>
  </si>
  <si>
    <t>10A</t>
  </si>
  <si>
    <t>DEV-1-8</t>
  </si>
  <si>
    <t>10B</t>
  </si>
  <si>
    <t>DEV-1-9</t>
  </si>
  <si>
    <t>PATIO</t>
  </si>
  <si>
    <t>180592</t>
  </si>
  <si>
    <t>1C</t>
  </si>
  <si>
    <t>23</t>
  </si>
  <si>
    <t>PATIO-1-23</t>
  </si>
  <si>
    <t>24</t>
  </si>
  <si>
    <t>PATIO-1-24</t>
  </si>
  <si>
    <t>25</t>
  </si>
  <si>
    <t>PATIO-1-25</t>
  </si>
  <si>
    <t>176825</t>
  </si>
  <si>
    <t>PATIO-1-7</t>
  </si>
  <si>
    <t>PATIO-1-8</t>
  </si>
  <si>
    <t>6A</t>
  </si>
  <si>
    <t>B11</t>
  </si>
  <si>
    <t>R-8-B11</t>
  </si>
  <si>
    <t>6B</t>
  </si>
  <si>
    <t>B12</t>
  </si>
  <si>
    <t>R-8-B12</t>
  </si>
  <si>
    <t>7A</t>
  </si>
  <si>
    <t>180511</t>
  </si>
  <si>
    <t>B13</t>
  </si>
  <si>
    <t>R-8-B13</t>
  </si>
  <si>
    <t>7B</t>
  </si>
  <si>
    <t>B14</t>
  </si>
  <si>
    <t>R-8-B14</t>
  </si>
  <si>
    <t>9A</t>
  </si>
  <si>
    <t>B15</t>
  </si>
  <si>
    <t>R-8-B15</t>
  </si>
  <si>
    <t>9B</t>
  </si>
  <si>
    <t>B16</t>
  </si>
  <si>
    <t>R-8-B16</t>
  </si>
  <si>
    <t>B5</t>
  </si>
  <si>
    <t>R-8-B5</t>
  </si>
  <si>
    <t>B8</t>
  </si>
  <si>
    <t>R-8-B8</t>
  </si>
  <si>
    <t>ZEST</t>
  </si>
  <si>
    <t>ZEST-1-3</t>
  </si>
  <si>
    <t>ZEST-1-4</t>
  </si>
  <si>
    <t>ZEST-10-1</t>
  </si>
  <si>
    <t>ZEST-10-2</t>
  </si>
  <si>
    <t>ZEST-10-3</t>
  </si>
  <si>
    <t>ZEST-10-4</t>
  </si>
  <si>
    <t>178859</t>
  </si>
  <si>
    <t>ZEST-10-5</t>
  </si>
  <si>
    <t>ZEST-10-6</t>
  </si>
  <si>
    <t>ZEST-10-7</t>
  </si>
  <si>
    <t>ZEST-2-2</t>
  </si>
  <si>
    <t>181793</t>
  </si>
  <si>
    <t>ZEST-2-3</t>
  </si>
  <si>
    <t>ZEST-2-4</t>
  </si>
  <si>
    <t>ZEST-3-1</t>
  </si>
  <si>
    <t>ZEST-3-2</t>
  </si>
  <si>
    <t>ZEST-3-3</t>
  </si>
  <si>
    <t>ZEST-4-1</t>
  </si>
  <si>
    <t>ZEST-4-2</t>
  </si>
  <si>
    <t>ZEST-4-3</t>
  </si>
  <si>
    <t>181145</t>
  </si>
  <si>
    <t>ZEST-4-4</t>
  </si>
  <si>
    <t>ZEST-4-5</t>
  </si>
  <si>
    <t>ZEST-5-1</t>
  </si>
  <si>
    <t>ZEST-5-2</t>
  </si>
  <si>
    <t>ZEST-5-3</t>
  </si>
  <si>
    <t>22</t>
  </si>
  <si>
    <t>ZEST-5-4</t>
  </si>
  <si>
    <t>26</t>
  </si>
  <si>
    <t>ZEST-5-5</t>
  </si>
  <si>
    <t>ZEST-5-6</t>
  </si>
  <si>
    <t>182655</t>
  </si>
  <si>
    <t>ZEST-5-7</t>
  </si>
  <si>
    <t>ZEST-6-1</t>
  </si>
  <si>
    <t>ZEST-6-2</t>
  </si>
  <si>
    <t>B1</t>
  </si>
  <si>
    <t>ZEST-6-3</t>
  </si>
  <si>
    <t>B10</t>
  </si>
  <si>
    <t>ZEST-6-4</t>
  </si>
  <si>
    <t>B2</t>
  </si>
  <si>
    <t>ZEST-6-5</t>
  </si>
  <si>
    <t>B3</t>
  </si>
  <si>
    <t>ZEST-7-1</t>
  </si>
  <si>
    <t>B4</t>
  </si>
  <si>
    <t>ZEST-7-2</t>
  </si>
  <si>
    <t>B6</t>
  </si>
  <si>
    <t>ZEST-7-3</t>
  </si>
  <si>
    <t>B7</t>
  </si>
  <si>
    <t>ZEST-7-4</t>
  </si>
  <si>
    <t>B9</t>
  </si>
  <si>
    <t>ZEST-7-5</t>
  </si>
  <si>
    <t>T</t>
  </si>
  <si>
    <t>ZEST-7-6</t>
  </si>
  <si>
    <t>182532</t>
  </si>
  <si>
    <t>ZEST-7-7</t>
  </si>
  <si>
    <t>ZEST-8-1</t>
  </si>
  <si>
    <t>ZEST-8-2</t>
  </si>
  <si>
    <t>ZEST-8-3</t>
  </si>
  <si>
    <t>182656</t>
  </si>
  <si>
    <t>ZEST-8-4</t>
  </si>
  <si>
    <t>ZEST-8-5</t>
  </si>
  <si>
    <t>ZEST-8-6</t>
  </si>
  <si>
    <t>ZEST-8-7</t>
  </si>
  <si>
    <t>ZEST-9-1</t>
  </si>
  <si>
    <t>ZEST-9-2</t>
  </si>
  <si>
    <t>ZEST-9-3</t>
  </si>
  <si>
    <t>ZEST-9-4</t>
  </si>
  <si>
    <t>ZEST-9-5</t>
  </si>
  <si>
    <t>ZEST-9-6</t>
  </si>
  <si>
    <t>ZEST-9-7</t>
  </si>
  <si>
    <t>ZOUT</t>
  </si>
  <si>
    <t>ZOUT-1-1</t>
  </si>
  <si>
    <t>210502</t>
  </si>
  <si>
    <t>ZOUT-1-10</t>
  </si>
  <si>
    <t>ZOUT-1-11</t>
  </si>
  <si>
    <t>27</t>
  </si>
  <si>
    <t>ZOUT-1-12</t>
  </si>
  <si>
    <t>28</t>
  </si>
  <si>
    <t>ZOUT-1-13</t>
  </si>
  <si>
    <t>29</t>
  </si>
  <si>
    <t>ZOUT-1-14</t>
  </si>
  <si>
    <t>179552</t>
  </si>
  <si>
    <t>ZOUT-1-15</t>
  </si>
  <si>
    <t>30</t>
  </si>
  <si>
    <t>ZOUT-1-16</t>
  </si>
  <si>
    <t>31</t>
  </si>
  <si>
    <t>ZOUT-1-17</t>
  </si>
  <si>
    <t>32</t>
  </si>
  <si>
    <t>ZOUT-1-18</t>
  </si>
  <si>
    <t>33</t>
  </si>
  <si>
    <t>ZOUT-1-19</t>
  </si>
  <si>
    <t>34</t>
  </si>
  <si>
    <t>ZOUT-1-2</t>
  </si>
  <si>
    <t>35</t>
  </si>
  <si>
    <t>ZOUT-1-20</t>
  </si>
  <si>
    <t>36</t>
  </si>
  <si>
    <t>ZOUT-1-21</t>
  </si>
  <si>
    <t>37</t>
  </si>
  <si>
    <t>ZOUT-1-22</t>
  </si>
  <si>
    <t>38</t>
  </si>
  <si>
    <t>ZOUT-1-23</t>
  </si>
  <si>
    <t>39</t>
  </si>
  <si>
    <t>ZOUT-1-24</t>
  </si>
  <si>
    <t>ZOUT-1-25</t>
  </si>
  <si>
    <t>40</t>
  </si>
  <si>
    <t>ZOUT-1-26</t>
  </si>
  <si>
    <t>ZOUT-1-27</t>
  </si>
  <si>
    <t>ZOUT-1-28</t>
  </si>
  <si>
    <t>175863</t>
  </si>
  <si>
    <t>ZOUT-1-29</t>
  </si>
  <si>
    <t>ZOUT-1-3</t>
  </si>
  <si>
    <t>176804</t>
  </si>
  <si>
    <t>ZOUT-1-30</t>
  </si>
  <si>
    <t>ZOUT-1-4</t>
  </si>
  <si>
    <t>ZOUT-1-5</t>
  </si>
  <si>
    <t>ZOUT-1-6</t>
  </si>
  <si>
    <t>ZOUT-1-7</t>
  </si>
  <si>
    <t>ZOUT-1-8</t>
  </si>
  <si>
    <t>181702</t>
  </si>
  <si>
    <t>ZOUT-1-9</t>
  </si>
  <si>
    <t>596729</t>
  </si>
  <si>
    <t>6556</t>
  </si>
  <si>
    <t>6155</t>
  </si>
  <si>
    <t>REVISAR</t>
  </si>
  <si>
    <t>DEVOLUCIONES</t>
  </si>
  <si>
    <t>anden</t>
  </si>
  <si>
    <t>6532</t>
  </si>
  <si>
    <t>6393</t>
  </si>
  <si>
    <t>10579</t>
  </si>
  <si>
    <t>2832602706</t>
  </si>
  <si>
    <t>RECUPERADO</t>
  </si>
  <si>
    <t>2826048033</t>
  </si>
  <si>
    <t>2827698176</t>
  </si>
  <si>
    <t>2839959619</t>
  </si>
  <si>
    <t>2000011830962866</t>
  </si>
  <si>
    <t>2795194271</t>
  </si>
  <si>
    <t>152404</t>
  </si>
  <si>
    <t>AF2625C1</t>
  </si>
  <si>
    <t>6544</t>
  </si>
  <si>
    <t>TRANSITO</t>
  </si>
  <si>
    <t>10753</t>
  </si>
  <si>
    <t>18579</t>
  </si>
  <si>
    <t>6543</t>
  </si>
  <si>
    <t>6554</t>
  </si>
  <si>
    <t>18678</t>
  </si>
  <si>
    <t>6578</t>
  </si>
  <si>
    <t>6390</t>
  </si>
  <si>
    <t>6575</t>
  </si>
  <si>
    <t>6577</t>
  </si>
  <si>
    <t>10758</t>
  </si>
  <si>
    <t>10569</t>
  </si>
  <si>
    <t>6555</t>
  </si>
  <si>
    <t>SALIDA</t>
  </si>
  <si>
    <t xml:space="preserve"> </t>
  </si>
  <si>
    <t>ESTANTERIA</t>
  </si>
  <si>
    <t>692029S</t>
  </si>
  <si>
    <t>CAJA CARTON CORRUGADO 60x40x40 S/IMPRESION</t>
  </si>
  <si>
    <t>111111</t>
  </si>
  <si>
    <t>ROLLO PAPEL KRAFT 35G 230MT</t>
  </si>
  <si>
    <t>ROLLO ESPUMA EMBALAJE 1 MM 0,70X10 MT</t>
  </si>
  <si>
    <t>600523</t>
  </si>
  <si>
    <t>FUNDA PAPEL PANAL SET 3 UN 40X10CM</t>
  </si>
  <si>
    <t>ROLLO PAPEL KRAFT 35GR 20 MT</t>
  </si>
  <si>
    <t>600550</t>
  </si>
  <si>
    <t>600659</t>
  </si>
  <si>
    <t>PDQSEPARADORPLATO</t>
  </si>
  <si>
    <t>ROLLO PAPEL KRAFT 35GR 25 MT</t>
  </si>
  <si>
    <t>ROLLO ESPUMA EMBALAJE 1 MM 1.40X125 MT</t>
  </si>
  <si>
    <t>690155</t>
  </si>
  <si>
    <t>ROLLO CARTON CORRUGADO 0.80X10 MT</t>
  </si>
  <si>
    <t>6156</t>
  </si>
  <si>
    <t>6147</t>
  </si>
  <si>
    <t>6158</t>
  </si>
  <si>
    <t>MERCADO  LIBRE</t>
  </si>
  <si>
    <t>MAQUILA</t>
  </si>
  <si>
    <t>10086</t>
  </si>
  <si>
    <t>177713</t>
  </si>
  <si>
    <t>177959</t>
  </si>
  <si>
    <t>177712</t>
  </si>
  <si>
    <t>2693589926</t>
  </si>
  <si>
    <t>SOLICITUD KITCHEN-IT</t>
  </si>
  <si>
    <t>MOVIMIENTO INTERNO</t>
  </si>
  <si>
    <t>1016</t>
  </si>
  <si>
    <t>PVD 10880</t>
  </si>
  <si>
    <t>6232</t>
  </si>
  <si>
    <t>6227</t>
  </si>
  <si>
    <t>6247</t>
  </si>
  <si>
    <t>6228</t>
  </si>
  <si>
    <t>2772359571</t>
  </si>
  <si>
    <t>2000007534883091</t>
  </si>
  <si>
    <t>2758412046</t>
  </si>
  <si>
    <t>2652203045</t>
  </si>
  <si>
    <t>DESCONOCIDO</t>
  </si>
  <si>
    <t>2753329514</t>
  </si>
  <si>
    <t>579855</t>
  </si>
  <si>
    <t>162904456</t>
  </si>
  <si>
    <t>178220</t>
  </si>
  <si>
    <t>163312678</t>
  </si>
  <si>
    <t>22656</t>
  </si>
  <si>
    <t>UBICACION2</t>
  </si>
  <si>
    <t>FECHA INGRESO2</t>
  </si>
  <si>
    <t>DOCUMENTO2</t>
  </si>
  <si>
    <t>SKU2</t>
  </si>
  <si>
    <t>DESCRIPCION2</t>
  </si>
  <si>
    <t>UNIDADADES TOTAL2</t>
  </si>
  <si>
    <t>ME LO LLEVO F.F</t>
  </si>
  <si>
    <t>EL VOLCAN F.F</t>
  </si>
  <si>
    <t>EN UBI</t>
  </si>
  <si>
    <t>SACAR</t>
  </si>
  <si>
    <t>QUEDAN</t>
  </si>
  <si>
    <t>ASIGANADO</t>
  </si>
  <si>
    <t>230425S</t>
  </si>
  <si>
    <t>10605</t>
  </si>
  <si>
    <t>250425S</t>
  </si>
  <si>
    <t>OC EASY E INSUMO</t>
  </si>
  <si>
    <t>692012</t>
  </si>
  <si>
    <t>OC SODIMAC</t>
  </si>
  <si>
    <t>EN PRODUCCION OC SODIMAC GENERAR STOCK</t>
  </si>
  <si>
    <t>OC EASY</t>
  </si>
  <si>
    <t>692036</t>
  </si>
  <si>
    <t>692029</t>
  </si>
  <si>
    <t/>
  </si>
  <si>
    <t>R-1-A</t>
  </si>
  <si>
    <t>R-1-B</t>
  </si>
  <si>
    <t>R-2-A</t>
  </si>
  <si>
    <t>R-2-B</t>
  </si>
  <si>
    <t>R-3-A</t>
  </si>
  <si>
    <t>R-3-B</t>
  </si>
  <si>
    <t>R-4-A</t>
  </si>
  <si>
    <t>R-4-B</t>
  </si>
  <si>
    <t>R-5-A</t>
  </si>
  <si>
    <t>R-5-B</t>
  </si>
  <si>
    <t>R-6-A</t>
  </si>
  <si>
    <t>R-6-B</t>
  </si>
  <si>
    <t>R-7-A</t>
  </si>
  <si>
    <t>R-7-B</t>
  </si>
  <si>
    <t>R-8-A</t>
  </si>
  <si>
    <t>R-8-B</t>
  </si>
  <si>
    <t>R-9-A</t>
  </si>
  <si>
    <t>R-9-B</t>
  </si>
  <si>
    <t>R-10-A</t>
  </si>
  <si>
    <t>R-10-B</t>
  </si>
  <si>
    <t>MOVIMIENTOINTERNO</t>
  </si>
  <si>
    <t>FECHA</t>
  </si>
  <si>
    <t>CANTIDAD UBICACION</t>
  </si>
  <si>
    <t>CANTIDAD CONTABILIZADA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</si>
</sst>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/&quot;mm&quot;/&quot;yyyy"/>
  </numFmts>
  <fonts count="19">
    <font>
      <sz val="10.0"/>
      <color rgb="FF000000"/>
      <name val="Arial"/>
      <scheme val="minor"/>
    </font>
    <font>
      <sz val="8.0"/>
      <color theme="1"/>
      <name val="Arial"/>
      <scheme val="minor"/>
    </font>
    <font>
      <sz val="8.0"/>
      <color theme="1"/>
      <name val="Arial"/>
    </font>
    <font>
      <i/>
      <sz val="8.0"/>
      <color theme="1"/>
      <name val="Arial"/>
      <scheme val="minor"/>
    </font>
    <font>
      <sz val="8.0"/>
      <color theme="1"/>
      <name val="Roboto"/>
    </font>
    <font>
      <sz val="8.0"/>
      <color rgb="FFEA9999"/>
      <name val="&quot;Roboto Mono&quot;"/>
    </font>
    <font>
      <sz val="8.0"/>
      <color theme="6"/>
      <name val="Arial"/>
      <scheme val="minor"/>
    </font>
    <font>
      <sz val="8.0"/>
      <color rgb="FF434343"/>
      <name val="Roboto"/>
    </font>
    <font>
      <sz val="8.0"/>
      <color rgb="FF6AA84F"/>
      <name val="Arial"/>
      <scheme val="minor"/>
    </font>
    <font>
      <sz val="8.0"/>
      <color rgb="FFFF0000"/>
      <name val="Arial"/>
      <scheme val="minor"/>
    </font>
    <font>
      <sz val="8.0"/>
      <color rgb="FFFBBC04"/>
      <name val="Arial"/>
      <scheme val="minor"/>
    </font>
    <font>
      <color theme="1"/>
      <name val="Arial"/>
      <scheme val="minor"/>
    </font>
    <font>
      <sz val="8.0"/>
      <color rgb="FF434343"/>
      <name val="Arial"/>
    </font>
    <font>
      <sz val="8.0"/>
      <color rgb="FF000000"/>
      <name val="Arial"/>
    </font>
    <font>
      <sz val="8.0"/>
      <color theme="1"/>
      <name val="&quot;Roboto Mono&quot;"/>
    </font>
    <font>
      <sz val="8.0"/>
      <color rgb="FFEA9999"/>
      <name val="Arial"/>
      <scheme val="minor"/>
    </font>
    <font>
      <sz val="10.0"/>
      <color rgb="FF666666"/>
      <name val="Roboto"/>
    </font>
    <font>
      <sz val="8.0"/>
      <color rgb="FFB31412"/>
      <name val="&quot;Roboto Mono&quot;"/>
    </font>
    <font>
      <sz val="8.0"/>
      <color rgb="FFCCCCCC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B7E1CD"/>
        <bgColor rgb="FFB7E1CD"/>
      </patternFill>
    </fill>
    <fill>
      <patternFill patternType="solid">
        <fgColor rgb="FFF9CB9C"/>
        <bgColor rgb="FFF9CB9C"/>
      </patternFill>
    </fill>
    <fill>
      <patternFill patternType="solid">
        <fgColor rgb="FFB6D7A8"/>
        <bgColor rgb="FFB6D7A8"/>
      </patternFill>
    </fill>
    <fill>
      <patternFill patternType="solid">
        <fgColor rgb="FF00FF00"/>
        <bgColor rgb="FF00FF00"/>
      </patternFill>
    </fill>
    <fill>
      <patternFill patternType="solid">
        <fgColor rgb="FFF8F9FA"/>
        <bgColor rgb="FFF8F9FA"/>
      </patternFill>
    </fill>
    <fill>
      <patternFill patternType="solid">
        <fgColor rgb="FFB4A7D6"/>
        <bgColor rgb="FFB4A7D6"/>
      </patternFill>
    </fill>
    <fill>
      <patternFill patternType="solid">
        <fgColor rgb="FFD5A6BD"/>
        <bgColor rgb="FFD5A6BD"/>
      </patternFill>
    </fill>
    <fill>
      <patternFill patternType="solid">
        <fgColor theme="7"/>
        <bgColor theme="7"/>
      </patternFill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F6F8F9"/>
        <bgColor rgb="FFF6F8F9"/>
      </patternFill>
    </fill>
    <fill>
      <patternFill patternType="solid">
        <fgColor rgb="FFFFD966"/>
        <bgColor rgb="FFFFD966"/>
      </patternFill>
    </fill>
    <fill>
      <patternFill patternType="solid">
        <fgColor rgb="FFE06666"/>
        <bgColor rgb="FFE06666"/>
      </patternFill>
    </fill>
    <fill>
      <patternFill patternType="solid">
        <fgColor rgb="FFA2C4C9"/>
        <bgColor rgb="FFA2C4C9"/>
      </patternFill>
    </fill>
  </fills>
  <borders count="107">
    <border/>
    <border>
      <left style="thin">
        <color rgb="FF4A535C"/>
      </left>
      <right style="thin">
        <color rgb="FFB7B7B7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B7B7B7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626E7A"/>
      </right>
      <top style="thin">
        <color rgb="FF4A535C"/>
      </top>
      <bottom style="thin">
        <color rgb="FF4A535C"/>
      </bottom>
    </border>
    <border>
      <left style="thin">
        <color rgb="FF626E7A"/>
      </left>
      <right style="thin">
        <color rgb="FF4A535C"/>
      </right>
      <top style="thin">
        <color rgb="FF4A535C"/>
      </top>
      <bottom style="thin">
        <color rgb="FF4A535C"/>
      </bottom>
    </border>
    <border>
      <left style="thin">
        <color rgb="FF4A535C"/>
      </left>
      <right style="thin">
        <color rgb="FF666666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666666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FFFFFF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CCCCCC"/>
      </bottom>
    </border>
    <border>
      <left style="thin">
        <color rgb="FFB7E1CD"/>
      </left>
      <right style="thin">
        <color rgb="FF000000"/>
      </right>
      <top style="thin">
        <color rgb="FFB7E1CD"/>
      </top>
      <bottom style="thin">
        <color rgb="FFCCCCCC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F6F8F9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CCCCCC"/>
      </bottom>
    </border>
    <border>
      <left style="thin">
        <color rgb="FFF4CCCC"/>
      </left>
      <right style="thin">
        <color rgb="FF000000"/>
      </right>
      <top style="thin">
        <color rgb="FFF4CCCC"/>
      </top>
      <bottom style="thin">
        <color rgb="FFCCCCCC"/>
      </bottom>
    </border>
    <border>
      <left style="thin">
        <color rgb="FF4A535C"/>
      </left>
      <right style="thin">
        <color rgb="FF666666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666666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000000"/>
      </right>
      <top style="thin">
        <color rgb="FFFFFFFF"/>
      </top>
      <bottom style="thin">
        <color rgb="FF000000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000000"/>
      </bottom>
    </border>
    <border>
      <left style="thin">
        <color rgb="FFF4CCCC"/>
      </left>
      <right style="thin">
        <color rgb="FF000000"/>
      </right>
      <top style="thin">
        <color rgb="FFF4CCCC"/>
      </top>
      <bottom style="thin">
        <color rgb="FF000000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4A535C"/>
      </right>
      <top style="thin">
        <color rgb="FFFFFFFF"/>
      </top>
      <bottom style="thin">
        <color rgb="FF000000"/>
      </bottom>
    </border>
    <border>
      <left style="thin">
        <color rgb="FF4A535C"/>
      </left>
      <right style="thin">
        <color rgb="FF666666"/>
      </right>
      <top style="thin">
        <color rgb="FFF9CB9C"/>
      </top>
      <bottom style="thin">
        <color rgb="FFF9CB9C"/>
      </bottom>
    </border>
    <border>
      <left style="thin">
        <color rgb="FFF9CB9C"/>
      </left>
      <right style="thin">
        <color rgb="FF666666"/>
      </right>
      <top style="thin">
        <color rgb="FFF9CB9C"/>
      </top>
      <bottom style="thin">
        <color rgb="FFF9CB9C"/>
      </bottom>
    </border>
    <border>
      <left style="thin">
        <color rgb="FFF9CB9C"/>
      </left>
      <right style="thin">
        <color rgb="FF000000"/>
      </right>
      <top style="thin">
        <color rgb="FFF9CB9C"/>
      </top>
      <bottom style="thin">
        <color rgb="FFF9CB9C"/>
      </bottom>
    </border>
    <border>
      <left style="thin">
        <color rgb="FFF4CCCC"/>
      </left>
      <right style="thin">
        <color rgb="FF000000"/>
      </right>
      <top style="thin">
        <color rgb="FFF4CCCC"/>
      </top>
      <bottom style="thin">
        <color rgb="FFF4CCCC"/>
      </bottom>
    </border>
    <border>
      <left style="thin">
        <color rgb="FF4A535C"/>
      </left>
      <right style="thin">
        <color rgb="FF666666"/>
      </right>
      <top style="thin">
        <color rgb="FFF9CB9C"/>
      </top>
      <bottom style="thin">
        <color rgb="FF000000"/>
      </bottom>
    </border>
    <border>
      <left style="thin">
        <color rgb="FFF9CB9C"/>
      </left>
      <right style="thin">
        <color rgb="FF666666"/>
      </right>
      <top style="thin">
        <color rgb="FFF9CB9C"/>
      </top>
      <bottom style="thin">
        <color rgb="FF000000"/>
      </bottom>
    </border>
    <border>
      <left style="thin">
        <color rgb="FFF9CB9C"/>
      </left>
      <right style="thin">
        <color rgb="FF000000"/>
      </right>
      <top style="thin">
        <color rgb="FFF9CB9C"/>
      </top>
      <bottom style="thin">
        <color rgb="FF000000"/>
      </bottom>
    </border>
    <border>
      <left style="thin">
        <color rgb="FF4A535C"/>
      </left>
      <right style="thin">
        <color rgb="FF666666"/>
      </right>
      <top style="thin">
        <color rgb="FFB6D7A8"/>
      </top>
      <bottom style="thin">
        <color rgb="FFB6D7A8"/>
      </bottom>
    </border>
    <border>
      <left style="thin">
        <color rgb="FFB6D7A8"/>
      </left>
      <right style="thin">
        <color rgb="FF666666"/>
      </right>
      <top style="thin">
        <color rgb="FFB6D7A8"/>
      </top>
      <bottom style="thin">
        <color rgb="FFB6D7A8"/>
      </bottom>
    </border>
    <border>
      <left style="thin">
        <color rgb="FFB6D7A8"/>
      </left>
      <right style="thin">
        <color rgb="FF000000"/>
      </right>
      <top style="thin">
        <color rgb="FFB6D7A8"/>
      </top>
      <bottom style="thin">
        <color rgb="FFB6D7A8"/>
      </bottom>
    </border>
    <border>
      <left style="thin">
        <color rgb="FF4A535C"/>
      </left>
      <right style="thin">
        <color rgb="FF666666"/>
      </right>
      <top style="thin">
        <color rgb="FFB6D7A8"/>
      </top>
      <bottom style="thin">
        <color rgb="FF000000"/>
      </bottom>
    </border>
    <border>
      <left style="thin">
        <color rgb="FFB6D7A8"/>
      </left>
      <right style="thin">
        <color rgb="FF666666"/>
      </right>
      <top style="thin">
        <color rgb="FFB6D7A8"/>
      </top>
      <bottom style="thin">
        <color rgb="FF000000"/>
      </bottom>
    </border>
    <border>
      <left style="thin">
        <color rgb="FFB6D7A8"/>
      </left>
      <right style="thin">
        <color rgb="FF000000"/>
      </right>
      <top style="thin">
        <color rgb="FFB6D7A8"/>
      </top>
      <bottom style="thin">
        <color rgb="FF000000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000000"/>
      </bottom>
    </border>
    <border>
      <left style="thin">
        <color rgb="FF4A535C"/>
      </left>
      <right style="thin">
        <color rgb="FF666666"/>
      </right>
      <top style="thin">
        <color rgb="FFB4A7D6"/>
      </top>
      <bottom style="thin">
        <color rgb="FFB4A7D6"/>
      </bottom>
    </border>
    <border>
      <left style="thin">
        <color rgb="FFB4A7D6"/>
      </left>
      <right style="thin">
        <color rgb="FF666666"/>
      </right>
      <top style="thin">
        <color rgb="FFB4A7D6"/>
      </top>
      <bottom style="thin">
        <color rgb="FFB4A7D6"/>
      </bottom>
    </border>
    <border>
      <left style="thin">
        <color rgb="FFB4A7D6"/>
      </left>
      <right style="thin">
        <color rgb="FF000000"/>
      </right>
      <top style="thin">
        <color rgb="FFB4A7D6"/>
      </top>
      <bottom style="thin">
        <color rgb="FFB4A7D6"/>
      </bottom>
    </border>
    <border>
      <left style="thin">
        <color rgb="FFB7E1CD"/>
      </left>
      <right style="thin">
        <color rgb="FF000000"/>
      </right>
      <top style="thin">
        <color rgb="FFB7E1CD"/>
      </top>
      <bottom style="thin">
        <color rgb="FFB7E1CD"/>
      </bottom>
    </border>
    <border>
      <left style="thin">
        <color rgb="FF4A535C"/>
      </left>
      <right style="thin">
        <color rgb="FF666666"/>
      </right>
      <top style="thin">
        <color rgb="FFB4A7D6"/>
      </top>
      <bottom style="thin">
        <color rgb="FF000000"/>
      </bottom>
    </border>
    <border>
      <left style="thin">
        <color rgb="FFB4A7D6"/>
      </left>
      <right style="thin">
        <color rgb="FF666666"/>
      </right>
      <top style="thin">
        <color rgb="FFB4A7D6"/>
      </top>
      <bottom style="thin">
        <color rgb="FF000000"/>
      </bottom>
    </border>
    <border>
      <left style="thin">
        <color rgb="FFB4A7D6"/>
      </left>
      <right style="thin">
        <color rgb="FF000000"/>
      </right>
      <top style="thin">
        <color rgb="FFB4A7D6"/>
      </top>
      <bottom style="thin">
        <color rgb="FF000000"/>
      </bottom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000000"/>
      </bottom>
    </border>
    <border>
      <left style="thin">
        <color rgb="FF4A535C"/>
      </left>
      <right style="thin">
        <color rgb="FF666666"/>
      </right>
      <top style="thin">
        <color rgb="FFD5A6BD"/>
      </top>
      <bottom style="thin">
        <color rgb="FFD5A6BD"/>
      </bottom>
    </border>
    <border>
      <left style="thin">
        <color rgb="FFD5A6BD"/>
      </left>
      <right style="thin">
        <color rgb="FF666666"/>
      </right>
      <top style="thin">
        <color rgb="FFD5A6BD"/>
      </top>
      <bottom style="thin">
        <color rgb="FFD5A6BD"/>
      </bottom>
    </border>
    <border>
      <left style="thin">
        <color rgb="FFD5A6BD"/>
      </left>
      <right style="thin">
        <color rgb="FF000000"/>
      </right>
      <top style="thin">
        <color rgb="FFD5A6BD"/>
      </top>
      <bottom style="thin">
        <color rgb="FFD5A6BD"/>
      </bottom>
    </border>
    <border>
      <left style="thin">
        <color rgb="FFD5A6BD"/>
      </left>
      <right style="thin">
        <color rgb="FFD5A6BD"/>
      </right>
      <top style="thin">
        <color rgb="FFD5A6BD"/>
      </top>
      <bottom style="thin">
        <color rgb="FFD5A6BD"/>
      </bottom>
    </border>
    <border>
      <left style="thin">
        <color rgb="FF000000"/>
      </left>
      <right style="thin">
        <color rgb="FFB7E1CD"/>
      </right>
      <top style="thin">
        <color rgb="FFB7E1CD"/>
      </top>
      <bottom style="thin">
        <color rgb="FFB7E1CD"/>
      </bottom>
    </border>
    <border>
      <left style="thin">
        <color rgb="FF4A535C"/>
      </left>
      <right style="thin">
        <color rgb="FF666666"/>
      </right>
      <top style="thin">
        <color rgb="FFD5A6BD"/>
      </top>
      <bottom style="thin">
        <color rgb="FF000000"/>
      </bottom>
    </border>
    <border>
      <left style="thin">
        <color rgb="FFD5A6BD"/>
      </left>
      <right style="thin">
        <color rgb="FF666666"/>
      </right>
      <top style="thin">
        <color rgb="FFD5A6BD"/>
      </top>
      <bottom style="thin">
        <color rgb="FF000000"/>
      </bottom>
    </border>
    <border>
      <left style="thin">
        <color rgb="FFD5A6BD"/>
      </left>
      <right style="thin">
        <color rgb="FF000000"/>
      </right>
      <top style="thin">
        <color rgb="FFD5A6BD"/>
      </top>
      <bottom style="thin">
        <color rgb="FF000000"/>
      </bottom>
    </border>
    <border>
      <left style="thin">
        <color rgb="FF4A535C"/>
      </left>
      <right style="thin">
        <color rgb="FF666666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666666"/>
      </right>
      <top style="thin">
        <color rgb="FFEFEFEF"/>
      </top>
      <bottom style="thin">
        <color rgb="FFEFEFEF"/>
      </bottom>
    </border>
    <border>
      <left style="thin">
        <color rgb="FFEFEFEF"/>
      </left>
      <right style="thin">
        <color rgb="FF000000"/>
      </right>
      <top style="thin">
        <color rgb="FFEFEFEF"/>
      </top>
      <bottom style="thin">
        <color rgb="FFEFEFEF"/>
      </bottom>
    </border>
    <border>
      <left style="thin">
        <color rgb="FF4A535C"/>
      </left>
      <right style="thin">
        <color rgb="FF666666"/>
      </right>
      <top style="thin">
        <color rgb="FFEFEFEF"/>
      </top>
      <bottom style="thin">
        <color rgb="FF000000"/>
      </bottom>
    </border>
    <border>
      <left style="thin">
        <color rgb="FFEFEFEF"/>
      </left>
      <right style="thin">
        <color rgb="FF666666"/>
      </right>
      <top style="thin">
        <color rgb="FFEFEFEF"/>
      </top>
      <bottom style="thin">
        <color rgb="FF000000"/>
      </bottom>
    </border>
    <border>
      <left style="thin">
        <color rgb="FFEFEFEF"/>
      </left>
      <right style="thin">
        <color rgb="FF000000"/>
      </right>
      <top style="thin">
        <color rgb="FFEFEFEF"/>
      </top>
      <bottom style="thin">
        <color rgb="FF000000"/>
      </bottom>
    </border>
    <border>
      <left style="thin">
        <color rgb="FF4A535C"/>
      </left>
      <right style="thin">
        <color rgb="FF666666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666666"/>
      </right>
      <top style="thin">
        <color rgb="FFFFF2CC"/>
      </top>
      <bottom style="thin">
        <color rgb="FFFFF2CC"/>
      </bottom>
    </border>
    <border>
      <left style="thin">
        <color rgb="FFFFF2CC"/>
      </left>
      <right style="thin">
        <color rgb="FF000000"/>
      </right>
      <top style="thin">
        <color rgb="FFFFF2CC"/>
      </top>
      <bottom style="thin">
        <color rgb="FFFFF2CC"/>
      </bottom>
    </border>
    <border>
      <left style="thin">
        <color rgb="FF4A535C"/>
      </left>
      <right style="thin">
        <color rgb="FF666666"/>
      </right>
      <top style="thin">
        <color rgb="FFFFF2CC"/>
      </top>
      <bottom style="thin">
        <color rgb="FF000000"/>
      </bottom>
    </border>
    <border>
      <left style="thin">
        <color rgb="FFFFF2CC"/>
      </left>
      <right style="thin">
        <color rgb="FF666666"/>
      </right>
      <top style="thin">
        <color rgb="FFFFF2CC"/>
      </top>
      <bottom style="thin">
        <color rgb="FF000000"/>
      </bottom>
    </border>
    <border>
      <left style="thin">
        <color rgb="FFFFF2CC"/>
      </left>
      <right style="thin">
        <color rgb="FF000000"/>
      </right>
      <top style="thin">
        <color rgb="FFFFF2CC"/>
      </top>
      <bottom style="thin">
        <color rgb="FF000000"/>
      </bottom>
    </border>
    <border>
      <left style="thin">
        <color rgb="FF4A535C"/>
      </left>
      <right style="thin">
        <color rgb="FF666666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666666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CCCCCC"/>
      </bottom>
    </border>
    <border>
      <left style="thin">
        <color rgb="FF4A535C"/>
      </left>
      <right style="thin">
        <color rgb="FF666666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666666"/>
      </right>
      <top style="thin">
        <color rgb="FFCCCCCC"/>
      </top>
      <bottom style="thin">
        <color rgb="FF000000"/>
      </bottom>
    </border>
    <border>
      <left style="thin">
        <color rgb="FFCCCCCC"/>
      </left>
      <right style="thin">
        <color rgb="FF000000"/>
      </right>
      <top style="thin">
        <color rgb="FFCCCCCC"/>
      </top>
      <bottom style="thin">
        <color rgb="FF000000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000000"/>
      </bottom>
    </border>
    <border>
      <left style="thin">
        <color rgb="FF4A535C"/>
      </left>
      <right style="thin">
        <color rgb="FF666666"/>
      </right>
      <top style="thin">
        <color rgb="FFFFD966"/>
      </top>
      <bottom style="thin">
        <color rgb="FFFFD966"/>
      </bottom>
    </border>
    <border>
      <left style="thin">
        <color rgb="FFFFD966"/>
      </left>
      <right style="thin">
        <color rgb="FF666666"/>
      </right>
      <top style="thin">
        <color rgb="FFFFD966"/>
      </top>
      <bottom style="thin">
        <color rgb="FFFFD966"/>
      </bottom>
    </border>
    <border>
      <left style="thin">
        <color rgb="FFFFD966"/>
      </left>
      <right style="thin">
        <color rgb="FF000000"/>
      </right>
      <top style="thin">
        <color rgb="FFFFD966"/>
      </top>
      <bottom style="thin">
        <color rgb="FFFFD966"/>
      </bottom>
    </border>
    <border>
      <left style="thin">
        <color rgb="FF4A535C"/>
      </left>
      <right style="thin">
        <color rgb="FF666666"/>
      </right>
      <top style="thin">
        <color rgb="FFFFD966"/>
      </top>
      <bottom style="thin">
        <color rgb="FF000000"/>
      </bottom>
    </border>
    <border>
      <left style="thin">
        <color rgb="FFFFD966"/>
      </left>
      <right style="thin">
        <color rgb="FF666666"/>
      </right>
      <top style="thin">
        <color rgb="FFFFD966"/>
      </top>
      <bottom style="thin">
        <color rgb="FF000000"/>
      </bottom>
    </border>
    <border>
      <left style="thin">
        <color rgb="FFFFD966"/>
      </left>
      <right style="thin">
        <color rgb="FF000000"/>
      </right>
      <top style="thin">
        <color rgb="FFFFD966"/>
      </top>
      <bottom style="thin">
        <color rgb="FF000000"/>
      </bottom>
    </border>
    <border>
      <left style="thin">
        <color rgb="FFB7E1CD"/>
      </left>
      <right style="thin">
        <color rgb="FF000000"/>
      </right>
      <top style="thin">
        <color rgb="FFB7E1CD"/>
      </top>
      <bottom style="thin">
        <color rgb="FF000000"/>
      </bottom>
    </border>
    <border>
      <left style="thin">
        <color rgb="FF4A535C"/>
      </left>
      <right style="thin">
        <color rgb="FF666666"/>
      </right>
      <top style="thin">
        <color rgb="FFE06666"/>
      </top>
      <bottom style="thin">
        <color rgb="FFE06666"/>
      </bottom>
    </border>
    <border>
      <left style="thin">
        <color rgb="FFE06666"/>
      </left>
      <right style="thin">
        <color rgb="FF666666"/>
      </right>
      <top style="thin">
        <color rgb="FFE06666"/>
      </top>
      <bottom style="thin">
        <color rgb="FFE06666"/>
      </bottom>
    </border>
    <border>
      <left style="thin">
        <color rgb="FFE06666"/>
      </left>
      <right style="thin">
        <color rgb="FF000000"/>
      </right>
      <top style="thin">
        <color rgb="FFE06666"/>
      </top>
      <bottom style="thin">
        <color rgb="FFE06666"/>
      </bottom>
    </border>
    <border>
      <left style="thin">
        <color rgb="FF4A535C"/>
      </left>
      <right style="thin">
        <color rgb="FF666666"/>
      </right>
      <top style="thin">
        <color rgb="FFE06666"/>
      </top>
      <bottom style="thin">
        <color rgb="FF000000"/>
      </bottom>
    </border>
    <border>
      <left style="thin">
        <color rgb="FFE06666"/>
      </left>
      <right style="thin">
        <color rgb="FF666666"/>
      </right>
      <top style="thin">
        <color rgb="FFE06666"/>
      </top>
      <bottom style="thin">
        <color rgb="FF000000"/>
      </bottom>
    </border>
    <border>
      <left style="thin">
        <color rgb="FFE06666"/>
      </left>
      <right style="thin">
        <color rgb="FF000000"/>
      </right>
      <top style="thin">
        <color rgb="FFE06666"/>
      </top>
      <bottom style="thin">
        <color rgb="FF000000"/>
      </bottom>
    </border>
    <border>
      <left style="thin">
        <color rgb="FF4A535C"/>
      </left>
      <right style="thin">
        <color rgb="FF666666"/>
      </right>
      <top style="thin">
        <color rgb="FFA2C4C9"/>
      </top>
      <bottom style="thin">
        <color rgb="FFA2C4C9"/>
      </bottom>
    </border>
    <border>
      <left style="thin">
        <color rgb="FFA2C4C9"/>
      </left>
      <right style="thin">
        <color rgb="FF666666"/>
      </right>
      <top style="thin">
        <color rgb="FFA2C4C9"/>
      </top>
      <bottom style="thin">
        <color rgb="FFA2C4C9"/>
      </bottom>
    </border>
    <border>
      <left style="thin">
        <color rgb="FFA2C4C9"/>
      </left>
      <right style="thin">
        <color rgb="FF000000"/>
      </right>
      <top style="thin">
        <color rgb="FFA2C4C9"/>
      </top>
      <bottom style="thin">
        <color rgb="FFA2C4C9"/>
      </bottom>
    </border>
    <border>
      <left style="thin">
        <color rgb="FF4A535C"/>
      </left>
      <right style="thin">
        <color rgb="FF666666"/>
      </right>
      <top style="thin">
        <color rgb="FFA2C4C9"/>
      </top>
      <bottom style="thin">
        <color rgb="FF000000"/>
      </bottom>
    </border>
    <border>
      <left style="thin">
        <color rgb="FFA2C4C9"/>
      </left>
      <right style="thin">
        <color rgb="FF666666"/>
      </right>
      <top style="thin">
        <color rgb="FFA2C4C9"/>
      </top>
      <bottom style="thin">
        <color rgb="FF000000"/>
      </bottom>
    </border>
    <border>
      <left style="thin">
        <color rgb="FFA2C4C9"/>
      </left>
      <right style="thin">
        <color rgb="FF000000"/>
      </right>
      <top style="thin">
        <color rgb="FFA2C4C9"/>
      </top>
      <bottom style="thin">
        <color rgb="FF000000"/>
      </bottom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4A535C"/>
      </bottom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4A535C"/>
      </bottom>
    </border>
    <border>
      <left style="thin">
        <color rgb="FF4A535C"/>
      </left>
      <right style="thin">
        <color rgb="FF666666"/>
      </right>
      <top style="thin">
        <color rgb="FF4A535C"/>
      </top>
      <bottom style="thin">
        <color rgb="FF4A535C"/>
      </bottom>
    </border>
    <border>
      <left style="thin">
        <color rgb="FF000000"/>
      </left>
      <right style="thin">
        <color rgb="FFF6F8F9"/>
      </right>
      <top style="thin">
        <color rgb="FFF6F8F9"/>
      </top>
      <bottom style="thin">
        <color rgb="FF4A535C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4A535C"/>
      </bottom>
    </border>
    <border>
      <left style="thin">
        <color rgb="FFF6F8F9"/>
      </left>
      <right style="thin">
        <color rgb="FF4A535C"/>
      </right>
      <top style="thin">
        <color rgb="FFF6F8F9"/>
      </top>
      <bottom style="thin">
        <color rgb="FF4A535C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4A535C"/>
      </left>
      <right style="thin">
        <color rgb="FF626E7A"/>
      </right>
      <top style="thin">
        <color rgb="FF4A535C"/>
      </top>
      <bottom style="thin">
        <color rgb="FF4A535C"/>
      </bottom>
    </border>
  </borders>
  <cellStyleXfs count="1">
    <xf borderId="0" fillId="0" fontId="0" numFmtId="0" applyAlignment="1" applyFont="1"/>
  </cellStyleXfs>
  <cellXfs count="430">
    <xf borderId="0" fillId="0" fontId="0" numFmtId="0" xfId="0" applyAlignment="1" applyFont="1">
      <alignment readingOrder="0" shrinkToFit="0" vertical="bottom" wrapText="0"/>
    </xf>
    <xf borderId="1" fillId="0" fontId="1" numFmtId="49" xfId="0" applyAlignment="1" applyBorder="1" applyFont="1" applyNumberFormat="1">
      <alignment horizontal="left" readingOrder="0" shrinkToFit="0" vertical="center" wrapText="0"/>
    </xf>
    <xf borderId="2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1"/>
    </xf>
    <xf borderId="3" fillId="0" fontId="1" numFmtId="0" xfId="0" applyAlignment="1" applyBorder="1" applyFont="1">
      <alignment horizontal="left" readingOrder="0" shrinkToFit="0" vertical="center" wrapText="0"/>
    </xf>
    <xf borderId="3" fillId="0" fontId="1" numFmtId="4" xfId="0" applyAlignment="1" applyBorder="1" applyFont="1" applyNumberFormat="1">
      <alignment horizontal="left" readingOrder="0" shrinkToFit="0" vertical="center" wrapText="1"/>
    </xf>
    <xf borderId="3" fillId="0" fontId="1" numFmtId="49" xfId="0" applyAlignment="1" applyBorder="1" applyFont="1" applyNumberForma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3" fillId="0" fontId="1" numFmtId="0" xfId="0" applyAlignment="1" applyBorder="1" applyFont="1">
      <alignment horizontal="left" readingOrder="0" shrinkToFit="0" vertical="center" wrapText="0"/>
    </xf>
    <xf borderId="4" fillId="0" fontId="1" numFmtId="0" xfId="0" applyAlignment="1" applyBorder="1" applyFont="1">
      <alignment horizontal="left" readingOrder="0" shrinkToFit="0" vertical="center" wrapText="0"/>
    </xf>
    <xf borderId="0" fillId="0" fontId="1" numFmtId="0" xfId="0" applyFont="1"/>
    <xf borderId="0" fillId="0" fontId="1" numFmtId="49" xfId="0" applyFont="1" applyNumberFormat="1"/>
    <xf borderId="0" fillId="0" fontId="1" numFmtId="49" xfId="0" applyFont="1" applyNumberFormat="1"/>
    <xf borderId="0" fillId="0" fontId="1" numFmtId="4" xfId="0" applyFont="1" applyNumberFormat="1"/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5" fillId="2" fontId="2" numFmtId="0" xfId="0" applyAlignment="1" applyBorder="1" applyFill="1" applyFont="1">
      <alignment horizontal="center" readingOrder="0" shrinkToFit="0" vertical="bottom" wrapText="0"/>
    </xf>
    <xf borderId="6" fillId="2" fontId="2" numFmtId="49" xfId="0" applyAlignment="1" applyBorder="1" applyFont="1" applyNumberFormat="1">
      <alignment horizontal="center" readingOrder="0" shrinkToFit="0" vertical="bottom" wrapText="0"/>
    </xf>
    <xf borderId="7" fillId="2" fontId="2" numFmtId="49" xfId="0" applyAlignment="1" applyBorder="1" applyFont="1" applyNumberFormat="1">
      <alignment horizontal="center" shrinkToFit="0" vertical="bottom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3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0" fillId="0" fontId="1" numFmtId="3" xfId="0" applyFont="1" applyNumberFormat="1"/>
    <xf borderId="0" fillId="3" fontId="3" numFmtId="49" xfId="0" applyAlignment="1" applyFill="1" applyFont="1" applyNumberFormat="1">
      <alignment readingOrder="0"/>
    </xf>
    <xf borderId="13" fillId="0" fontId="1" numFmtId="0" xfId="0" applyAlignment="1" applyBorder="1" applyFon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16" fillId="0" fontId="1" numFmtId="164" xfId="0" applyAlignment="1" applyBorder="1" applyFont="1" applyNumberFormat="1">
      <alignment readingOrder="0" shrinkToFit="0" vertical="center" wrapText="0"/>
    </xf>
    <xf borderId="16" fillId="0" fontId="1" numFmtId="49" xfId="0" applyAlignment="1" applyBorder="1" applyFont="1" applyNumberFormat="1">
      <alignment readingOrder="0" shrinkToFit="0" vertical="center" wrapText="0"/>
    </xf>
    <xf borderId="16" fillId="0" fontId="1" numFmtId="49" xfId="0" applyAlignment="1" applyBorder="1" applyFont="1" applyNumberFormat="1">
      <alignment horizontal="left"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6" fillId="0" fontId="1" numFmtId="3" xfId="0" applyAlignment="1" applyBorder="1" applyFont="1" applyNumberFormat="1">
      <alignment readingOrder="0" shrinkToFit="0" vertical="center" wrapText="0"/>
    </xf>
    <xf borderId="16" fillId="4" fontId="4" numFmtId="164" xfId="0" applyAlignment="1" applyBorder="1" applyFill="1" applyFont="1" applyNumberFormat="1">
      <alignment horizontal="right" readingOrder="0" shrinkToFit="0" vertical="center" wrapText="0"/>
    </xf>
    <xf borderId="16" fillId="4" fontId="4" numFmtId="49" xfId="0" applyAlignment="1" applyBorder="1" applyFont="1" applyNumberFormat="1">
      <alignment readingOrder="0" shrinkToFit="0" vertical="center" wrapText="0"/>
    </xf>
    <xf borderId="16" fillId="4" fontId="4" numFmtId="0" xfId="0" applyAlignment="1" applyBorder="1" applyFont="1">
      <alignment readingOrder="0" shrinkToFit="0" vertical="center" wrapText="0"/>
    </xf>
    <xf borderId="16" fillId="4" fontId="4" numFmtId="3" xfId="0" applyAlignment="1" applyBorder="1" applyFont="1" applyNumberFormat="1">
      <alignment horizontal="right" readingOrder="0" shrinkToFit="0" vertical="center" wrapText="0"/>
    </xf>
    <xf borderId="17" fillId="4" fontId="4" numFmtId="164" xfId="0" applyAlignment="1" applyBorder="1" applyFont="1" applyNumberFormat="1">
      <alignment horizontal="right" shrinkToFit="0" vertical="center" wrapText="0"/>
    </xf>
    <xf borderId="17" fillId="4" fontId="4" numFmtId="49" xfId="0" applyAlignment="1" applyBorder="1" applyFont="1" applyNumberFormat="1">
      <alignment shrinkToFit="0" vertical="center" wrapText="0"/>
    </xf>
    <xf borderId="18" fillId="0" fontId="1" numFmtId="49" xfId="0" applyAlignment="1" applyBorder="1" applyFont="1" applyNumberFormat="1">
      <alignment horizontal="left"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8" fillId="0" fontId="1" numFmtId="3" xfId="0" applyAlignment="1" applyBorder="1" applyFont="1" applyNumberFormat="1">
      <alignment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8" fillId="0" fontId="1" numFmtId="164" xfId="0" applyAlignment="1" applyBorder="1" applyFont="1" applyNumberFormat="1">
      <alignment readingOrder="0" shrinkToFit="0" vertical="center" wrapText="0"/>
    </xf>
    <xf borderId="18" fillId="0" fontId="1" numFmtId="49" xfId="0" applyAlignment="1" applyBorder="1" applyFont="1" applyNumberForma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20" fillId="2" fontId="2" numFmtId="0" xfId="0" applyAlignment="1" applyBorder="1" applyFont="1">
      <alignment horizontal="center" readingOrder="0" shrinkToFit="0" vertical="bottom" wrapText="0"/>
    </xf>
    <xf borderId="21" fillId="2" fontId="2" numFmtId="49" xfId="0" applyAlignment="1" applyBorder="1" applyFont="1" applyNumberFormat="1">
      <alignment horizontal="center" readingOrder="0" shrinkToFit="0" vertical="bottom" wrapText="0"/>
    </xf>
    <xf borderId="22" fillId="2" fontId="2" numFmtId="49" xfId="0" applyAlignment="1" applyBorder="1" applyFont="1" applyNumberFormat="1">
      <alignment horizontal="center" shrinkToFit="0" vertical="bottom" wrapText="0"/>
    </xf>
    <xf borderId="23" fillId="0" fontId="1" numFmtId="164" xfId="0" applyAlignment="1" applyBorder="1" applyFont="1" applyNumberFormat="1">
      <alignment readingOrder="0" shrinkToFit="0" vertical="center" wrapText="0"/>
    </xf>
    <xf borderId="23" fillId="0" fontId="1" numFmtId="49" xfId="0" applyAlignment="1" applyBorder="1" applyFont="1" applyNumberFormat="1">
      <alignment readingOrder="0" shrinkToFit="0" vertical="center" wrapText="0"/>
    </xf>
    <xf borderId="23" fillId="0" fontId="1" numFmtId="49" xfId="0" applyAlignment="1" applyBorder="1" applyFont="1" applyNumberFormat="1">
      <alignment horizontal="left" readingOrder="0" shrinkToFit="0" vertical="center" wrapText="0"/>
    </xf>
    <xf borderId="23" fillId="0" fontId="1" numFmtId="0" xfId="0" applyAlignment="1" applyBorder="1" applyFont="1">
      <alignment readingOrder="0" shrinkToFit="0" vertical="center" wrapText="0"/>
    </xf>
    <xf borderId="23" fillId="0" fontId="1" numFmtId="3" xfId="0" applyAlignment="1" applyBorder="1" applyFont="1" applyNumberFormat="1">
      <alignment readingOrder="0" shrinkToFit="0" vertical="center" wrapText="0"/>
    </xf>
    <xf borderId="24" fillId="0" fontId="1" numFmtId="0" xfId="0" applyAlignment="1" applyBorder="1" applyFont="1">
      <alignment readingOrder="0" shrinkToFit="0" vertical="center" wrapText="0"/>
    </xf>
    <xf borderId="25" fillId="0" fontId="1" numFmtId="0" xfId="0" applyAlignment="1" applyBorder="1" applyFont="1">
      <alignment shrinkToFit="0" vertical="center" wrapText="0"/>
    </xf>
    <xf borderId="26" fillId="0" fontId="1" numFmtId="0" xfId="0" applyAlignment="1" applyBorder="1" applyFont="1">
      <alignment readingOrder="0" shrinkToFit="0" vertical="center" wrapText="0"/>
    </xf>
    <xf borderId="26" fillId="0" fontId="1" numFmtId="0" xfId="0" applyAlignment="1" applyBorder="1" applyFont="1">
      <alignment shrinkToFit="0" vertical="center" wrapText="0"/>
    </xf>
    <xf borderId="27" fillId="0" fontId="1" numFmtId="0" xfId="0" applyAlignment="1" applyBorder="1" applyFont="1">
      <alignment readingOrder="0" shrinkToFit="0" vertical="center" wrapText="0"/>
    </xf>
    <xf borderId="28" fillId="5" fontId="2" numFmtId="0" xfId="0" applyAlignment="1" applyBorder="1" applyFill="1" applyFont="1">
      <alignment horizontal="center" readingOrder="0" shrinkToFit="0" vertical="bottom" wrapText="0"/>
    </xf>
    <xf borderId="29" fillId="5" fontId="2" numFmtId="49" xfId="0" applyAlignment="1" applyBorder="1" applyFont="1" applyNumberFormat="1">
      <alignment horizontal="center" readingOrder="0" shrinkToFit="0" vertical="bottom" wrapText="0"/>
    </xf>
    <xf borderId="30" fillId="5" fontId="2" numFmtId="49" xfId="0" applyAlignment="1" applyBorder="1" applyFont="1" applyNumberFormat="1">
      <alignment horizontal="center" shrinkToFit="0" vertical="bottom" wrapText="0"/>
    </xf>
    <xf borderId="11" fillId="0" fontId="1" numFmtId="0" xfId="0" applyAlignment="1" applyBorder="1" applyFont="1">
      <alignment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17" fillId="0" fontId="1" numFmtId="164" xfId="0" applyAlignment="1" applyBorder="1" applyFont="1" applyNumberFormat="1">
      <alignment readingOrder="0" shrinkToFit="0" vertical="center" wrapText="0"/>
    </xf>
    <xf borderId="17" fillId="0" fontId="1" numFmtId="49" xfId="0" applyAlignment="1" applyBorder="1" applyFont="1" applyNumberFormat="1">
      <alignment readingOrder="0" shrinkToFit="0" vertical="center" wrapText="0"/>
    </xf>
    <xf borderId="17" fillId="0" fontId="1" numFmtId="49" xfId="0" applyAlignment="1" applyBorder="1" applyFont="1" applyNumberFormat="1">
      <alignment horizontal="left" readingOrder="0" shrinkToFit="0" vertical="center" wrapText="0"/>
    </xf>
    <xf borderId="17" fillId="0" fontId="1" numFmtId="0" xfId="0" applyAlignment="1" applyBorder="1" applyFont="1">
      <alignment readingOrder="0" shrinkToFit="0" vertical="center" wrapText="0"/>
    </xf>
    <xf borderId="17" fillId="0" fontId="1" numFmtId="3" xfId="0" applyAlignment="1" applyBorder="1" applyFont="1" applyNumberFormat="1">
      <alignment readingOrder="0" shrinkToFit="0" vertical="center" wrapText="0"/>
    </xf>
    <xf borderId="17" fillId="0" fontId="1" numFmtId="49" xfId="0" applyAlignment="1" applyBorder="1" applyFont="1" applyNumberFormat="1">
      <alignment readingOrder="0" shrinkToFit="0" vertical="center" wrapText="0"/>
    </xf>
    <xf borderId="16" fillId="0" fontId="1" numFmtId="164" xfId="0" applyAlignment="1" applyBorder="1" applyFont="1" applyNumberFormat="1">
      <alignment readingOrder="0" shrinkToFit="0" vertical="center" wrapText="0"/>
    </xf>
    <xf borderId="16" fillId="0" fontId="1" numFmtId="49" xfId="0" applyAlignment="1" applyBorder="1" applyFont="1" applyNumberFormat="1">
      <alignment readingOrder="0" shrinkToFit="0" vertical="center" wrapText="0"/>
    </xf>
    <xf borderId="16" fillId="0" fontId="1" numFmtId="49" xfId="0" applyAlignment="1" applyBorder="1" applyFont="1" applyNumberFormat="1">
      <alignment horizontal="left" readingOrder="0" shrinkToFit="0" vertical="center" wrapText="0"/>
    </xf>
    <xf borderId="16" fillId="0" fontId="1" numFmtId="0" xfId="0" applyAlignment="1" applyBorder="1" applyFont="1">
      <alignment readingOrder="0" shrinkToFit="0" vertical="center" wrapText="0"/>
    </xf>
    <xf borderId="16" fillId="0" fontId="1" numFmtId="3" xfId="0" applyAlignment="1" applyBorder="1" applyFont="1" applyNumberFormat="1">
      <alignment readingOrder="0" shrinkToFit="0" vertical="center" wrapText="0"/>
    </xf>
    <xf borderId="17" fillId="0" fontId="1" numFmtId="164" xfId="0" applyAlignment="1" applyBorder="1" applyFont="1" applyNumberFormat="1">
      <alignment readingOrder="0" shrinkToFit="0" vertical="center" wrapText="0"/>
    </xf>
    <xf borderId="17" fillId="0" fontId="1" numFmtId="49" xfId="0" applyAlignment="1" applyBorder="1" applyFont="1" applyNumberFormat="1">
      <alignment readingOrder="0" shrinkToFit="0" vertical="center" wrapText="0"/>
    </xf>
    <xf borderId="17" fillId="0" fontId="1" numFmtId="49" xfId="0" applyAlignment="1" applyBorder="1" applyFont="1" applyNumberFormat="1">
      <alignment horizontal="left" readingOrder="0" shrinkToFit="0" vertical="center" wrapText="0"/>
    </xf>
    <xf borderId="17" fillId="0" fontId="1" numFmtId="3" xfId="0" applyAlignment="1" applyBorder="1" applyFont="1" applyNumberFormat="1">
      <alignment readingOrder="0" shrinkToFit="0" vertical="center" wrapText="0"/>
    </xf>
    <xf borderId="31" fillId="0" fontId="1" numFmtId="0" xfId="0" applyAlignment="1" applyBorder="1" applyFont="1">
      <alignment readingOrder="0" shrinkToFit="0" vertical="center" wrapText="0"/>
    </xf>
    <xf borderId="16" fillId="0" fontId="1" numFmtId="49" xfId="0" applyAlignment="1" applyBorder="1" applyFont="1" applyNumberFormat="1">
      <alignment readingOrder="0" shrinkToFit="0" vertical="center" wrapText="0"/>
    </xf>
    <xf borderId="32" fillId="5" fontId="2" numFmtId="0" xfId="0" applyAlignment="1" applyBorder="1" applyFont="1">
      <alignment horizontal="center" readingOrder="0" shrinkToFit="0" vertical="bottom" wrapText="0"/>
    </xf>
    <xf borderId="33" fillId="5" fontId="2" numFmtId="49" xfId="0" applyAlignment="1" applyBorder="1" applyFont="1" applyNumberFormat="1">
      <alignment horizontal="center" readingOrder="0" shrinkToFit="0" vertical="bottom" wrapText="0"/>
    </xf>
    <xf borderId="34" fillId="5" fontId="2" numFmtId="49" xfId="0" applyAlignment="1" applyBorder="1" applyFont="1" applyNumberFormat="1">
      <alignment horizontal="center" shrinkToFit="0" vertical="bottom" wrapText="0"/>
    </xf>
    <xf borderId="35" fillId="6" fontId="2" numFmtId="0" xfId="0" applyAlignment="1" applyBorder="1" applyFill="1" applyFont="1">
      <alignment horizontal="center" shrinkToFit="0" vertical="bottom" wrapText="0"/>
    </xf>
    <xf borderId="36" fillId="6" fontId="2" numFmtId="49" xfId="0" applyAlignment="1" applyBorder="1" applyFont="1" applyNumberFormat="1">
      <alignment horizontal="center" shrinkToFit="0" vertical="bottom" wrapText="0"/>
    </xf>
    <xf borderId="36" fillId="6" fontId="2" numFmtId="49" xfId="0" applyAlignment="1" applyBorder="1" applyFont="1" applyNumberFormat="1">
      <alignment horizontal="center" readingOrder="0" shrinkToFit="0" vertical="bottom" wrapText="0"/>
    </xf>
    <xf borderId="37" fillId="6" fontId="2" numFmtId="49" xfId="0" applyAlignment="1" applyBorder="1" applyFont="1" applyNumberFormat="1">
      <alignment horizontal="center" shrinkToFit="0" vertical="bottom" wrapText="0"/>
    </xf>
    <xf borderId="8" fillId="7" fontId="1" numFmtId="164" xfId="0" applyAlignment="1" applyBorder="1" applyFill="1" applyFont="1" applyNumberFormat="1">
      <alignment readingOrder="0" shrinkToFit="0" vertical="center" wrapText="0"/>
    </xf>
    <xf borderId="8" fillId="7" fontId="1" numFmtId="49" xfId="0" applyAlignment="1" applyBorder="1" applyFont="1" applyNumberFormat="1">
      <alignment readingOrder="0" shrinkToFit="0" vertical="center" wrapText="0"/>
    </xf>
    <xf borderId="8" fillId="7" fontId="1" numFmtId="49" xfId="0" applyAlignment="1" applyBorder="1" applyFont="1" applyNumberFormat="1">
      <alignment horizontal="left" readingOrder="0" shrinkToFit="0" vertical="center" wrapText="0"/>
    </xf>
    <xf borderId="8" fillId="7" fontId="1" numFmtId="0" xfId="0" applyAlignment="1" applyBorder="1" applyFont="1">
      <alignment readingOrder="0" shrinkToFit="0" vertical="center" wrapText="0"/>
    </xf>
    <xf borderId="8" fillId="7" fontId="1" numFmtId="3" xfId="0" applyAlignment="1" applyBorder="1" applyFont="1" applyNumberFormat="1">
      <alignment readingOrder="0" shrinkToFit="0" vertical="center" wrapText="0"/>
    </xf>
    <xf borderId="9" fillId="7" fontId="1" numFmtId="0" xfId="0" applyAlignment="1" applyBorder="1" applyFont="1">
      <alignment readingOrder="0" shrinkToFit="0" vertical="center" wrapText="0"/>
    </xf>
    <xf borderId="14" fillId="8" fontId="5" numFmtId="0" xfId="0" applyAlignment="1" applyBorder="1" applyFill="1" applyFont="1">
      <alignment readingOrder="0" shrinkToFit="0" vertical="center" wrapText="0"/>
    </xf>
    <xf borderId="18" fillId="0" fontId="1" numFmtId="164" xfId="0" applyAlignment="1" applyBorder="1" applyFont="1" applyNumberFormat="1">
      <alignment readingOrder="0" shrinkToFit="0" vertical="center" wrapText="0"/>
    </xf>
    <xf borderId="18" fillId="0" fontId="1" numFmtId="49" xfId="0" applyAlignment="1" applyBorder="1" applyFont="1" applyNumberFormat="1">
      <alignment readingOrder="0" shrinkToFit="0" vertical="center" wrapText="0"/>
    </xf>
    <xf borderId="18" fillId="0" fontId="1" numFmtId="49" xfId="0" applyAlignment="1" applyBorder="1" applyFont="1" applyNumberFormat="1">
      <alignment horizontal="left" readingOrder="0" shrinkToFit="0" vertical="center" wrapText="0"/>
    </xf>
    <xf borderId="18" fillId="0" fontId="1" numFmtId="0" xfId="0" applyAlignment="1" applyBorder="1" applyFont="1">
      <alignment readingOrder="0" shrinkToFit="0" vertical="center" wrapText="0"/>
    </xf>
    <xf borderId="18" fillId="0" fontId="1" numFmtId="3" xfId="0" applyAlignment="1" applyBorder="1" applyFont="1" applyNumberFormat="1">
      <alignment readingOrder="0" shrinkToFit="0" vertical="center" wrapText="0"/>
    </xf>
    <xf borderId="19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8" fillId="7" fontId="1" numFmtId="164" xfId="0" applyAlignment="1" applyBorder="1" applyFont="1" applyNumberFormat="1">
      <alignment readingOrder="0" shrinkToFit="0" vertical="center" wrapText="0"/>
    </xf>
    <xf borderId="18" fillId="7" fontId="1" numFmtId="49" xfId="0" applyAlignment="1" applyBorder="1" applyFont="1" applyNumberFormat="1">
      <alignment readingOrder="0" shrinkToFit="0" vertical="center" wrapText="0"/>
    </xf>
    <xf borderId="18" fillId="7" fontId="1" numFmtId="49" xfId="0" applyAlignment="1" applyBorder="1" applyFont="1" applyNumberFormat="1">
      <alignment horizontal="left" readingOrder="0" shrinkToFit="0" vertical="center" wrapText="0"/>
    </xf>
    <xf borderId="18" fillId="7" fontId="1" numFmtId="0" xfId="0" applyAlignment="1" applyBorder="1" applyFont="1">
      <alignment readingOrder="0" shrinkToFit="0" vertical="center" wrapText="0"/>
    </xf>
    <xf borderId="18" fillId="7" fontId="1" numFmtId="3" xfId="0" applyAlignment="1" applyBorder="1" applyFont="1" applyNumberFormat="1">
      <alignment readingOrder="0" shrinkToFit="0" vertical="center" wrapText="0"/>
    </xf>
    <xf borderId="19" fillId="7" fontId="1" numFmtId="0" xfId="0" applyAlignment="1" applyBorder="1" applyFont="1">
      <alignment readingOrder="0" shrinkToFit="0" vertical="center" wrapText="0"/>
    </xf>
    <xf borderId="8" fillId="0" fontId="6" numFmtId="164" xfId="0" applyAlignment="1" applyBorder="1" applyFont="1" applyNumberFormat="1">
      <alignment readingOrder="0" shrinkToFit="0" vertical="center" wrapText="0"/>
    </xf>
    <xf borderId="8" fillId="0" fontId="6" numFmtId="49" xfId="0" applyAlignment="1" applyBorder="1" applyFont="1" applyNumberFormat="1">
      <alignment readingOrder="0" shrinkToFit="0" vertical="center" wrapText="0"/>
    </xf>
    <xf borderId="8" fillId="0" fontId="6" numFmtId="49" xfId="0" applyAlignment="1" applyBorder="1" applyFont="1" applyNumberFormat="1">
      <alignment horizontal="left"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8" fillId="0" fontId="6" numFmtId="3" xfId="0" applyAlignment="1" applyBorder="1" applyFont="1" applyNumberFormat="1">
      <alignment readingOrder="0"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35" fillId="6" fontId="2" numFmtId="0" xfId="0" applyAlignment="1" applyBorder="1" applyFont="1">
      <alignment horizontal="center" readingOrder="0" shrinkToFit="0" vertical="bottom" wrapText="0"/>
    </xf>
    <xf borderId="18" fillId="7" fontId="1" numFmtId="49" xfId="0" applyAlignment="1" applyBorder="1" applyFont="1" applyNumberFormat="1">
      <alignment readingOrder="0" shrinkToFit="0" vertical="center" wrapText="0"/>
    </xf>
    <xf borderId="16" fillId="4" fontId="7" numFmtId="164" xfId="0" applyAlignment="1" applyBorder="1" applyFont="1" applyNumberFormat="1">
      <alignment horizontal="right" shrinkToFit="0" vertical="center" wrapText="0"/>
    </xf>
    <xf borderId="16" fillId="4" fontId="7" numFmtId="49" xfId="0" applyAlignment="1" applyBorder="1" applyFont="1" applyNumberFormat="1">
      <alignment shrinkToFit="0" vertical="center" wrapText="0"/>
    </xf>
    <xf borderId="16" fillId="4" fontId="7" numFmtId="0" xfId="0" applyAlignment="1" applyBorder="1" applyFont="1">
      <alignment shrinkToFit="0" vertical="center" wrapText="0"/>
    </xf>
    <xf borderId="16" fillId="4" fontId="7" numFmtId="3" xfId="0" applyAlignment="1" applyBorder="1" applyFont="1" applyNumberFormat="1">
      <alignment horizontal="right" readingOrder="0" shrinkToFit="0" vertical="center" wrapText="0"/>
    </xf>
    <xf borderId="15" fillId="0" fontId="1" numFmtId="0" xfId="0" applyAlignment="1" applyBorder="1" applyFont="1">
      <alignment shrinkToFit="0" vertical="center" wrapText="0"/>
    </xf>
    <xf borderId="18" fillId="7" fontId="8" numFmtId="164" xfId="0" applyAlignment="1" applyBorder="1" applyFont="1" applyNumberFormat="1">
      <alignment readingOrder="0" shrinkToFit="0" vertical="center" wrapText="0"/>
    </xf>
    <xf borderId="18" fillId="7" fontId="8" numFmtId="49" xfId="0" applyAlignment="1" applyBorder="1" applyFont="1" applyNumberFormat="1">
      <alignment readingOrder="0" shrinkToFit="0" vertical="center" wrapText="0"/>
    </xf>
    <xf borderId="18" fillId="7" fontId="8" numFmtId="49" xfId="0" applyAlignment="1" applyBorder="1" applyFont="1" applyNumberFormat="1">
      <alignment horizontal="left" readingOrder="0" shrinkToFit="0" vertical="center" wrapText="0"/>
    </xf>
    <xf borderId="18" fillId="7" fontId="8" numFmtId="0" xfId="0" applyAlignment="1" applyBorder="1" applyFont="1">
      <alignment readingOrder="0" shrinkToFit="0" vertical="center" wrapText="0"/>
    </xf>
    <xf borderId="18" fillId="7" fontId="8" numFmtId="3" xfId="0" applyAlignment="1" applyBorder="1" applyFont="1" applyNumberFormat="1">
      <alignment readingOrder="0" shrinkToFit="0" vertical="center" wrapText="0"/>
    </xf>
    <xf borderId="19" fillId="7" fontId="8" numFmtId="0" xfId="0" applyAlignment="1" applyBorder="1" applyFont="1">
      <alignment readingOrder="0" shrinkToFit="0" vertical="center" wrapText="0"/>
    </xf>
    <xf borderId="16" fillId="4" fontId="7" numFmtId="3" xfId="0" applyAlignment="1" applyBorder="1" applyFont="1" applyNumberFormat="1">
      <alignment horizontal="right" shrinkToFit="0" vertical="center" wrapText="0"/>
    </xf>
    <xf borderId="17" fillId="0" fontId="1" numFmtId="49" xfId="0" applyAlignment="1" applyBorder="1" applyFont="1" applyNumberFormat="1">
      <alignment shrinkToFit="0" vertical="center" wrapText="0"/>
    </xf>
    <xf borderId="17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2" fillId="0" fontId="1" numFmtId="0" xfId="0" applyAlignment="1" applyBorder="1" applyFont="1">
      <alignment shrinkToFit="0" vertical="center" wrapText="0"/>
    </xf>
    <xf borderId="17" fillId="0" fontId="1" numFmtId="164" xfId="0" applyAlignment="1" applyBorder="1" applyFont="1" applyNumberFormat="1">
      <alignment shrinkToFit="0" vertical="center" wrapText="0"/>
    </xf>
    <xf borderId="17" fillId="0" fontId="1" numFmtId="3" xfId="0" applyAlignment="1" applyBorder="1" applyFont="1" applyNumberFormat="1">
      <alignment shrinkToFit="0" vertical="center" wrapText="0"/>
    </xf>
    <xf borderId="14" fillId="0" fontId="9" numFmtId="0" xfId="0" applyAlignment="1" applyBorder="1" applyFont="1">
      <alignment readingOrder="0" shrinkToFit="0" vertical="center" wrapText="0"/>
    </xf>
    <xf borderId="8" fillId="7" fontId="1" numFmtId="49" xfId="0" applyAlignment="1" applyBorder="1" applyFont="1" applyNumberFormat="1">
      <alignment readingOrder="0" shrinkToFit="0" vertical="center" wrapText="0"/>
    </xf>
    <xf borderId="8" fillId="0" fontId="10" numFmtId="3" xfId="0" applyAlignment="1" applyBorder="1" applyFont="1" applyNumberFormat="1">
      <alignment readingOrder="0" shrinkToFit="0" vertical="center" wrapText="0"/>
    </xf>
    <xf borderId="17" fillId="0" fontId="11" numFmtId="164" xfId="0" applyAlignment="1" applyBorder="1" applyFont="1" applyNumberFormat="1">
      <alignment shrinkToFit="0" vertical="center" wrapText="0"/>
    </xf>
    <xf borderId="17" fillId="0" fontId="11" numFmtId="49" xfId="0" applyAlignment="1" applyBorder="1" applyFont="1" applyNumberFormat="1">
      <alignment shrinkToFit="0" vertical="center" wrapText="0"/>
    </xf>
    <xf borderId="17" fillId="0" fontId="11" numFmtId="0" xfId="0" applyAlignment="1" applyBorder="1" applyFont="1">
      <alignment shrinkToFit="0" vertical="center" wrapText="0"/>
    </xf>
    <xf borderId="17" fillId="0" fontId="11" numFmtId="3" xfId="0" applyAlignment="1" applyBorder="1" applyFont="1" applyNumberFormat="1">
      <alignment shrinkToFit="0" vertical="center" wrapText="0"/>
    </xf>
    <xf borderId="17" fillId="0" fontId="1" numFmtId="49" xfId="0" applyAlignment="1" applyBorder="1" applyFont="1" applyNumberFormat="1">
      <alignment readingOrder="0" shrinkToFit="0" vertical="center" wrapText="0"/>
    </xf>
    <xf borderId="38" fillId="6" fontId="2" numFmtId="0" xfId="0" applyAlignment="1" applyBorder="1" applyFont="1">
      <alignment horizontal="center" shrinkToFit="0" vertical="bottom" wrapText="0"/>
    </xf>
    <xf borderId="39" fillId="6" fontId="2" numFmtId="49" xfId="0" applyAlignment="1" applyBorder="1" applyFont="1" applyNumberFormat="1">
      <alignment horizontal="center" readingOrder="0" shrinkToFit="0" vertical="bottom" wrapText="0"/>
    </xf>
    <xf borderId="40" fillId="6" fontId="2" numFmtId="49" xfId="0" applyAlignment="1" applyBorder="1" applyFont="1" applyNumberFormat="1">
      <alignment horizontal="center" shrinkToFit="0" vertical="bottom" wrapText="0"/>
    </xf>
    <xf borderId="41" fillId="0" fontId="1" numFmtId="0" xfId="0" applyAlignment="1" applyBorder="1" applyFont="1">
      <alignment shrinkToFit="0" vertical="center" wrapText="0"/>
    </xf>
    <xf borderId="42" fillId="0" fontId="1" numFmtId="0" xfId="0" applyAlignment="1" applyBorder="1" applyFont="1">
      <alignment readingOrder="0" shrinkToFit="0" vertical="center" wrapText="0"/>
    </xf>
    <xf borderId="42" fillId="0" fontId="1" numFmtId="0" xfId="0" applyAlignment="1" applyBorder="1" applyFont="1">
      <alignment shrinkToFit="0" vertical="center" wrapText="0"/>
    </xf>
    <xf borderId="43" fillId="0" fontId="1" numFmtId="0" xfId="0" applyAlignment="1" applyBorder="1" applyFont="1">
      <alignment readingOrder="0" shrinkToFit="0" vertical="center" wrapText="0"/>
    </xf>
    <xf borderId="44" fillId="9" fontId="2" numFmtId="0" xfId="0" applyAlignment="1" applyBorder="1" applyFill="1" applyFont="1">
      <alignment horizontal="center" shrinkToFit="0" vertical="bottom" wrapText="0"/>
    </xf>
    <xf borderId="45" fillId="9" fontId="2" numFmtId="49" xfId="0" applyAlignment="1" applyBorder="1" applyFont="1" applyNumberFormat="1">
      <alignment horizontal="center" readingOrder="0" shrinkToFit="0" vertical="bottom" wrapText="0"/>
    </xf>
    <xf borderId="45" fillId="9" fontId="2" numFmtId="49" xfId="0" applyAlignment="1" applyBorder="1" applyFont="1" applyNumberFormat="1">
      <alignment horizontal="center" shrinkToFit="0" vertical="bottom" wrapText="0"/>
    </xf>
    <xf borderId="46" fillId="9" fontId="2" numFmtId="49" xfId="0" applyAlignment="1" applyBorder="1" applyFont="1" applyNumberFormat="1">
      <alignment horizontal="center" shrinkToFit="0" vertical="bottom" wrapText="0"/>
    </xf>
    <xf borderId="8" fillId="0" fontId="1" numFmtId="164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8" fillId="0" fontId="1" numFmtId="49" xfId="0" applyAlignment="1" applyBorder="1" applyFont="1" applyNumberFormat="1">
      <alignment horizontal="left" readingOrder="0" shrinkToFit="0" vertical="center" wrapText="0"/>
    </xf>
    <xf borderId="8" fillId="0" fontId="1" numFmtId="0" xfId="0" applyAlignment="1" applyBorder="1" applyFont="1">
      <alignment readingOrder="0" shrinkToFit="0" vertical="center" wrapText="0"/>
    </xf>
    <xf borderId="8" fillId="0" fontId="1" numFmtId="3" xfId="0" applyAlignment="1" applyBorder="1" applyFont="1" applyNumberFormat="1">
      <alignment readingOrder="0" shrinkToFit="0" vertical="center" wrapText="0"/>
    </xf>
    <xf borderId="9" fillId="0" fontId="1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horizontal="left" readingOrder="0" shrinkToFit="0" vertical="center" wrapText="0"/>
    </xf>
    <xf borderId="15" fillId="0" fontId="1" numFmtId="0" xfId="0" applyAlignment="1" applyBorder="1" applyFont="1">
      <alignment horizontal="left" readingOrder="0" shrinkToFit="0" vertical="center" wrapText="0"/>
    </xf>
    <xf borderId="8" fillId="0" fontId="1" numFmtId="49" xfId="0" applyAlignment="1" applyBorder="1" applyFont="1" applyNumberFormat="1">
      <alignment readingOrder="0" shrinkToFit="0" vertical="center" wrapText="0"/>
    </xf>
    <xf borderId="18" fillId="0" fontId="1" numFmtId="49" xfId="0" applyAlignment="1" applyBorder="1" applyFont="1" applyNumberFormat="1">
      <alignment readingOrder="0" shrinkToFit="0" vertical="center" wrapText="0"/>
    </xf>
    <xf borderId="44" fillId="9" fontId="2" numFmtId="0" xfId="0" applyAlignment="1" applyBorder="1" applyFont="1">
      <alignment horizontal="center" readingOrder="0" shrinkToFit="0" vertical="bottom" wrapText="0"/>
    </xf>
    <xf borderId="8" fillId="0" fontId="6" numFmtId="164" xfId="0" applyAlignment="1" applyBorder="1" applyFont="1" applyNumberFormat="1">
      <alignment readingOrder="0" shrinkToFit="0" vertical="center" wrapText="0"/>
    </xf>
    <xf borderId="8" fillId="0" fontId="6" numFmtId="49" xfId="0" applyAlignment="1" applyBorder="1" applyFont="1" applyNumberFormat="1">
      <alignment readingOrder="0" shrinkToFit="0" vertical="center" wrapText="0"/>
    </xf>
    <xf borderId="8" fillId="0" fontId="6" numFmtId="49" xfId="0" applyAlignment="1" applyBorder="1" applyFont="1" applyNumberFormat="1">
      <alignment horizontal="left" readingOrder="0" shrinkToFit="0" vertical="center" wrapText="0"/>
    </xf>
    <xf borderId="8" fillId="0" fontId="6" numFmtId="0" xfId="0" applyAlignment="1" applyBorder="1" applyFont="1">
      <alignment readingOrder="0" shrinkToFit="0" vertical="center" wrapText="0"/>
    </xf>
    <xf borderId="8" fillId="0" fontId="6" numFmtId="3" xfId="0" applyAlignment="1" applyBorder="1" applyFont="1" applyNumberFormat="1">
      <alignment readingOrder="0" shrinkToFit="0" vertical="center" wrapText="0"/>
    </xf>
    <xf borderId="9" fillId="0" fontId="6" numFmtId="0" xfId="0" applyAlignment="1" applyBorder="1" applyFont="1">
      <alignment readingOrder="0" shrinkToFit="0" vertical="center" wrapText="0"/>
    </xf>
    <xf borderId="47" fillId="0" fontId="1" numFmtId="0" xfId="0" applyAlignment="1" applyBorder="1" applyFont="1">
      <alignment readingOrder="0" shrinkToFit="0" vertical="center" wrapText="0"/>
    </xf>
    <xf borderId="48" fillId="9" fontId="2" numFmtId="0" xfId="0" applyAlignment="1" applyBorder="1" applyFont="1">
      <alignment horizontal="center" shrinkToFit="0" vertical="bottom" wrapText="0"/>
    </xf>
    <xf borderId="49" fillId="9" fontId="2" numFmtId="49" xfId="0" applyAlignment="1" applyBorder="1" applyFont="1" applyNumberFormat="1">
      <alignment horizontal="center" readingOrder="0" shrinkToFit="0" vertical="bottom" wrapText="0"/>
    </xf>
    <xf borderId="49" fillId="9" fontId="2" numFmtId="49" xfId="0" applyAlignment="1" applyBorder="1" applyFont="1" applyNumberFormat="1">
      <alignment horizontal="center" shrinkToFit="0" vertical="bottom" wrapText="0"/>
    </xf>
    <xf borderId="50" fillId="9" fontId="2" numFmtId="49" xfId="0" applyAlignment="1" applyBorder="1" applyFont="1" applyNumberFormat="1">
      <alignment horizontal="center" shrinkToFit="0" vertical="bottom" wrapText="0"/>
    </xf>
    <xf borderId="51" fillId="0" fontId="1" numFmtId="164" xfId="0" applyAlignment="1" applyBorder="1" applyFont="1" applyNumberFormat="1">
      <alignment readingOrder="0" shrinkToFit="0" vertical="center" wrapText="0"/>
    </xf>
    <xf borderId="51" fillId="0" fontId="1" numFmtId="49" xfId="0" applyAlignment="1" applyBorder="1" applyFont="1" applyNumberFormat="1">
      <alignment readingOrder="0" shrinkToFit="0" vertical="center" wrapText="0"/>
    </xf>
    <xf borderId="51" fillId="0" fontId="1" numFmtId="49" xfId="0" applyAlignment="1" applyBorder="1" applyFont="1" applyNumberFormat="1">
      <alignment horizontal="left" readingOrder="0" shrinkToFit="0" vertical="center" wrapText="0"/>
    </xf>
    <xf borderId="51" fillId="0" fontId="1" numFmtId="0" xfId="0" applyAlignment="1" applyBorder="1" applyFont="1">
      <alignment readingOrder="0" shrinkToFit="0" vertical="center" wrapText="0"/>
    </xf>
    <xf borderId="51" fillId="0" fontId="1" numFmtId="3" xfId="0" applyAlignment="1" applyBorder="1" applyFont="1" applyNumberFormat="1">
      <alignment readingOrder="0" shrinkToFit="0" vertical="center" wrapText="0"/>
    </xf>
    <xf borderId="52" fillId="10" fontId="2" numFmtId="0" xfId="0" applyAlignment="1" applyBorder="1" applyFill="1" applyFont="1">
      <alignment horizontal="center" readingOrder="0" shrinkToFit="0" vertical="bottom" wrapText="0"/>
    </xf>
    <xf borderId="53" fillId="10" fontId="2" numFmtId="49" xfId="0" applyAlignment="1" applyBorder="1" applyFont="1" applyNumberFormat="1">
      <alignment horizontal="center" readingOrder="0" shrinkToFit="0" vertical="bottom" wrapText="0"/>
    </xf>
    <xf borderId="54" fillId="10" fontId="2" numFmtId="49" xfId="0" applyAlignment="1" applyBorder="1" applyFont="1" applyNumberFormat="1">
      <alignment horizontal="center" shrinkToFit="0" vertical="bottom" wrapText="0"/>
    </xf>
    <xf borderId="16" fillId="0" fontId="1" numFmtId="49" xfId="0" applyAlignment="1" applyBorder="1" applyFont="1" applyNumberFormat="1">
      <alignment readingOrder="0" shrinkToFit="0" vertical="center" wrapText="0"/>
    </xf>
    <xf borderId="16" fillId="0" fontId="6" numFmtId="164" xfId="0" applyAlignment="1" applyBorder="1" applyFont="1" applyNumberFormat="1">
      <alignment readingOrder="0" shrinkToFit="0" vertical="center" wrapText="0"/>
    </xf>
    <xf borderId="16" fillId="0" fontId="6" numFmtId="49" xfId="0" applyAlignment="1" applyBorder="1" applyFont="1" applyNumberFormat="1">
      <alignment readingOrder="0" shrinkToFit="0" vertical="center" wrapText="0"/>
    </xf>
    <xf borderId="16" fillId="0" fontId="6" numFmtId="49" xfId="0" applyAlignment="1" applyBorder="1" applyFont="1" applyNumberFormat="1">
      <alignment horizontal="left" readingOrder="0" shrinkToFit="0" vertical="center" wrapText="0"/>
    </xf>
    <xf borderId="16" fillId="0" fontId="6" numFmtId="0" xfId="0" applyAlignment="1" applyBorder="1" applyFont="1">
      <alignment readingOrder="0" shrinkToFit="0" vertical="center" wrapText="0"/>
    </xf>
    <xf borderId="16" fillId="0" fontId="6" numFmtId="3" xfId="0" applyAlignment="1" applyBorder="1" applyFont="1" applyNumberFormat="1">
      <alignment readingOrder="0" shrinkToFit="0" vertical="center" wrapText="0"/>
    </xf>
    <xf borderId="17" fillId="11" fontId="1" numFmtId="164" xfId="0" applyAlignment="1" applyBorder="1" applyFill="1" applyFont="1" applyNumberFormat="1">
      <alignment readingOrder="0" shrinkToFit="0" vertical="center" wrapText="0"/>
    </xf>
    <xf borderId="17" fillId="11" fontId="1" numFmtId="49" xfId="0" applyAlignment="1" applyBorder="1" applyFont="1" applyNumberFormat="1">
      <alignment readingOrder="0" shrinkToFit="0" vertical="center" wrapText="0"/>
    </xf>
    <xf borderId="18" fillId="11" fontId="1" numFmtId="49" xfId="0" applyAlignment="1" applyBorder="1" applyFont="1" applyNumberFormat="1">
      <alignment horizontal="left" readingOrder="0" shrinkToFit="0" vertical="center" wrapText="0"/>
    </xf>
    <xf borderId="17" fillId="11" fontId="1" numFmtId="0" xfId="0" applyAlignment="1" applyBorder="1" applyFont="1">
      <alignment readingOrder="0" shrinkToFit="0" vertical="center" wrapText="0"/>
    </xf>
    <xf borderId="17" fillId="11" fontId="1" numFmtId="3" xfId="0" applyAlignment="1" applyBorder="1" applyFont="1" applyNumberFormat="1">
      <alignment readingOrder="0" shrinkToFit="0" vertical="center" wrapText="0"/>
    </xf>
    <xf borderId="55" fillId="10" fontId="2" numFmtId="49" xfId="0" applyAlignment="1" applyBorder="1" applyFont="1" applyNumberFormat="1">
      <alignment horizontal="center" shrinkToFit="0" vertical="bottom" wrapText="0"/>
    </xf>
    <xf borderId="56" fillId="0" fontId="1" numFmtId="164" xfId="0" applyAlignment="1" applyBorder="1" applyFont="1" applyNumberFormat="1">
      <alignment readingOrder="0" shrinkToFit="0" vertical="center" wrapText="0"/>
    </xf>
    <xf borderId="47" fillId="0" fontId="1" numFmtId="0" xfId="0" applyAlignment="1" applyBorder="1" applyFont="1">
      <alignment readingOrder="0" shrinkToFit="0" vertical="center" wrapText="0"/>
    </xf>
    <xf borderId="17" fillId="0" fontId="11" numFmtId="164" xfId="0" applyAlignment="1" applyBorder="1" applyFont="1" applyNumberFormat="1">
      <alignment readingOrder="0" shrinkToFit="0" vertical="center" wrapText="0"/>
    </xf>
    <xf borderId="17" fillId="0" fontId="11" numFmtId="49" xfId="0" applyAlignment="1" applyBorder="1" applyFont="1" applyNumberFormat="1">
      <alignment readingOrder="0" shrinkToFit="0" vertical="center" wrapText="0"/>
    </xf>
    <xf borderId="17" fillId="0" fontId="11" numFmtId="0" xfId="0" applyAlignment="1" applyBorder="1" applyFont="1">
      <alignment readingOrder="0" shrinkToFit="0" vertical="center" wrapText="0"/>
    </xf>
    <xf borderId="17" fillId="0" fontId="11" numFmtId="3" xfId="0" applyAlignment="1" applyBorder="1" applyFont="1" applyNumberFormat="1">
      <alignment readingOrder="0" shrinkToFit="0" vertical="center" wrapText="0"/>
    </xf>
    <xf borderId="57" fillId="10" fontId="2" numFmtId="0" xfId="0" applyAlignment="1" applyBorder="1" applyFont="1">
      <alignment horizontal="center" readingOrder="0" shrinkToFit="0" vertical="bottom" wrapText="0"/>
    </xf>
    <xf borderId="58" fillId="10" fontId="2" numFmtId="49" xfId="0" applyAlignment="1" applyBorder="1" applyFont="1" applyNumberFormat="1">
      <alignment horizontal="center" readingOrder="0" shrinkToFit="0" vertical="bottom" wrapText="0"/>
    </xf>
    <xf borderId="59" fillId="10" fontId="2" numFmtId="49" xfId="0" applyAlignment="1" applyBorder="1" applyFont="1" applyNumberFormat="1">
      <alignment horizontal="center" shrinkToFit="0" vertical="bottom" wrapText="0"/>
    </xf>
    <xf borderId="23" fillId="0" fontId="11" numFmtId="164" xfId="0" applyAlignment="1" applyBorder="1" applyFont="1" applyNumberFormat="1">
      <alignment shrinkToFit="0" vertical="center" wrapText="0"/>
    </xf>
    <xf borderId="23" fillId="0" fontId="11" numFmtId="49" xfId="0" applyAlignment="1" applyBorder="1" applyFont="1" applyNumberFormat="1">
      <alignment shrinkToFit="0" vertical="center" wrapText="0"/>
    </xf>
    <xf borderId="23" fillId="0" fontId="11" numFmtId="0" xfId="0" applyAlignment="1" applyBorder="1" applyFont="1">
      <alignment shrinkToFit="0" vertical="center" wrapText="0"/>
    </xf>
    <xf borderId="23" fillId="0" fontId="11" numFmtId="3" xfId="0" applyAlignment="1" applyBorder="1" applyFont="1" applyNumberFormat="1">
      <alignment shrinkToFit="0" vertical="center" wrapText="0"/>
    </xf>
    <xf borderId="60" fillId="12" fontId="12" numFmtId="0" xfId="0" applyAlignment="1" applyBorder="1" applyFill="1" applyFont="1">
      <alignment horizontal="center" readingOrder="0" shrinkToFit="0" vertical="bottom" wrapText="0"/>
    </xf>
    <xf borderId="61" fillId="12" fontId="12" numFmtId="49" xfId="0" applyAlignment="1" applyBorder="1" applyFont="1" applyNumberFormat="1">
      <alignment horizontal="center" readingOrder="0" shrinkToFit="0" vertical="bottom" wrapText="0"/>
    </xf>
    <xf borderId="62" fillId="12" fontId="12" numFmtId="49" xfId="0" applyAlignment="1" applyBorder="1" applyFont="1" applyNumberFormat="1">
      <alignment horizontal="center" shrinkToFit="0" vertical="bottom" wrapText="0"/>
    </xf>
    <xf borderId="63" fillId="12" fontId="12" numFmtId="0" xfId="0" applyAlignment="1" applyBorder="1" applyFont="1">
      <alignment horizontal="center" readingOrder="0" shrinkToFit="0" vertical="bottom" wrapText="0"/>
    </xf>
    <xf borderId="64" fillId="12" fontId="12" numFmtId="49" xfId="0" applyAlignment="1" applyBorder="1" applyFont="1" applyNumberFormat="1">
      <alignment horizontal="center" readingOrder="0" shrinkToFit="0" vertical="bottom" wrapText="0"/>
    </xf>
    <xf borderId="65" fillId="12" fontId="12" numFmtId="49" xfId="0" applyAlignment="1" applyBorder="1" applyFont="1" applyNumberFormat="1">
      <alignment horizontal="center" shrinkToFit="0" vertical="bottom" wrapText="0"/>
    </xf>
    <xf borderId="66" fillId="13" fontId="13" numFmtId="0" xfId="0" applyAlignment="1" applyBorder="1" applyFill="1" applyFont="1">
      <alignment horizontal="center" readingOrder="0" shrinkToFit="0" vertical="bottom" wrapText="0"/>
    </xf>
    <xf borderId="67" fillId="13" fontId="13" numFmtId="49" xfId="0" applyAlignment="1" applyBorder="1" applyFont="1" applyNumberFormat="1">
      <alignment horizontal="center" readingOrder="0" shrinkToFit="0" vertical="bottom" wrapText="0"/>
    </xf>
    <xf borderId="68" fillId="13" fontId="13" numFmtId="49" xfId="0" applyAlignment="1" applyBorder="1" applyFont="1" applyNumberFormat="1">
      <alignment horizontal="center" readingOrder="0" shrinkToFit="0" vertical="bottom" wrapText="0"/>
    </xf>
    <xf borderId="11" fillId="8" fontId="5" numFmtId="0" xfId="0" applyAlignment="1" applyBorder="1" applyFont="1">
      <alignment readingOrder="0" shrinkToFit="0" vertical="center" wrapText="0"/>
    </xf>
    <xf borderId="11" fillId="8" fontId="5" numFmtId="0" xfId="0" applyAlignment="1" applyBorder="1" applyFont="1">
      <alignment readingOrder="0" shrinkToFit="0" vertical="center" wrapText="0"/>
    </xf>
    <xf borderId="12" fillId="8" fontId="14" numFmtId="0" xfId="0" applyAlignment="1" applyBorder="1" applyFont="1">
      <alignment horizontal="left" readingOrder="0" shrinkToFit="0" vertical="center" wrapText="0"/>
    </xf>
    <xf borderId="14" fillId="8" fontId="5" numFmtId="0" xfId="0" applyAlignment="1" applyBorder="1" applyFont="1">
      <alignment readingOrder="0" shrinkToFit="0" vertical="center" wrapText="0"/>
    </xf>
    <xf borderId="15" fillId="8" fontId="14" numFmtId="0" xfId="0" applyAlignment="1" applyBorder="1" applyFont="1">
      <alignment horizontal="left" readingOrder="0" shrinkToFit="0" vertical="center" wrapText="0"/>
    </xf>
    <xf borderId="69" fillId="13" fontId="13" numFmtId="0" xfId="0" applyAlignment="1" applyBorder="1" applyFont="1">
      <alignment horizontal="center" readingOrder="0" shrinkToFit="0" vertical="bottom" wrapText="0"/>
    </xf>
    <xf borderId="70" fillId="13" fontId="13" numFmtId="49" xfId="0" applyAlignment="1" applyBorder="1" applyFont="1" applyNumberFormat="1">
      <alignment horizontal="center" readingOrder="0" shrinkToFit="0" vertical="bottom" wrapText="0"/>
    </xf>
    <xf borderId="71" fillId="13" fontId="13" numFmtId="49" xfId="0" applyAlignment="1" applyBorder="1" applyFont="1" applyNumberFormat="1">
      <alignment horizontal="center" readingOrder="0" shrinkToFit="0" vertical="bottom" wrapText="0"/>
    </xf>
    <xf borderId="23" fillId="0" fontId="1" numFmtId="164" xfId="0" applyAlignment="1" applyBorder="1" applyFont="1" applyNumberFormat="1">
      <alignment readingOrder="0" shrinkToFit="0" vertical="center" wrapText="0"/>
    </xf>
    <xf borderId="23" fillId="0" fontId="1" numFmtId="49" xfId="0" applyAlignment="1" applyBorder="1" applyFont="1" applyNumberFormat="1">
      <alignment readingOrder="0" shrinkToFit="0" vertical="center" wrapText="0"/>
    </xf>
    <xf borderId="23" fillId="0" fontId="1" numFmtId="49" xfId="0" applyAlignment="1" applyBorder="1" applyFont="1" applyNumberFormat="1">
      <alignment horizontal="left" readingOrder="0" shrinkToFit="0" vertical="center" wrapText="0"/>
    </xf>
    <xf borderId="23" fillId="0" fontId="1" numFmtId="0" xfId="0" applyAlignment="1" applyBorder="1" applyFont="1">
      <alignment shrinkToFit="0" vertical="center" wrapText="0"/>
    </xf>
    <xf borderId="23" fillId="0" fontId="1" numFmtId="3" xfId="0" applyAlignment="1" applyBorder="1" applyFont="1" applyNumberFormat="1">
      <alignment shrinkToFit="0" vertical="center" wrapText="0"/>
    </xf>
    <xf borderId="23" fillId="0" fontId="1" numFmtId="0" xfId="0" applyAlignment="1" applyBorder="1" applyFont="1">
      <alignment readingOrder="0" shrinkToFit="0" vertical="center" wrapText="0"/>
    </xf>
    <xf borderId="26" fillId="0" fontId="15" numFmtId="0" xfId="0" applyAlignment="1" applyBorder="1" applyFont="1">
      <alignment readingOrder="0" shrinkToFit="0" vertical="center" wrapText="0"/>
    </xf>
    <xf borderId="72" fillId="14" fontId="2" numFmtId="0" xfId="0" applyAlignment="1" applyBorder="1" applyFill="1" applyFont="1">
      <alignment horizontal="center" readingOrder="0" shrinkToFit="0" vertical="bottom" wrapText="0"/>
    </xf>
    <xf borderId="73" fillId="14" fontId="2" numFmtId="49" xfId="0" applyAlignment="1" applyBorder="1" applyFont="1" applyNumberFormat="1">
      <alignment horizontal="center" readingOrder="0" shrinkToFit="0" vertical="bottom" wrapText="0"/>
    </xf>
    <xf borderId="74" fillId="14" fontId="2" numFmtId="49" xfId="0" applyAlignment="1" applyBorder="1" applyFont="1" applyNumberFormat="1">
      <alignment horizontal="center" shrinkToFit="0" vertical="bottom" wrapText="0"/>
    </xf>
    <xf borderId="16" fillId="4" fontId="4" numFmtId="49" xfId="0" applyAlignment="1" applyBorder="1" applyFont="1" applyNumberFormat="1">
      <alignment horizontal="left" readingOrder="0" shrinkToFit="0" vertical="center" wrapText="0"/>
    </xf>
    <xf borderId="17" fillId="0" fontId="1" numFmtId="0" xfId="0" applyAlignment="1" applyBorder="1" applyFont="1">
      <alignment horizontal="left" readingOrder="0" shrinkToFit="0" vertical="center" wrapText="0"/>
    </xf>
    <xf borderId="16" fillId="0" fontId="1" numFmtId="0" xfId="0" applyAlignment="1" applyBorder="1" applyFont="1">
      <alignment horizontal="left" readingOrder="0" shrinkToFit="0" vertical="center" wrapText="0"/>
    </xf>
    <xf borderId="16" fillId="0" fontId="16" numFmtId="0" xfId="0" applyAlignment="1" applyBorder="1" applyFont="1">
      <alignment readingOrder="0" shrinkToFit="0" vertical="center" wrapText="0"/>
    </xf>
    <xf borderId="12" fillId="0" fontId="1" numFmtId="0" xfId="0" applyAlignment="1" applyBorder="1" applyFont="1">
      <alignment readingOrder="0" shrinkToFit="0" vertical="center" wrapText="0"/>
    </xf>
    <xf borderId="15" fillId="0" fontId="1" numFmtId="0" xfId="0" applyAlignment="1" applyBorder="1" applyFont="1">
      <alignment readingOrder="0" shrinkToFit="0" vertical="center" wrapText="0"/>
    </xf>
    <xf borderId="75" fillId="14" fontId="2" numFmtId="0" xfId="0" applyAlignment="1" applyBorder="1" applyFont="1">
      <alignment horizontal="center" readingOrder="0" shrinkToFit="0" vertical="bottom" wrapText="0"/>
    </xf>
    <xf borderId="76" fillId="14" fontId="2" numFmtId="49" xfId="0" applyAlignment="1" applyBorder="1" applyFont="1" applyNumberFormat="1">
      <alignment horizontal="center" readingOrder="0" shrinkToFit="0" vertical="bottom" wrapText="0"/>
    </xf>
    <xf borderId="77" fillId="14" fontId="2" numFmtId="49" xfId="0" applyAlignment="1" applyBorder="1" applyFont="1" applyNumberFormat="1">
      <alignment horizontal="center" shrinkToFit="0" vertical="bottom" wrapText="0"/>
    </xf>
    <xf borderId="51" fillId="0" fontId="1" numFmtId="164" xfId="0" applyAlignment="1" applyBorder="1" applyFont="1" applyNumberFormat="1">
      <alignment readingOrder="0" shrinkToFit="0" vertical="center" wrapText="0"/>
    </xf>
    <xf borderId="51" fillId="0" fontId="1" numFmtId="49" xfId="0" applyAlignment="1" applyBorder="1" applyFont="1" applyNumberFormat="1">
      <alignment readingOrder="0" shrinkToFit="0" vertical="center" wrapText="0"/>
    </xf>
    <xf borderId="51" fillId="0" fontId="1" numFmtId="49" xfId="0" applyAlignment="1" applyBorder="1" applyFont="1" applyNumberFormat="1">
      <alignment horizontal="left" readingOrder="0" shrinkToFit="0" vertical="center" wrapText="0"/>
    </xf>
    <xf borderId="51" fillId="0" fontId="1" numFmtId="0" xfId="0" applyAlignment="1" applyBorder="1" applyFont="1">
      <alignment readingOrder="0" shrinkToFit="0" vertical="center" wrapText="0"/>
    </xf>
    <xf borderId="51" fillId="0" fontId="1" numFmtId="3" xfId="0" applyAlignment="1" applyBorder="1" applyFont="1" applyNumberFormat="1">
      <alignment readingOrder="0" shrinkToFit="0" vertical="center" wrapText="0"/>
    </xf>
    <xf borderId="44" fillId="9" fontId="13" numFmtId="0" xfId="0" applyAlignment="1" applyBorder="1" applyFont="1">
      <alignment horizontal="center" readingOrder="0" shrinkToFit="0" vertical="bottom" wrapText="0"/>
    </xf>
    <xf borderId="45" fillId="9" fontId="13" numFmtId="49" xfId="0" applyAlignment="1" applyBorder="1" applyFont="1" applyNumberFormat="1">
      <alignment horizontal="center" readingOrder="0" shrinkToFit="0" vertical="bottom" wrapText="0"/>
    </xf>
    <xf borderId="46" fillId="9" fontId="13" numFmtId="49" xfId="0" applyAlignment="1" applyBorder="1" applyFont="1" applyNumberFormat="1">
      <alignment horizontal="center" shrinkToFit="0" vertical="bottom" wrapText="0"/>
    </xf>
    <xf borderId="78" fillId="8" fontId="17" numFmtId="0" xfId="0" applyAlignment="1" applyBorder="1" applyFont="1">
      <alignment readingOrder="0" shrinkToFit="0" vertical="center" wrapText="0"/>
    </xf>
    <xf borderId="14" fillId="8" fontId="17" numFmtId="0" xfId="0" applyAlignment="1" applyBorder="1" applyFont="1">
      <alignment readingOrder="0" shrinkToFit="0" vertical="center" wrapText="0"/>
    </xf>
    <xf borderId="16" fillId="15" fontId="4" numFmtId="0" xfId="0" applyAlignment="1" applyBorder="1" applyFill="1" applyFont="1">
      <alignment readingOrder="0" shrinkToFit="0" vertical="center" wrapText="0"/>
    </xf>
    <xf borderId="11" fillId="8" fontId="17" numFmtId="0" xfId="0" applyAlignment="1" applyBorder="1" applyFont="1">
      <alignment readingOrder="0" shrinkToFit="0" vertical="center" wrapText="0"/>
    </xf>
    <xf borderId="17" fillId="0" fontId="1" numFmtId="49" xfId="0" applyAlignment="1" applyBorder="1" applyFont="1" applyNumberFormat="1">
      <alignment horizontal="left" shrinkToFit="0" vertical="center" wrapText="0"/>
    </xf>
    <xf borderId="12" fillId="8" fontId="14" numFmtId="0" xfId="0" applyAlignment="1" applyBorder="1" applyFont="1">
      <alignment horizontal="left" readingOrder="0" shrinkToFit="0" vertical="center" wrapText="0"/>
    </xf>
    <xf borderId="15" fillId="8" fontId="14" numFmtId="0" xfId="0" applyAlignment="1" applyBorder="1" applyFont="1">
      <alignment horizontal="left" readingOrder="0" shrinkToFit="0" vertical="center" wrapText="0"/>
    </xf>
    <xf borderId="48" fillId="9" fontId="13" numFmtId="0" xfId="0" applyAlignment="1" applyBorder="1" applyFont="1">
      <alignment horizontal="center" readingOrder="0" shrinkToFit="0" vertical="bottom" wrapText="0"/>
    </xf>
    <xf borderId="49" fillId="9" fontId="13" numFmtId="49" xfId="0" applyAlignment="1" applyBorder="1" applyFont="1" applyNumberFormat="1">
      <alignment horizontal="center" readingOrder="0" shrinkToFit="0" vertical="bottom" wrapText="0"/>
    </xf>
    <xf borderId="50" fillId="9" fontId="13" numFmtId="49" xfId="0" applyAlignment="1" applyBorder="1" applyFont="1" applyNumberFormat="1">
      <alignment horizontal="center" shrinkToFit="0" vertical="bottom" wrapText="0"/>
    </xf>
    <xf borderId="23" fillId="0" fontId="1" numFmtId="49" xfId="0" applyAlignment="1" applyBorder="1" applyFont="1" applyNumberFormat="1">
      <alignment horizontal="left" shrinkToFit="0" vertical="center" wrapText="0"/>
    </xf>
    <xf borderId="23" fillId="0" fontId="1" numFmtId="3" xfId="0" applyAlignment="1" applyBorder="1" applyFont="1" applyNumberFormat="1">
      <alignment readingOrder="0" shrinkToFit="0" vertical="center" wrapText="0"/>
    </xf>
    <xf borderId="79" fillId="8" fontId="17" numFmtId="0" xfId="0" applyAlignment="1" applyBorder="1" applyFont="1">
      <alignment readingOrder="0" shrinkToFit="0" vertical="center" wrapText="0"/>
    </xf>
    <xf borderId="80" fillId="16" fontId="2" numFmtId="0" xfId="0" applyAlignment="1" applyBorder="1" applyFill="1" applyFont="1">
      <alignment horizontal="center" readingOrder="0" shrinkToFit="0" vertical="bottom" wrapText="0"/>
    </xf>
    <xf borderId="81" fillId="16" fontId="2" numFmtId="49" xfId="0" applyAlignment="1" applyBorder="1" applyFont="1" applyNumberFormat="1">
      <alignment horizontal="center" readingOrder="0" shrinkToFit="0" vertical="bottom" wrapText="0"/>
    </xf>
    <xf borderId="82" fillId="16" fontId="2" numFmtId="49" xfId="0" applyAlignment="1" applyBorder="1" applyFont="1" applyNumberFormat="1">
      <alignment horizontal="center" shrinkToFit="0" vertical="bottom" wrapText="0"/>
    </xf>
    <xf borderId="16" fillId="0" fontId="11" numFmtId="164" xfId="0" applyAlignment="1" applyBorder="1" applyFont="1" applyNumberFormat="1">
      <alignment readingOrder="0" shrinkToFit="0" vertical="center" wrapText="0"/>
    </xf>
    <xf borderId="16" fillId="0" fontId="11" numFmtId="49" xfId="0" applyAlignment="1" applyBorder="1" applyFont="1" applyNumberFormat="1">
      <alignment readingOrder="0" shrinkToFit="0" vertical="center" wrapText="0"/>
    </xf>
    <xf borderId="16" fillId="0" fontId="11" numFmtId="0" xfId="0" applyAlignment="1" applyBorder="1" applyFont="1">
      <alignment readingOrder="0" shrinkToFit="0" vertical="center" wrapText="0"/>
    </xf>
    <xf borderId="16" fillId="0" fontId="11" numFmtId="3" xfId="0" applyAlignment="1" applyBorder="1" applyFont="1" applyNumberFormat="1">
      <alignment readingOrder="0" shrinkToFit="0" vertical="center" wrapText="0"/>
    </xf>
    <xf borderId="83" fillId="16" fontId="2" numFmtId="0" xfId="0" applyAlignment="1" applyBorder="1" applyFont="1">
      <alignment horizontal="center" readingOrder="0" shrinkToFit="0" vertical="bottom" wrapText="0"/>
    </xf>
    <xf borderId="84" fillId="16" fontId="2" numFmtId="49" xfId="0" applyAlignment="1" applyBorder="1" applyFont="1" applyNumberFormat="1">
      <alignment horizontal="center" readingOrder="0" shrinkToFit="0" vertical="bottom" wrapText="0"/>
    </xf>
    <xf borderId="85" fillId="16" fontId="2" numFmtId="49" xfId="0" applyAlignment="1" applyBorder="1" applyFont="1" applyNumberFormat="1">
      <alignment horizontal="center" shrinkToFit="0" vertical="bottom" wrapText="0"/>
    </xf>
    <xf borderId="51" fillId="0" fontId="1" numFmtId="49" xfId="0" applyAlignment="1" applyBorder="1" applyFont="1" applyNumberFormat="1">
      <alignment readingOrder="0" shrinkToFit="0" vertical="center" wrapText="0"/>
    </xf>
    <xf borderId="86" fillId="0" fontId="1" numFmtId="0" xfId="0" applyAlignment="1" applyBorder="1" applyFont="1">
      <alignment readingOrder="0" shrinkToFit="0" vertical="center" wrapText="0"/>
    </xf>
    <xf borderId="27" fillId="0" fontId="1" numFmtId="0" xfId="0" applyAlignment="1" applyBorder="1" applyFont="1">
      <alignment horizontal="left" readingOrder="0" shrinkToFit="0" vertical="center" wrapText="0"/>
    </xf>
    <xf borderId="87" fillId="17" fontId="18" numFmtId="0" xfId="0" applyAlignment="1" applyBorder="1" applyFill="1" applyFont="1">
      <alignment horizontal="center" readingOrder="0" shrinkToFit="0" vertical="bottom" wrapText="0"/>
    </xf>
    <xf borderId="88" fillId="17" fontId="18" numFmtId="49" xfId="0" applyAlignment="1" applyBorder="1" applyFont="1" applyNumberFormat="1">
      <alignment horizontal="center" readingOrder="0" shrinkToFit="0" vertical="bottom" wrapText="0"/>
    </xf>
    <xf borderId="89" fillId="17" fontId="18" numFmtId="49" xfId="0" applyAlignment="1" applyBorder="1" applyFont="1" applyNumberFormat="1">
      <alignment horizontal="center" shrinkToFit="0" vertical="bottom" wrapText="0"/>
    </xf>
    <xf borderId="90" fillId="17" fontId="18" numFmtId="0" xfId="0" applyAlignment="1" applyBorder="1" applyFont="1">
      <alignment horizontal="center" readingOrder="0" shrinkToFit="0" vertical="bottom" wrapText="0"/>
    </xf>
    <xf borderId="91" fillId="17" fontId="18" numFmtId="49" xfId="0" applyAlignment="1" applyBorder="1" applyFont="1" applyNumberFormat="1">
      <alignment horizontal="center" readingOrder="0" shrinkToFit="0" vertical="bottom" wrapText="0"/>
    </xf>
    <xf borderId="92" fillId="17" fontId="18" numFmtId="49" xfId="0" applyAlignment="1" applyBorder="1" applyFont="1" applyNumberFormat="1">
      <alignment horizontal="center" shrinkToFit="0" vertical="bottom" wrapText="0"/>
    </xf>
    <xf borderId="23" fillId="0" fontId="1" numFmtId="49" xfId="0" applyAlignment="1" applyBorder="1" applyFont="1" applyNumberFormat="1">
      <alignment readingOrder="0" shrinkToFit="0" vertical="center" wrapText="0"/>
    </xf>
    <xf borderId="26" fillId="0" fontId="1" numFmtId="0" xfId="0" applyAlignment="1" applyBorder="1" applyFont="1">
      <alignment readingOrder="0" shrinkToFit="0" vertical="center" wrapText="0"/>
    </xf>
    <xf borderId="93" fillId="18" fontId="2" numFmtId="0" xfId="0" applyAlignment="1" applyBorder="1" applyFill="1" applyFont="1">
      <alignment horizontal="center" readingOrder="0" shrinkToFit="0" vertical="bottom" wrapText="0"/>
    </xf>
    <xf borderId="94" fillId="18" fontId="2" numFmtId="49" xfId="0" applyAlignment="1" applyBorder="1" applyFont="1" applyNumberFormat="1">
      <alignment horizontal="center" readingOrder="0" shrinkToFit="0" vertical="bottom" wrapText="0"/>
    </xf>
    <xf borderId="95" fillId="18" fontId="2" numFmtId="49" xfId="0" applyAlignment="1" applyBorder="1" applyFont="1" applyNumberFormat="1">
      <alignment horizontal="center" shrinkToFit="0" vertical="bottom" wrapText="0"/>
    </xf>
    <xf borderId="96" fillId="18" fontId="2" numFmtId="0" xfId="0" applyAlignment="1" applyBorder="1" applyFont="1">
      <alignment horizontal="center" readingOrder="0" shrinkToFit="0" vertical="bottom" wrapText="0"/>
    </xf>
    <xf borderId="97" fillId="18" fontId="2" numFmtId="49" xfId="0" applyAlignment="1" applyBorder="1" applyFont="1" applyNumberFormat="1">
      <alignment horizontal="center" readingOrder="0" shrinkToFit="0" vertical="bottom" wrapText="0"/>
    </xf>
    <xf borderId="98" fillId="18" fontId="2" numFmtId="49" xfId="0" applyAlignment="1" applyBorder="1" applyFont="1" applyNumberFormat="1">
      <alignment horizontal="center" shrinkToFit="0" vertical="bottom" wrapText="0"/>
    </xf>
    <xf borderId="99" fillId="0" fontId="1" numFmtId="164" xfId="0" applyAlignment="1" applyBorder="1" applyFont="1" applyNumberFormat="1">
      <alignment readingOrder="0" shrinkToFit="0" vertical="center" wrapText="0"/>
    </xf>
    <xf borderId="99" fillId="0" fontId="1" numFmtId="49" xfId="0" applyAlignment="1" applyBorder="1" applyFont="1" applyNumberFormat="1">
      <alignment readingOrder="0" shrinkToFit="0" vertical="center" wrapText="0"/>
    </xf>
    <xf borderId="99" fillId="0" fontId="1" numFmtId="49" xfId="0" applyAlignment="1" applyBorder="1" applyFont="1" applyNumberFormat="1">
      <alignment horizontal="left" readingOrder="0" shrinkToFit="0" vertical="center" wrapText="0"/>
    </xf>
    <xf borderId="99" fillId="0" fontId="1" numFmtId="0" xfId="0" applyAlignment="1" applyBorder="1" applyFont="1">
      <alignment readingOrder="0" shrinkToFit="0" vertical="center" wrapText="0"/>
    </xf>
    <xf borderId="99" fillId="0" fontId="1" numFmtId="3" xfId="0" applyAlignment="1" applyBorder="1" applyFont="1" applyNumberFormat="1">
      <alignment readingOrder="0" shrinkToFit="0" vertical="center" wrapText="0"/>
    </xf>
    <xf borderId="100" fillId="0" fontId="1" numFmtId="0" xfId="0" applyAlignment="1" applyBorder="1" applyFont="1">
      <alignment shrinkToFit="0" vertical="center" wrapText="0"/>
    </xf>
    <xf borderId="0" fillId="0" fontId="1" numFmtId="49" xfId="0" applyAlignment="1" applyFont="1" applyNumberFormat="1">
      <alignment horizontal="left"/>
    </xf>
    <xf borderId="0" fillId="0" fontId="1" numFmtId="0" xfId="0" applyAlignment="1" applyFont="1">
      <alignment horizontal="left"/>
    </xf>
    <xf borderId="101" fillId="0" fontId="3" numFmtId="0" xfId="0" applyAlignment="1" applyBorder="1" applyFont="1">
      <alignment horizontal="left" readingOrder="0" shrinkToFit="0" vertical="center" wrapText="0"/>
    </xf>
    <xf borderId="16" fillId="4" fontId="4" numFmtId="164" xfId="0" applyAlignment="1" applyBorder="1" applyFont="1" applyNumberFormat="1">
      <alignment horizontal="right" shrinkToFit="0" vertical="center" wrapText="0"/>
    </xf>
    <xf borderId="16" fillId="4" fontId="4" numFmtId="49" xfId="0" applyAlignment="1" applyBorder="1" applyFont="1" applyNumberFormat="1">
      <alignment shrinkToFit="0" vertical="center" wrapText="0"/>
    </xf>
    <xf borderId="16" fillId="4" fontId="4" numFmtId="0" xfId="0" applyAlignment="1" applyBorder="1" applyFont="1">
      <alignment shrinkToFit="0" vertical="center" wrapText="0"/>
    </xf>
    <xf borderId="15" fillId="0" fontId="1" numFmtId="0" xfId="0" applyAlignment="1" applyBorder="1" applyFont="1">
      <alignment shrinkToFit="0" vertical="center" wrapText="0"/>
    </xf>
    <xf borderId="11" fillId="0" fontId="9" numFmtId="0" xfId="0" applyAlignment="1" applyBorder="1" applyFont="1">
      <alignment readingOrder="0" shrinkToFit="0" vertical="center" wrapText="0"/>
    </xf>
    <xf borderId="18" fillId="0" fontId="1" numFmtId="49" xfId="0" applyAlignment="1" applyBorder="1" applyFont="1" applyNumberFormat="1">
      <alignment horizontal="left" shrinkToFit="0" vertical="center" wrapText="0"/>
    </xf>
    <xf borderId="15" fillId="0" fontId="1" numFmtId="0" xfId="0" applyAlignment="1" applyBorder="1" applyFont="1">
      <alignment horizontal="left" readingOrder="0" shrinkToFit="0" vertical="center" wrapText="0"/>
    </xf>
    <xf borderId="16" fillId="11" fontId="1" numFmtId="164" xfId="0" applyAlignment="1" applyBorder="1" applyFont="1" applyNumberFormat="1">
      <alignment readingOrder="0" shrinkToFit="0" vertical="center" wrapText="0"/>
    </xf>
    <xf borderId="16" fillId="11" fontId="1" numFmtId="49" xfId="0" applyAlignment="1" applyBorder="1" applyFont="1" applyNumberFormat="1">
      <alignment readingOrder="0" shrinkToFit="0" vertical="center" wrapText="0"/>
    </xf>
    <xf borderId="8" fillId="11" fontId="1" numFmtId="49" xfId="0" applyAlignment="1" applyBorder="1" applyFont="1" applyNumberFormat="1">
      <alignment horizontal="left" readingOrder="0" shrinkToFit="0" vertical="center" wrapText="0"/>
    </xf>
    <xf borderId="16" fillId="11" fontId="1" numFmtId="0" xfId="0" applyAlignment="1" applyBorder="1" applyFont="1">
      <alignment readingOrder="0" shrinkToFit="0" vertical="center" wrapText="0"/>
    </xf>
    <xf borderId="16" fillId="11" fontId="1" numFmtId="3" xfId="0" applyAlignment="1" applyBorder="1" applyFont="1" applyNumberFormat="1">
      <alignment readingOrder="0" shrinkToFit="0" vertical="center" wrapText="0"/>
    </xf>
    <xf borderId="42" fillId="0" fontId="15" numFmtId="0" xfId="0" applyAlignment="1" applyBorder="1" applyFont="1">
      <alignment readingOrder="0" shrinkToFit="0" vertical="center" wrapText="0"/>
    </xf>
    <xf borderId="16" fillId="4" fontId="4" numFmtId="49" xfId="0" applyAlignment="1" applyBorder="1" applyFont="1" applyNumberFormat="1">
      <alignment readingOrder="0" shrinkToFit="0" vertical="center" wrapText="0"/>
    </xf>
    <xf borderId="43" fillId="0" fontId="1" numFmtId="0" xfId="0" applyAlignment="1" applyBorder="1" applyFont="1">
      <alignment shrinkToFit="0" vertical="center" wrapText="0"/>
    </xf>
    <xf borderId="17" fillId="15" fontId="4" numFmtId="0" xfId="0" applyAlignment="1" applyBorder="1" applyFont="1">
      <alignment readingOrder="0" shrinkToFit="0" vertical="center" wrapText="0"/>
    </xf>
    <xf borderId="43" fillId="0" fontId="1" numFmtId="0" xfId="0" applyAlignment="1" applyBorder="1" applyFont="1">
      <alignment horizontal="left" readingOrder="0" shrinkToFit="0" vertical="center" wrapText="0"/>
    </xf>
    <xf borderId="42" fillId="0" fontId="1" numFmtId="0" xfId="0" applyAlignment="1" applyBorder="1" applyFont="1">
      <alignment readingOrder="0" shrinkToFit="0" vertical="center" wrapText="0"/>
    </xf>
    <xf borderId="102" fillId="0" fontId="1" numFmtId="0" xfId="0" applyAlignment="1" applyBorder="1" applyFont="1">
      <alignment shrinkToFit="0" vertical="center" wrapText="0"/>
    </xf>
    <xf borderId="3" fillId="0" fontId="1" numFmtId="49" xfId="0" applyAlignment="1" applyBorder="1" applyFont="1" applyNumberFormat="1">
      <alignment horizontal="left" readingOrder="0" shrinkToFit="0" vertical="center" wrapText="0"/>
    </xf>
    <xf borderId="4" fillId="0" fontId="1" numFmtId="4" xfId="0" applyAlignment="1" applyBorder="1" applyFont="1" applyNumberFormat="1">
      <alignment horizontal="left" readingOrder="0"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1" fillId="0" fontId="1" numFmtId="164" xfId="0" applyAlignment="1" applyBorder="1" applyFont="1" applyNumberForma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2" fillId="0" fontId="1" numFmtId="3" xfId="0" applyAlignment="1" applyBorder="1" applyFont="1" applyNumberFormat="1">
      <alignment readingOrder="0" shrinkToFit="0" vertical="center" wrapText="0"/>
    </xf>
    <xf borderId="14" fillId="0" fontId="1" numFmtId="49" xfId="0" applyAlignment="1" applyBorder="1" applyFont="1" applyNumberFormat="1">
      <alignment shrinkToFit="0" vertical="center" wrapText="0"/>
    </xf>
    <xf borderId="14" fillId="0" fontId="1" numFmtId="164" xfId="0" applyAlignment="1" applyBorder="1" applyFont="1" applyNumberFormat="1">
      <alignment readingOrder="0" shrinkToFit="0" vertical="center" wrapText="0"/>
    </xf>
    <xf borderId="14" fillId="0" fontId="1" numFmtId="49" xfId="0" applyAlignment="1" applyBorder="1" applyFont="1" applyNumberFormat="1">
      <alignment readingOrder="0" shrinkToFit="0" vertical="center" wrapText="0"/>
    </xf>
    <xf borderId="15" fillId="0" fontId="1" numFmtId="3" xfId="0" applyAlignment="1" applyBorder="1" applyFont="1" applyNumberFormat="1">
      <alignment readingOrder="0" shrinkToFit="0" vertical="center" wrapText="0"/>
    </xf>
    <xf borderId="14" fillId="0" fontId="1" numFmtId="164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shrinkToFit="0" vertical="center" wrapText="0"/>
    </xf>
    <xf borderId="11" fillId="0" fontId="1" numFmtId="164" xfId="0" applyAlignment="1" applyBorder="1" applyFont="1" applyNumberFormat="1">
      <alignment shrinkToFit="0" vertical="center" wrapText="0"/>
    </xf>
    <xf borderId="14" fillId="0" fontId="1" numFmtId="49" xfId="0" applyAlignment="1" applyBorder="1" applyFont="1" applyNumberFormat="1">
      <alignment readingOrder="0" shrinkToFit="0" vertical="center" wrapText="0"/>
    </xf>
    <xf borderId="11" fillId="0" fontId="1" numFmtId="49" xfId="0" applyAlignment="1" applyBorder="1" applyFont="1" applyNumberFormat="1">
      <alignment readingOrder="0" shrinkToFit="0" vertical="center" wrapText="0"/>
    </xf>
    <xf borderId="11" fillId="0" fontId="11" numFmtId="49" xfId="0" applyAlignment="1" applyBorder="1" applyFont="1" applyNumberFormat="1">
      <alignment shrinkToFit="0" vertical="center" wrapText="0"/>
    </xf>
    <xf borderId="11" fillId="0" fontId="11" numFmtId="164" xfId="0" applyAlignment="1" applyBorder="1" applyFont="1" applyNumberFormat="1">
      <alignment readingOrder="0" shrinkToFit="0" vertical="center" wrapText="0"/>
    </xf>
    <xf borderId="11" fillId="0" fontId="11" numFmtId="49" xfId="0" applyAlignment="1" applyBorder="1" applyFont="1" applyNumberFormat="1">
      <alignment readingOrder="0" shrinkToFit="0" vertical="center" wrapText="0"/>
    </xf>
    <xf borderId="11" fillId="0" fontId="11" numFmtId="49" xfId="0" applyAlignment="1" applyBorder="1" applyFont="1" applyNumberFormat="1">
      <alignment readingOrder="0" shrinkToFit="0" vertical="center" wrapText="0"/>
    </xf>
    <xf borderId="11" fillId="0" fontId="11" numFmtId="0" xfId="0" applyAlignment="1" applyBorder="1" applyFont="1">
      <alignment readingOrder="0" shrinkToFit="0" vertical="center" wrapText="0"/>
    </xf>
    <xf borderId="12" fillId="0" fontId="11" numFmtId="3" xfId="0" applyAlignment="1" applyBorder="1" applyFont="1" applyNumberFormat="1">
      <alignment readingOrder="0" shrinkToFit="0" vertical="center" wrapText="0"/>
    </xf>
    <xf borderId="14" fillId="0" fontId="1" numFmtId="0" xfId="0" applyAlignment="1" applyBorder="1" applyFont="1">
      <alignment shrinkToFit="0" vertical="center" wrapText="0"/>
    </xf>
    <xf borderId="14" fillId="0" fontId="1" numFmtId="49" xfId="0" applyAlignment="1" applyBorder="1" applyFont="1" applyNumberFormat="1">
      <alignment shrinkToFit="0" vertical="center" wrapText="0"/>
    </xf>
    <xf borderId="11" fillId="0" fontId="1" numFmtId="49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horizontal="left" readingOrder="0" shrinkToFit="0" vertical="center" wrapText="0"/>
    </xf>
    <xf borderId="14" fillId="0" fontId="1" numFmtId="49" xfId="0" applyAlignment="1" applyBorder="1" applyFont="1" applyNumberFormat="1">
      <alignment horizontal="left" shrinkToFit="0" vertical="center" wrapText="0"/>
    </xf>
    <xf borderId="14" fillId="0" fontId="1" numFmtId="164" xfId="0" applyAlignment="1" applyBorder="1" applyFont="1" applyNumberFormat="1">
      <alignment horizontal="left" readingOrder="0" shrinkToFit="0" vertical="center" wrapText="0"/>
    </xf>
    <xf borderId="14" fillId="0" fontId="1" numFmtId="49" xfId="0" applyAlignment="1" applyBorder="1" applyFont="1" applyNumberFormat="1">
      <alignment horizontal="left" readingOrder="0" shrinkToFit="0" vertical="center" wrapText="0"/>
    </xf>
    <xf borderId="15" fillId="0" fontId="1" numFmtId="3" xfId="0" applyAlignment="1" applyBorder="1" applyFont="1" applyNumberFormat="1">
      <alignment horizontal="left" readingOrder="0" shrinkToFit="0" vertical="center" wrapText="0"/>
    </xf>
    <xf borderId="11" fillId="0" fontId="1" numFmtId="0" xfId="0" applyAlignment="1" applyBorder="1" applyFont="1">
      <alignment horizontal="left" readingOrder="0" shrinkToFit="0" vertical="center" wrapText="0"/>
    </xf>
    <xf borderId="11" fillId="0" fontId="1" numFmtId="49" xfId="0" applyAlignment="1" applyBorder="1" applyFont="1" applyNumberFormat="1">
      <alignment horizontal="left" shrinkToFit="0" vertical="center" wrapText="0"/>
    </xf>
    <xf borderId="11" fillId="0" fontId="1" numFmtId="164" xfId="0" applyAlignment="1" applyBorder="1" applyFont="1" applyNumberFormat="1">
      <alignment horizontal="left" readingOrder="0" shrinkToFit="0" vertical="center" wrapText="0"/>
    </xf>
    <xf borderId="11" fillId="0" fontId="1" numFmtId="49" xfId="0" applyAlignment="1" applyBorder="1" applyFont="1" applyNumberFormat="1">
      <alignment horizontal="left" readingOrder="0" shrinkToFit="0" vertical="center" wrapText="0"/>
    </xf>
    <xf borderId="12" fillId="0" fontId="1" numFmtId="3" xfId="0" applyAlignment="1" applyBorder="1" applyFont="1" applyNumberFormat="1">
      <alignment horizontal="left" readingOrder="0" shrinkToFit="0" vertical="center" wrapText="0"/>
    </xf>
    <xf borderId="14" fillId="0" fontId="1" numFmtId="49" xfId="0" applyAlignment="1" applyBorder="1" applyFont="1" applyNumberFormat="1">
      <alignment horizontal="left" readingOrder="0" shrinkToFit="0" vertical="center" wrapText="0"/>
    </xf>
    <xf borderId="11" fillId="0" fontId="1" numFmtId="49" xfId="0" applyAlignment="1" applyBorder="1" applyFont="1" applyNumberFormat="1">
      <alignment horizontal="left" readingOrder="0" shrinkToFit="0" vertical="center" wrapText="0"/>
    </xf>
    <xf borderId="14" fillId="0" fontId="1" numFmtId="0" xfId="0" applyAlignment="1" applyBorder="1" applyFont="1">
      <alignment horizontal="left" readingOrder="0" shrinkToFit="0" vertical="center" wrapText="0"/>
    </xf>
    <xf borderId="14" fillId="8" fontId="14" numFmtId="0" xfId="0" applyAlignment="1" applyBorder="1" applyFont="1">
      <alignment horizontal="left" readingOrder="0" shrinkToFit="0" vertical="center" wrapText="0"/>
    </xf>
    <xf borderId="14" fillId="8" fontId="14" numFmtId="49" xfId="0" applyAlignment="1" applyBorder="1" applyFont="1" applyNumberFormat="1">
      <alignment horizontal="left" readingOrder="0" shrinkToFit="0" vertical="center" wrapText="0"/>
    </xf>
    <xf borderId="14" fillId="8" fontId="14" numFmtId="0" xfId="0" applyAlignment="1" applyBorder="1" applyFont="1">
      <alignment horizontal="left" shrinkToFit="0" vertical="center" wrapText="0"/>
    </xf>
    <xf borderId="14" fillId="8" fontId="14" numFmtId="49" xfId="0" applyAlignment="1" applyBorder="1" applyFont="1" applyNumberFormat="1">
      <alignment horizontal="left" shrinkToFit="0" vertical="center" wrapText="0"/>
    </xf>
    <xf borderId="15" fillId="8" fontId="14" numFmtId="0" xfId="0" applyAlignment="1" applyBorder="1" applyFont="1">
      <alignment horizontal="left" shrinkToFit="0" vertical="center" wrapText="0"/>
    </xf>
    <xf borderId="11" fillId="8" fontId="14" numFmtId="0" xfId="0" applyAlignment="1" applyBorder="1" applyFont="1">
      <alignment horizontal="left" readingOrder="0" shrinkToFit="0" vertical="center" wrapText="0"/>
    </xf>
    <xf borderId="11" fillId="8" fontId="14" numFmtId="49" xfId="0" applyAlignment="1" applyBorder="1" applyFont="1" applyNumberFormat="1">
      <alignment horizontal="left" readingOrder="0" shrinkToFit="0" vertical="center" wrapText="0"/>
    </xf>
    <xf borderId="11" fillId="8" fontId="14" numFmtId="0" xfId="0" applyAlignment="1" applyBorder="1" applyFont="1">
      <alignment horizontal="left" shrinkToFit="0" vertical="center" wrapText="0"/>
    </xf>
    <xf borderId="11" fillId="8" fontId="14" numFmtId="49" xfId="0" applyAlignment="1" applyBorder="1" applyFont="1" applyNumberFormat="1">
      <alignment horizontal="left" shrinkToFit="0" vertical="center" wrapText="0"/>
    </xf>
    <xf borderId="12" fillId="8" fontId="14" numFmtId="0" xfId="0" applyAlignment="1" applyBorder="1" applyFont="1">
      <alignment horizontal="left" shrinkToFit="0" vertical="center" wrapText="0"/>
    </xf>
    <xf borderId="14" fillId="8" fontId="14" numFmtId="164" xfId="0" applyAlignment="1" applyBorder="1" applyFont="1" applyNumberFormat="1">
      <alignment horizontal="left" readingOrder="0" shrinkToFit="0" vertical="center" wrapText="0"/>
    </xf>
    <xf borderId="14" fillId="8" fontId="14" numFmtId="49" xfId="0" applyAlignment="1" applyBorder="1" applyFont="1" applyNumberFormat="1">
      <alignment horizontal="left" readingOrder="0" shrinkToFit="0" vertical="center" wrapText="0"/>
    </xf>
    <xf borderId="15" fillId="8" fontId="14" numFmtId="3" xfId="0" applyAlignment="1" applyBorder="1" applyFont="1" applyNumberFormat="1">
      <alignment horizontal="left" readingOrder="0" shrinkToFit="0" vertical="center" wrapText="0"/>
    </xf>
    <xf borderId="11" fillId="8" fontId="14" numFmtId="164" xfId="0" applyAlignment="1" applyBorder="1" applyFont="1" applyNumberFormat="1">
      <alignment horizontal="left" readingOrder="0" shrinkToFit="0" vertical="center" wrapText="0"/>
    </xf>
    <xf borderId="11" fillId="8" fontId="14" numFmtId="49" xfId="0" applyAlignment="1" applyBorder="1" applyFont="1" applyNumberFormat="1">
      <alignment horizontal="left" readingOrder="0" shrinkToFit="0" vertical="center" wrapText="0"/>
    </xf>
    <xf borderId="12" fillId="8" fontId="14" numFmtId="3" xfId="0" applyAlignment="1" applyBorder="1" applyFont="1" applyNumberFormat="1">
      <alignment horizontal="left" readingOrder="0" shrinkToFit="0" vertical="center" wrapText="0"/>
    </xf>
    <xf borderId="12" fillId="8" fontId="14" numFmtId="3" xfId="0" applyAlignment="1" applyBorder="1" applyFont="1" applyNumberFormat="1">
      <alignment horizontal="left" shrinkToFit="0" vertical="center" wrapText="0"/>
    </xf>
    <xf borderId="15" fillId="0" fontId="1" numFmtId="3" xfId="0" applyAlignment="1" applyBorder="1" applyFont="1" applyNumberFormat="1">
      <alignment shrinkToFit="0" vertical="center" wrapText="0"/>
    </xf>
    <xf borderId="14" fillId="0" fontId="1" numFmtId="0" xfId="0" applyAlignment="1" applyBorder="1" applyFont="1">
      <alignment readingOrder="0" shrinkToFit="0" vertical="center" wrapText="0"/>
    </xf>
    <xf borderId="11" fillId="0" fontId="1" numFmtId="0" xfId="0" applyAlignment="1" applyBorder="1" applyFont="1">
      <alignment readingOrder="0" shrinkToFit="0" vertical="center" wrapText="0"/>
    </xf>
    <xf borderId="14" fillId="8" fontId="14" numFmtId="0" xfId="0" applyAlignment="1" applyBorder="1" applyFont="1">
      <alignment horizontal="left" readingOrder="0" shrinkToFit="0" vertical="center" wrapText="0"/>
    </xf>
    <xf borderId="14" fillId="8" fontId="14" numFmtId="49" xfId="0" applyAlignment="1" applyBorder="1" applyFont="1" applyNumberFormat="1">
      <alignment horizontal="left" shrinkToFit="0" vertical="center" wrapText="0"/>
    </xf>
    <xf borderId="11" fillId="8" fontId="14" numFmtId="0" xfId="0" applyAlignment="1" applyBorder="1" applyFont="1">
      <alignment horizontal="left" readingOrder="0" shrinkToFit="0" vertical="center" wrapText="0"/>
    </xf>
    <xf borderId="11" fillId="8" fontId="14" numFmtId="49" xfId="0" applyAlignment="1" applyBorder="1" applyFont="1" applyNumberFormat="1">
      <alignment horizontal="left" shrinkToFit="0" vertical="center" wrapText="0"/>
    </xf>
    <xf borderId="14" fillId="0" fontId="1" numFmtId="0" xfId="0" applyAlignment="1" applyBorder="1" applyFont="1">
      <alignment horizontal="left" shrinkToFit="0" vertical="center" wrapText="0"/>
    </xf>
    <xf borderId="15" fillId="0" fontId="1" numFmtId="0" xfId="0" applyAlignment="1" applyBorder="1" applyFont="1">
      <alignment horizontal="left" shrinkToFit="0" vertical="center" wrapText="0"/>
    </xf>
    <xf borderId="11" fillId="0" fontId="1" numFmtId="0" xfId="0" applyAlignment="1" applyBorder="1" applyFont="1">
      <alignment horizontal="left" shrinkToFit="0" vertical="center" wrapText="0"/>
    </xf>
    <xf borderId="12" fillId="0" fontId="1" numFmtId="0" xfId="0" applyAlignment="1" applyBorder="1" applyFont="1">
      <alignment horizontal="left" shrinkToFit="0" vertical="center" wrapText="0"/>
    </xf>
    <xf borderId="11" fillId="0" fontId="1" numFmtId="0" xfId="0" applyAlignment="1" applyBorder="1" applyFont="1">
      <alignment shrinkToFit="0" vertical="center" wrapText="0"/>
    </xf>
    <xf borderId="11" fillId="0" fontId="1" numFmtId="49" xfId="0" applyAlignment="1" applyBorder="1" applyFont="1" applyNumberFormat="1">
      <alignment horizontal="left" shrinkToFit="0" vertical="center" wrapText="0"/>
    </xf>
    <xf borderId="14" fillId="0" fontId="1" numFmtId="49" xfId="0" applyAlignment="1" applyBorder="1" applyFont="1" applyNumberFormat="1">
      <alignment horizontal="left" shrinkToFit="0" vertical="center" wrapText="0"/>
    </xf>
    <xf borderId="42" fillId="0" fontId="1" numFmtId="0" xfId="0" applyAlignment="1" applyBorder="1" applyFont="1">
      <alignment horizontal="left" readingOrder="0" shrinkToFit="0" vertical="center" wrapText="0"/>
    </xf>
    <xf borderId="103" fillId="0" fontId="1" numFmtId="49" xfId="0" applyAlignment="1" applyBorder="1" applyFont="1" applyNumberFormat="1">
      <alignment horizontal="left" shrinkToFit="0" vertical="center" wrapText="0"/>
    </xf>
    <xf borderId="103" fillId="0" fontId="1" numFmtId="164" xfId="0" applyAlignment="1" applyBorder="1" applyFont="1" applyNumberFormat="1">
      <alignment horizontal="left" readingOrder="0" shrinkToFit="0" vertical="center" wrapText="0"/>
    </xf>
    <xf borderId="103" fillId="0" fontId="1" numFmtId="49" xfId="0" applyAlignment="1" applyBorder="1" applyFont="1" applyNumberFormat="1">
      <alignment horizontal="left" readingOrder="0" shrinkToFit="0" vertical="center" wrapText="0"/>
    </xf>
    <xf borderId="103" fillId="0" fontId="1" numFmtId="49" xfId="0" applyAlignment="1" applyBorder="1" applyFont="1" applyNumberFormat="1">
      <alignment horizontal="left" readingOrder="0" shrinkToFit="0" vertical="center" wrapText="0"/>
    </xf>
    <xf borderId="103" fillId="0" fontId="1" numFmtId="0" xfId="0" applyAlignment="1" applyBorder="1" applyFont="1">
      <alignment horizontal="left" shrinkToFit="0" vertical="center" wrapText="0"/>
    </xf>
    <xf borderId="104" fillId="0" fontId="1" numFmtId="3" xfId="0" applyAlignment="1" applyBorder="1" applyFont="1" applyNumberFormat="1">
      <alignment horizontal="left" readingOrder="0" shrinkToFit="0" vertical="center" wrapText="0"/>
    </xf>
    <xf borderId="105" fillId="0" fontId="11" numFmtId="0" xfId="0" applyAlignment="1" applyBorder="1" applyFont="1">
      <alignment readingOrder="0"/>
    </xf>
    <xf borderId="105" fillId="0" fontId="11" numFmtId="0" xfId="0" applyBorder="1" applyFont="1"/>
    <xf borderId="105" fillId="0" fontId="11" numFmtId="49" xfId="0" applyBorder="1" applyFont="1" applyNumberFormat="1"/>
    <xf borderId="105" fillId="0" fontId="11" numFmtId="164" xfId="0" applyAlignment="1" applyBorder="1" applyFont="1" applyNumberFormat="1">
      <alignment readingOrder="0"/>
    </xf>
    <xf borderId="105" fillId="0" fontId="11" numFmtId="49" xfId="0" applyAlignment="1" applyBorder="1" applyFont="1" applyNumberFormat="1">
      <alignment readingOrder="0"/>
    </xf>
    <xf borderId="105" fillId="0" fontId="11" numFmtId="3" xfId="0" applyAlignment="1" applyBorder="1" applyFont="1" applyNumberFormat="1">
      <alignment readingOrder="0"/>
    </xf>
    <xf borderId="105" fillId="0" fontId="11" numFmtId="3" xfId="0" applyBorder="1" applyFont="1" applyNumberFormat="1"/>
    <xf borderId="105" fillId="0" fontId="11" numFmtId="49" xfId="0" applyAlignment="1" applyBorder="1" applyFont="1" applyNumberFormat="1">
      <alignment readingOrder="0"/>
    </xf>
    <xf borderId="10" fillId="0" fontId="1" numFmtId="0" xfId="0" applyAlignment="1" applyBorder="1" applyFont="1">
      <alignment shrinkToFit="0" vertical="center" wrapText="0"/>
    </xf>
    <xf borderId="13" fillId="0" fontId="1" numFmtId="0" xfId="0" applyAlignment="1" applyBorder="1" applyFont="1">
      <alignment shrinkToFit="0" vertical="center" wrapText="0"/>
    </xf>
    <xf borderId="41" fillId="0" fontId="1" numFmtId="0" xfId="0" applyAlignment="1" applyBorder="1" applyFont="1">
      <alignment shrinkToFit="0" vertical="center" wrapText="0"/>
    </xf>
    <xf borderId="0" fillId="0" fontId="11" numFmtId="49" xfId="0" applyAlignment="1" applyFont="1" applyNumberFormat="1">
      <alignment readingOrder="0"/>
    </xf>
    <xf borderId="0" fillId="0" fontId="11" numFmtId="0" xfId="0" applyAlignment="1" applyFont="1">
      <alignment readingOrder="0"/>
    </xf>
    <xf borderId="0" fillId="0" fontId="11" numFmtId="0" xfId="0" applyAlignment="1" applyFont="1">
      <alignment readingOrder="0"/>
    </xf>
    <xf borderId="0" fillId="0" fontId="11" numFmtId="4" xfId="0" applyAlignment="1" applyFont="1" applyNumberFormat="1">
      <alignment readingOrder="0"/>
    </xf>
    <xf borderId="0" fillId="7" fontId="11" numFmtId="49" xfId="0" applyFont="1" applyNumberFormat="1"/>
    <xf borderId="0" fillId="7" fontId="11" numFmtId="164" xfId="0" applyAlignment="1" applyFont="1" applyNumberFormat="1">
      <alignment readingOrder="0"/>
    </xf>
    <xf borderId="0" fillId="7" fontId="11" numFmtId="49" xfId="0" applyAlignment="1" applyFont="1" applyNumberFormat="1">
      <alignment readingOrder="0"/>
    </xf>
    <xf borderId="0" fillId="7" fontId="11" numFmtId="0" xfId="0" applyAlignment="1" applyFont="1">
      <alignment readingOrder="0"/>
    </xf>
    <xf borderId="0" fillId="7" fontId="11" numFmtId="3" xfId="0" applyAlignment="1" applyFont="1" applyNumberFormat="1">
      <alignment readingOrder="0"/>
    </xf>
    <xf borderId="0" fillId="0" fontId="11" numFmtId="49" xfId="0" applyFont="1" applyNumberFormat="1"/>
    <xf borderId="0" fillId="0" fontId="11" numFmtId="164" xfId="0" applyAlignment="1" applyFont="1" applyNumberFormat="1">
      <alignment readingOrder="0"/>
    </xf>
    <xf borderId="0" fillId="0" fontId="11" numFmtId="0" xfId="0" applyFont="1"/>
    <xf borderId="106" fillId="0" fontId="11" numFmtId="0" xfId="0" applyAlignment="1" applyBorder="1" applyFont="1">
      <alignment horizontal="left" readingOrder="0" shrinkToFit="0" vertical="center" wrapText="0"/>
    </xf>
    <xf borderId="3" fillId="0" fontId="11" numFmtId="0" xfId="0" applyAlignment="1" applyBorder="1" applyFont="1">
      <alignment horizontal="left" readingOrder="0" shrinkToFit="0" vertical="center" wrapText="0"/>
    </xf>
    <xf borderId="4" fillId="0" fontId="11" numFmtId="0" xfId="0" applyAlignment="1" applyBorder="1" applyFont="1">
      <alignment horizontal="left" readingOrder="0" shrinkToFit="0" vertical="center" wrapText="0"/>
    </xf>
  </cellXfs>
  <cellStyles count="1">
    <cellStyle xfId="0" name="Normal" builtinId="0"/>
  </cellStyles>
  <dxfs count="6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626E7A"/>
          <bgColor rgb="FF626E7A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6">
    <tableStyle count="3" pivot="0" name="Ubicaciones-style">
      <tableStyleElement dxfId="3" type="headerRow"/>
      <tableStyleElement dxfId="4" type="firstRowStripe"/>
      <tableStyleElement dxfId="5" type="secondRowStripe"/>
    </tableStyle>
    <tableStyle count="3" pivot="0" name="Copia de Ubicaciones-style">
      <tableStyleElement dxfId="3" type="headerRow"/>
      <tableStyleElement dxfId="4" type="firstRowStripe"/>
      <tableStyleElement dxfId="5" type="secondRowStripe"/>
    </tableStyle>
    <tableStyle count="3" pivot="0" name="21.04.25 Ubicaciones-style">
      <tableStyleElement dxfId="3" type="headerRow"/>
      <tableStyleElement dxfId="4" type="firstRowStripe"/>
      <tableStyleElement dxfId="5" type="secondRowStripe"/>
    </tableStyle>
    <tableStyle count="3" pivot="0" name="RESP170425-style">
      <tableStyleElement dxfId="3" type="headerRow"/>
      <tableStyleElement dxfId="4" type="firstRowStripe"/>
      <tableStyleElement dxfId="5" type="secondRowStripe"/>
    </tableStyle>
    <tableStyle count="3" pivot="0" name="Inventarios-style">
      <tableStyleElement dxfId="3" type="headerRow"/>
      <tableStyleElement dxfId="4" type="firstRowStripe"/>
      <tableStyleElement dxfId="5" type="secondRowStripe"/>
    </tableStyle>
    <tableStyle count="3" pivot="0" name="Inventarios-style 2">
      <tableStyleElement dxfId="3" type="headerRow"/>
      <tableStyleElement dxfId="4" type="firstRowStripe"/>
      <tableStyleElement dxfId="5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pivotCacheDefinition" Target="pivotCache/pivotCacheDefinition9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21" Type="http://schemas.openxmlformats.org/officeDocument/2006/relationships/pivotCacheDefinition" Target="pivotCache/pivotCacheDefinition10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pivotCacheDefinition" Target="pivotCache/pivotCacheDefinition4.xml"/><Relationship Id="rId14" Type="http://schemas.openxmlformats.org/officeDocument/2006/relationships/pivotCacheDefinition" Target="pivotCache/pivotCacheDefinition3.xml"/><Relationship Id="rId17" Type="http://schemas.openxmlformats.org/officeDocument/2006/relationships/pivotCacheDefinition" Target="pivotCache/pivotCacheDefinition6.xml"/><Relationship Id="rId16" Type="http://schemas.openxmlformats.org/officeDocument/2006/relationships/pivotCacheDefinition" Target="pivotCache/pivotCacheDefinition5.xml"/><Relationship Id="rId5" Type="http://schemas.openxmlformats.org/officeDocument/2006/relationships/worksheet" Target="worksheets/sheet2.xml"/><Relationship Id="rId19" Type="http://schemas.openxmlformats.org/officeDocument/2006/relationships/pivotCacheDefinition" Target="pivotCache/pivotCacheDefinition8.xml"/><Relationship Id="rId6" Type="http://schemas.openxmlformats.org/officeDocument/2006/relationships/worksheet" Target="worksheets/sheet3.xml"/><Relationship Id="rId18" Type="http://schemas.openxmlformats.org/officeDocument/2006/relationships/pivotCacheDefinition" Target="pivotCache/pivotCacheDefinition7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10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3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4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5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6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7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8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9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438" sheet="Ubicaciones"/>
  </cacheSource>
  <cacheFields>
    <cacheField name="SALA">
      <sharedItems containsMixedTypes="1" containsNumber="1" containsInteger="1">
        <n v="1.0"/>
        <n v="2.0"/>
        <n v="3.0"/>
        <n v="4.0"/>
        <s v="ANDEN"/>
        <s v="CASINO"/>
        <s v="DEV"/>
        <s v="PATIO"/>
        <s v="R"/>
        <s v="T"/>
        <s v="ZOUT"/>
        <s v="ZEST"/>
      </sharedItems>
    </cacheField>
    <cacheField name="FILA" numFmtId="49">
      <sharedItems>
        <s v="1"/>
        <s v="2"/>
        <s v="3"/>
        <s v="4"/>
        <s v="5"/>
        <s v="6"/>
        <s v="7"/>
        <s v="NV"/>
        <s v="R"/>
        <s v="PRD-F1"/>
        <s v="PRD-F2"/>
        <s v="PRD-F3"/>
        <s v="PRD-F4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</sharedItems>
    </cacheField>
    <cacheField name="POSICIÓN" numFmtId="49">
      <sharedItems>
        <s v="1"/>
        <s v="2"/>
        <s v="3"/>
        <s v="4"/>
        <s v="5"/>
        <s v="6"/>
        <s v="7"/>
        <s v="1A"/>
        <s v="1B"/>
        <s v="2A"/>
        <s v="2B"/>
        <s v="3A"/>
        <s v="3B"/>
        <s v="4A"/>
        <s v="4B"/>
        <s v="5A"/>
        <s v="5B"/>
        <s v="2A1"/>
        <s v="2A2"/>
        <s v="A"/>
        <s v="B"/>
        <s v="C"/>
        <s v="D"/>
        <s v="E"/>
        <s v="1C"/>
        <s v="6A"/>
        <s v="6B"/>
        <s v="7A"/>
        <s v="7B"/>
        <s v="9A"/>
        <s v="9B"/>
        <s v="10A"/>
        <s v="10B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B1"/>
        <s v="B2"/>
        <s v="B3"/>
        <s v="B4"/>
        <s v="B5"/>
        <s v="B6"/>
        <s v="B7"/>
        <s v="B8"/>
        <s v="B9"/>
        <s v="B10"/>
        <s v="B11"/>
        <s v="B12"/>
        <s v="B13"/>
        <s v="B14"/>
        <s v="B15"/>
        <s v="B1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</sharedItems>
    </cacheField>
    <cacheField name="UBICACION" numFmtId="49">
      <sharedItems>
        <s v="1-1-1"/>
        <s v="1-1-2"/>
        <s v="1-1-3"/>
        <s v="1-1-4"/>
        <s v="1-1-5"/>
        <s v="1-1-6"/>
        <s v="1-1-7"/>
        <s v="2-1-1"/>
        <s v="2-1-2"/>
        <s v="2-1-3"/>
        <s v="2-2-1"/>
        <s v="2-2-2"/>
        <s v="2-2-3"/>
        <s v="2-3-1"/>
        <s v="2-3-2"/>
        <s v="2-3-3"/>
        <s v="2-4-1"/>
        <s v="2-4-2"/>
        <s v="2-4-3"/>
        <s v="2-5-1"/>
        <s v="2-5-2"/>
        <s v="2-5-3"/>
        <s v="2-6-1"/>
        <s v="2-6-2"/>
        <s v="2-6-3"/>
        <s v="3-1-1A"/>
        <s v="3-1-1B"/>
        <s v="3-1-2A"/>
        <s v="3-1-2B"/>
        <s v="3-1-3A"/>
        <s v="3-1-3B"/>
        <s v="3-2-1A"/>
        <s v="3-2-1B"/>
        <s v="3-2-2A"/>
        <s v="3-2-2B"/>
        <s v="3-2-3A"/>
        <s v="3-2-3B"/>
        <s v="3-2-4A"/>
        <s v="3-2-4B"/>
        <s v="3-2-5A"/>
        <s v="3-2-5B"/>
        <s v="3-3-1A"/>
        <s v="3-3-1B"/>
        <s v="3-3-2A"/>
        <s v="3-3-2B"/>
        <s v="3-3-3A"/>
        <s v="3-3-3B"/>
        <s v="3-3-4A"/>
        <s v="3-3-4B"/>
        <s v="3-3-5A"/>
        <s v="3-3-5B"/>
        <s v="3-4-1A"/>
        <s v="3-4-1B"/>
        <s v="3-4-2A"/>
        <s v="3-4-2B"/>
        <s v="3-4-3A"/>
        <s v="3-4-3B"/>
        <s v="3-4-4A"/>
        <s v="3-4-4B"/>
        <s v="3-4-5A"/>
        <s v="3-4-5B"/>
        <s v="3-5-1A"/>
        <s v="3-5-1B"/>
        <s v="3-5-2A"/>
        <s v="3-5-2B"/>
        <s v="3-5-3A"/>
        <s v="3-5-3B"/>
        <s v="3-5-4A"/>
        <s v="3-5-4B"/>
        <s v="3-5-5A"/>
        <s v="3-5-5B"/>
        <s v="3-6-1A"/>
        <s v="3-6-1B"/>
        <s v="3-6-2A"/>
        <s v="3-6-2B"/>
        <s v="3-6-3A"/>
        <s v="3-6-3B"/>
        <s v="3-6-4A"/>
        <s v="3-6-4B"/>
        <s v="3-6-5A"/>
        <s v="3-6-5B"/>
        <s v="3-7-1A"/>
        <s v="3-7-1B"/>
        <s v="3-7-2A"/>
        <s v="3-7-2B"/>
        <s v="3-7-3A"/>
        <s v="3-7-3B"/>
        <s v="3-7-4A"/>
        <s v="3-7-4B"/>
        <s v="3-7-5B"/>
        <s v="3-7-5A"/>
        <s v="3-NV-1"/>
        <s v="3-NV-2"/>
        <s v="3-NV-3"/>
        <s v="3-NV-4"/>
        <s v="3-R-1A"/>
        <s v="3-R-2A1"/>
        <s v="3-R-2A2"/>
        <s v="3-R-2B"/>
        <s v="3-PRD-F1-1"/>
        <s v="3-PRD-F1-2"/>
        <s v="3-PRD-F1-3"/>
        <s v="3-PRD-F1-4"/>
        <s v="3-PRD-F1-5"/>
        <s v="3-PRD-F2-1"/>
        <s v="3-PRD-F2-2"/>
        <s v="3-PRD-F2-3"/>
        <s v="3-PRD-F2-4"/>
        <s v="3-PRD-F2-5"/>
        <s v="3-PRD-F3-1"/>
        <s v="3-PRD-F3-2"/>
        <s v="3-PRD-F3-3"/>
        <s v="3-PRD-F3-4"/>
        <s v="3-PRD-F3-5"/>
        <s v="3-PRD-F4-1"/>
        <s v="3-PRD-F4-2"/>
        <s v="3-PRD-F4-3"/>
        <s v="3-PRD-F4-4"/>
        <s v="3-PRD-F4-5"/>
        <s v="4-1-A"/>
        <s v="4-1-B"/>
        <s v="4-1-C"/>
        <s v="4-1-D"/>
        <s v="4-1-E"/>
        <s v="4-2-A"/>
        <s v="4-2-B"/>
        <s v="4-2-C"/>
        <s v="4-2-D"/>
        <s v="4-3-A"/>
        <s v="4-3-B"/>
        <s v="4-3-C"/>
        <s v="4-3-D"/>
        <s v="4-4-A"/>
        <s v="4-4-B"/>
        <s v="4-4-C"/>
        <s v="4-4-D"/>
        <s v="4-5-A"/>
        <s v="4-5-B"/>
        <s v="4-5-C"/>
        <s v="4-5-D"/>
        <s v="4-6-A"/>
        <s v="4-6-B"/>
        <s v="4-6-C"/>
        <s v="4-6-D"/>
        <s v="4-7-A"/>
        <s v="4-7-B"/>
        <s v="4-7-C"/>
        <s v="4-7-D"/>
        <s v="4-8-A"/>
        <s v="4-8-B"/>
        <s v="4-8-C"/>
        <s v="4-8-D"/>
        <s v="4-9-A"/>
        <s v="4-9-B"/>
        <s v="4-9-C"/>
        <s v="4-9-D"/>
        <s v="4-10-A"/>
        <s v="4-10-B"/>
        <s v="4-10-C"/>
        <s v="4-10-D"/>
        <s v="4-11-A"/>
        <s v="4-11-B"/>
        <s v="4-11-C"/>
        <s v="4-11-D"/>
        <s v="4-12-A"/>
        <s v="4-12-B"/>
        <s v="4-12-C"/>
        <s v="4-12-D"/>
        <s v="4-13-A"/>
        <s v="4-13-B"/>
        <s v="4-13-C"/>
        <s v="4-13-D"/>
        <s v="4-14-A"/>
        <s v="4-14-B"/>
        <s v="4-14-C"/>
        <s v="4-14-D"/>
        <s v="4-15-A"/>
        <s v="4-15-B"/>
        <s v="4-15-C"/>
        <s v="4-15-D"/>
        <s v="4-16-A"/>
        <s v="4-16-B"/>
        <s v="4-16-C"/>
        <s v="4-16-D"/>
        <s v="4-17-A"/>
        <s v="4-17-B"/>
        <s v="4-17-C"/>
        <s v="4-17-D"/>
        <s v="4-18-A"/>
        <s v="4-18-B"/>
        <s v="4-18-C"/>
        <s v="4-18-D"/>
        <s v="4-19-A"/>
        <s v="4-19-B"/>
        <s v="4-19-C"/>
        <s v="4-19-D"/>
        <s v="4-20-A"/>
        <s v="4-20-B"/>
        <s v="4-20-C"/>
        <s v="4-20-D"/>
        <s v="4-21-A"/>
        <s v="4-21-B"/>
        <s v="4-21-C"/>
        <s v="4-21-D"/>
        <s v="4-R-1A"/>
        <s v="4-R-1B"/>
        <s v="4-R-1C"/>
        <s v="4-R-2A"/>
        <s v="4-R-2B"/>
        <s v="4-R-3A"/>
        <s v="4-R-3B"/>
        <s v="4-R-4A"/>
        <s v="4-R-4B"/>
        <s v="4-R-5A"/>
        <s v="4-R-5B"/>
        <s v="4-R-6A"/>
        <s v="4-R-6B"/>
        <s v="4-R-7A"/>
        <s v="4-R-7B"/>
        <s v="4-R-9A"/>
        <s v="4-R-9B"/>
        <s v="4-R-10A"/>
        <s v="4-R-10B"/>
        <s v="ANDEN-1-1"/>
        <s v="ANDEN-1-2"/>
        <s v="ANDEN-1-3"/>
        <s v="ANDEN-1-4"/>
        <s v="ANDEN-1-5"/>
        <s v="ANDEN-1-6"/>
        <s v="ANDEN-1-7"/>
        <s v="ANDEN-1-8"/>
        <s v="ANDEN-1-9"/>
        <s v="ANDEN-1-10"/>
        <s v="ANDEN-1-11"/>
        <s v="ANDEN-1-12"/>
        <s v="ANDEN-1-13"/>
        <s v="ANDEN-1-14"/>
        <s v="ANDEN-1-15"/>
        <s v="ANDEN-1-16"/>
        <s v="ANDEN-1-17"/>
        <s v="ANDEN-1-18"/>
        <s v="ANDEN-1-19"/>
        <s v="ANDEN-1-20"/>
        <s v="ANDEN-1-21"/>
        <s v="CASINO-1-1"/>
        <s v="CASINO-1-2"/>
        <s v="CASINO-1-3"/>
        <s v="CASINO-1-4"/>
        <s v="CASINO-1-5"/>
        <s v="CASINO-1-6"/>
        <s v="CASINO-1-7"/>
        <s v="CASINO-1-8"/>
        <s v="CASINO-1-9"/>
        <s v="CASINO-1-10"/>
        <s v="CASINO-1-11"/>
        <s v="DEV-1-1"/>
        <s v="DEV-1-2"/>
        <s v="DEV-1-3"/>
        <s v="DEV-1-4"/>
        <s v="DEV-1-5"/>
        <s v="DEV-1-6"/>
        <s v="DEV-1-7"/>
        <s v="DEV-1-8"/>
        <s v="DEV-1-9"/>
        <s v="PATIO-1-1"/>
        <s v="PATIO-1-2"/>
        <s v="PATIO-1-3"/>
        <s v="PATIO-1-4"/>
        <s v="PATIO-1-5"/>
        <s v="PATIO-1-6"/>
        <s v="PATIO-1-7"/>
        <s v="PATIO-1-8"/>
        <s v="PATIO-1-9"/>
        <s v="PATIO-1-10"/>
        <s v="PATIO-1-11"/>
        <s v="PATIO-1-12"/>
        <s v="PATIO-1-13"/>
        <s v="PATIO-1-14"/>
        <s v="PATIO-1-15"/>
        <s v="PATIO-1-16"/>
        <s v="PATIO-1-17"/>
        <s v="PATIO-1-18"/>
        <s v="PATIO-1-19"/>
        <s v="PATIO-1-20"/>
        <s v="PATIO-1-21"/>
        <s v="PATIO-1-22"/>
        <s v="PATIO-1-23"/>
        <s v="PATIO-1-24"/>
        <s v="PATIO-1-25"/>
        <s v="PATIO-1-26"/>
        <s v="R-8-B1"/>
        <s v="R-8-B2"/>
        <s v="R-8-B3"/>
        <s v="R-8-B4"/>
        <s v="R-8-B5"/>
        <s v="R-8-B6"/>
        <s v="R-8-B7"/>
        <s v="R-8-B8"/>
        <s v="R-8-B9"/>
        <s v="R-8-B10"/>
        <s v="R-8-B11"/>
        <s v="R-8-B12"/>
        <s v="R-8-B13"/>
        <s v="R-8-B14"/>
        <s v="R-8-B15"/>
        <s v="R-8-B16"/>
        <s v="T-1-1"/>
        <s v="T-1-2"/>
        <s v="T-1-3"/>
        <s v="T-1-4"/>
        <s v="T-1-5"/>
        <s v="T-1-6"/>
        <s v="T-1-7"/>
        <s v="T-1-8"/>
        <s v="T-1-9"/>
        <s v="T-1-10"/>
        <s v="T-1-11"/>
        <s v="T-1-12"/>
        <s v="T-1-13"/>
        <s v="T-1-14"/>
        <s v="T-1-15"/>
        <s v="T-1-16"/>
        <s v="T-1-17"/>
        <s v="T-1-18"/>
        <s v="T-1-19"/>
        <s v="T-1-20"/>
        <s v="T-1-21"/>
        <s v="T-1-22"/>
        <s v="T-1-23"/>
        <s v="T-1-24"/>
        <s v="T-1-25"/>
        <s v="T-1-26"/>
        <s v="T-1-27"/>
        <s v="T-1-28"/>
        <s v="T-1-29"/>
        <s v="T-1-30"/>
        <s v="T-1-31"/>
        <s v="T-1-32"/>
        <s v="T-1-33"/>
        <s v="T-1-34"/>
        <s v="T-1-35"/>
        <s v="T-1-36"/>
        <s v="T-1-37"/>
        <s v="T-1-38"/>
        <s v="T-1-39"/>
        <s v="T-1-40"/>
        <s v="ZOUT-1-1"/>
        <s v="ZOUT-1-2"/>
        <s v="ZOUT-1-3"/>
        <s v="ZOUT-1-4"/>
        <s v="ZOUT-1-5"/>
        <s v="ZOUT-1-6"/>
        <s v="ZOUT-1-7"/>
        <s v="ZOUT-1-8"/>
        <s v="ZOUT-1-9"/>
        <s v="ZOUT-1-10"/>
        <s v="ZOUT-1-11"/>
        <s v="ZOUT-1-12"/>
        <s v="ZOUT-1-13"/>
        <s v="ZOUT-1-14"/>
        <s v="ZOUT-1-15"/>
        <s v="ZOUT-1-16"/>
        <s v="ZOUT-1-17"/>
        <s v="ZOUT-1-18"/>
        <s v="ZOUT-1-19"/>
        <s v="ZOUT-1-20"/>
        <s v="ZOUT-1-21"/>
        <s v="ZOUT-1-22"/>
        <s v="ZOUT-1-23"/>
        <s v="ZOUT-1-24"/>
        <s v="ZOUT-1-25"/>
        <s v="ZOUT-1-26"/>
        <s v="ZOUT-1-27"/>
        <s v="ZOUT-1-28"/>
        <s v="ZOUT-1-29"/>
        <s v="ZOUT-1-30"/>
        <s v="ZEST-1-1"/>
        <s v="ZEST-1-2"/>
        <s v="ZEST-1-3"/>
        <s v="ZEST-1-4"/>
        <s v="ZEST-1-5"/>
        <s v="ZEST-2-1"/>
        <s v="ZEST-2-2"/>
        <s v="ZEST-2-3"/>
        <s v="ZEST-2-4"/>
        <s v="ZEST-2-5"/>
        <s v="ZEST-3-1"/>
        <s v="ZEST-3-2"/>
        <s v="ZEST-3-3"/>
        <s v="ZEST-3-4"/>
        <s v="ZEST-3-5"/>
        <s v="ZEST-4-1"/>
        <s v="ZEST-4-2"/>
        <s v="ZEST-4-3"/>
        <s v="ZEST-4-4"/>
        <s v="ZEST-4-5"/>
        <s v="ZEST-5-1"/>
        <s v="ZEST-5-2"/>
        <s v="ZEST-5-3"/>
        <s v="ZEST-5-4"/>
        <s v="ZEST-5-5"/>
        <s v="ZEST-5-6"/>
        <s v="ZEST-5-7"/>
        <s v="ZEST-6-1"/>
        <s v="ZEST-6-2"/>
        <s v="ZEST-6-3"/>
        <s v="ZEST-6-4"/>
        <s v="ZEST-6-5"/>
        <s v="ZEST-7-1"/>
        <s v="ZEST-7-2"/>
        <s v="ZEST-7-3"/>
        <s v="ZEST-7-4"/>
        <s v="ZEST-7-5"/>
        <s v="ZEST-7-6"/>
        <s v="ZEST-7-7"/>
        <s v="ZEST-8-1"/>
        <s v="ZEST-8-2"/>
        <s v="ZEST-8-3"/>
        <s v="ZEST-8-4"/>
        <s v="ZEST-8-5"/>
        <s v="ZEST-8-6"/>
        <s v="ZEST-8-7"/>
        <s v="ZEST-9-1"/>
        <s v="ZEST-9-2"/>
        <s v="ZEST-9-3"/>
        <s v="ZEST-9-4"/>
        <s v="ZEST-9-5"/>
        <s v="ZEST-9-6"/>
        <s v="ZEST-9-7"/>
        <s v="ZEST-10-1"/>
        <s v="ZEST-10-2"/>
        <s v="ZEST-10-3"/>
        <s v="ZEST-10-4"/>
        <s v="ZEST-10-5"/>
        <s v="ZEST-10-6"/>
        <s v="ZEST-10-7"/>
      </sharedItems>
    </cacheField>
    <cacheField name="FECHA INGRESO" numFmtId="164">
      <sharedItems containsDate="1" containsString="0" containsBlank="1">
        <d v="2025-03-17T00:00:00Z"/>
        <d v="2025-03-26T00:00:00Z"/>
        <d v="2025-05-07T00:00:00Z"/>
        <m/>
        <d v="2025-06-10T00:00:00Z"/>
        <d v="2025-04-07T00:00:00Z"/>
        <d v="2025-06-05T00:00:00Z"/>
        <d v="2025-04-17T00:00:00Z"/>
        <d v="2025-04-04T00:00:00Z"/>
        <d v="2025-04-16T00:00:00Z"/>
        <d v="2025-06-09T00:00:00Z"/>
        <d v="2025-05-15T00:00:00Z"/>
        <d v="2025-05-13T00:00:00Z"/>
        <d v="2025-05-09T00:00:00Z"/>
        <d v="2025-04-29T00:00:00Z"/>
        <d v="2025-05-12T00:00:00Z"/>
        <d v="2025-05-14T00:00:00Z"/>
        <d v="2025-05-08T00:00:00Z"/>
        <d v="2025-05-31T00:00:00Z"/>
        <d v="2025-06-17T00:00:00Z"/>
        <d v="2025-06-02T00:00:00Z"/>
        <d v="2025-06-13T00:00:00Z"/>
        <d v="2025-06-19T00:00:00Z"/>
        <d v="2025-06-16T00:00:00Z"/>
        <d v="2024-12-30T00:00:00Z"/>
        <d v="2025-04-11T00:00:00Z"/>
        <d v="2025-06-12T00:00:00Z"/>
        <d v="2025-01-31T00:00:00Z"/>
        <d v="2024-11-29T00:00:00Z"/>
        <d v="2025-04-24T00:00:00Z"/>
        <d v="2025-06-23T00:00:00Z"/>
        <d v="2025-06-06T00:00:00Z"/>
        <d v="2025-03-28T00:00:00Z"/>
        <d v="2025-06-18T00:00:00Z"/>
        <d v="2025-04-08T00:00:00Z"/>
      </sharedItems>
    </cacheField>
    <cacheField name="DOCUMENTO" numFmtId="49">
      <sharedItems containsBlank="1">
        <s v="Ajuste"/>
        <s v="6092"/>
        <m/>
        <s v="6154"/>
        <s v="6148"/>
        <s v="6053"/>
        <s v="5359"/>
        <s v="259773"/>
        <s v="6172"/>
        <s v="6526"/>
        <s v="6157"/>
        <s v="27861"/>
        <s v="Wen 12/05"/>
        <s v="PRODUCCION "/>
        <s v="000"/>
        <s v="10399"/>
        <s v="5708"/>
        <s v="6238"/>
        <s v="SOBRANTE"/>
        <s v="180592"/>
        <s v="176825"/>
        <s v="180511"/>
        <s v="178859"/>
        <s v="181793"/>
        <s v="181145"/>
        <s v="182655"/>
        <s v="182532"/>
        <s v="182656"/>
        <s v="210502"/>
        <s v="179552"/>
        <s v="175863"/>
        <s v="176804"/>
        <s v="181702"/>
        <s v="596729"/>
        <s v="6556"/>
        <s v="6155"/>
        <s v="6532"/>
        <s v="6393"/>
        <s v="10579"/>
        <s v="2832602706"/>
        <s v="2826048033"/>
        <s v="2827698176"/>
        <s v="2839959619"/>
        <s v="2000011830962866"/>
        <s v="2795194271"/>
        <s v="152404"/>
        <s v="AF2625C1"/>
        <s v="6544"/>
        <s v="10753"/>
        <s v="18579"/>
        <s v="6543"/>
        <s v="6554"/>
        <s v="18678"/>
        <s v="6578"/>
        <s v="6390"/>
        <s v="6575"/>
        <s v="6577"/>
        <s v="10758"/>
        <s v="10569"/>
        <s v="6555"/>
        <s v=" "/>
      </sharedItems>
    </cacheField>
    <cacheField name="SKU">
      <sharedItems containsBlank="1" containsMixedTypes="1" containsNumber="1" containsInteger="1">
        <s v="691015"/>
        <s v="691410"/>
        <s v="692432"/>
        <s v="692425"/>
        <m/>
        <s v="600574"/>
        <s v="691411"/>
        <s v="600666"/>
        <s v="600505X"/>
        <s v="600673"/>
        <s v="600536"/>
        <s v="600567XX"/>
        <s v="657325"/>
        <s v="600567"/>
        <s v="PENDIENTE"/>
        <s v="692012X"/>
        <s v="692036X"/>
        <s v="692029X"/>
        <s v="600697"/>
        <n v="600550.0"/>
        <s v="600512"/>
        <s v="600772"/>
        <s v="692265"/>
        <s v="605678"/>
        <s v="682778"/>
        <s v="692043"/>
        <s v="600900P"/>
        <n v="692043.0"/>
        <s v="HF25L"/>
        <s v="PPPMXL"/>
        <s v="FADCXL10L"/>
        <s v="LPP800W"/>
        <s v="FAPE5L"/>
        <s v="FACE4L"/>
        <s v="FADE9L"/>
        <s v="FAFE7L"/>
        <s v="TV4PKI"/>
        <s v="FAME12L"/>
        <s v="HEBE25L"/>
        <s v="HEGE18L"/>
        <s v="HSC17L"/>
        <s v="PPME"/>
        <s v="LSS1200"/>
        <s v="CAFA4"/>
        <s v="HESS45"/>
        <s v="HPBE22"/>
        <s v="TCK0ZESE"/>
        <s v="LIPS850"/>
        <n v="691084.0"/>
        <s v="HESS60"/>
        <s v="ELAF41"/>
        <s v="600482X"/>
        <s v="600499X"/>
        <n v="605678.0"/>
        <s v="600574XX"/>
        <s v="600523XX"/>
      </sharedItems>
    </cacheField>
    <cacheField name="DESCRIPCION" numFmtId="0">
      <sharedItems containsBlank="1">
        <s v="CAJA TV"/>
        <s v="CAJA CARTON ENVIOS PACK"/>
        <s v="CAJA CARTON ENVIOS 25x17x13 CM"/>
        <s v="CAJA CARTON PISQUERA 31x23x31 CM"/>
        <m/>
        <s v="SEPARADOR VASOS BOTELLAS 32X23X32"/>
        <s v="CAJA CARTON ENVIOS SB 18x10x8 CM."/>
        <s v="CAJA CARTON S/IMP 32x23x32 CM"/>
        <s v="CAJA CARTON CON ASAS 70X30X30 CM EASY"/>
        <s v="ROLLO PAPEL KRAFT 35GR 57X25 MT"/>
        <s v="ROLLO PAPEL KRAFT 35GR 57X20 MT"/>
        <s v="PDQ SEPARADOR PLATO"/>
        <s v="FILM STRECH MANUAL 20MIC X 500MM 2,0KG"/>
        <s v="SEPARADORES PLATOS 32X23X32"/>
        <s v="SEPARADOR BOTELLA DOS RANURAS"/>
        <s v="CAJA CARTON CORRUGADO 50x40x30 "/>
        <s v="CAJA CARTON CORRUGADO 47x31x31 "/>
        <s v="CAJA CARTON CORRUGADO 60x40x40 "/>
        <s v="CAJA PLUMAVIT 35 LITROS"/>
        <s v="ROLLO PAPEL PANAL 0,50 X 25MTS"/>
        <s v="ROLLO ESPUMA EMBALAJE 1 MM 0,70X5 MT"/>
        <s v="ROLLO PAPEL KRAFT 35G 57X230MT"/>
        <s v="ROLLO CARTON CORRUGADO 0.80X100 MT"/>
        <s v="ROLLO CARTON CORRUGADO 1.20X73Mt aprox. 25K"/>
        <s v="ROLLO CARTON CORRUGADO 1.20X25 MT"/>
        <s v="CAJA CARTON CORRUGADO 60x60x50 CM "/>
        <s v="SEPARADOR 2 RANURAS"/>
        <s v="ROLLO ESPUMA EMBALAJE 1 MM 1.40X220 MT"/>
        <s v="CAJA CARTON CORRUGADO 60x40x40"/>
        <s v="CAJA CARTON CORRUGADO 60x60x50 CM"/>
        <s v="Horno Freidora Smart Edition 25L"/>
        <s v="Plancha Panini Pro Max XL"/>
        <s v="Freidora de Aire Dual Crisp XL 10L"/>
        <s v="Licuadora Power Pro 800W"/>
        <s v="Freidora de Aire Plus Edition 5L"/>
        <s v="Freidora de Aire Chef Edition 4L"/>
        <s v="Freidora de Aire Dual Edition 9L"/>
        <s v="Freidora de Aire Family Edition 7L"/>
        <s v="Tostador Vienna Kitchen-It"/>
        <s v="Freidora de Aire Max Edition 12L"/>
        <s v="Hervidor Big Edition 2.5L"/>
        <s v="Hervidor Glass Edition 1.8L"/>
        <s v="SEPARADOR  VASOS 3 RANURAS"/>
        <s v="Hervidor Smart Control 1,7L"/>
        <s v="Sandwichera Panini Master Edition"/>
        <s v="Licuadora Smart System 1200W"/>
        <s v="Cafetera Arezzo 4 en 1"/>
        <s v="Horno Eléctrico Silver Series 45L"/>
        <s v="Horno Pizza a la Piedra Black Edition"/>
        <s v="Air Fryer Parrilla Ckozese by Onson 7L"/>
        <s v="Licuadora Professional Series 850W"/>
        <s v="ROLLO CARTON ACOLCHADO 40CMx5MT"/>
        <s v="Horno Eléctrico Silver Series 60L"/>
        <s v="Espumador Aerofoam 4 en 1"/>
        <s v="CAJA CARTON CON ASAS 40X30X30 CM  EASY"/>
        <s v="CAJA CARTON CON ASAS 50X30X30 CM EASY"/>
        <s v="PDQ BOTELLAS VASOS"/>
        <s v="PDQ FUNDA PANAL"/>
      </sharedItems>
    </cacheField>
    <cacheField name="UNIDADADES TOTAL" numFmtId="3">
      <sharedItems containsString="0" containsBlank="1" containsNumber="1" containsInteger="1">
        <n v="81.0"/>
        <n v="31.0"/>
        <n v="700.0"/>
        <n v="360.0"/>
        <m/>
        <n v="716.0"/>
        <n v="1640.0"/>
        <n v="600.0"/>
        <n v="680.0"/>
        <n v="214.0"/>
        <n v="311.0"/>
        <n v="32.0"/>
        <n v="180.0"/>
        <n v="525.0"/>
        <n v="1500.0"/>
        <n v="400.0"/>
        <n v="25.0"/>
        <n v="225.0"/>
        <n v="450.0"/>
        <n v="500.0"/>
        <n v="216.0"/>
        <n v="60.0"/>
        <n v="105.0"/>
        <n v="10.0"/>
        <n v="55.0"/>
        <n v="68.0"/>
        <n v="54.0"/>
        <n v="72.0"/>
        <n v="1230.0"/>
        <n v="666.0"/>
        <n v="5.0"/>
        <n v="15.0"/>
        <n v="11.0"/>
        <n v="28.0"/>
        <n v="160.0"/>
        <n v="78.0"/>
        <n v="42.0"/>
        <n v="168.0"/>
        <n v="90.0"/>
        <n v="59.0"/>
        <n v="26.0"/>
        <n v="80.0"/>
        <n v="71.0"/>
        <n v="14.0"/>
        <n v="29.0"/>
        <n v="110.0"/>
        <n v="82.0"/>
        <n v="63.0"/>
        <n v="61.0"/>
        <n v="300.0"/>
        <n v="288.0"/>
        <n v="209.0"/>
        <n v="45.0"/>
        <n v="96.0"/>
        <n v="667.0"/>
        <n v="718.0"/>
        <n v="996.0"/>
        <n v="576.0"/>
        <n v="260.0"/>
        <n v="53.0"/>
        <n v="169.0"/>
        <n v="75.0"/>
        <n v="4.0"/>
        <n v="17.0"/>
        <n v="121.0"/>
        <n v="9.0"/>
        <n v="103.0"/>
        <n v="40.0"/>
        <n v="350.0"/>
        <n v="195.0"/>
        <n v="510.0"/>
        <n v="790.0"/>
        <n v="20.0"/>
        <n v="200.0"/>
        <n v="50.0"/>
        <n v="1.0"/>
        <n v="2.0"/>
        <n v="6.0"/>
        <n v="212.0"/>
        <n v="84.0"/>
        <n v="56.0"/>
        <n v="3.0"/>
        <n v="44.0"/>
        <n v="189.0"/>
        <n v="150.0"/>
        <n v="340.0"/>
        <n v="290.0"/>
        <n v="100.0"/>
        <n v="137.0"/>
        <n v="46.0"/>
        <n v="8.0"/>
      </sharedItems>
    </cacheField>
    <cacheField name="ORIGEN INGRESO" numFmtId="0">
      <sharedItems containsBlank="1">
        <s v="PROVEEDOR"/>
        <s v="PRODUCTO TERMINADO"/>
        <m/>
        <s v="Contenedor"/>
        <s v="Movimiento Interno"/>
        <s v="Retorno Falabella"/>
        <s v="Devoluciones"/>
      </sharedItems>
    </cacheField>
    <cacheField name="ESTADO" numFmtId="0">
      <sharedItems>
        <s v="OCUPADO"/>
        <s v="DISPONIBLE"/>
      </sharedItems>
    </cacheField>
    <cacheField name="#">
      <sharedItems containsMixedTypes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99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2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84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e v="#REF!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</sharedItems>
    </cacheField>
    <cacheField name="TIPO" numFmtId="0">
      <sharedItems containsBlank="1">
        <s v="PISO"/>
        <m/>
        <s v="JAULA"/>
        <s v="NAVE PSIO"/>
        <s v="RACK"/>
        <s v="PRODUCTO TERM"/>
        <s v="DEVOLUCIONES"/>
        <s v="RECUPERADO"/>
        <s v="TRANSITO"/>
        <s v="SALIDA"/>
        <s v="ESTANTERIA"/>
      </sharedItems>
    </cacheField>
    <cacheField name="OBS">
      <sharedItems containsBlank="1" containsMixedTypes="1" containsNumber="1" containsInteger="1">
        <m/>
        <s v="400 40x30x30"/>
        <n v="0.0"/>
        <s v="ok"/>
        <s v="40x30x30 34"/>
        <s v="625 70x30x30"/>
        <s v="pendiente de ingreso kraft diferentes medidas"/>
        <s v="pendiente de ingreso film 1.7 "/>
        <n v="103.0"/>
        <n v="56.0"/>
        <n v="72.0"/>
        <n v="22.0"/>
        <n v="13.0"/>
        <s v="REVISAR"/>
        <s v="anden"/>
        <n v="160.0"/>
        <n v="51.0"/>
      </sharedItems>
    </cacheField>
    <cacheField name="Cliente" numFmtId="0">
      <sharedItems containsBlank="1">
        <s v="SUMMIT"/>
        <m/>
        <s v="KITCHEN-IT"/>
      </sharedItems>
    </cacheField>
  </cacheFields>
</pivotCacheDefinition>
</file>

<file path=xl/pivotCache/pivotCacheDefinition10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Q1:AZ936" sheet="21.04.25 Ubicaciones"/>
  </cacheSource>
  <cacheFields>
    <cacheField name="UBICACION" numFmtId="49">
      <sharedItems containsBlank="1">
        <s v="1-1-1"/>
        <s v="1-1-2"/>
        <s v="1-1-3"/>
        <s v="1-1-4"/>
        <s v="1-1-5"/>
        <s v="2-2-1"/>
        <s v="2-3-1"/>
        <s v="2-3-2"/>
        <s v="2-3-3"/>
        <s v="2-4-1"/>
        <s v="2-4-2"/>
        <s v="2-4-3"/>
        <s v="2-5-1"/>
        <s v="2-5-3"/>
        <s v="2-6-1"/>
        <s v="2-6-2"/>
        <s v="3-1-1A"/>
        <s v="3-1-2A"/>
        <s v="3-1-2B"/>
        <s v="3-1-3A"/>
        <s v="3-2-1A"/>
        <s v="3-2-2A"/>
        <s v="3-2-3A"/>
        <s v="3-2-4A"/>
        <s v="3-2-5A"/>
        <s v="3-2-5B"/>
        <s v="3-3-1A"/>
        <s v="3-3-2A"/>
        <s v="3-3-3A"/>
        <s v="3-3-4A"/>
        <s v="3-3-5A"/>
        <s v="3-4-1A"/>
        <s v="3-4-2A"/>
        <s v="3-4-3A"/>
        <s v="3-4-5A"/>
        <s v="3-5-1A"/>
        <s v="3-5-3A"/>
        <s v="3-5-4A"/>
        <s v="3-6-1A"/>
        <s v="3-6-2A"/>
        <s v="3-6-2B"/>
        <s v="3-6-3A"/>
        <s v="3-6-4A"/>
        <s v="3-7-2A"/>
        <s v="3-7-2B"/>
        <s v="3-7-3A"/>
        <s v="3-7-3B"/>
        <s v="3-7-4B"/>
        <s v="3-NV-1"/>
        <s v="3-NV-3"/>
        <s v="3-PRD-F1-1"/>
        <s v="3-PRD-F1-2"/>
        <s v="3-PRD-F1-3"/>
        <s v="3-PRD-F1-4"/>
        <s v="3-PRD-F2-1"/>
        <s v="3-PRD-F4-1"/>
        <s v="3-PRD-F4-2"/>
        <s v="3-R-1A"/>
        <s v="3-R-2A1"/>
        <s v="3-R-2A2"/>
        <s v="3-R-2B"/>
        <s v="4-1-A"/>
        <s v="4-1-B"/>
        <s v="4-1-C"/>
        <s v="4-1-D"/>
        <s v="4-10-A"/>
        <s v="4-10-B"/>
        <s v="4-11-A"/>
        <s v="4-11-B"/>
        <s v="4-11-C"/>
        <s v="4-11-D"/>
        <s v="4-12-A"/>
        <s v="4-12-B"/>
        <s v="4-12-C"/>
        <s v="4-12-D"/>
        <s v="4-13-A"/>
        <s v="4-13-B"/>
        <s v="4-13-C"/>
        <s v="4-13-D"/>
        <s v="4-14-A"/>
        <s v="4-15-A"/>
        <s v="4-15-B"/>
        <s v="4-15-C"/>
        <s v="4-16-A"/>
        <s v="4-16-B"/>
        <s v="4-16-C"/>
        <s v="4-17-A"/>
        <s v="4-17-B"/>
        <s v="4-17-C"/>
        <s v="4-17-D"/>
        <s v="4-18-A"/>
        <s v="4-18-B"/>
        <s v="4-18-C"/>
        <s v="4-19-A"/>
        <s v="4-19-B"/>
        <s v="4-19-C"/>
        <s v="4-19-D"/>
        <s v="4-2-A"/>
        <s v="4-2-B"/>
        <s v="4-2-C"/>
        <s v="4-2-D"/>
        <s v="4-21-A"/>
        <s v="4-21-B"/>
        <s v="4-21-C"/>
        <s v="4-3-C"/>
        <s v="4-3-D"/>
        <s v="4-6-A"/>
        <s v="4-6-B"/>
        <s v="4-7-A"/>
        <s v="4-7-B"/>
        <s v="4-7-C"/>
        <s v="4-7-D"/>
        <s v="4-8-A"/>
        <s v="4-8-B"/>
        <s v="4-8-C"/>
        <s v="4-8-D"/>
        <s v="4-9-A"/>
        <s v="4-9-B"/>
        <s v="4-9-C"/>
        <s v="4-9-D"/>
        <s v="4-R-10A"/>
        <s v="4-R-10B"/>
        <s v="4-R-1A"/>
        <s v="4-R-1B"/>
        <s v="4-R-1C"/>
        <s v="4-R-2A"/>
        <s v="4-R-2B"/>
        <s v="4-R-3B"/>
        <s v="4-R-4A"/>
        <s v="4-R-4B"/>
        <s v="4-R-5A"/>
        <s v="4-R-5B"/>
        <s v="4-R-6A"/>
        <s v="4-R-6B"/>
        <s v="4-R-7A"/>
        <s v="4-R-7B"/>
        <s v="4-R-9A"/>
        <s v="4-R-9B"/>
        <s v="ANDEN-1-1"/>
        <s v="ANDEN-1-10"/>
        <s v="ANDEN-1-11"/>
        <s v="ANDEN-1-12"/>
        <s v="ANDEN-1-13"/>
        <s v="ANDEN-1-14"/>
        <s v="ANDEN-1-15"/>
        <s v="ANDEN-1-16"/>
        <s v="ANDEN-1-17"/>
        <s v="ANDEN-1-2"/>
        <s v="ANDEN-1-4"/>
        <s v="ANDEN-1-5"/>
        <s v="ANDEN-1-6"/>
        <s v="ANDEN-1-7"/>
        <s v="ANDEN-1-8"/>
        <s v="ANDEN-1-9"/>
        <s v="CASINO-1-10"/>
        <s v="CASINO-1-7"/>
        <s v="CASINO-1-8"/>
        <s v="CASINO-1-9"/>
        <s v="PATIO-1-10"/>
        <s v="PATIO-1-11"/>
        <s v="PATIO-1-12"/>
        <s v="PATIO-1-13"/>
        <s v="PATIO-1-14"/>
        <s v="PATIO-1-15"/>
        <s v="PATIO-1-16"/>
        <s v="PATIO-1-17"/>
        <s v="PATIO-1-18"/>
        <s v="PATIO-1-19"/>
        <s v="PATIO-1-2"/>
        <s v="PATIO-1-20"/>
        <s v="PATIO-1-21"/>
        <s v="PATIO-1-22"/>
        <s v="PATIO-1-23"/>
        <s v="PATIO-1-24"/>
        <s v="PATIO-1-25"/>
        <s v="PATIO-1-26"/>
        <s v="PATIO-1-3"/>
        <s v="PATIO-1-4"/>
        <s v="PATIO-1-5"/>
        <s v="PATIO-1-6"/>
        <s v="PATIO-1-7"/>
        <s v="PATIO-1-8"/>
        <s v="PATIO-1-9"/>
        <s v="R-8-B1"/>
        <s v="R-8-B10"/>
        <s v="R-8-B11"/>
        <s v="R-8-B3"/>
        <s v="R-8-B4"/>
        <s v="R-8-B5"/>
        <s v="R-8-B6"/>
        <s v="R-8-B7"/>
        <s v="R-8-B8"/>
        <s v="R-8-B9"/>
        <s v="T-1-1"/>
        <s v="T-1-11"/>
        <s v="T-1-12"/>
        <s v="T-1-13"/>
        <s v="T-1-14"/>
        <s v="T-1-15"/>
        <s v="T-1-2"/>
        <s v="T-1-3"/>
        <s v="T-1-4"/>
        <s v="T-1-5"/>
        <s v="T-1-6"/>
        <s v="ZEST-1-2"/>
        <s v="ZEST-1-3"/>
        <s v="ZEST-1-4"/>
        <s v="ZEST-1-5"/>
        <s v="ZEST-2-1"/>
        <s v="ZEST-2-2"/>
        <s v="ZEST-2-3"/>
        <s v="ZEST-2-4"/>
        <s v="ZEST-2-5"/>
        <s v="ZEST-3-2"/>
        <s v="ZEST-3-3"/>
        <s v="ZEST-3-4"/>
        <s v="ZEST-3-5"/>
        <s v="ZEST-4-2"/>
        <s v="ZOUT-1-10"/>
        <s v="ZOUT-1-11"/>
        <s v="ZOUT-1-12"/>
        <s v="ZOUT-1-14"/>
        <s v="ZOUT-1-15"/>
        <s v="ZOUT-1-16"/>
        <s v="ZOUT-1-17"/>
        <s v="ZOUT-1-18"/>
        <s v="ZOUT-1-19"/>
        <s v="ZOUT-1-20"/>
        <s v="ZOUT-1-21"/>
        <s v="ZOUT-1-22"/>
        <s v="ZOUT-1-23"/>
        <s v="ZOUT-1-24"/>
        <s v="ZOUT-1-25"/>
        <s v="ZOUT-1-26"/>
        <s v="ZOUT-1-7"/>
        <s v="ZOUT-1-8"/>
        <s v="ZOUT-1-9"/>
        <m/>
      </sharedItems>
    </cacheField>
    <cacheField name="SKU">
      <sharedItems containsBlank="1" containsMixedTypes="1" containsNumber="1" containsInteger="1">
        <s v="691015"/>
        <s v="691410"/>
        <s v="692432"/>
        <s v="692425"/>
        <s v="692029S"/>
        <s v="691411"/>
        <s v="600482X"/>
        <s v="600505X"/>
        <s v="600499X"/>
        <s v="600666"/>
        <s v="600536"/>
        <s v="PDQSEPARADORPLATO"/>
        <s v="692036X"/>
        <s v="600567"/>
        <s v="PENDIENTE"/>
        <s v="692012X"/>
        <s v="600673"/>
        <s v="600697"/>
        <s v="600659"/>
        <s v="600550"/>
        <s v="600512"/>
        <s v="111111"/>
        <s v="600900P"/>
        <s v="605678"/>
        <s v="692029X"/>
        <n v="692043.0"/>
        <s v="690155"/>
        <s v="682778"/>
        <s v="LSS1200"/>
        <s v="PPPMXL"/>
        <s v="FAFE7L"/>
        <s v="FAPE5L"/>
        <s v="FACE4L"/>
        <s v="LPP800W"/>
        <s v="HEBE25L"/>
        <s v="HEGE18L"/>
        <s v="HF25L"/>
        <s v="FAME12L"/>
        <s v="HSC17L"/>
        <s v="PPME"/>
        <s v="HESS60"/>
        <s v="FADE9L"/>
        <s v="HESS45"/>
        <s v="CAFA4"/>
        <s v="600574"/>
        <s v="692043"/>
        <s v="LIPS850"/>
        <n v="691084.0"/>
        <s v="600523"/>
        <s v="PDQ FUNDA PANAL"/>
        <s v="PDQ BOTELLAS VASOS"/>
        <m/>
      </sharedItems>
    </cacheField>
    <cacheField name="DESCRIPCION" numFmtId="0">
      <sharedItems containsBlank="1">
        <s v="CAJA TV"/>
        <s v="CAJA CARTON ENVIOS PACK"/>
        <s v="CAJA CARTON ENVIOS 25x17x13 CM"/>
        <s v="CAJA CARTON PISQUERA 31x23x31 CM"/>
        <s v="CAJA CARTON CORRUGADO 60x40x40 S/IMPRESION"/>
        <s v="CAJA CARTON ENVIOS SB 18x10x8 CM."/>
        <s v="CAJA CARTON CON ASAS 40X30X30 CM  EASY"/>
        <s v="CAJA CARTON CON ASAS 70X30X30 CM EASY"/>
        <s v="CAJA CARTON CON ASAS 50X30X30 CM EASY"/>
        <s v="CAJA CARTON S/IMP 32x23x32 CM"/>
        <s v="ROLLO PAPEL KRAFT 35GR 20 MT"/>
        <s v="PDQ SEPARADOR PLATO"/>
        <s v="CAJA CARTON CORRUGADO 47x31x31 "/>
        <s v="SEPARADORES PLATOS 32X23X32"/>
        <s v="SEPARADOR BOTELLA DOS RANURAS"/>
        <s v="CAJA CARTON CORRUGADO 50x40x30 "/>
        <s v="ROLLO PAPEL KRAFT 35GR 25 MT"/>
        <s v="CAJA PLUMAVIT 35 LITROS"/>
        <s v="ROLLO ESPUMA EMBALAJE 1 MM 0,70X5 MT"/>
        <s v="ROLLO PAPEL PANAL 0,50 X 25MTS"/>
        <s v="ROLLO ESPUMA EMBALAJE 1 MM 0,70X10 MT"/>
        <s v="ROLLO PAPEL KRAFT 35G 230MT"/>
        <s v="ROLLO ESPUMA EMBALAJE 1 MM 1.40X125 MT"/>
        <s v="ROLLO CARTON CORRUGADO 1.20X73Mt aprox. 25K"/>
        <s v="CAJA CARTON CORRUGADO 60x40x40"/>
        <s v="CAJA CARTON CORRUGADO 60x60x50 CM"/>
        <s v="ROLLO CARTON CORRUGADO 0.80X10 MT"/>
        <s v="ROLLO CARTON CORRUGADO 1.20X25 MT"/>
        <s v="SEPARADOR 2 RANURAS"/>
        <s v="Licuadora Smart System 1200W"/>
        <s v="Plancha Panini Pro Max XL"/>
        <s v="Freidora de Aire Family Edition 7L"/>
        <s v="Freidora de Aire Plus Edition 5L"/>
        <s v="Freidora de Aire Chef Edition 4L"/>
        <s v="Licuadora Power Pro 800W"/>
        <s v="Hervidor Big Edition 2.5L"/>
        <s v="Hervidor Glass Edition 1.8L"/>
        <s v="Horno Freidora Smart Edition 25L"/>
        <s v="SEPARADOR  VASOS 3 RANURAS"/>
        <s v="Freidora de Aire Max Edition 12L"/>
        <s v="Hervidor Smart Control 1,7L"/>
        <s v="Sandwichera Panini Master Edition"/>
        <s v="Horno Eléctrico Silver Series 60L"/>
        <s v="Freidora de Aire Dual Edition 9L"/>
        <s v="Horno Eléctrico Silver Series 45L"/>
        <s v="Cafetera Arezzo 4 en 1"/>
        <s v="SEPARADOR VASOS BOTELLAS 32X23X32"/>
        <s v="CAJA CARTON CORRUGADO 60x60x50 CM "/>
        <s v="Licuadora Professional Series 850W"/>
        <s v="ROLLO CARTON ACOLCHADO 40cmx5mt"/>
        <s v="FUNDA PAPEL PANAL SET 3 UN 40X10CM"/>
        <s v="PDQ FUNDA PANAL"/>
        <s v="PDQ BOTELLAS VASOS"/>
        <m/>
      </sharedItems>
    </cacheField>
    <cacheField name="UNIDADADES TOTAL" numFmtId="3">
      <sharedItems containsString="0" containsBlank="1" containsNumber="1" containsInteger="1">
        <n v="90.0"/>
        <n v="43.0"/>
        <n v="700.0"/>
        <n v="511.0"/>
        <n v="100.0"/>
        <n v="1990.0"/>
        <n v="868.0"/>
        <n v="417.0"/>
        <n v="475.0"/>
        <n v="400.0"/>
        <n v="409.0"/>
        <n v="299.0"/>
        <n v="111.0"/>
        <n v="200.0"/>
        <n v="525.0"/>
        <n v="1500.0"/>
        <n v="4.0"/>
        <n v="350.0"/>
        <n v="199.0"/>
        <n v="450.0"/>
        <n v="500.0"/>
        <n v="250.0"/>
        <n v="488.0"/>
        <n v="268.0"/>
        <n v="640.0"/>
        <n v="600.0"/>
        <n v="775.0"/>
        <n v="300.0"/>
        <n v="30.0"/>
        <n v="9.0"/>
        <n v="18.0"/>
        <n v="7.0"/>
        <n v="71.0"/>
        <n v="55.0"/>
        <n v="23.0"/>
        <n v="6.0"/>
        <n v="20.0"/>
        <n v="35.0"/>
        <n v="21.0"/>
        <n v="10.0"/>
        <n v="11.0"/>
        <n v="19.0"/>
        <n v="3.0"/>
        <n v="666.0"/>
        <n v="38.0"/>
        <n v="140.0"/>
        <n v="120.0"/>
        <n v="42.0"/>
        <n v="72.0"/>
        <n v="37.0"/>
        <n v="80.0"/>
        <n v="2.0"/>
        <n v="144.0"/>
        <n v="84.0"/>
        <n v="330.0"/>
        <n v="147.0"/>
        <n v="288.0"/>
        <n v="360.0"/>
        <n v="549.0"/>
        <n v="667.0"/>
        <n v="276.0"/>
        <n v="160.0"/>
        <n v="13.0"/>
        <n v="576.0"/>
        <n v="840.0"/>
        <n v="31.0"/>
        <n v="171.0"/>
        <n v="163.0"/>
        <n v="5.0"/>
        <n v="8.0"/>
        <n v="29.0"/>
        <n v="118.0"/>
        <n v="40.0"/>
        <n v="166.0"/>
        <n v="510.0"/>
        <n v="996.0"/>
        <n v="790.0"/>
        <n v="795.0"/>
        <n v="225.0"/>
        <n v="718.0"/>
        <n v="716.0"/>
        <n v="325.0"/>
        <n v="275.0"/>
        <n v="150.0"/>
        <n v="205.0"/>
        <n v="93.0"/>
        <n v="17.0"/>
        <n v="1.0"/>
        <n v="24.0"/>
        <n v="65.0"/>
        <n v="206.0"/>
        <n v="12.0"/>
        <n v="15.0"/>
        <m/>
      </sharedItems>
    </cacheField>
    <cacheField name="ORIGEN INGRESO" numFmtId="0">
      <sharedItems containsBlank="1">
        <s v="PROVEEDOR"/>
        <s v="PRODUCTO TERMINADO"/>
        <s v="Contenedor"/>
        <s v="Devoluciones"/>
        <s v="Movimiento Interno"/>
        <s v="MERCADO  LIBRE"/>
        <s v="Retorno Falabella"/>
        <m/>
      </sharedItems>
    </cacheField>
    <cacheField name="SALA">
      <sharedItems containsBlank="1" containsMixedTypes="1" containsNumber="1" containsInteger="1">
        <n v="1.0"/>
        <n v="2.0"/>
        <n v="3.0"/>
        <n v="4.0"/>
        <s v="ANDEN"/>
        <s v="CASINO"/>
        <s v="PATIO"/>
        <s v="R"/>
        <s v="T"/>
        <s v="ZEST"/>
        <s v="ZOUT"/>
        <m/>
      </sharedItems>
    </cacheField>
    <cacheField name="FILA" numFmtId="49">
      <sharedItems containsBlank="1">
        <s v="1"/>
        <s v="2"/>
        <s v="3"/>
        <s v="4"/>
        <s v="5"/>
        <s v="6"/>
        <s v="7"/>
        <s v="NV"/>
        <s v="PRD-F1"/>
        <s v="PRD-F2"/>
        <s v="PRD-F4"/>
        <s v="R"/>
        <s v="10"/>
        <s v="11"/>
        <s v="12"/>
        <s v="13"/>
        <s v="14"/>
        <s v="15"/>
        <s v="16"/>
        <s v="17"/>
        <s v="18"/>
        <s v="19"/>
        <s v="21"/>
        <s v="8"/>
        <s v="9"/>
        <m/>
      </sharedItems>
    </cacheField>
    <cacheField name="POSICIÓN" numFmtId="49">
      <sharedItems containsBlank="1">
        <s v="1"/>
        <s v="2"/>
        <s v="3"/>
        <s v="4"/>
        <s v="5"/>
        <s v="1A"/>
        <s v="2A"/>
        <s v="2B"/>
        <s v="3A"/>
        <s v="4A"/>
        <s v="5A"/>
        <s v="5B"/>
        <s v="3B"/>
        <s v="4B"/>
        <s v="2A1"/>
        <s v="2A2"/>
        <s v="A"/>
        <s v="B"/>
        <s v="C"/>
        <s v="D"/>
        <s v="10A"/>
        <s v="10B"/>
        <s v="1B"/>
        <s v="1C"/>
        <s v="6A"/>
        <s v="6B"/>
        <s v="7A"/>
        <s v="7B"/>
        <s v="9A"/>
        <s v="9B"/>
        <s v="10"/>
        <s v="11"/>
        <s v="12"/>
        <s v="13"/>
        <s v="14"/>
        <s v="15"/>
        <s v="16"/>
        <s v="17"/>
        <s v="6"/>
        <s v="7"/>
        <s v="8"/>
        <s v="9"/>
        <s v="18"/>
        <s v="19"/>
        <s v="20"/>
        <s v="21"/>
        <s v="22"/>
        <s v="23"/>
        <s v="24"/>
        <s v="25"/>
        <s v="26"/>
        <s v="B1"/>
        <s v="B10"/>
        <s v="B11"/>
        <s v="B3"/>
        <s v="B4"/>
        <s v="B5"/>
        <s v="B6"/>
        <s v="B7"/>
        <s v="B8"/>
        <s v="B9"/>
        <m/>
      </sharedItems>
    </cacheField>
    <cacheField name="#" numFmtId="0">
      <sharedItems containsString="0" containsBlank="1" containsNumber="1" containsInteger="1">
        <n v="1.0"/>
        <n v="2.0"/>
        <n v="3.0"/>
        <n v="4.0"/>
        <n v="5.0"/>
        <n v="11.0"/>
        <n v="14.0"/>
        <n v="15.0"/>
        <n v="16.0"/>
        <n v="17.0"/>
        <n v="18.0"/>
        <n v="19.0"/>
        <n v="20.0"/>
        <n v="22.0"/>
        <n v="23.0"/>
        <n v="24.0"/>
        <n v="26.0"/>
        <n v="28.0"/>
        <n v="29.0"/>
        <n v="30.0"/>
        <n v="32.0"/>
        <n v="34.0"/>
        <n v="36.0"/>
        <n v="38.0"/>
        <n v="40.0"/>
        <n v="41.0"/>
        <n v="42.0"/>
        <n v="44.0"/>
        <n v="46.0"/>
        <n v="48.0"/>
        <n v="50.0"/>
        <n v="52.0"/>
        <n v="54.0"/>
        <n v="56.0"/>
        <n v="60.0"/>
        <n v="62.0"/>
        <n v="66.0"/>
        <n v="68.0"/>
        <n v="72.0"/>
        <n v="74.0"/>
        <n v="75.0"/>
        <n v="76.0"/>
        <n v="78.0"/>
        <n v="84.0"/>
        <n v="85.0"/>
        <n v="86.0"/>
        <n v="87.0"/>
        <n v="89.0"/>
        <n v="92.0"/>
        <n v="94.0"/>
        <n v="100.0"/>
        <n v="101.0"/>
        <n v="102.0"/>
        <n v="103.0"/>
        <n v="105.0"/>
        <n v="115.0"/>
        <n v="116.0"/>
        <n v="96.0"/>
        <n v="97.0"/>
        <n v="98.0"/>
        <n v="120.0"/>
        <n v="121.0"/>
        <n v="122.0"/>
        <n v="123.0"/>
        <n v="157.0"/>
        <n v="158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7.0"/>
        <n v="178.0"/>
        <n v="179.0"/>
        <n v="181.0"/>
        <n v="182.0"/>
        <n v="183.0"/>
        <n v="185.0"/>
        <n v="186.0"/>
        <n v="187.0"/>
        <n v="188.0"/>
        <n v="189.0"/>
        <n v="190.0"/>
        <n v="191.0"/>
        <n v="193.0"/>
        <n v="194.0"/>
        <n v="195.0"/>
        <n v="196.0"/>
        <n v="125.0"/>
        <n v="126.0"/>
        <n v="127.0"/>
        <n v="128.0"/>
        <n v="198.0"/>
        <n v="199.0"/>
        <n v="200.0"/>
        <n v="131.0"/>
        <n v="132.0"/>
        <n v="141.0"/>
        <n v="142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222.0"/>
        <n v="223.0"/>
        <n v="197.0"/>
        <n v="206.0"/>
        <n v="207.0"/>
        <n v="208.0"/>
        <n v="209.0"/>
        <n v="211.0"/>
        <n v="212.0"/>
        <n v="213.0"/>
        <n v="214.0"/>
        <n v="215.0"/>
        <n v="216.0"/>
        <n v="217.0"/>
        <n v="218.0"/>
        <n v="219.0"/>
        <n v="220.0"/>
        <n v="221.0"/>
        <n v="224.0"/>
        <n v="233.0"/>
        <n v="234.0"/>
        <n v="235.0"/>
        <n v="236.0"/>
        <n v="237.0"/>
        <n v="238.0"/>
        <n v="239.0"/>
        <n v="240.0"/>
        <n v="225.0"/>
        <n v="227.0"/>
        <n v="228.0"/>
        <n v="229.0"/>
        <n v="230.0"/>
        <n v="231.0"/>
        <n v="232.0"/>
        <n v="254.0"/>
        <n v="251.0"/>
        <n v="252.0"/>
        <n v="253.0"/>
        <n v="274.0"/>
        <n v="275.0"/>
        <n v="276.0"/>
        <n v="277.0"/>
        <n v="278.0"/>
        <n v="279.0"/>
        <n v="280.0"/>
        <n v="281.0"/>
        <n v="282.0"/>
        <n v="266.0"/>
        <n v="283.0"/>
        <n v="267.0"/>
        <n v="268.0"/>
        <n v="269.0"/>
        <n v="270.0"/>
        <n v="271.0"/>
        <n v="272.0"/>
        <n v="273.0"/>
        <n v="300.0"/>
        <n v="301.0"/>
        <n v="293.0"/>
        <n v="294.0"/>
        <n v="295.0"/>
        <n v="296.0"/>
        <n v="297.0"/>
        <n v="298.0"/>
        <n v="299.0"/>
        <n v="307.0"/>
        <n v="317.0"/>
        <n v="318.0"/>
        <n v="319.0"/>
        <n v="320.0"/>
        <n v="321.0"/>
        <n v="308.0"/>
        <n v="309.0"/>
        <n v="310.0"/>
        <n v="311.0"/>
        <n v="312.0"/>
        <n v="378.0"/>
        <n v="379.0"/>
        <n v="380.0"/>
        <n v="381.0"/>
        <n v="382.0"/>
        <n v="383.0"/>
        <n v="384.0"/>
        <n v="385.0"/>
        <n v="386.0"/>
        <n v="388.0"/>
        <n v="389.0"/>
        <n v="390.0"/>
        <n v="391.0"/>
        <n v="393.0"/>
        <n v="356.0"/>
        <n v="357.0"/>
        <n v="358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53.0"/>
        <n v="354.0"/>
        <n v="355.0"/>
        <m/>
      </sharedItems>
    </cacheField>
    <cacheField name="Cliente" numFmtId="0">
      <sharedItems containsBlank="1">
        <s v="SUMMIT"/>
        <m/>
        <s v="KITCHEN-IT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R1:AU935" sheet="Ubicaciones"/>
  </cacheSource>
  <cacheFields>
    <cacheField name="UBICACION" numFmtId="49">
      <sharedItems containsBlank="1">
        <s v="1-1-1"/>
        <s v="1-1-2"/>
        <s v="1-1-3"/>
        <s v="1-1-4"/>
        <s v="2-1-3"/>
        <s v="2-2-1"/>
        <s v="2-2-3"/>
        <s v="2-4-2"/>
        <s v="2-5-1"/>
        <s v="2-6-1"/>
        <s v="2-6-2"/>
        <s v="3-1-1A"/>
        <s v="3-1-2A"/>
        <s v="3-1-3A"/>
        <s v="3-2-1A"/>
        <s v="3-2-4A"/>
        <s v="3-3-1A"/>
        <s v="3-3-2A"/>
        <s v="3-3-3A"/>
        <s v="3-4-1A"/>
        <s v="3-4-2A"/>
        <s v="3-4-4A"/>
        <s v="3-5-1A"/>
        <s v="3-5-2A"/>
        <s v="3-5-3A"/>
        <s v="3-6-4A"/>
        <s v="3-7-2B"/>
        <s v="3-7-3A"/>
        <s v="3-7-4B"/>
        <s v="3-NV-1"/>
        <s v="3-NV-2"/>
        <s v="3-NV-3"/>
        <s v="3-NV-4"/>
        <s v="3-PRD-F1-3"/>
        <s v="3-PRD-F1-4"/>
        <s v="3-PRD-F2-1"/>
        <s v="3-R-2A1"/>
        <s v="3-R-2A2"/>
        <s v="3-R-2B"/>
        <s v="4-1-A"/>
        <s v="4-1-B"/>
        <s v="4-1-C"/>
        <s v="4-1-D"/>
        <s v="4-1-E"/>
        <s v="4-10-A"/>
        <s v="4-10-B"/>
        <s v="4-10-C"/>
        <s v="4-10-D"/>
        <s v="4-11-A"/>
        <s v="4-11-B"/>
        <s v="4-11-C"/>
        <s v="4-11-D"/>
        <s v="4-12-A"/>
        <s v="4-12-B"/>
        <s v="4-12-C"/>
        <s v="4-12-D"/>
        <s v="4-13-A"/>
        <s v="4-13-B"/>
        <s v="4-13-C"/>
        <s v="4-14-A"/>
        <s v="4-14-B"/>
        <s v="4-14-C"/>
        <s v="4-15-A"/>
        <s v="4-15-B"/>
        <s v="4-15-C"/>
        <s v="4-16-A"/>
        <s v="4-16-B"/>
        <s v="4-16-C"/>
        <s v="4-16-D"/>
        <s v="4-17-A"/>
        <s v="4-17-B"/>
        <s v="4-17-C"/>
        <s v="4-17-D"/>
        <s v="4-18-A"/>
        <s v="4-18-B"/>
        <s v="4-18-C"/>
        <s v="4-18-D"/>
        <s v="4-19-A"/>
        <s v="4-19-B"/>
        <s v="4-19-C"/>
        <s v="4-19-D"/>
        <s v="4-2-A"/>
        <s v="4-2-B"/>
        <s v="4-2-C"/>
        <s v="4-20-B"/>
        <s v="4-20-C"/>
        <s v="4-20-D"/>
        <s v="4-21-A"/>
        <s v="4-21-B"/>
        <s v="4-21-C"/>
        <s v="4-21-D"/>
        <s v="4-3-A"/>
        <s v="4-3-B"/>
        <s v="4-3-C"/>
        <s v="4-3-D"/>
        <s v="4-4-A"/>
        <s v="4-4-B"/>
        <s v="4-4-C"/>
        <s v="4-5-A"/>
        <s v="4-5-B"/>
        <s v="4-5-C"/>
        <s v="4-5-D"/>
        <s v="4-6-A"/>
        <s v="4-6-B"/>
        <s v="4-6-C"/>
        <s v="4-7-A"/>
        <s v="4-7-B"/>
        <s v="4-7-C"/>
        <s v="4-7-D"/>
        <s v="4-8-A"/>
        <s v="4-8-B"/>
        <s v="4-8-C"/>
        <s v="4-9-A"/>
        <s v="4-9-B"/>
        <s v="4-9-C"/>
        <s v="4-9-D"/>
        <s v="4-R-10A"/>
        <s v="4-R-10B"/>
        <s v="4-R-1A"/>
        <s v="4-R-1B"/>
        <s v="4-R-1C"/>
        <s v="4-R-2B"/>
        <s v="4-R-3B"/>
        <s v="4-R-4B"/>
        <s v="4-R-5A"/>
        <s v="4-R-5B"/>
        <s v="4-R-6A"/>
        <s v="4-R-6B"/>
        <s v="4-R-7A"/>
        <s v="4-R-7B"/>
        <s v="4-R-9A"/>
        <s v="4-R-9B"/>
        <s v="ANDEN-1-1"/>
        <s v="ANDEN-1-10"/>
        <s v="ANDEN-1-11"/>
        <s v="ANDEN-1-14"/>
        <s v="ANDEN-1-16"/>
        <s v="ANDEN-1-2"/>
        <s v="ANDEN-1-3"/>
        <s v="ANDEN-1-4"/>
        <s v="ANDEN-1-5"/>
        <s v="ANDEN-1-6"/>
        <s v="ANDEN-1-7"/>
        <s v="ANDEN-1-8"/>
        <s v="CASINO-1-1"/>
        <s v="PATIO-1-1"/>
        <s v="PATIO-1-10"/>
        <s v="PATIO-1-11"/>
        <s v="PATIO-1-12"/>
        <s v="PATIO-1-13"/>
        <s v="PATIO-1-14"/>
        <s v="PATIO-1-15"/>
        <s v="PATIO-1-17"/>
        <s v="PATIO-1-18"/>
        <s v="PATIO-1-19"/>
        <s v="PATIO-1-2"/>
        <s v="PATIO-1-21"/>
        <s v="PATIO-1-22"/>
        <s v="PATIO-1-26"/>
        <s v="PATIO-1-3"/>
        <s v="PATIO-1-4"/>
        <s v="PATIO-1-5"/>
        <s v="PATIO-1-9"/>
        <s v="R-8-B1"/>
        <s v="R-8-B10"/>
        <s v="R-8-B2"/>
        <s v="R-8-B3"/>
        <s v="R-8-B4"/>
        <s v="R-8-B6"/>
        <s v="R-8-B7"/>
        <s v="R-8-B9"/>
        <s v="T-1-1"/>
        <s v="T-1-10"/>
        <s v="T-1-11"/>
        <s v="T-1-12"/>
        <s v="T-1-13"/>
        <s v="T-1-14"/>
        <s v="T-1-15"/>
        <s v="T-1-16"/>
        <s v="T-1-17"/>
        <s v="T-1-18"/>
        <s v="T-1-19"/>
        <s v="T-1-2"/>
        <s v="T-1-20"/>
        <s v="T-1-21"/>
        <s v="T-1-22"/>
        <s v="T-1-23"/>
        <s v="T-1-24"/>
        <s v="T-1-25"/>
        <s v="T-1-26"/>
        <s v="T-1-27"/>
        <s v="T-1-28"/>
        <s v="T-1-29"/>
        <s v="T-1-3"/>
        <s v="T-1-30"/>
        <s v="T-1-31"/>
        <s v="T-1-32"/>
        <s v="T-1-33"/>
        <s v="T-1-34"/>
        <s v="T-1-35"/>
        <s v="T-1-36"/>
        <s v="T-1-37"/>
        <s v="T-1-38"/>
        <s v="T-1-39"/>
        <s v="T-1-4"/>
        <s v="T-1-40"/>
        <s v="T-1-5"/>
        <s v="T-1-6"/>
        <s v="T-1-7"/>
        <s v="T-1-8"/>
        <s v="T-1-9"/>
        <s v="ZEST-1-1"/>
        <s v="ZEST-1-2"/>
        <s v="ZEST-1-5"/>
        <s v="ZEST-2-1"/>
        <s v="ZEST-2-5"/>
        <s v="ZEST-3-4"/>
        <s v="ZEST-3-5"/>
        <m/>
      </sharedItems>
    </cacheField>
    <cacheField name="SKU">
      <sharedItems containsBlank="1" containsMixedTypes="1" containsNumber="1" containsInteger="1">
        <s v="691015"/>
        <s v="691410"/>
        <s v="692432"/>
        <s v="692425"/>
        <s v="600574"/>
        <s v="691411"/>
        <s v="600666"/>
        <s v="600505X"/>
        <s v="600673"/>
        <s v="600536"/>
        <s v="600567XX"/>
        <s v="657325"/>
        <s v="600567"/>
        <s v="PENDIENTE"/>
        <s v="692012X"/>
        <s v="692036X"/>
        <s v="692029X"/>
        <s v="600697"/>
        <n v="600550.0"/>
        <s v="600512"/>
        <s v="600772"/>
        <s v="692265"/>
        <s v="605678"/>
        <s v="682778"/>
        <s v="692043"/>
        <n v="692043.0"/>
        <s v="600900P"/>
        <s v="HF25L"/>
        <s v="FACE4L"/>
        <s v="FAPE5L"/>
        <s v="FADE9L"/>
        <s v="FAFE7L"/>
        <s v="TV4PKI"/>
        <s v="FAME12L"/>
        <s v="HEBE25L"/>
        <s v="HEGE18L"/>
        <s v="PPPMXL"/>
        <s v="FADCXL10L"/>
        <s v="LPP800W"/>
        <s v="HSC17L"/>
        <s v="PPME"/>
        <s v="LSS1200"/>
        <s v="CAFA4"/>
        <s v="HESS45"/>
        <s v="HPBE22"/>
        <s v="TCK0ZESE"/>
        <s v="LIPS850"/>
        <s v="600482X"/>
        <s v="HESS60"/>
        <s v="600499X"/>
        <n v="691084.0"/>
        <n v="605678.0"/>
        <s v="ELAF41"/>
        <s v="600574XX"/>
        <s v="600523XX"/>
        <m/>
      </sharedItems>
    </cacheField>
    <cacheField name="DESCRIPCION" numFmtId="0">
      <sharedItems containsBlank="1">
        <s v="CAJA TV"/>
        <s v="CAJA CARTON ENVIOS PACK"/>
        <s v="CAJA CARTON ENVIOS 25x17x13 CM"/>
        <s v="CAJA CARTON PISQUERA 31x23x31 CM"/>
        <s v="SEPARADOR VASOS BOTELLAS 32X23X32"/>
        <s v="CAJA CARTON ENVIOS SB 18x10x8 CM."/>
        <s v="CAJA CARTON S/IMP 32x23x32 CM"/>
        <s v="CAJA CARTON CON ASAS 70X30X30 CM EASY"/>
        <s v="ROLLO PAPEL KRAFT 35GR 57X25 MT"/>
        <s v="ROLLO PAPEL KRAFT 35GR 57X20 MT"/>
        <s v="PDQ SEPARADOR PLATO"/>
        <s v="FILM STRECH MANUAL 20MIC X 500MM 2,0KG"/>
        <s v="SEPARADORES PLATOS 32X23X32"/>
        <s v="SEPARADOR BOTELLA DOS RANURAS"/>
        <s v="CAJA CARTON CORRUGADO 50x40x30 "/>
        <s v="CAJA CARTON CORRUGADO 47x31x31 "/>
        <s v="CAJA CARTON CORRUGADO 60x40x40 "/>
        <s v="CAJA PLUMAVIT 35 LITROS"/>
        <s v="ROLLO PAPEL PANAL 0,50 X 25MTS"/>
        <s v="ROLLO ESPUMA EMBALAJE 1 MM 0,70X5 MT"/>
        <s v="ROLLO PAPEL KRAFT 35G 57X230MT"/>
        <s v="ROLLO CARTON CORRUGADO 0.80X100 MT"/>
        <s v="ROLLO CARTON CORRUGADO 1.20X73Mt aprox. 25K"/>
        <s v="ROLLO CARTON CORRUGADO 1.20X25 MT"/>
        <s v="CAJA CARTON CORRUGADO 60x60x50 CM "/>
        <s v="CAJA CARTON CORRUGADO 60x40x40"/>
        <s v="CAJA CARTON CORRUGADO 60x60x50 CM"/>
        <s v="SEPARADOR 2 RANURAS"/>
        <s v="ROLLO ESPUMA EMBALAJE 1 MM 1.40X220 MT"/>
        <s v="Horno Freidora Smart Edition 25L"/>
        <s v="Freidora de Aire Chef Edition 4L"/>
        <s v="Freidora de Aire Plus Edition 5L"/>
        <s v="Freidora de Aire Dual Edition 9L"/>
        <s v="Freidora de Aire Family Edition 7L"/>
        <s v="Tostador Vienna Kitchen-It"/>
        <s v="Freidora de Aire Max Edition 12L"/>
        <s v="Hervidor Big Edition 2.5L"/>
        <s v="Hervidor Glass Edition 1.8L"/>
        <s v="Plancha Panini Pro Max XL"/>
        <s v="SEPARADOR  VASOS 3 RANURAS"/>
        <s v="Freidora de Aire Dual Crisp XL 10L"/>
        <s v="Licuadora Power Pro 800W"/>
        <s v="Hervidor Smart Control 1,7L"/>
        <s v="Sandwichera Panini Master Edition"/>
        <s v="Licuadora Smart System 1200W"/>
        <s v="Cafetera Arezzo 4 en 1"/>
        <s v="Horno Eléctrico Silver Series 45L"/>
        <s v="Horno Pizza a la Piedra Black Edition"/>
        <s v="Air Fryer Parrilla Ckozese by Onson 7L"/>
        <s v="Licuadora Professional Series 850W"/>
        <s v="CAJA CARTON CON ASAS 40X30X30 CM  EASY"/>
        <s v="Horno Eléctrico Silver Series 60L"/>
        <s v="CAJA CARTON CON ASAS 50X30X30 CM EASY"/>
        <s v="ROLLO CARTON ACOLCHADO 40CMx5MT"/>
        <s v="Espumador Aerofoam 4 en 1"/>
        <s v="PDQ BOTELLAS VASOS"/>
        <s v="PDQ FUNDA PANAL"/>
        <m/>
      </sharedItems>
    </cacheField>
    <cacheField name="UNIDADADES TOTAL" numFmtId="3">
      <sharedItems containsString="0" containsBlank="1" containsNumber="1" containsInteger="1">
        <n v="81.0"/>
        <n v="31.0"/>
        <n v="700.0"/>
        <n v="360.0"/>
        <n v="716.0"/>
        <n v="1640.0"/>
        <n v="600.0"/>
        <n v="680.0"/>
        <n v="214.0"/>
        <n v="311.0"/>
        <n v="32.0"/>
        <n v="180.0"/>
        <n v="525.0"/>
        <n v="1500.0"/>
        <n v="400.0"/>
        <n v="25.0"/>
        <n v="225.0"/>
        <n v="450.0"/>
        <n v="500.0"/>
        <n v="216.0"/>
        <n v="60.0"/>
        <n v="105.0"/>
        <n v="10.0"/>
        <n v="55.0"/>
        <n v="68.0"/>
        <n v="54.0"/>
        <n v="72.0"/>
        <n v="1230.0"/>
        <n v="15.0"/>
        <n v="11.0"/>
        <n v="666.0"/>
        <n v="5.0"/>
        <n v="28.0"/>
        <n v="80.0"/>
        <n v="71.0"/>
        <n v="14.0"/>
        <n v="29.0"/>
        <n v="110.0"/>
        <n v="82.0"/>
        <n v="63.0"/>
        <n v="61.0"/>
        <n v="300.0"/>
        <n v="288.0"/>
        <n v="209.0"/>
        <n v="45.0"/>
        <n v="160.0"/>
        <n v="78.0"/>
        <n v="96.0"/>
        <n v="667.0"/>
        <n v="718.0"/>
        <n v="996.0"/>
        <n v="42.0"/>
        <n v="168.0"/>
        <n v="90.0"/>
        <n v="59.0"/>
        <n v="26.0"/>
        <n v="576.0"/>
        <n v="260.0"/>
        <n v="53.0"/>
        <n v="169.0"/>
        <n v="75.0"/>
        <n v="4.0"/>
        <n v="17.0"/>
        <n v="121.0"/>
        <n v="9.0"/>
        <n v="103.0"/>
        <n v="40.0"/>
        <n v="350.0"/>
        <n v="510.0"/>
        <n v="790.0"/>
        <n v="195.0"/>
        <n v="20.0"/>
        <n v="200.0"/>
        <n v="50.0"/>
        <n v="1.0"/>
        <n v="2.0"/>
        <n v="6.0"/>
        <n v="150.0"/>
        <n v="212.0"/>
        <n v="340.0"/>
        <n v="290.0"/>
        <n v="84.0"/>
        <n v="100.0"/>
        <n v="137.0"/>
        <n v="56.0"/>
        <n v="3.0"/>
        <n v="44.0"/>
        <n v="189.0"/>
        <n v="46.0"/>
        <n v="8.0"/>
        <m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R1:BA935" sheet="Ubicaciones"/>
  </cacheSource>
  <cacheFields>
    <cacheField name="UBICACION" numFmtId="49">
      <sharedItems containsBlank="1">
        <s v="1-1-1"/>
        <s v="1-1-2"/>
        <s v="1-1-3"/>
        <s v="1-1-4"/>
        <s v="2-1-3"/>
        <s v="2-2-1"/>
        <s v="2-2-3"/>
        <s v="2-4-2"/>
        <s v="2-5-1"/>
        <s v="2-6-1"/>
        <s v="2-6-2"/>
        <s v="3-1-1A"/>
        <s v="3-1-2A"/>
        <s v="3-1-3A"/>
        <s v="3-2-1A"/>
        <s v="3-2-4A"/>
        <s v="3-3-1A"/>
        <s v="3-3-2A"/>
        <s v="3-3-3A"/>
        <s v="3-4-1A"/>
        <s v="3-4-2A"/>
        <s v="3-4-4A"/>
        <s v="3-5-1A"/>
        <s v="3-5-2A"/>
        <s v="3-5-3A"/>
        <s v="3-6-4A"/>
        <s v="3-7-2B"/>
        <s v="3-7-3A"/>
        <s v="3-7-4B"/>
        <s v="3-NV-1"/>
        <s v="3-NV-2"/>
        <s v="3-NV-3"/>
        <s v="3-NV-4"/>
        <s v="3-PRD-F1-3"/>
        <s v="3-PRD-F1-4"/>
        <s v="3-PRD-F2-1"/>
        <s v="3-R-2A1"/>
        <s v="3-R-2A2"/>
        <s v="3-R-2B"/>
        <s v="4-1-A"/>
        <s v="4-1-B"/>
        <s v="4-1-C"/>
        <s v="4-1-D"/>
        <s v="4-1-E"/>
        <s v="4-10-A"/>
        <s v="4-10-B"/>
        <s v="4-10-C"/>
        <s v="4-10-D"/>
        <s v="4-11-A"/>
        <s v="4-11-B"/>
        <s v="4-11-C"/>
        <s v="4-11-D"/>
        <s v="4-12-A"/>
        <s v="4-12-B"/>
        <s v="4-12-C"/>
        <s v="4-12-D"/>
        <s v="4-13-A"/>
        <s v="4-13-B"/>
        <s v="4-13-C"/>
        <s v="4-14-A"/>
        <s v="4-14-B"/>
        <s v="4-14-C"/>
        <s v="4-15-A"/>
        <s v="4-15-B"/>
        <s v="4-15-C"/>
        <s v="4-16-A"/>
        <s v="4-16-B"/>
        <s v="4-16-C"/>
        <s v="4-16-D"/>
        <s v="4-17-A"/>
        <s v="4-17-B"/>
        <s v="4-17-C"/>
        <s v="4-17-D"/>
        <s v="4-18-A"/>
        <s v="4-18-B"/>
        <s v="4-18-C"/>
        <s v="4-18-D"/>
        <s v="4-19-A"/>
        <s v="4-19-B"/>
        <s v="4-19-C"/>
        <s v="4-19-D"/>
        <s v="4-2-A"/>
        <s v="4-2-B"/>
        <s v="4-2-C"/>
        <s v="4-20-B"/>
        <s v="4-20-C"/>
        <s v="4-20-D"/>
        <s v="4-21-A"/>
        <s v="4-21-B"/>
        <s v="4-21-C"/>
        <s v="4-21-D"/>
        <s v="4-3-A"/>
        <s v="4-3-B"/>
        <s v="4-3-C"/>
        <s v="4-3-D"/>
        <s v="4-4-A"/>
        <s v="4-4-B"/>
        <s v="4-4-C"/>
        <s v="4-5-A"/>
        <s v="4-5-B"/>
        <s v="4-5-C"/>
        <s v="4-5-D"/>
        <s v="4-6-A"/>
        <s v="4-6-B"/>
        <s v="4-6-C"/>
        <s v="4-7-A"/>
        <s v="4-7-B"/>
        <s v="4-7-C"/>
        <s v="4-7-D"/>
        <s v="4-8-A"/>
        <s v="4-8-B"/>
        <s v="4-8-C"/>
        <s v="4-9-A"/>
        <s v="4-9-B"/>
        <s v="4-9-C"/>
        <s v="4-9-D"/>
        <s v="4-R-10A"/>
        <s v="4-R-10B"/>
        <s v="4-R-1A"/>
        <s v="4-R-1B"/>
        <s v="4-R-1C"/>
        <s v="4-R-2B"/>
        <s v="4-R-3B"/>
        <s v="4-R-4B"/>
        <s v="4-R-5A"/>
        <s v="4-R-5B"/>
        <s v="4-R-6A"/>
        <s v="4-R-6B"/>
        <s v="4-R-7A"/>
        <s v="4-R-7B"/>
        <s v="4-R-9A"/>
        <s v="4-R-9B"/>
        <s v="ANDEN-1-1"/>
        <s v="ANDEN-1-10"/>
        <s v="ANDEN-1-11"/>
        <s v="ANDEN-1-14"/>
        <s v="ANDEN-1-16"/>
        <s v="ANDEN-1-2"/>
        <s v="ANDEN-1-3"/>
        <s v="ANDEN-1-4"/>
        <s v="ANDEN-1-5"/>
        <s v="ANDEN-1-6"/>
        <s v="ANDEN-1-7"/>
        <s v="ANDEN-1-8"/>
        <s v="CASINO-1-1"/>
        <s v="PATIO-1-1"/>
        <s v="PATIO-1-10"/>
        <s v="PATIO-1-11"/>
        <s v="PATIO-1-12"/>
        <s v="PATIO-1-13"/>
        <s v="PATIO-1-14"/>
        <s v="PATIO-1-15"/>
        <s v="PATIO-1-17"/>
        <s v="PATIO-1-18"/>
        <s v="PATIO-1-19"/>
        <s v="PATIO-1-2"/>
        <s v="PATIO-1-21"/>
        <s v="PATIO-1-22"/>
        <s v="PATIO-1-26"/>
        <s v="PATIO-1-3"/>
        <s v="PATIO-1-4"/>
        <s v="PATIO-1-5"/>
        <s v="PATIO-1-9"/>
        <s v="R-8-B1"/>
        <s v="R-8-B10"/>
        <s v="R-8-B2"/>
        <s v="R-8-B3"/>
        <s v="R-8-B4"/>
        <s v="R-8-B6"/>
        <s v="R-8-B7"/>
        <s v="R-8-B9"/>
        <s v="T-1-1"/>
        <s v="T-1-10"/>
        <s v="T-1-11"/>
        <s v="T-1-12"/>
        <s v="T-1-13"/>
        <s v="T-1-14"/>
        <s v="T-1-15"/>
        <s v="T-1-16"/>
        <s v="T-1-17"/>
        <s v="T-1-18"/>
        <s v="T-1-19"/>
        <s v="T-1-2"/>
        <s v="T-1-20"/>
        <s v="T-1-21"/>
        <s v="T-1-22"/>
        <s v="T-1-23"/>
        <s v="T-1-24"/>
        <s v="T-1-25"/>
        <s v="T-1-26"/>
        <s v="T-1-27"/>
        <s v="T-1-28"/>
        <s v="T-1-29"/>
        <s v="T-1-3"/>
        <s v="T-1-30"/>
        <s v="T-1-31"/>
        <s v="T-1-32"/>
        <s v="T-1-33"/>
        <s v="T-1-34"/>
        <s v="T-1-35"/>
        <s v="T-1-36"/>
        <s v="T-1-37"/>
        <s v="T-1-38"/>
        <s v="T-1-39"/>
        <s v="T-1-4"/>
        <s v="T-1-40"/>
        <s v="T-1-5"/>
        <s v="T-1-6"/>
        <s v="T-1-7"/>
        <s v="T-1-8"/>
        <s v="T-1-9"/>
        <s v="ZEST-1-1"/>
        <s v="ZEST-1-2"/>
        <s v="ZEST-1-5"/>
        <s v="ZEST-2-1"/>
        <s v="ZEST-2-5"/>
        <s v="ZEST-3-4"/>
        <s v="ZEST-3-5"/>
        <m/>
      </sharedItems>
    </cacheField>
    <cacheField name="SKU">
      <sharedItems containsBlank="1" containsMixedTypes="1" containsNumber="1" containsInteger="1">
        <s v="691015"/>
        <s v="691410"/>
        <s v="692432"/>
        <s v="692425"/>
        <s v="600574"/>
        <s v="691411"/>
        <s v="600666"/>
        <s v="600505X"/>
        <s v="600673"/>
        <s v="600536"/>
        <s v="600567XX"/>
        <s v="657325"/>
        <s v="600567"/>
        <s v="PENDIENTE"/>
        <s v="692012X"/>
        <s v="692036X"/>
        <s v="692029X"/>
        <s v="600697"/>
        <n v="600550.0"/>
        <s v="600512"/>
        <s v="600772"/>
        <s v="692265"/>
        <s v="605678"/>
        <s v="682778"/>
        <s v="692043"/>
        <n v="692043.0"/>
        <s v="600900P"/>
        <s v="HF25L"/>
        <s v="FACE4L"/>
        <s v="FAPE5L"/>
        <s v="FADE9L"/>
        <s v="FAFE7L"/>
        <s v="TV4PKI"/>
        <s v="FAME12L"/>
        <s v="HEBE25L"/>
        <s v="HEGE18L"/>
        <s v="PPPMXL"/>
        <s v="FADCXL10L"/>
        <s v="LPP800W"/>
        <s v="HSC17L"/>
        <s v="PPME"/>
        <s v="LSS1200"/>
        <s v="CAFA4"/>
        <s v="HESS45"/>
        <s v="HPBE22"/>
        <s v="TCK0ZESE"/>
        <s v="LIPS850"/>
        <s v="600482X"/>
        <s v="HESS60"/>
        <s v="600499X"/>
        <n v="691084.0"/>
        <n v="605678.0"/>
        <s v="ELAF41"/>
        <s v="600574XX"/>
        <s v="600523XX"/>
        <m/>
      </sharedItems>
    </cacheField>
    <cacheField name="DESCRIPCION" numFmtId="0">
      <sharedItems containsBlank="1">
        <s v="CAJA TV"/>
        <s v="CAJA CARTON ENVIOS PACK"/>
        <s v="CAJA CARTON ENVIOS 25x17x13 CM"/>
        <s v="CAJA CARTON PISQUERA 31x23x31 CM"/>
        <s v="SEPARADOR VASOS BOTELLAS 32X23X32"/>
        <s v="CAJA CARTON ENVIOS SB 18x10x8 CM."/>
        <s v="CAJA CARTON S/IMP 32x23x32 CM"/>
        <s v="CAJA CARTON CON ASAS 70X30X30 CM EASY"/>
        <s v="ROLLO PAPEL KRAFT 35GR 57X25 MT"/>
        <s v="ROLLO PAPEL KRAFT 35GR 57X20 MT"/>
        <s v="PDQ SEPARADOR PLATO"/>
        <s v="FILM STRECH MANUAL 20MIC X 500MM 2,0KG"/>
        <s v="SEPARADORES PLATOS 32X23X32"/>
        <s v="SEPARADOR BOTELLA DOS RANURAS"/>
        <s v="CAJA CARTON CORRUGADO 50x40x30 "/>
        <s v="CAJA CARTON CORRUGADO 47x31x31 "/>
        <s v="CAJA CARTON CORRUGADO 60x40x40 "/>
        <s v="CAJA PLUMAVIT 35 LITROS"/>
        <s v="ROLLO PAPEL PANAL 0,50 X 25MTS"/>
        <s v="ROLLO ESPUMA EMBALAJE 1 MM 0,70X5 MT"/>
        <s v="ROLLO PAPEL KRAFT 35G 57X230MT"/>
        <s v="ROLLO CARTON CORRUGADO 0.80X100 MT"/>
        <s v="ROLLO CARTON CORRUGADO 1.20X73Mt aprox. 25K"/>
        <s v="ROLLO CARTON CORRUGADO 1.20X25 MT"/>
        <s v="CAJA CARTON CORRUGADO 60x60x50 CM "/>
        <s v="CAJA CARTON CORRUGADO 60x40x40"/>
        <s v="CAJA CARTON CORRUGADO 60x60x50 CM"/>
        <s v="SEPARADOR 2 RANURAS"/>
        <s v="ROLLO ESPUMA EMBALAJE 1 MM 1.40X220 MT"/>
        <s v="Horno Freidora Smart Edition 25L"/>
        <s v="Freidora de Aire Chef Edition 4L"/>
        <s v="Freidora de Aire Plus Edition 5L"/>
        <s v="Freidora de Aire Dual Edition 9L"/>
        <s v="Freidora de Aire Family Edition 7L"/>
        <s v="Tostador Vienna Kitchen-It"/>
        <s v="Freidora de Aire Max Edition 12L"/>
        <s v="Hervidor Big Edition 2.5L"/>
        <s v="Hervidor Glass Edition 1.8L"/>
        <s v="Plancha Panini Pro Max XL"/>
        <s v="SEPARADOR  VASOS 3 RANURAS"/>
        <s v="Freidora de Aire Dual Crisp XL 10L"/>
        <s v="Licuadora Power Pro 800W"/>
        <s v="Hervidor Smart Control 1,7L"/>
        <s v="Sandwichera Panini Master Edition"/>
        <s v="Licuadora Smart System 1200W"/>
        <s v="Cafetera Arezzo 4 en 1"/>
        <s v="Horno Eléctrico Silver Series 45L"/>
        <s v="Horno Pizza a la Piedra Black Edition"/>
        <s v="Air Fryer Parrilla Ckozese by Onson 7L"/>
        <s v="Licuadora Professional Series 850W"/>
        <s v="CAJA CARTON CON ASAS 40X30X30 CM  EASY"/>
        <s v="Horno Eléctrico Silver Series 60L"/>
        <s v="CAJA CARTON CON ASAS 50X30X30 CM EASY"/>
        <s v="ROLLO CARTON ACOLCHADO 40CMx5MT"/>
        <s v="Espumador Aerofoam 4 en 1"/>
        <s v="PDQ BOTELLAS VASOS"/>
        <s v="PDQ FUNDA PANAL"/>
        <m/>
      </sharedItems>
    </cacheField>
    <cacheField name="UNIDADADES TOTAL" numFmtId="3">
      <sharedItems containsString="0" containsBlank="1" containsNumber="1" containsInteger="1">
        <n v="81.0"/>
        <n v="31.0"/>
        <n v="700.0"/>
        <n v="360.0"/>
        <n v="716.0"/>
        <n v="1640.0"/>
        <n v="600.0"/>
        <n v="680.0"/>
        <n v="214.0"/>
        <n v="311.0"/>
        <n v="32.0"/>
        <n v="180.0"/>
        <n v="525.0"/>
        <n v="1500.0"/>
        <n v="400.0"/>
        <n v="25.0"/>
        <n v="225.0"/>
        <n v="450.0"/>
        <n v="500.0"/>
        <n v="216.0"/>
        <n v="60.0"/>
        <n v="105.0"/>
        <n v="10.0"/>
        <n v="55.0"/>
        <n v="68.0"/>
        <n v="54.0"/>
        <n v="72.0"/>
        <n v="1230.0"/>
        <n v="15.0"/>
        <n v="11.0"/>
        <n v="666.0"/>
        <n v="5.0"/>
        <n v="28.0"/>
        <n v="80.0"/>
        <n v="71.0"/>
        <n v="14.0"/>
        <n v="29.0"/>
        <n v="110.0"/>
        <n v="82.0"/>
        <n v="63.0"/>
        <n v="61.0"/>
        <n v="300.0"/>
        <n v="288.0"/>
        <n v="209.0"/>
        <n v="45.0"/>
        <n v="160.0"/>
        <n v="78.0"/>
        <n v="96.0"/>
        <n v="667.0"/>
        <n v="718.0"/>
        <n v="996.0"/>
        <n v="42.0"/>
        <n v="168.0"/>
        <n v="90.0"/>
        <n v="59.0"/>
        <n v="26.0"/>
        <n v="576.0"/>
        <n v="260.0"/>
        <n v="53.0"/>
        <n v="169.0"/>
        <n v="75.0"/>
        <n v="4.0"/>
        <n v="17.0"/>
        <n v="121.0"/>
        <n v="9.0"/>
        <n v="103.0"/>
        <n v="40.0"/>
        <n v="350.0"/>
        <n v="510.0"/>
        <n v="790.0"/>
        <n v="195.0"/>
        <n v="20.0"/>
        <n v="200.0"/>
        <n v="50.0"/>
        <n v="1.0"/>
        <n v="2.0"/>
        <n v="6.0"/>
        <n v="150.0"/>
        <n v="212.0"/>
        <n v="340.0"/>
        <n v="290.0"/>
        <n v="84.0"/>
        <n v="100.0"/>
        <n v="137.0"/>
        <n v="56.0"/>
        <n v="3.0"/>
        <n v="44.0"/>
        <n v="189.0"/>
        <n v="46.0"/>
        <n v="8.0"/>
        <m/>
      </sharedItems>
    </cacheField>
    <cacheField name="ORIGEN INGRESO" numFmtId="0">
      <sharedItems containsBlank="1">
        <s v="PROVEEDOR"/>
        <s v="PRODUCTO TERMINADO"/>
        <s v="Contenedor"/>
        <s v="Movimiento Interno"/>
        <s v="Retorno Falabella"/>
        <s v="Devoluciones"/>
        <m/>
      </sharedItems>
    </cacheField>
    <cacheField name="SALA">
      <sharedItems containsBlank="1" containsMixedTypes="1" containsNumber="1" containsInteger="1">
        <n v="1.0"/>
        <n v="2.0"/>
        <n v="3.0"/>
        <n v="4.0"/>
        <s v="ANDEN"/>
        <s v="CASINO"/>
        <s v="PATIO"/>
        <s v="R"/>
        <s v="T"/>
        <s v="ZEST"/>
        <m/>
      </sharedItems>
    </cacheField>
    <cacheField name="FILA" numFmtId="49">
      <sharedItems containsBlank="1">
        <s v="1"/>
        <s v="2"/>
        <s v="4"/>
        <s v="5"/>
        <s v="6"/>
        <s v="3"/>
        <s v="7"/>
        <s v="NV"/>
        <s v="PRD-F1"/>
        <s v="PRD-F2"/>
        <s v="R"/>
        <s v="10"/>
        <s v="11"/>
        <s v="12"/>
        <s v="13"/>
        <s v="14"/>
        <s v="15"/>
        <s v="16"/>
        <s v="17"/>
        <s v="18"/>
        <s v="19"/>
        <s v="20"/>
        <s v="21"/>
        <s v="8"/>
        <s v="9"/>
        <m/>
      </sharedItems>
    </cacheField>
    <cacheField name="POSICIÓN" numFmtId="49">
      <sharedItems containsBlank="1">
        <s v="1"/>
        <s v="2"/>
        <s v="3"/>
        <s v="4"/>
        <s v="1A"/>
        <s v="2A"/>
        <s v="3A"/>
        <s v="4A"/>
        <s v="2B"/>
        <s v="4B"/>
        <s v="2A1"/>
        <s v="2A2"/>
        <s v="A"/>
        <s v="B"/>
        <s v="C"/>
        <s v="D"/>
        <s v="E"/>
        <s v="10A"/>
        <s v="10B"/>
        <s v="1B"/>
        <s v="1C"/>
        <s v="3B"/>
        <s v="5A"/>
        <s v="5B"/>
        <s v="6A"/>
        <s v="6B"/>
        <s v="7A"/>
        <s v="7B"/>
        <s v="9A"/>
        <s v="9B"/>
        <s v="10"/>
        <s v="11"/>
        <s v="14"/>
        <s v="16"/>
        <s v="5"/>
        <s v="6"/>
        <s v="7"/>
        <s v="8"/>
        <s v="12"/>
        <s v="13"/>
        <s v="15"/>
        <s v="17"/>
        <s v="18"/>
        <s v="19"/>
        <s v="21"/>
        <s v="22"/>
        <s v="26"/>
        <s v="9"/>
        <s v="B1"/>
        <s v="B10"/>
        <s v="B2"/>
        <s v="B3"/>
        <s v="B4"/>
        <s v="B6"/>
        <s v="B7"/>
        <s v="B9"/>
        <s v="20"/>
        <s v="23"/>
        <s v="24"/>
        <s v="25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  <m/>
      </sharedItems>
    </cacheField>
    <cacheField name="#" numFmtId="0">
      <sharedItems containsString="0" containsBlank="1" containsNumber="1" containsInteger="1">
        <n v="1.0"/>
        <n v="2.0"/>
        <n v="3.0"/>
        <n v="4.0"/>
        <n v="10.0"/>
        <n v="11.0"/>
        <n v="13.0"/>
        <n v="18.0"/>
        <n v="20.0"/>
        <n v="23.0"/>
        <n v="24.0"/>
        <n v="26.0"/>
        <n v="28.0"/>
        <n v="30.0"/>
        <n v="32.0"/>
        <n v="38.0"/>
        <n v="42.0"/>
        <n v="44.0"/>
        <n v="46.0"/>
        <n v="52.0"/>
        <n v="55.0"/>
        <n v="59.0"/>
        <n v="63.0"/>
        <n v="65.0"/>
        <n v="67.0"/>
        <n v="79.0"/>
        <n v="86.0"/>
        <n v="87.0"/>
        <n v="90.0"/>
        <n v="93.0"/>
        <n v="94.0"/>
        <n v="95.0"/>
        <n v="96.0"/>
        <n v="103.0"/>
        <n v="104.0"/>
        <n v="106.0"/>
        <n v="98.0"/>
        <n v="99.0"/>
        <n v="121.0"/>
        <n v="122.0"/>
        <n v="123.0"/>
        <n v="124.0"/>
        <n v="125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4.0"/>
        <n v="175.0"/>
        <n v="176.0"/>
        <n v="178.0"/>
        <n v="179.0"/>
        <n v="180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26.0"/>
        <n v="127.0"/>
        <n v="128.0"/>
        <n v="198.0"/>
        <n v="199.0"/>
        <n v="200.0"/>
        <n v="201.0"/>
        <n v="202.0"/>
        <n v="130.0"/>
        <n v="131.0"/>
        <n v="132.0"/>
        <n v="133.0"/>
        <n v="134.0"/>
        <n v="135.0"/>
        <n v="136.0"/>
        <n v="138.0"/>
        <n v="139.0"/>
        <n v="140.0"/>
        <n v="141.0"/>
        <n v="142.0"/>
        <n v="143.0"/>
        <n v="144.0"/>
        <n v="146.0"/>
        <n v="147.0"/>
        <n v="148.0"/>
        <n v="149.0"/>
        <n v="150.0"/>
        <n v="151.0"/>
        <n v="152.0"/>
        <n v="154.0"/>
        <n v="155.0"/>
        <n v="156.0"/>
        <n v="157.0"/>
        <n v="223.0"/>
        <n v="224.0"/>
        <n v="207.0"/>
        <n v="208.0"/>
        <n v="210.0"/>
        <n v="212.0"/>
        <n v="214.0"/>
        <n v="215.0"/>
        <n v="216.0"/>
        <n v="217.0"/>
        <n v="218.0"/>
        <n v="219.0"/>
        <n v="220.0"/>
        <n v="221.0"/>
        <n v="222.0"/>
        <n v="225.0"/>
        <n v="234.0"/>
        <n v="235.0"/>
        <n v="238.0"/>
        <n v="240.0"/>
        <n v="226.0"/>
        <n v="227.0"/>
        <n v="228.0"/>
        <n v="229.0"/>
        <n v="230.0"/>
        <n v="231.0"/>
        <n v="232.0"/>
        <n v="246.0"/>
        <n v="266.0"/>
        <n v="275.0"/>
        <n v="276.0"/>
        <n v="277.0"/>
        <n v="278.0"/>
        <n v="279.0"/>
        <n v="280.0"/>
        <n v="282.0"/>
        <n v="283.0"/>
        <n v="267.0"/>
        <n v="284.0"/>
        <n v="268.0"/>
        <n v="269.0"/>
        <n v="270.0"/>
        <n v="274.0"/>
        <n v="301.0"/>
        <n v="293.0"/>
        <n v="294.0"/>
        <n v="295.0"/>
        <n v="297.0"/>
        <n v="298.0"/>
        <n v="300.0"/>
        <n v="308.0"/>
        <n v="317.0"/>
        <n v="318.0"/>
        <n v="319.0"/>
        <n v="320.0"/>
        <n v="321.0"/>
        <n v="322.0"/>
        <n v="323.0"/>
        <n v="324.0"/>
        <n v="325.0"/>
        <n v="326.0"/>
        <n v="309.0"/>
        <n v="327.0"/>
        <n v="328.0"/>
        <n v="329.0"/>
        <n v="330.0"/>
        <n v="331.0"/>
        <n v="332.0"/>
        <n v="333.0"/>
        <n v="334.0"/>
        <n v="335.0"/>
        <n v="336.0"/>
        <n v="310.0"/>
        <n v="337.0"/>
        <n v="338.0"/>
        <n v="339.0"/>
        <n v="340.0"/>
        <n v="341.0"/>
        <n v="342.0"/>
        <n v="343.0"/>
        <n v="344.0"/>
        <n v="345.0"/>
        <n v="346.0"/>
        <n v="311.0"/>
        <n v="347.0"/>
        <n v="312.0"/>
        <n v="313.0"/>
        <n v="314.0"/>
        <n v="315.0"/>
        <n v="316.0"/>
        <n v="378.0"/>
        <n v="379.0"/>
        <n v="382.0"/>
        <n v="383.0"/>
        <n v="387.0"/>
        <n v="391.0"/>
        <n v="392.0"/>
        <m/>
      </sharedItems>
    </cacheField>
    <cacheField name="Cliente" numFmtId="0">
      <sharedItems containsBlank="1">
        <s v="SUMMIT"/>
        <m/>
        <s v="KITCHEN-IT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S2:BW936" sheet="Ubicaciones"/>
  </cacheSource>
  <cacheFields>
    <cacheField name="UBICACION" numFmtId="49">
      <sharedItems containsBlank="1">
        <s v="1-1-1"/>
        <s v="1-1-2"/>
        <s v="1-1-3"/>
        <s v="1-1-4"/>
        <s v="2-1-3"/>
        <s v="2-2-1"/>
        <s v="2-2-3"/>
        <s v="2-4-2"/>
        <s v="2-5-1"/>
        <s v="2-6-1"/>
        <s v="2-6-2"/>
        <s v="3-1-1A"/>
        <s v="3-1-2A"/>
        <s v="3-1-3A"/>
        <s v="3-2-1A"/>
        <s v="3-2-4A"/>
        <s v="3-3-1A"/>
        <s v="3-3-2A"/>
        <s v="3-4-1A"/>
        <s v="3-4-2A"/>
        <s v="3-4-4A"/>
        <s v="3-5-2A"/>
        <s v="3-6-4A"/>
        <s v="3-7-2B"/>
        <s v="3-7-3A"/>
        <s v="3-7-4B"/>
        <s v="3-NV-1"/>
        <s v="3-NV-2"/>
        <s v="3-NV-3"/>
        <s v="3-NV-4"/>
        <s v="3-PRD-F1-3"/>
        <s v="3-PRD-F1-4"/>
        <s v="3-PRD-F2-1"/>
        <s v="3-R-2A1"/>
        <s v="3-R-2A2"/>
        <s v="3-R-2B"/>
        <s v="4-21-A"/>
        <s v="4-21-B"/>
        <s v="4-21-C"/>
        <s v="4-21-D"/>
        <s v="ANDEN-1-1"/>
        <s v="ANDEN-1-10"/>
        <s v="ANDEN-1-11"/>
        <s v="ANDEN-1-14"/>
        <s v="ANDEN-1-16"/>
        <s v="ANDEN-1-2"/>
        <s v="ANDEN-1-3"/>
        <s v="ANDEN-1-4"/>
        <s v="ANDEN-1-5"/>
        <s v="ANDEN-1-6"/>
        <s v="ANDEN-1-7"/>
        <s v="ANDEN-1-8"/>
        <s v="CASINO-1-1"/>
        <s v="PATIO-1-1"/>
        <s v="PATIO-1-10"/>
        <s v="PATIO-1-11"/>
        <s v="PATIO-1-12"/>
        <s v="PATIO-1-13"/>
        <s v="PATIO-1-14"/>
        <s v="PATIO-1-15"/>
        <s v="PATIO-1-17"/>
        <s v="PATIO-1-18"/>
        <s v="PATIO-1-19"/>
        <s v="PATIO-1-2"/>
        <s v="PATIO-1-21"/>
        <s v="PATIO-1-22"/>
        <s v="PATIO-1-26"/>
        <s v="PATIO-1-3"/>
        <s v="PATIO-1-4"/>
        <s v="PATIO-1-5"/>
        <s v="PATIO-1-9"/>
        <s v="T-1-1"/>
        <s v="T-1-10"/>
        <s v="T-1-11"/>
        <s v="T-1-12"/>
        <s v="T-1-13"/>
        <s v="T-1-14"/>
        <s v="T-1-15"/>
        <s v="T-1-16"/>
        <s v="T-1-17"/>
        <s v="T-1-18"/>
        <s v="T-1-19"/>
        <s v="T-1-20"/>
        <s v="T-1-21"/>
        <s v="T-1-22"/>
        <s v="T-1-23"/>
        <s v="T-1-24"/>
        <s v="T-1-28"/>
        <s v="T-1-29"/>
        <s v="T-1-30"/>
        <s v="T-1-31"/>
        <s v="T-1-32"/>
        <s v="T-1-33"/>
        <s v="T-1-34"/>
        <s v="T-1-35"/>
        <s v="T-1-36"/>
        <s v="T-1-37"/>
        <s v="T-1-38"/>
        <s v="T-1-39"/>
        <s v="T-1-4"/>
        <s v="T-1-40"/>
        <s v="T-1-6"/>
        <s v="ZEST-1-1"/>
        <s v="ZEST-1-2"/>
        <s v="ZEST-1-5"/>
        <s v="ZEST-2-1"/>
        <s v="ZEST-2-5"/>
        <s v="ZEST-3-4"/>
        <s v="ZEST-3-5"/>
        <m/>
      </sharedItems>
    </cacheField>
    <cacheField name="SKU">
      <sharedItems containsBlank="1" containsMixedTypes="1" containsNumber="1" containsInteger="1">
        <s v="691015"/>
        <s v="691410"/>
        <s v="692432"/>
        <s v="692425"/>
        <s v="600574"/>
        <s v="691411"/>
        <s v="600666"/>
        <s v="600505X"/>
        <s v="600673"/>
        <s v="600536"/>
        <s v="600567XX"/>
        <s v="657325"/>
        <s v="600567"/>
        <s v="PENDIENTE"/>
        <s v="692012X"/>
        <s v="692036X"/>
        <s v="692029X"/>
        <s v="600697"/>
        <n v="600550.0"/>
        <s v="600512"/>
        <s v="600772"/>
        <s v="692265"/>
        <s v="605678"/>
        <s v="682778"/>
        <s v="692043"/>
        <n v="692043.0"/>
        <s v="600900P"/>
        <s v="600482X"/>
        <s v="600499X"/>
        <n v="691084.0"/>
        <n v="605678.0"/>
        <s v="600574XX"/>
        <s v="600523XX"/>
        <m/>
      </sharedItems>
    </cacheField>
    <cacheField name="DESCRIPCION" numFmtId="0">
      <sharedItems containsBlank="1">
        <s v="CAJA TV"/>
        <s v="CAJA CARTON ENVIOS PACK"/>
        <s v="CAJA CARTON ENVIOS 25x17x13 CM"/>
        <s v="CAJA CARTON PISQUERA 31x23x31 CM"/>
        <s v="SEPARADOR VASOS BOTELLAS 32X23X32"/>
        <s v="CAJA CARTON ENVIOS SB 18x10x8 CM."/>
        <s v="CAJA CARTON S/IMP 32x23x32 CM"/>
        <s v="CAJA CARTON CON ASAS 70X30X30 CM EASY"/>
        <s v="ROLLO PAPEL KRAFT 35GR 57X25 MT"/>
        <s v="ROLLO PAPEL KRAFT 35GR 57X20 MT"/>
        <s v="PDQ SEPARADOR PLATO"/>
        <s v="FILM STRECH MANUAL 20MIC X 500MM 2,0KG"/>
        <s v="SEPARADORES PLATOS 32X23X32"/>
        <s v="SEPARADOR BOTELLA DOS RANURAS"/>
        <s v="CAJA CARTON CORRUGADO 50x40x30 "/>
        <s v="CAJA CARTON CORRUGADO 47x31x31 "/>
        <s v="CAJA CARTON CORRUGADO 60x40x40 "/>
        <s v="CAJA PLUMAVIT 35 LITROS"/>
        <s v="ROLLO PAPEL PANAL 0,50 X 25MTS"/>
        <s v="ROLLO ESPUMA EMBALAJE 1 MM 0,70X5 MT"/>
        <s v="ROLLO PAPEL KRAFT 35G 57X230MT"/>
        <s v="ROLLO CARTON CORRUGADO 0.80X100 MT"/>
        <s v="ROLLO CARTON CORRUGADO 1.20X73Mt aprox. 25K"/>
        <s v="ROLLO CARTON CORRUGADO 1.20X25 MT"/>
        <s v="CAJA CARTON CORRUGADO 60x60x50 CM "/>
        <s v="CAJA CARTON CORRUGADO 60x40x40"/>
        <s v="CAJA CARTON CORRUGADO 60x60x50 CM"/>
        <s v="SEPARADOR 2 RANURAS"/>
        <s v="ROLLO ESPUMA EMBALAJE 1 MM 1.40X220 MT"/>
        <s v="SEPARADOR  VASOS 3 RANURAS"/>
        <s v="CAJA CARTON CON ASAS 40X30X30 CM  EASY"/>
        <s v="CAJA CARTON CON ASAS 50X30X30 CM EASY"/>
        <s v="ROLLO CARTON ACOLCHADO 40CMx5MT"/>
        <s v="PDQ BOTELLAS VASOS"/>
        <s v="PDQ FUNDA PANAL"/>
        <m/>
      </sharedItems>
    </cacheField>
    <cacheField name="UNIDADADES TOTAL" numFmtId="3">
      <sharedItems containsString="0" containsBlank="1" containsNumber="1" containsInteger="1">
        <n v="81.0"/>
        <n v="31.0"/>
        <n v="700.0"/>
        <n v="360.0"/>
        <n v="716.0"/>
        <n v="1640.0"/>
        <n v="600.0"/>
        <n v="680.0"/>
        <n v="214.0"/>
        <n v="311.0"/>
        <n v="32.0"/>
        <n v="180.0"/>
        <n v="525.0"/>
        <n v="1500.0"/>
        <n v="400.0"/>
        <n v="25.0"/>
        <n v="450.0"/>
        <n v="500.0"/>
        <n v="216.0"/>
        <n v="60.0"/>
        <n v="105.0"/>
        <n v="10.0"/>
        <n v="55.0"/>
        <n v="68.0"/>
        <n v="54.0"/>
        <n v="72.0"/>
        <n v="1230.0"/>
        <n v="15.0"/>
        <n v="11.0"/>
        <n v="666.0"/>
        <n v="5.0"/>
        <n v="667.0"/>
        <n v="718.0"/>
        <n v="996.0"/>
        <n v="350.0"/>
        <n v="510.0"/>
        <n v="790.0"/>
        <n v="195.0"/>
        <n v="20.0"/>
        <n v="200.0"/>
        <n v="50.0"/>
        <n v="225.0"/>
        <n v="150.0"/>
        <n v="340.0"/>
        <n v="290.0"/>
        <n v="100.0"/>
        <n v="137.0"/>
        <n v="56.0"/>
        <n v="46.0"/>
        <n v="3.0"/>
        <n v="9.0"/>
        <n v="2.0"/>
        <n v="8.0"/>
        <m/>
      </sharedItems>
    </cacheField>
    <cacheField name="ORIGEN INGRESO" numFmtId="49">
      <sharedItems containsBlank="1">
        <s v="PROVEEDOR"/>
        <s v="PRODUCTO TERMINADO"/>
        <m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O439" sheet="Copia de Ubicaciones"/>
  </cacheSource>
  <cacheFields>
    <cacheField name="SALA">
      <sharedItems containsMixedTypes="1" containsNumber="1" containsInteger="1">
        <n v="1.0"/>
        <n v="2.0"/>
        <n v="3.0"/>
        <n v="4.0"/>
        <s v="ANDEN"/>
        <s v="CASINO"/>
        <s v="DEV"/>
        <s v="PATIO"/>
        <s v="R"/>
        <s v="T"/>
        <s v="ZOUT"/>
        <s v="ZEST"/>
      </sharedItems>
    </cacheField>
    <cacheField name="FILA" numFmtId="49">
      <sharedItems>
        <s v="1"/>
        <s v="2"/>
        <s v="3"/>
        <s v="4"/>
        <s v="5"/>
        <s v="6"/>
        <s v="7"/>
        <s v="NV"/>
        <s v="R"/>
        <s v="PRD-F1"/>
        <s v="PRD-F2"/>
        <s v="PRD-F3"/>
        <s v="PRD-F4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</sharedItems>
    </cacheField>
    <cacheField name="POSICIÓN" numFmtId="49">
      <sharedItems>
        <s v="1"/>
        <s v="2"/>
        <s v="3"/>
        <s v="4"/>
        <s v="5"/>
        <s v="6"/>
        <s v="7"/>
        <s v="1A"/>
        <s v="1B"/>
        <s v="2A"/>
        <s v="2B"/>
        <s v="3A"/>
        <s v="3B"/>
        <s v="4A"/>
        <s v="4B"/>
        <s v="5A"/>
        <s v="5B"/>
        <s v="2A1"/>
        <s v="2A2"/>
        <s v="A"/>
        <s v="B"/>
        <s v="C"/>
        <s v="D"/>
        <s v="E"/>
        <s v="1C"/>
        <s v="6A"/>
        <s v="6B"/>
        <s v="7A"/>
        <s v="7B"/>
        <s v="9A"/>
        <s v="9B"/>
        <s v="10A"/>
        <s v="10B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B1"/>
        <s v="B2"/>
        <s v="B3"/>
        <s v="B4"/>
        <s v="B5"/>
        <s v="B6"/>
        <s v="B7"/>
        <s v="B8"/>
        <s v="B9"/>
        <s v="B10"/>
        <s v="B11"/>
        <s v="B12"/>
        <s v="B13"/>
        <s v="B14"/>
        <s v="B15"/>
        <s v="B1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</sharedItems>
    </cacheField>
    <cacheField name="UBICACION" numFmtId="49">
      <sharedItems>
        <s v="1-1-1"/>
        <s v="1-1-2"/>
        <s v="1-1-3"/>
        <s v="1-1-4"/>
        <s v="1-1-5"/>
        <s v="1-1-6"/>
        <s v="1-1-7"/>
        <s v="2-1-1"/>
        <s v="2-1-2"/>
        <s v="2-1-3"/>
        <s v="2-2-1"/>
        <s v="2-2-2"/>
        <s v="2-2-3"/>
        <s v="2-3-1"/>
        <s v="2-3-2"/>
        <s v="2-3-3"/>
        <s v="2-4-1"/>
        <s v="2-4-2"/>
        <s v="2-4-3"/>
        <s v="2-5-1"/>
        <s v="2-5-2"/>
        <s v="2-5-3"/>
        <s v="2-6-1"/>
        <s v="2-6-2"/>
        <s v="2-6-3"/>
        <s v="3-1-1A"/>
        <s v="3-1-1B"/>
        <s v="3-1-2A"/>
        <s v="3-1-2B"/>
        <s v="3-1-3A"/>
        <s v="3-1-3B"/>
        <s v="3-2-1A"/>
        <s v="3-2-1B"/>
        <s v="3-2-2A"/>
        <s v="3-2-2B"/>
        <s v="3-2-3A"/>
        <s v="3-2-3B"/>
        <s v="3-2-4A"/>
        <s v="3-2-4B"/>
        <s v="3-2-5A"/>
        <s v="3-2-5B"/>
        <s v="3-3-1A"/>
        <s v="3-3-1B"/>
        <s v="3-3-2A"/>
        <s v="3-3-2B"/>
        <s v="3-3-3A"/>
        <s v="3-3-3B"/>
        <s v="3-3-4A"/>
        <s v="3-3-4B"/>
        <s v="3-3-5A"/>
        <s v="3-3-5B"/>
        <s v="3-4-1A"/>
        <s v="3-4-1B"/>
        <s v="3-4-2A"/>
        <s v="3-4-2B"/>
        <s v="3-4-3A"/>
        <s v="3-4-3B"/>
        <s v="3-4-4A"/>
        <s v="3-4-4B"/>
        <s v="3-4-5A"/>
        <s v="3-4-5B"/>
        <s v="3-5-1A"/>
        <s v="3-5-1B"/>
        <s v="3-5-2A"/>
        <s v="3-5-2B"/>
        <s v="3-5-3A"/>
        <s v="3-5-3B"/>
        <s v="3-5-4A"/>
        <s v="3-5-4B"/>
        <s v="3-5-5A"/>
        <s v="3-5-5B"/>
        <s v="3-6-1A"/>
        <s v="3-6-1B"/>
        <s v="3-6-2A"/>
        <s v="3-6-2B"/>
        <s v="3-6-3A"/>
        <s v="3-6-3B"/>
        <s v="3-6-4A"/>
        <s v="3-6-4B"/>
        <s v="3-6-5A"/>
        <s v="3-6-5B"/>
        <s v="3-7-1A"/>
        <s v="3-7-1B"/>
        <s v="3-7-2A"/>
        <s v="3-7-2B"/>
        <s v="3-7-3A"/>
        <s v="3-7-3B"/>
        <s v="3-7-4A"/>
        <s v="3-7-4B"/>
        <s v="3-7-5B"/>
        <s v="3-7-5A"/>
        <s v="3-NV-1"/>
        <s v="3-NV-2"/>
        <s v="3-NV-3"/>
        <s v="3-NV-4"/>
        <s v="3-R-1A"/>
        <s v="3-R-2A1"/>
        <s v="3-R-2A2"/>
        <s v="3-R-2B"/>
        <s v="3-PRD-F1-1"/>
        <s v="3-PRD-F1-2"/>
        <s v="3-PRD-F1-3"/>
        <s v="3-PRD-F1-4"/>
        <s v="3-PRD-F1-5"/>
        <s v="3-PRD-F2-1"/>
        <s v="3-PRD-F2-2"/>
        <s v="3-PRD-F2-3"/>
        <s v="3-PRD-F2-4"/>
        <s v="3-PRD-F2-5"/>
        <s v="3-PRD-F3-1"/>
        <s v="3-PRD-F3-2"/>
        <s v="3-PRD-F3-3"/>
        <s v="3-PRD-F3-4"/>
        <s v="3-PRD-F3-5"/>
        <s v="3-PRD-F4-1"/>
        <s v="3-PRD-F4-2"/>
        <s v="3-PRD-F4-3"/>
        <s v="3-PRD-F4-4"/>
        <s v="3-PRD-F4-5"/>
        <s v="4-1-A"/>
        <s v="4-1-B"/>
        <s v="4-1-C"/>
        <s v="4-1-D"/>
        <s v="4-1-E"/>
        <s v="4-2-A"/>
        <s v="4-2-B"/>
        <s v="4-2-C"/>
        <s v="4-2-D"/>
        <s v="4-3-A"/>
        <s v="4-3-B"/>
        <s v="4-3-C"/>
        <s v="4-3-D"/>
        <s v="4-4-A"/>
        <s v="4-4-B"/>
        <s v="4-4-C"/>
        <s v="4-4-D"/>
        <s v="4-5-A"/>
        <s v="4-5-B"/>
        <s v="4-5-C"/>
        <s v="4-5-D"/>
        <s v="4-6-A"/>
        <s v="4-6-B"/>
        <s v="4-6-C"/>
        <s v="4-6-D"/>
        <s v="4-7-A"/>
        <s v="4-7-B"/>
        <s v="4-7-C"/>
        <s v="4-7-D"/>
        <s v="4-8-A"/>
        <s v="4-8-B"/>
        <s v="4-8-C"/>
        <s v="4-8-D"/>
        <s v="4-9-A"/>
        <s v="4-9-B"/>
        <s v="4-9-C"/>
        <s v="4-9-D"/>
        <s v="4-10-A"/>
        <s v="4-10-B"/>
        <s v="4-10-C"/>
        <s v="4-10-D"/>
        <s v="4-11-A"/>
        <s v="4-11-B"/>
        <s v="4-11-C"/>
        <s v="4-11-D"/>
        <s v="4-12-A"/>
        <s v="4-12-B"/>
        <s v="4-12-C"/>
        <s v="4-12-D"/>
        <s v="4-13-A"/>
        <s v="4-13-B"/>
        <s v="4-13-C"/>
        <s v="4-13-D"/>
        <s v="4-14-A"/>
        <s v="4-14-B"/>
        <s v="4-14-C"/>
        <s v="4-14-D"/>
        <s v="4-15-A"/>
        <s v="4-15-B"/>
        <s v="4-15-C"/>
        <s v="4-15-D"/>
        <s v="4-16-A"/>
        <s v="4-16-B"/>
        <s v="4-16-C"/>
        <s v="4-16-D"/>
        <s v="4-17-A"/>
        <s v="4-17-B"/>
        <s v="4-17-C"/>
        <s v="4-17-D"/>
        <s v="4-18-A"/>
        <s v="4-18-B"/>
        <s v="4-18-C"/>
        <s v="4-18-D"/>
        <s v="4-19-A"/>
        <s v="4-19-B"/>
        <s v="4-19-C"/>
        <s v="4-19-D"/>
        <s v="4-20-A"/>
        <s v="4-20-B"/>
        <s v="4-20-C"/>
        <s v="4-20-D"/>
        <s v="4-21-A"/>
        <s v="4-21-B"/>
        <s v="4-21-C"/>
        <s v="4-21-D"/>
        <s v="4-R-1A"/>
        <s v="4-R-1B"/>
        <s v="4-R-1C"/>
        <s v="4-R-2A"/>
        <s v="4-R-2B"/>
        <s v="4-R-3A"/>
        <s v="4-R-3B"/>
        <s v="4-R-4A"/>
        <s v="4-R-4B"/>
        <s v="4-R-5A"/>
        <s v="4-R-5B"/>
        <s v="4-R-6A"/>
        <s v="4-R-6B"/>
        <s v="4-R-7A"/>
        <s v="4-R-7B"/>
        <s v="4-R-9A"/>
        <s v="4-R-9B"/>
        <s v="4-R-10A"/>
        <s v="4-R-10B"/>
        <s v="ANDEN-1-1"/>
        <s v="ANDEN-1-2"/>
        <s v="ANDEN-1-3"/>
        <s v="ANDEN-1-4"/>
        <s v="ANDEN-1-5"/>
        <s v="ANDEN-1-6"/>
        <s v="ANDEN-1-7"/>
        <s v="ANDEN-1-8"/>
        <s v="ANDEN-1-9"/>
        <s v="ANDEN-1-10"/>
        <s v="ANDEN-1-11"/>
        <s v="ANDEN-1-12"/>
        <s v="ANDEN-1-13"/>
        <s v="ANDEN-1-14"/>
        <s v="ANDEN-1-15"/>
        <s v="ANDEN-1-16"/>
        <s v="ANDEN-1-17"/>
        <s v="ANDEN-1-18"/>
        <s v="ANDEN-1-19"/>
        <s v="ANDEN-1-20"/>
        <s v="ANDEN-1-21"/>
        <s v="CASINO-1-1"/>
        <s v="CASINO-1-2"/>
        <s v="CASINO-1-3"/>
        <s v="CASINO-1-4"/>
        <s v="CASINO-1-5"/>
        <s v="CASINO-1-6"/>
        <s v="CASINO-1-7"/>
        <s v="CASINO-1-8"/>
        <s v="CASINO-1-9"/>
        <s v="CASINO-1-10"/>
        <s v="CASINO-1-11"/>
        <s v="DEV-1-1"/>
        <s v="DEV-1-2"/>
        <s v="DEV-1-3"/>
        <s v="DEV-1-4"/>
        <s v="DEV-1-5"/>
        <s v="DEV-1-6"/>
        <s v="DEV-1-7"/>
        <s v="DEV-1-8"/>
        <s v="DEV-1-9"/>
        <s v="PATIO-1-1"/>
        <s v="PATIO-1-2"/>
        <s v="PATIO-1-3"/>
        <s v="PATIO-1-4"/>
        <s v="PATIO-1-5"/>
        <s v="PATIO-1-6"/>
        <s v="PATIO-1-7"/>
        <s v="PATIO-1-8"/>
        <s v="PATIO-1-9"/>
        <s v="PATIO-1-10"/>
        <s v="PATIO-1-11"/>
        <s v="PATIO-1-12"/>
        <s v="PATIO-1-13"/>
        <s v="PATIO-1-14"/>
        <s v="PATIO-1-15"/>
        <s v="PATIO-1-16"/>
        <s v="PATIO-1-17"/>
        <s v="PATIO-1-18"/>
        <s v="PATIO-1-19"/>
        <s v="PATIO-1-20"/>
        <s v="PATIO-1-21"/>
        <s v="PATIO-1-22"/>
        <s v="PATIO-1-23"/>
        <s v="PATIO-1-24"/>
        <s v="PATIO-1-25"/>
        <s v="PATIO-1-26"/>
        <s v="R-8-B1"/>
        <s v="R-8-B2"/>
        <s v="R-8-B3"/>
        <s v="R-8-B4"/>
        <s v="R-8-B5"/>
        <s v="R-8-B6"/>
        <s v="R-8-B7"/>
        <s v="R-8-B8"/>
        <s v="R-8-B9"/>
        <s v="R-8-B10"/>
        <s v="R-8-B11"/>
        <s v="R-8-B12"/>
        <s v="R-8-B13"/>
        <s v="R-8-B14"/>
        <s v="R-8-B15"/>
        <s v="R-8-B16"/>
        <s v="T-1-1"/>
        <s v="T-1-2"/>
        <s v="T-1-3"/>
        <s v="T-1-4"/>
        <s v="T-1-5"/>
        <s v="T-1-6"/>
        <s v="T-1-7"/>
        <s v="T-1-8"/>
        <s v="T-1-9"/>
        <s v="T-1-10"/>
        <s v="T-1-11"/>
        <s v="T-1-12"/>
        <s v="T-1-13"/>
        <s v="T-1-14"/>
        <s v="T-1-15"/>
        <s v="T-1-16"/>
        <s v="T-1-17"/>
        <s v="T-1-18"/>
        <s v="T-1-19"/>
        <s v="T-1-20"/>
        <s v="T-1-21"/>
        <s v="T-1-22"/>
        <s v="T-1-23"/>
        <s v="T-1-24"/>
        <s v="T-1-25"/>
        <s v="T-1-26"/>
        <s v="T-1-27"/>
        <s v="T-1-28"/>
        <s v="T-1-29"/>
        <s v="T-1-30"/>
        <s v="T-1-31"/>
        <s v="T-1-32"/>
        <s v="T-1-33"/>
        <s v="T-1-34"/>
        <s v="T-1-35"/>
        <s v="T-1-36"/>
        <s v="T-1-37"/>
        <s v="T-1-38"/>
        <s v="T-1-39"/>
        <s v="T-1-40"/>
        <s v="ZOUT-1-1"/>
        <s v="ZOUT-1-2"/>
        <s v="ZOUT-1-3"/>
        <s v="ZOUT-1-4"/>
        <s v="ZOUT-1-5"/>
        <s v="ZOUT-1-6"/>
        <s v="ZOUT-1-7"/>
        <s v="ZOUT-1-8"/>
        <s v="ZOUT-1-9"/>
        <s v="ZOUT-1-10"/>
        <s v="ZOUT-1-11"/>
        <s v="ZOUT-1-12"/>
        <s v="ZOUT-1-13"/>
        <s v="ZOUT-1-14"/>
        <s v="ZOUT-1-15"/>
        <s v="ZOUT-1-16"/>
        <s v="ZOUT-1-17"/>
        <s v="ZOUT-1-18"/>
        <s v="ZOUT-1-19"/>
        <s v="ZOUT-1-20"/>
        <s v="ZOUT-1-21"/>
        <s v="ZOUT-1-22"/>
        <s v="ZOUT-1-23"/>
        <s v="ZOUT-1-24"/>
        <s v="ZOUT-1-25"/>
        <s v="ZOUT-1-26"/>
        <s v="ZOUT-1-27"/>
        <s v="ZOUT-1-28"/>
        <s v="ZOUT-1-29"/>
        <s v="ZOUT-1-30"/>
        <s v="ZEST-1-1"/>
        <s v="ZEST-1-2"/>
        <s v="ZEST-1-3"/>
        <s v="ZEST-1-4"/>
        <s v="ZEST-1-5"/>
        <s v="ZEST-2-1"/>
        <s v="ZEST-2-2"/>
        <s v="ZEST-2-3"/>
        <s v="ZEST-2-4"/>
        <s v="ZEST-2-5"/>
        <s v="ZEST-3-1"/>
        <s v="ZEST-3-2"/>
        <s v="ZEST-3-3"/>
        <s v="ZEST-3-4"/>
        <s v="ZEST-3-5"/>
        <s v="ZEST-4-1"/>
        <s v="ZEST-4-2"/>
        <s v="ZEST-4-3"/>
        <s v="ZEST-4-4"/>
        <s v="ZEST-4-5"/>
        <s v="ZEST-5-1"/>
        <s v="ZEST-5-2"/>
        <s v="ZEST-5-3"/>
        <s v="ZEST-5-4"/>
        <s v="ZEST-5-5"/>
        <s v="ZEST-5-6"/>
        <s v="ZEST-5-7"/>
        <s v="ZEST-6-1"/>
        <s v="ZEST-6-2"/>
        <s v="ZEST-6-3"/>
        <s v="ZEST-6-4"/>
        <s v="ZEST-6-5"/>
        <s v="ZEST-7-6"/>
        <s v="ZEST-7-7"/>
        <s v="ZEST-7-1"/>
        <s v="ZEST-7-2"/>
        <s v="ZEST-7-3"/>
        <s v="ZEST-7-4"/>
        <s v="ZEST-7-5"/>
        <s v="ZEST-8-1"/>
        <s v="ZEST-8-2"/>
        <s v="ZEST-8-3"/>
        <s v="ZEST-8-4"/>
        <s v="ZEST-8-5"/>
        <s v="ZEST-8-6"/>
        <s v="ZEST-8-7"/>
        <s v="ZEST-9-1"/>
        <s v="ZEST-9-2"/>
        <s v="ZEST-9-3"/>
        <s v="ZEST-9-4"/>
        <s v="ZEST-9-5"/>
        <s v="ZEST-9-6"/>
        <s v="ZEST-9-7"/>
        <s v="ZEST-10-1"/>
        <s v="ZEST-10-2"/>
        <s v="ZEST-10-3"/>
        <s v="ZEST-10-4"/>
        <s v="ZEST-10-5"/>
        <s v="ZEST-10-6"/>
        <s v="ZEST-10-7"/>
      </sharedItems>
    </cacheField>
    <cacheField name="FECHA INGRESO" numFmtId="164">
      <sharedItems containsDate="1" containsString="0" containsBlank="1">
        <d v="2025-03-17T00:00:00Z"/>
        <d v="2025-03-26T00:00:00Z"/>
        <m/>
        <d v="2025-03-21T00:00:00Z"/>
        <d v="2025-04-04T00:00:00Z"/>
        <d v="2025-04-07T00:00:00Z"/>
        <d v="2025-04-17T00:00:00Z"/>
        <d v="2025-04-16T00:00:00Z"/>
        <d v="2025-03-31T00:00:00Z"/>
        <d v="2025-04-15T00:00:00Z"/>
        <d v="2025-04-02T00:00:00Z"/>
        <d v="2025-02-20T00:00:00Z"/>
        <d v="2025-02-12T00:00:00Z"/>
        <d v="2025-04-11T00:00:00Z"/>
        <d v="2025-03-05T00:00:00Z"/>
        <d v="2025-03-14T00:00:00Z"/>
        <d v="2025-03-06T00:00:00Z"/>
        <d v="2024-12-26T00:00:00Z"/>
        <d v="2025-02-18T00:00:00Z"/>
        <d v="2024-12-30T00:00:00Z"/>
        <d v="2025-04-21T00:00:00Z"/>
        <d v="2025-01-31T00:00:00Z"/>
        <d v="2025-03-19T00:00:00Z"/>
        <d v="2025-02-06T00:00:00Z"/>
        <d v="2025-03-13T00:00:00Z"/>
        <d v="2024-11-29T00:00:00Z"/>
        <d v="2025-04-09T00:00:00Z"/>
        <d v="2025-02-11T00:00:00Z"/>
        <d v="2025-03-28T00:00:00Z"/>
        <d v="2025-03-07T00:00:00Z"/>
        <d v="2025-03-10T00:00:00Z"/>
        <d v="2025-04-08T00:00:00Z"/>
      </sharedItems>
    </cacheField>
    <cacheField name="DOCUMENTO" numFmtId="49">
      <sharedItems containsBlank="1">
        <s v="Ajuste"/>
        <s v="6092"/>
        <m/>
        <s v="6053"/>
        <s v="6172"/>
        <s v="6156"/>
        <s v="6147"/>
        <s v="6158"/>
        <s v="MAQUILA"/>
        <s v="10086"/>
        <s v="SOBRANTE"/>
        <s v="175863"/>
        <s v="176825"/>
        <s v="177713"/>
        <s v="179552"/>
        <s v="177959"/>
        <s v="177712"/>
        <s v="2693589926"/>
        <s v="178859"/>
        <s v="SOLICITUD KITCHEN-IT"/>
        <s v="MOVIMIENTO INTERNO"/>
        <s v="1016"/>
        <s v="176804"/>
        <s v="6155"/>
        <s v="6154"/>
        <s v="6157"/>
        <s v="6148"/>
        <s v="6232"/>
        <s v="6227"/>
        <s v="6247"/>
        <s v="6238"/>
        <s v="6228"/>
        <s v="2772359571"/>
        <s v="2000007534883091"/>
        <s v="2758412046"/>
        <s v="2652203045"/>
        <s v="DESCONOCIDO"/>
        <s v="2753329514"/>
        <s v="579855"/>
        <s v="AF2625C1"/>
        <s v="162904456"/>
        <s v="178220"/>
        <s v="163312678"/>
        <s v="22656"/>
      </sharedItems>
    </cacheField>
    <cacheField name="SKU">
      <sharedItems containsBlank="1" containsMixedTypes="1" containsNumber="1" containsInteger="1">
        <s v="691015"/>
        <s v="691410"/>
        <s v="692432"/>
        <s v="692425"/>
        <s v="692029S"/>
        <m/>
        <s v="691411"/>
        <s v="600482X"/>
        <s v="600505X"/>
        <s v="600499X"/>
        <s v="600666"/>
        <s v="600536"/>
        <s v="PDQSEPARADORPLATO"/>
        <s v="692036X"/>
        <s v="600567"/>
        <s v="PENDIENTE"/>
        <s v="692012X"/>
        <s v="600673"/>
        <s v="600697"/>
        <s v="600659"/>
        <s v="600550"/>
        <s v="600512"/>
        <s v="111111"/>
        <s v="600900P"/>
        <s v="605678"/>
        <s v="692029X"/>
        <n v="692043.0"/>
        <s v="690155"/>
        <s v="682778"/>
        <s v="LSS1200"/>
        <s v="PPPMXL"/>
        <s v="HF25L"/>
        <s v="FAME12L"/>
        <s v="HSC17L"/>
        <s v="FAPE5L"/>
        <s v="FAFE7L"/>
        <s v="FACE4L"/>
        <s v="LPP800W"/>
        <s v="HEBE25L"/>
        <s v="HEGE18L"/>
        <s v="PPME"/>
        <s v="HESS60"/>
        <s v="FADE9L"/>
        <s v="HESS45"/>
        <s v="CAFA4"/>
        <s v="600574"/>
        <s v="692043"/>
        <s v="LIPS850"/>
        <n v="691084.0"/>
        <s v="600523"/>
        <s v="PDQ FUNDA PANAL"/>
        <s v="PDQ BOTELLAS VASOS"/>
      </sharedItems>
    </cacheField>
    <cacheField name="DESCRIPCION" numFmtId="0">
      <sharedItems containsBlank="1">
        <s v="CAJA TV"/>
        <s v="CAJA CARTON ENVIOS PACK"/>
        <s v="CAJA CARTON ENVIOS 25x17x13 CM"/>
        <s v="CAJA CARTON PISQUERA 31x23x31 CM"/>
        <s v="CAJA CARTON CORRUGADO 60x40x40 S/IMPRESION"/>
        <m/>
        <s v="CAJA CARTON ENVIOS SB 18x10x8 CM."/>
        <s v="CAJA CARTON CON ASAS 40X30X30 CM  EASY"/>
        <s v="CAJA CARTON CON ASAS 70X30X30 CM EASY"/>
        <s v="CAJA CARTON CON ASAS 50X30X30 CM EASY"/>
        <s v="CAJA CARTON S/IMP 32x23x32 CM"/>
        <s v="ROLLO PAPEL KRAFT 35GR 20 MT"/>
        <s v="PDQ SEPARADOR PLATO"/>
        <s v="CAJA CARTON CORRUGADO 47x31x31 "/>
        <s v="SEPARADORES PLATOS 32X23X32"/>
        <s v="SEPARADOR BOTELLA DOS RANURAS"/>
        <s v="CAJA CARTON CORRUGADO 50x40x30 "/>
        <s v="ROLLO PAPEL KRAFT 35GR 25 MT"/>
        <s v="CAJA PLUMAVIT 35 LITROS"/>
        <s v="ROLLO ESPUMA EMBALAJE 1 MM 0,70X5 MT"/>
        <s v="ROLLO PAPEL PANAL 0,50 X 25MTS"/>
        <s v="ROLLO ESPUMA EMBALAJE 1 MM 0,70X10 MT"/>
        <s v="ROLLO PAPEL KRAFT 35G 230MT"/>
        <s v="ROLLO ESPUMA EMBALAJE 1 MM 1.40X125 MT"/>
        <s v="ROLLO CARTON CORRUGADO 1.20X73Mt aprox. 25K"/>
        <s v="SEPARADOR 2 RANURAS"/>
        <s v="CAJA CARTON CORRUGADO 60x40x40"/>
        <s v="CAJA CARTON CORRUGADO 60x60x50 CM"/>
        <s v="ROLLO CARTON CORRUGADO 0.80X10 MT"/>
        <s v="ROLLO CARTON CORRUGADO 1.20X25 MT"/>
        <s v="Licuadora Smart System 1200W"/>
        <s v="Plancha Panini Pro Max XL"/>
        <s v="Horno Freidora Smart Edition 25L"/>
        <s v="Freidora de Aire Max Edition 12L"/>
        <s v="Hervidor Smart Control 1,7L"/>
        <s v="Freidora de Aire Plus Edition 5L"/>
        <s v="Freidora de Aire Family Edition 7L"/>
        <s v="Freidora de Aire Chef Edition 4L"/>
        <s v="Licuadora Power Pro 800W"/>
        <s v="Hervidor Big Edition 2.5L"/>
        <s v="Hervidor Glass Edition 1.8L"/>
        <s v="SEPARADOR  VASOS 3 RANURAS"/>
        <s v="Sandwichera Panini Master Edition"/>
        <s v="Horno Eléctrico Silver Series 60L"/>
        <s v="Freidora de Aire Dual Edition 9L"/>
        <s v="Horno Eléctrico Silver Series 45L"/>
        <s v="Cafetera Arezzo 4 en 1"/>
        <s v="SEPARADOR VASOS BOTELLAS 32X23X32"/>
        <s v="CAJA CARTON CORRUGADO 60x60x50 CM "/>
        <s v="Licuadora Professional Series 850W"/>
        <s v="ROLLO CARTON ACOLCHADO 40cmx5mt"/>
        <s v="FUNDA PAPEL PANAL SET 3 UN 40X10CM"/>
        <s v="PDQ FUNDA PANAL"/>
        <s v="PDQ BOTELLAS VASOS"/>
      </sharedItems>
    </cacheField>
    <cacheField name="UNIDADADES TOTAL" numFmtId="3">
      <sharedItems containsString="0" containsBlank="1" containsNumber="1" containsInteger="1">
        <n v="90.0"/>
        <n v="43.0"/>
        <n v="700.0"/>
        <n v="511.0"/>
        <n v="100.0"/>
        <m/>
        <n v="1990.0"/>
        <n v="868.0"/>
        <n v="417.0"/>
        <n v="475.0"/>
        <n v="400.0"/>
        <n v="409.0"/>
        <n v="299.0"/>
        <n v="111.0"/>
        <n v="200.0"/>
        <n v="525.0"/>
        <n v="1500.0"/>
        <n v="4.0"/>
        <n v="350.0"/>
        <n v="199.0"/>
        <n v="450.0"/>
        <n v="500.0"/>
        <n v="250.0"/>
        <n v="488.0"/>
        <n v="268.0"/>
        <n v="640.0"/>
        <n v="600.0"/>
        <n v="775.0"/>
        <n v="300.0"/>
        <n v="30.0"/>
        <n v="9.0"/>
        <n v="18.0"/>
        <n v="7.0"/>
        <n v="71.0"/>
        <n v="55.0"/>
        <n v="23.0"/>
        <n v="6.0"/>
        <n v="10.0"/>
        <n v="666.0"/>
        <n v="20.0"/>
        <n v="35.0"/>
        <n v="21.0"/>
        <n v="11.0"/>
        <n v="19.0"/>
        <n v="3.0"/>
        <n v="36.0"/>
        <n v="140.0"/>
        <n v="117.0"/>
        <n v="120.0"/>
        <n v="8.0"/>
        <n v="163.0"/>
        <n v="72.0"/>
        <n v="42.0"/>
        <n v="14.0"/>
        <n v="38.0"/>
        <n v="80.0"/>
        <n v="2.0"/>
        <n v="144.0"/>
        <n v="84.0"/>
        <n v="330.0"/>
        <n v="148.0"/>
        <n v="288.0"/>
        <n v="360.0"/>
        <n v="549.0"/>
        <n v="667.0"/>
        <n v="13.0"/>
        <n v="576.0"/>
        <n v="840.0"/>
        <n v="31.0"/>
        <n v="171.0"/>
        <n v="5.0"/>
        <n v="29.0"/>
        <n v="116.0"/>
        <n v="40.0"/>
        <n v="160.0"/>
        <n v="166.0"/>
        <n v="795.0"/>
        <n v="225.0"/>
        <n v="718.0"/>
        <n v="716.0"/>
        <n v="510.0"/>
        <n v="996.0"/>
        <n v="790.0"/>
        <n v="325.0"/>
        <n v="275.0"/>
        <n v="150.0"/>
        <n v="205.0"/>
        <n v="93.0"/>
        <n v="1.0"/>
        <n v="24.0"/>
        <n v="206.0"/>
        <n v="76.0"/>
        <n v="44.0"/>
        <n v="89.0"/>
        <n v="50.0"/>
        <n v="12.0"/>
      </sharedItems>
    </cacheField>
    <cacheField name="ORIGEN INGRESO" numFmtId="0">
      <sharedItems containsBlank="1">
        <s v="PROVEEDOR"/>
        <s v="PRODUCTO TERMINADO"/>
        <m/>
        <s v="Contenedor"/>
        <s v="Devoluciones"/>
        <s v="Movimiento Interno"/>
        <s v="MERCADO  LIBRE"/>
        <s v="Retorno Falabella"/>
      </sharedItems>
    </cacheField>
    <cacheField name="ESTADO" numFmtId="0">
      <sharedItems>
        <s v="OCUPADO"/>
        <s v="DISPONIBLE"/>
      </sharedItems>
    </cacheField>
    <cacheField name="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</sharedItems>
    </cacheField>
    <cacheField name="TIPO" numFmtId="0">
      <sharedItems>
        <s v="PISO"/>
        <s v="JAULA"/>
        <s v="NAVE PSIO"/>
        <s v="RACK"/>
        <s v="PRODUCTO TERM"/>
        <s v="DEVOLUCIONES"/>
        <s v="RECUPERADO"/>
        <s v="TRANSITO"/>
        <s v="SALIDA"/>
        <s v="ESTANTERIA"/>
      </sharedItems>
    </cacheField>
    <cacheField name="OBS" numFmtId="0">
      <sharedItems containsBlank="1">
        <m/>
        <s v="PVD 10880"/>
      </sharedItems>
    </cacheField>
    <cacheField name="Cliente" numFmtId="0">
      <sharedItems containsBlank="1">
        <s v="SUMMIT"/>
        <m/>
        <s v="KITCHEN-IT"/>
      </sharedItems>
    </cacheField>
  </cacheFields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R1:AU936" sheet="Copia de Ubicaciones"/>
  </cacheSource>
  <cacheFields>
    <cacheField name="UBICACION" numFmtId="49">
      <sharedItems containsBlank="1">
        <s v="1-1-1"/>
        <s v="1-1-2"/>
        <s v="1-1-3"/>
        <s v="1-1-4"/>
        <s v="1-1-5"/>
        <s v="2-2-1"/>
        <s v="2-3-1"/>
        <s v="2-3-2"/>
        <s v="2-3-3"/>
        <s v="2-4-1"/>
        <s v="2-4-2"/>
        <s v="2-4-3"/>
        <s v="2-5-1"/>
        <s v="2-5-3"/>
        <s v="2-6-1"/>
        <s v="2-6-2"/>
        <s v="3-1-1A"/>
        <s v="3-1-2A"/>
        <s v="3-1-2B"/>
        <s v="3-1-3A"/>
        <s v="3-2-1A"/>
        <s v="3-2-2A"/>
        <s v="3-2-3A"/>
        <s v="3-2-4A"/>
        <s v="3-2-5A"/>
        <s v="3-2-5B"/>
        <s v="3-3-1A"/>
        <s v="3-3-2A"/>
        <s v="3-3-3A"/>
        <s v="3-3-4A"/>
        <s v="3-3-5A"/>
        <s v="3-4-1A"/>
        <s v="3-4-2A"/>
        <s v="3-4-3A"/>
        <s v="3-4-5A"/>
        <s v="3-5-1A"/>
        <s v="3-5-3A"/>
        <s v="3-5-4A"/>
        <s v="3-6-1A"/>
        <s v="3-6-2A"/>
        <s v="3-6-2B"/>
        <s v="3-6-3A"/>
        <s v="3-6-4A"/>
        <s v="3-7-2A"/>
        <s v="3-7-2B"/>
        <s v="3-7-3A"/>
        <s v="3-7-3B"/>
        <s v="3-7-4B"/>
        <s v="3-NV-1"/>
        <s v="3-NV-3"/>
        <s v="3-PRD-F1-1"/>
        <s v="3-PRD-F1-2"/>
        <s v="3-PRD-F1-3"/>
        <s v="3-PRD-F1-4"/>
        <s v="3-PRD-F2-1"/>
        <s v="3-PRD-F4-1"/>
        <s v="3-PRD-F4-2"/>
        <s v="3-R-1A"/>
        <s v="3-R-2A1"/>
        <s v="3-R-2A2"/>
        <s v="3-R-2B"/>
        <s v="4-1-A"/>
        <s v="4-1-B"/>
        <s v="4-1-C"/>
        <s v="4-1-D"/>
        <s v="4-10-A"/>
        <s v="4-10-B"/>
        <s v="4-11-A"/>
        <s v="4-11-B"/>
        <s v="4-11-C"/>
        <s v="4-11-D"/>
        <s v="4-12-A"/>
        <s v="4-12-B"/>
        <s v="4-12-C"/>
        <s v="4-12-D"/>
        <s v="4-13-A"/>
        <s v="4-13-B"/>
        <s v="4-13-C"/>
        <s v="4-13-D"/>
        <s v="4-14-A"/>
        <s v="4-15-A"/>
        <s v="4-15-B"/>
        <s v="4-15-C"/>
        <s v="4-16-A"/>
        <s v="4-16-B"/>
        <s v="4-16-C"/>
        <s v="4-17-A"/>
        <s v="4-17-B"/>
        <s v="4-17-C"/>
        <s v="4-17-D"/>
        <s v="4-18-A"/>
        <s v="4-18-B"/>
        <s v="4-19-A"/>
        <s v="4-19-B"/>
        <s v="4-19-C"/>
        <s v="4-19-D"/>
        <s v="4-2-A"/>
        <s v="4-2-B"/>
        <s v="4-2-C"/>
        <s v="4-2-D"/>
        <s v="4-21-A"/>
        <s v="4-21-B"/>
        <s v="4-21-C"/>
        <s v="4-3-C"/>
        <s v="4-3-D"/>
        <s v="4-6-A"/>
        <s v="4-6-B"/>
        <s v="4-7-A"/>
        <s v="4-7-B"/>
        <s v="4-7-C"/>
        <s v="4-7-D"/>
        <s v="4-8-A"/>
        <s v="4-8-B"/>
        <s v="4-8-C"/>
        <s v="4-8-D"/>
        <s v="4-9-A"/>
        <s v="4-9-B"/>
        <s v="4-9-C"/>
        <s v="4-9-D"/>
        <s v="4-R-10A"/>
        <s v="4-R-10B"/>
        <s v="4-R-1A"/>
        <s v="4-R-1B"/>
        <s v="4-R-1C"/>
        <s v="4-R-2A"/>
        <s v="4-R-2B"/>
        <s v="4-R-3B"/>
        <s v="4-R-4A"/>
        <s v="4-R-4B"/>
        <s v="4-R-5A"/>
        <s v="4-R-5B"/>
        <s v="4-R-6A"/>
        <s v="4-R-6B"/>
        <s v="4-R-7A"/>
        <s v="4-R-7B"/>
        <s v="4-R-9A"/>
        <s v="4-R-9B"/>
        <s v="ANDEN-1-1"/>
        <s v="ANDEN-1-10"/>
        <s v="ANDEN-1-11"/>
        <s v="ANDEN-1-12"/>
        <s v="ANDEN-1-13"/>
        <s v="ANDEN-1-14"/>
        <s v="ANDEN-1-15"/>
        <s v="ANDEN-1-16"/>
        <s v="ANDEN-1-17"/>
        <s v="ANDEN-1-2"/>
        <s v="ANDEN-1-4"/>
        <s v="ANDEN-1-5"/>
        <s v="ANDEN-1-6"/>
        <s v="ANDEN-1-7"/>
        <s v="ANDEN-1-8"/>
        <s v="ANDEN-1-9"/>
        <s v="CASINO-1-10"/>
        <s v="CASINO-1-7"/>
        <s v="CASINO-1-8"/>
        <s v="CASINO-1-9"/>
        <s v="PATIO-1-10"/>
        <s v="PATIO-1-11"/>
        <s v="PATIO-1-12"/>
        <s v="PATIO-1-13"/>
        <s v="PATIO-1-14"/>
        <s v="PATIO-1-15"/>
        <s v="PATIO-1-16"/>
        <s v="PATIO-1-17"/>
        <s v="PATIO-1-18"/>
        <s v="PATIO-1-19"/>
        <s v="PATIO-1-2"/>
        <s v="PATIO-1-20"/>
        <s v="PATIO-1-21"/>
        <s v="PATIO-1-22"/>
        <s v="PATIO-1-23"/>
        <s v="PATIO-1-24"/>
        <s v="PATIO-1-25"/>
        <s v="PATIO-1-26"/>
        <s v="PATIO-1-3"/>
        <s v="PATIO-1-4"/>
        <s v="PATIO-1-5"/>
        <s v="PATIO-1-6"/>
        <s v="PATIO-1-7"/>
        <s v="PATIO-1-8"/>
        <s v="PATIO-1-9"/>
        <s v="R-8-B1"/>
        <s v="R-8-B10"/>
        <s v="R-8-B11"/>
        <s v="R-8-B3"/>
        <s v="R-8-B4"/>
        <s v="R-8-B5"/>
        <s v="R-8-B6"/>
        <s v="R-8-B7"/>
        <s v="R-8-B8"/>
        <s v="R-8-B9"/>
        <s v="T-1-1"/>
        <s v="T-1-10"/>
        <s v="T-1-11"/>
        <s v="T-1-12"/>
        <s v="T-1-13"/>
        <s v="T-1-14"/>
        <s v="T-1-15"/>
        <s v="T-1-2"/>
        <s v="T-1-3"/>
        <s v="T-1-4"/>
        <s v="T-1-5"/>
        <s v="ZEST-1-2"/>
        <s v="ZEST-1-3"/>
        <s v="ZEST-1-4"/>
        <s v="ZEST-1-5"/>
        <s v="ZEST-2-1"/>
        <s v="ZEST-2-2"/>
        <s v="ZEST-2-3"/>
        <s v="ZEST-2-4"/>
        <s v="ZEST-2-5"/>
        <s v="ZEST-3-2"/>
        <s v="ZEST-3-3"/>
        <s v="ZEST-3-4"/>
        <s v="ZEST-3-5"/>
        <s v="ZEST-4-2"/>
        <s v="ZOUT-1-1"/>
        <s v="ZOUT-1-28"/>
        <s v="ZOUT-1-29"/>
        <m/>
      </sharedItems>
    </cacheField>
    <cacheField name="SKU">
      <sharedItems containsBlank="1" containsMixedTypes="1" containsNumber="1" containsInteger="1">
        <s v="691015"/>
        <s v="691410"/>
        <s v="692432"/>
        <s v="692425"/>
        <s v="692029S"/>
        <s v="691411"/>
        <s v="600482X"/>
        <s v="600505X"/>
        <s v="600499X"/>
        <s v="600666"/>
        <s v="600536"/>
        <s v="PDQSEPARADORPLATO"/>
        <s v="692036X"/>
        <s v="600567"/>
        <s v="PENDIENTE"/>
        <s v="692012X"/>
        <s v="600673"/>
        <s v="600697"/>
        <s v="600659"/>
        <s v="600550"/>
        <s v="600512"/>
        <s v="111111"/>
        <s v="600900P"/>
        <s v="605678"/>
        <s v="692029X"/>
        <n v="692043.0"/>
        <s v="690155"/>
        <s v="682778"/>
        <s v="LSS1200"/>
        <s v="PPPMXL"/>
        <s v="FAFE7L"/>
        <s v="FAPE5L"/>
        <s v="FACE4L"/>
        <s v="LPP800W"/>
        <s v="HEBE25L"/>
        <s v="HEGE18L"/>
        <s v="HF25L"/>
        <s v="FAME12L"/>
        <s v="HSC17L"/>
        <s v="PPME"/>
        <s v="HESS60"/>
        <s v="FADE9L"/>
        <s v="HESS45"/>
        <s v="CAFA4"/>
        <s v="600574"/>
        <s v="692043"/>
        <s v="LIPS850"/>
        <n v="691084.0"/>
        <s v="600523"/>
        <s v="PDQ FUNDA PANAL"/>
        <s v="PDQ BOTELLAS VASOS"/>
        <m/>
      </sharedItems>
    </cacheField>
    <cacheField name="DESCRIPCION" numFmtId="0">
      <sharedItems containsBlank="1">
        <s v="CAJA TV"/>
        <s v="CAJA CARTON ENVIOS PACK"/>
        <s v="CAJA CARTON ENVIOS 25x17x13 CM"/>
        <s v="CAJA CARTON PISQUERA 31x23x31 CM"/>
        <s v="CAJA CARTON CORRUGADO 60x40x40 S/IMPRESION"/>
        <s v="CAJA CARTON ENVIOS SB 18x10x8 CM."/>
        <s v="CAJA CARTON CON ASAS 40X30X30 CM  EASY"/>
        <s v="CAJA CARTON CON ASAS 70X30X30 CM EASY"/>
        <s v="CAJA CARTON CON ASAS 50X30X30 CM EASY"/>
        <s v="CAJA CARTON S/IMP 32x23x32 CM"/>
        <s v="ROLLO PAPEL KRAFT 35GR 20 MT"/>
        <s v="PDQ SEPARADOR PLATO"/>
        <s v="CAJA CARTON CORRUGADO 47x31x31 "/>
        <s v="SEPARADORES PLATOS 32X23X32"/>
        <s v="SEPARADOR BOTELLA DOS RANURAS"/>
        <s v="CAJA CARTON CORRUGADO 50x40x30 "/>
        <s v="ROLLO PAPEL KRAFT 35GR 25 MT"/>
        <s v="CAJA PLUMAVIT 35 LITROS"/>
        <s v="ROLLO ESPUMA EMBALAJE 1 MM 0,70X5 MT"/>
        <s v="ROLLO PAPEL PANAL 0,50 X 25MTS"/>
        <s v="ROLLO ESPUMA EMBALAJE 1 MM 0,70X10 MT"/>
        <s v="ROLLO PAPEL KRAFT 35G 230MT"/>
        <s v="ROLLO ESPUMA EMBALAJE 1 MM 1.40X125 MT"/>
        <s v="ROLLO CARTON CORRUGADO 1.20X73Mt aprox. 25K"/>
        <s v="CAJA CARTON CORRUGADO 60x40x40"/>
        <s v="CAJA CARTON CORRUGADO 60x60x50 CM"/>
        <s v="ROLLO CARTON CORRUGADO 0.80X10 MT"/>
        <s v="ROLLO CARTON CORRUGADO 1.20X25 MT"/>
        <s v="SEPARADOR 2 RANURAS"/>
        <s v="Licuadora Smart System 1200W"/>
        <s v="Plancha Panini Pro Max XL"/>
        <s v="Freidora de Aire Family Edition 7L"/>
        <s v="Freidora de Aire Plus Edition 5L"/>
        <s v="Freidora de Aire Chef Edition 4L"/>
        <s v="Licuadora Power Pro 800W"/>
        <s v="Hervidor Big Edition 2.5L"/>
        <s v="Hervidor Glass Edition 1.8L"/>
        <s v="Horno Freidora Smart Edition 25L"/>
        <s v="SEPARADOR  VASOS 3 RANURAS"/>
        <s v="Freidora de Aire Max Edition 12L"/>
        <s v="Hervidor Smart Control 1,7L"/>
        <s v="Sandwichera Panini Master Edition"/>
        <s v="Horno Eléctrico Silver Series 60L"/>
        <s v="Freidora de Aire Dual Edition 9L"/>
        <s v="Horno Eléctrico Silver Series 45L"/>
        <s v="Cafetera Arezzo 4 en 1"/>
        <s v="SEPARADOR VASOS BOTELLAS 32X23X32"/>
        <s v="CAJA CARTON CORRUGADO 60x60x50 CM "/>
        <s v="Licuadora Professional Series 850W"/>
        <s v="ROLLO CARTON ACOLCHADO 40cmx5mt"/>
        <s v="FUNDA PAPEL PANAL SET 3 UN 40X10CM"/>
        <s v="PDQ FUNDA PANAL"/>
        <s v="PDQ BOTELLAS VASOS"/>
        <m/>
      </sharedItems>
    </cacheField>
    <cacheField name="UNIDADADES TOTAL" numFmtId="3">
      <sharedItems containsString="0" containsBlank="1" containsNumber="1" containsInteger="1">
        <n v="90.0"/>
        <n v="43.0"/>
        <n v="700.0"/>
        <n v="511.0"/>
        <n v="100.0"/>
        <n v="1990.0"/>
        <n v="868.0"/>
        <n v="417.0"/>
        <n v="475.0"/>
        <n v="400.0"/>
        <n v="409.0"/>
        <n v="299.0"/>
        <n v="111.0"/>
        <n v="200.0"/>
        <n v="525.0"/>
        <n v="1500.0"/>
        <n v="4.0"/>
        <n v="350.0"/>
        <n v="199.0"/>
        <n v="450.0"/>
        <n v="500.0"/>
        <n v="250.0"/>
        <n v="488.0"/>
        <n v="268.0"/>
        <n v="640.0"/>
        <n v="600.0"/>
        <n v="775.0"/>
        <n v="300.0"/>
        <n v="30.0"/>
        <n v="9.0"/>
        <n v="18.0"/>
        <n v="7.0"/>
        <n v="71.0"/>
        <n v="55.0"/>
        <n v="23.0"/>
        <n v="6.0"/>
        <n v="20.0"/>
        <n v="35.0"/>
        <n v="21.0"/>
        <n v="10.0"/>
        <n v="11.0"/>
        <n v="19.0"/>
        <n v="3.0"/>
        <n v="666.0"/>
        <n v="36.0"/>
        <n v="140.0"/>
        <n v="117.0"/>
        <n v="42.0"/>
        <n v="14.0"/>
        <n v="72.0"/>
        <n v="38.0"/>
        <n v="80.0"/>
        <n v="2.0"/>
        <n v="144.0"/>
        <n v="84.0"/>
        <n v="330.0"/>
        <n v="148.0"/>
        <n v="288.0"/>
        <n v="360.0"/>
        <n v="120.0"/>
        <n v="8.0"/>
        <n v="549.0"/>
        <n v="667.0"/>
        <n v="163.0"/>
        <n v="160.0"/>
        <n v="13.0"/>
        <n v="576.0"/>
        <n v="840.0"/>
        <n v="31.0"/>
        <n v="171.0"/>
        <n v="5.0"/>
        <n v="29.0"/>
        <n v="116.0"/>
        <n v="40.0"/>
        <n v="166.0"/>
        <n v="510.0"/>
        <n v="996.0"/>
        <n v="790.0"/>
        <n v="795.0"/>
        <n v="225.0"/>
        <n v="718.0"/>
        <n v="716.0"/>
        <n v="325.0"/>
        <n v="275.0"/>
        <n v="150.0"/>
        <n v="205.0"/>
        <n v="93.0"/>
        <n v="1.0"/>
        <n v="24.0"/>
        <n v="76.0"/>
        <n v="44.0"/>
        <n v="89.0"/>
        <n v="206.0"/>
        <n v="12.0"/>
        <n v="50.0"/>
        <m/>
      </sharedItems>
    </cacheField>
  </cacheFields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R1:BA936" sheet="Copia de Ubicaciones"/>
  </cacheSource>
  <cacheFields>
    <cacheField name="UBICACION" numFmtId="49">
      <sharedItems containsBlank="1">
        <s v="1-1-1"/>
        <s v="1-1-2"/>
        <s v="1-1-3"/>
        <s v="1-1-4"/>
        <s v="1-1-5"/>
        <s v="2-2-1"/>
        <s v="2-3-1"/>
        <s v="2-3-2"/>
        <s v="2-3-3"/>
        <s v="2-4-1"/>
        <s v="2-4-2"/>
        <s v="2-4-3"/>
        <s v="2-5-1"/>
        <s v="2-5-3"/>
        <s v="2-6-1"/>
        <s v="2-6-2"/>
        <s v="3-1-1A"/>
        <s v="3-1-2A"/>
        <s v="3-1-2B"/>
        <s v="3-1-3A"/>
        <s v="3-2-1A"/>
        <s v="3-2-2A"/>
        <s v="3-2-3A"/>
        <s v="3-2-4A"/>
        <s v="3-2-5A"/>
        <s v="3-2-5B"/>
        <s v="3-3-1A"/>
        <s v="3-3-2A"/>
        <s v="3-3-3A"/>
        <s v="3-3-4A"/>
        <s v="3-3-5A"/>
        <s v="3-4-1A"/>
        <s v="3-4-2A"/>
        <s v="3-4-3A"/>
        <s v="3-4-5A"/>
        <s v="3-5-1A"/>
        <s v="3-5-3A"/>
        <s v="3-5-4A"/>
        <s v="3-6-1A"/>
        <s v="3-6-2A"/>
        <s v="3-6-2B"/>
        <s v="3-6-3A"/>
        <s v="3-6-4A"/>
        <s v="3-7-2A"/>
        <s v="3-7-2B"/>
        <s v="3-7-3A"/>
        <s v="3-7-3B"/>
        <s v="3-7-4B"/>
        <s v="3-NV-1"/>
        <s v="3-NV-3"/>
        <s v="3-PRD-F1-1"/>
        <s v="3-PRD-F1-2"/>
        <s v="3-PRD-F1-3"/>
        <s v="3-PRD-F1-4"/>
        <s v="3-PRD-F2-1"/>
        <s v="3-PRD-F4-1"/>
        <s v="3-PRD-F4-2"/>
        <s v="3-R-1A"/>
        <s v="3-R-2A1"/>
        <s v="3-R-2A2"/>
        <s v="3-R-2B"/>
        <s v="4-1-A"/>
        <s v="4-1-B"/>
        <s v="4-1-C"/>
        <s v="4-1-D"/>
        <s v="4-10-A"/>
        <s v="4-10-B"/>
        <s v="4-11-A"/>
        <s v="4-11-B"/>
        <s v="4-11-C"/>
        <s v="4-11-D"/>
        <s v="4-12-A"/>
        <s v="4-12-B"/>
        <s v="4-12-C"/>
        <s v="4-12-D"/>
        <s v="4-13-A"/>
        <s v="4-13-B"/>
        <s v="4-13-C"/>
        <s v="4-13-D"/>
        <s v="4-14-A"/>
        <s v="4-15-A"/>
        <s v="4-15-B"/>
        <s v="4-15-C"/>
        <s v="4-16-A"/>
        <s v="4-16-B"/>
        <s v="4-16-C"/>
        <s v="4-17-A"/>
        <s v="4-17-B"/>
        <s v="4-17-C"/>
        <s v="4-17-D"/>
        <s v="4-18-A"/>
        <s v="4-18-B"/>
        <s v="4-19-A"/>
        <s v="4-19-B"/>
        <s v="4-19-C"/>
        <s v="4-19-D"/>
        <s v="4-2-A"/>
        <s v="4-2-B"/>
        <s v="4-2-C"/>
        <s v="4-2-D"/>
        <s v="4-21-A"/>
        <s v="4-21-B"/>
        <s v="4-21-C"/>
        <s v="4-3-C"/>
        <s v="4-3-D"/>
        <s v="4-6-A"/>
        <s v="4-6-B"/>
        <s v="4-7-A"/>
        <s v="4-7-B"/>
        <s v="4-7-C"/>
        <s v="4-7-D"/>
        <s v="4-8-A"/>
        <s v="4-8-B"/>
        <s v="4-8-C"/>
        <s v="4-8-D"/>
        <s v="4-9-A"/>
        <s v="4-9-B"/>
        <s v="4-9-C"/>
        <s v="4-9-D"/>
        <s v="4-R-10A"/>
        <s v="4-R-10B"/>
        <s v="4-R-1A"/>
        <s v="4-R-1B"/>
        <s v="4-R-1C"/>
        <s v="4-R-2A"/>
        <s v="4-R-2B"/>
        <s v="4-R-3B"/>
        <s v="4-R-4A"/>
        <s v="4-R-4B"/>
        <s v="4-R-5A"/>
        <s v="4-R-5B"/>
        <s v="4-R-6A"/>
        <s v="4-R-6B"/>
        <s v="4-R-7A"/>
        <s v="4-R-7B"/>
        <s v="4-R-9A"/>
        <s v="4-R-9B"/>
        <s v="ANDEN-1-1"/>
        <s v="ANDEN-1-10"/>
        <s v="ANDEN-1-11"/>
        <s v="ANDEN-1-12"/>
        <s v="ANDEN-1-13"/>
        <s v="ANDEN-1-14"/>
        <s v="ANDEN-1-15"/>
        <s v="ANDEN-1-16"/>
        <s v="ANDEN-1-17"/>
        <s v="ANDEN-1-2"/>
        <s v="ANDEN-1-4"/>
        <s v="ANDEN-1-5"/>
        <s v="ANDEN-1-6"/>
        <s v="ANDEN-1-7"/>
        <s v="ANDEN-1-8"/>
        <s v="ANDEN-1-9"/>
        <s v="CASINO-1-10"/>
        <s v="CASINO-1-7"/>
        <s v="CASINO-1-8"/>
        <s v="CASINO-1-9"/>
        <s v="PATIO-1-10"/>
        <s v="PATIO-1-11"/>
        <s v="PATIO-1-12"/>
        <s v="PATIO-1-13"/>
        <s v="PATIO-1-14"/>
        <s v="PATIO-1-15"/>
        <s v="PATIO-1-16"/>
        <s v="PATIO-1-17"/>
        <s v="PATIO-1-18"/>
        <s v="PATIO-1-19"/>
        <s v="PATIO-1-2"/>
        <s v="PATIO-1-20"/>
        <s v="PATIO-1-21"/>
        <s v="PATIO-1-22"/>
        <s v="PATIO-1-23"/>
        <s v="PATIO-1-24"/>
        <s v="PATIO-1-25"/>
        <s v="PATIO-1-26"/>
        <s v="PATIO-1-3"/>
        <s v="PATIO-1-4"/>
        <s v="PATIO-1-5"/>
        <s v="PATIO-1-6"/>
        <s v="PATIO-1-7"/>
        <s v="PATIO-1-8"/>
        <s v="PATIO-1-9"/>
        <s v="R-8-B1"/>
        <s v="R-8-B10"/>
        <s v="R-8-B11"/>
        <s v="R-8-B3"/>
        <s v="R-8-B4"/>
        <s v="R-8-B5"/>
        <s v="R-8-B6"/>
        <s v="R-8-B7"/>
        <s v="R-8-B8"/>
        <s v="R-8-B9"/>
        <s v="T-1-1"/>
        <s v="T-1-10"/>
        <s v="T-1-11"/>
        <s v="T-1-12"/>
        <s v="T-1-13"/>
        <s v="T-1-14"/>
        <s v="T-1-15"/>
        <s v="T-1-2"/>
        <s v="T-1-3"/>
        <s v="T-1-4"/>
        <s v="T-1-5"/>
        <s v="ZEST-1-2"/>
        <s v="ZEST-1-3"/>
        <s v="ZEST-1-4"/>
        <s v="ZEST-1-5"/>
        <s v="ZEST-2-1"/>
        <s v="ZEST-2-2"/>
        <s v="ZEST-2-3"/>
        <s v="ZEST-2-4"/>
        <s v="ZEST-2-5"/>
        <s v="ZEST-3-2"/>
        <s v="ZEST-3-3"/>
        <s v="ZEST-3-4"/>
        <s v="ZEST-3-5"/>
        <s v="ZEST-4-2"/>
        <s v="ZOUT-1-1"/>
        <s v="ZOUT-1-28"/>
        <s v="ZOUT-1-29"/>
        <m/>
      </sharedItems>
    </cacheField>
    <cacheField name="SKU">
      <sharedItems containsBlank="1" containsMixedTypes="1" containsNumber="1" containsInteger="1">
        <s v="691015"/>
        <s v="691410"/>
        <s v="692432"/>
        <s v="692425"/>
        <s v="692029S"/>
        <s v="691411"/>
        <s v="600482X"/>
        <s v="600505X"/>
        <s v="600499X"/>
        <s v="600666"/>
        <s v="600536"/>
        <s v="PDQSEPARADORPLATO"/>
        <s v="692036X"/>
        <s v="600567"/>
        <s v="PENDIENTE"/>
        <s v="692012X"/>
        <s v="600673"/>
        <s v="600697"/>
        <s v="600659"/>
        <s v="600550"/>
        <s v="600512"/>
        <s v="111111"/>
        <s v="600900P"/>
        <s v="605678"/>
        <s v="692029X"/>
        <n v="692043.0"/>
        <s v="690155"/>
        <s v="682778"/>
        <s v="LSS1200"/>
        <s v="PPPMXL"/>
        <s v="FAFE7L"/>
        <s v="FAPE5L"/>
        <s v="FACE4L"/>
        <s v="LPP800W"/>
        <s v="HEBE25L"/>
        <s v="HEGE18L"/>
        <s v="HF25L"/>
        <s v="FAME12L"/>
        <s v="HSC17L"/>
        <s v="PPME"/>
        <s v="HESS60"/>
        <s v="FADE9L"/>
        <s v="HESS45"/>
        <s v="CAFA4"/>
        <s v="600574"/>
        <s v="692043"/>
        <s v="LIPS850"/>
        <n v="691084.0"/>
        <s v="600523"/>
        <s v="PDQ FUNDA PANAL"/>
        <s v="PDQ BOTELLAS VASOS"/>
        <m/>
      </sharedItems>
    </cacheField>
    <cacheField name="DESCRIPCION" numFmtId="0">
      <sharedItems containsBlank="1">
        <s v="CAJA TV"/>
        <s v="CAJA CARTON ENVIOS PACK"/>
        <s v="CAJA CARTON ENVIOS 25x17x13 CM"/>
        <s v="CAJA CARTON PISQUERA 31x23x31 CM"/>
        <s v="CAJA CARTON CORRUGADO 60x40x40 S/IMPRESION"/>
        <s v="CAJA CARTON ENVIOS SB 18x10x8 CM."/>
        <s v="CAJA CARTON CON ASAS 40X30X30 CM  EASY"/>
        <s v="CAJA CARTON CON ASAS 70X30X30 CM EASY"/>
        <s v="CAJA CARTON CON ASAS 50X30X30 CM EASY"/>
        <s v="CAJA CARTON S/IMP 32x23x32 CM"/>
        <s v="ROLLO PAPEL KRAFT 35GR 20 MT"/>
        <s v="PDQ SEPARADOR PLATO"/>
        <s v="CAJA CARTON CORRUGADO 47x31x31 "/>
        <s v="SEPARADORES PLATOS 32X23X32"/>
        <s v="SEPARADOR BOTELLA DOS RANURAS"/>
        <s v="CAJA CARTON CORRUGADO 50x40x30 "/>
        <s v="ROLLO PAPEL KRAFT 35GR 25 MT"/>
        <s v="CAJA PLUMAVIT 35 LITROS"/>
        <s v="ROLLO ESPUMA EMBALAJE 1 MM 0,70X5 MT"/>
        <s v="ROLLO PAPEL PANAL 0,50 X 25MTS"/>
        <s v="ROLLO ESPUMA EMBALAJE 1 MM 0,70X10 MT"/>
        <s v="ROLLO PAPEL KRAFT 35G 230MT"/>
        <s v="ROLLO ESPUMA EMBALAJE 1 MM 1.40X125 MT"/>
        <s v="ROLLO CARTON CORRUGADO 1.20X73Mt aprox. 25K"/>
        <s v="CAJA CARTON CORRUGADO 60x40x40"/>
        <s v="CAJA CARTON CORRUGADO 60x60x50 CM"/>
        <s v="ROLLO CARTON CORRUGADO 0.80X10 MT"/>
        <s v="ROLLO CARTON CORRUGADO 1.20X25 MT"/>
        <s v="SEPARADOR 2 RANURAS"/>
        <s v="Licuadora Smart System 1200W"/>
        <s v="Plancha Panini Pro Max XL"/>
        <s v="Freidora de Aire Family Edition 7L"/>
        <s v="Freidora de Aire Plus Edition 5L"/>
        <s v="Freidora de Aire Chef Edition 4L"/>
        <s v="Licuadora Power Pro 800W"/>
        <s v="Hervidor Big Edition 2.5L"/>
        <s v="Hervidor Glass Edition 1.8L"/>
        <s v="Horno Freidora Smart Edition 25L"/>
        <s v="SEPARADOR  VASOS 3 RANURAS"/>
        <s v="Freidora de Aire Max Edition 12L"/>
        <s v="Hervidor Smart Control 1,7L"/>
        <s v="Sandwichera Panini Master Edition"/>
        <s v="Horno Eléctrico Silver Series 60L"/>
        <s v="Freidora de Aire Dual Edition 9L"/>
        <s v="Horno Eléctrico Silver Series 45L"/>
        <s v="Cafetera Arezzo 4 en 1"/>
        <s v="SEPARADOR VASOS BOTELLAS 32X23X32"/>
        <s v="CAJA CARTON CORRUGADO 60x60x50 CM "/>
        <s v="Licuadora Professional Series 850W"/>
        <s v="ROLLO CARTON ACOLCHADO 40cmx5mt"/>
        <s v="FUNDA PAPEL PANAL SET 3 UN 40X10CM"/>
        <s v="PDQ FUNDA PANAL"/>
        <s v="PDQ BOTELLAS VASOS"/>
        <m/>
      </sharedItems>
    </cacheField>
    <cacheField name="UNIDADADES TOTAL" numFmtId="3">
      <sharedItems containsString="0" containsBlank="1" containsNumber="1" containsInteger="1">
        <n v="90.0"/>
        <n v="43.0"/>
        <n v="700.0"/>
        <n v="511.0"/>
        <n v="100.0"/>
        <n v="1990.0"/>
        <n v="868.0"/>
        <n v="417.0"/>
        <n v="475.0"/>
        <n v="400.0"/>
        <n v="409.0"/>
        <n v="299.0"/>
        <n v="111.0"/>
        <n v="200.0"/>
        <n v="525.0"/>
        <n v="1500.0"/>
        <n v="4.0"/>
        <n v="350.0"/>
        <n v="199.0"/>
        <n v="450.0"/>
        <n v="500.0"/>
        <n v="250.0"/>
        <n v="488.0"/>
        <n v="268.0"/>
        <n v="640.0"/>
        <n v="600.0"/>
        <n v="775.0"/>
        <n v="300.0"/>
        <n v="30.0"/>
        <n v="9.0"/>
        <n v="18.0"/>
        <n v="7.0"/>
        <n v="71.0"/>
        <n v="55.0"/>
        <n v="23.0"/>
        <n v="6.0"/>
        <n v="20.0"/>
        <n v="35.0"/>
        <n v="21.0"/>
        <n v="10.0"/>
        <n v="11.0"/>
        <n v="19.0"/>
        <n v="3.0"/>
        <n v="666.0"/>
        <n v="36.0"/>
        <n v="140.0"/>
        <n v="117.0"/>
        <n v="42.0"/>
        <n v="14.0"/>
        <n v="72.0"/>
        <n v="38.0"/>
        <n v="80.0"/>
        <n v="2.0"/>
        <n v="144.0"/>
        <n v="84.0"/>
        <n v="330.0"/>
        <n v="148.0"/>
        <n v="288.0"/>
        <n v="360.0"/>
        <n v="120.0"/>
        <n v="8.0"/>
        <n v="549.0"/>
        <n v="667.0"/>
        <n v="163.0"/>
        <n v="160.0"/>
        <n v="13.0"/>
        <n v="576.0"/>
        <n v="840.0"/>
        <n v="31.0"/>
        <n v="171.0"/>
        <n v="5.0"/>
        <n v="29.0"/>
        <n v="116.0"/>
        <n v="40.0"/>
        <n v="166.0"/>
        <n v="510.0"/>
        <n v="996.0"/>
        <n v="790.0"/>
        <n v="795.0"/>
        <n v="225.0"/>
        <n v="718.0"/>
        <n v="716.0"/>
        <n v="325.0"/>
        <n v="275.0"/>
        <n v="150.0"/>
        <n v="205.0"/>
        <n v="93.0"/>
        <n v="1.0"/>
        <n v="24.0"/>
        <n v="76.0"/>
        <n v="44.0"/>
        <n v="89.0"/>
        <n v="206.0"/>
        <n v="12.0"/>
        <n v="50.0"/>
        <m/>
      </sharedItems>
    </cacheField>
    <cacheField name="ORIGEN INGRESO" numFmtId="0">
      <sharedItems containsBlank="1">
        <s v="PROVEEDOR"/>
        <s v="PRODUCTO TERMINADO"/>
        <s v="Contenedor"/>
        <s v="Devoluciones"/>
        <s v="Movimiento Interno"/>
        <s v="MERCADO  LIBRE"/>
        <s v="Retorno Falabella"/>
        <m/>
      </sharedItems>
    </cacheField>
    <cacheField name="SALA">
      <sharedItems containsBlank="1" containsMixedTypes="1" containsNumber="1" containsInteger="1">
        <n v="1.0"/>
        <n v="2.0"/>
        <n v="3.0"/>
        <n v="4.0"/>
        <s v="ANDEN"/>
        <s v="CASINO"/>
        <s v="PATIO"/>
        <s v="R"/>
        <s v="T"/>
        <s v="ZEST"/>
        <s v="ZOUT"/>
        <m/>
      </sharedItems>
    </cacheField>
    <cacheField name="FILA" numFmtId="49">
      <sharedItems containsBlank="1">
        <s v="1"/>
        <s v="2"/>
        <s v="3"/>
        <s v="4"/>
        <s v="5"/>
        <s v="6"/>
        <s v="7"/>
        <s v="NV"/>
        <s v="PRD-F1"/>
        <s v="PRD-F2"/>
        <s v="PRD-F4"/>
        <s v="R"/>
        <s v="10"/>
        <s v="11"/>
        <s v="12"/>
        <s v="13"/>
        <s v="14"/>
        <s v="15"/>
        <s v="16"/>
        <s v="17"/>
        <s v="18"/>
        <s v="19"/>
        <s v="21"/>
        <s v="8"/>
        <s v="9"/>
        <m/>
      </sharedItems>
    </cacheField>
    <cacheField name="POSICIÓN" numFmtId="49">
      <sharedItems containsBlank="1">
        <s v="1"/>
        <s v="2"/>
        <s v="3"/>
        <s v="4"/>
        <s v="5"/>
        <s v="1A"/>
        <s v="2A"/>
        <s v="2B"/>
        <s v="3A"/>
        <s v="4A"/>
        <s v="5A"/>
        <s v="5B"/>
        <s v="3B"/>
        <s v="4B"/>
        <s v="2A1"/>
        <s v="2A2"/>
        <s v="A"/>
        <s v="B"/>
        <s v="C"/>
        <s v="D"/>
        <s v="10A"/>
        <s v="10B"/>
        <s v="1B"/>
        <s v="1C"/>
        <s v="6A"/>
        <s v="6B"/>
        <s v="7A"/>
        <s v="7B"/>
        <s v="9A"/>
        <s v="9B"/>
        <s v="10"/>
        <s v="11"/>
        <s v="12"/>
        <s v="13"/>
        <s v="14"/>
        <s v="15"/>
        <s v="16"/>
        <s v="17"/>
        <s v="6"/>
        <s v="7"/>
        <s v="8"/>
        <s v="9"/>
        <s v="18"/>
        <s v="19"/>
        <s v="20"/>
        <s v="21"/>
        <s v="22"/>
        <s v="23"/>
        <s v="24"/>
        <s v="25"/>
        <s v="26"/>
        <s v="B1"/>
        <s v="B10"/>
        <s v="B11"/>
        <s v="B3"/>
        <s v="B4"/>
        <s v="B5"/>
        <s v="B6"/>
        <s v="B7"/>
        <s v="B8"/>
        <s v="B9"/>
        <s v="28"/>
        <s v="29"/>
        <m/>
      </sharedItems>
    </cacheField>
    <cacheField name="#" numFmtId="0">
      <sharedItems containsString="0" containsBlank="1" containsNumber="1" containsInteger="1">
        <n v="1.0"/>
        <n v="2.0"/>
        <n v="3.0"/>
        <n v="4.0"/>
        <n v="5.0"/>
        <n v="11.0"/>
        <n v="14.0"/>
        <n v="15.0"/>
        <n v="16.0"/>
        <n v="17.0"/>
        <n v="18.0"/>
        <n v="19.0"/>
        <n v="20.0"/>
        <n v="22.0"/>
        <n v="23.0"/>
        <n v="24.0"/>
        <n v="26.0"/>
        <n v="28.0"/>
        <n v="29.0"/>
        <n v="30.0"/>
        <n v="32.0"/>
        <n v="34.0"/>
        <n v="36.0"/>
        <n v="38.0"/>
        <n v="40.0"/>
        <n v="41.0"/>
        <n v="42.0"/>
        <n v="44.0"/>
        <n v="46.0"/>
        <n v="48.0"/>
        <n v="50.0"/>
        <n v="52.0"/>
        <n v="54.0"/>
        <n v="56.0"/>
        <n v="60.0"/>
        <n v="62.0"/>
        <n v="66.0"/>
        <n v="68.0"/>
        <n v="72.0"/>
        <n v="74.0"/>
        <n v="75.0"/>
        <n v="76.0"/>
        <n v="78.0"/>
        <n v="84.0"/>
        <n v="85.0"/>
        <n v="86.0"/>
        <n v="87.0"/>
        <n v="89.0"/>
        <n v="92.0"/>
        <n v="94.0"/>
        <n v="100.0"/>
        <n v="101.0"/>
        <n v="102.0"/>
        <n v="103.0"/>
        <n v="105.0"/>
        <n v="115.0"/>
        <n v="116.0"/>
        <n v="96.0"/>
        <n v="97.0"/>
        <n v="98.0"/>
        <n v="120.0"/>
        <n v="121.0"/>
        <n v="122.0"/>
        <n v="123.0"/>
        <n v="157.0"/>
        <n v="158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7.0"/>
        <n v="178.0"/>
        <n v="179.0"/>
        <n v="181.0"/>
        <n v="182.0"/>
        <n v="183.0"/>
        <n v="185.0"/>
        <n v="186.0"/>
        <n v="187.0"/>
        <n v="188.0"/>
        <n v="189.0"/>
        <n v="190.0"/>
        <n v="193.0"/>
        <n v="194.0"/>
        <n v="195.0"/>
        <n v="196.0"/>
        <n v="125.0"/>
        <n v="126.0"/>
        <n v="127.0"/>
        <n v="128.0"/>
        <n v="198.0"/>
        <n v="199.0"/>
        <n v="200.0"/>
        <n v="131.0"/>
        <n v="132.0"/>
        <n v="141.0"/>
        <n v="142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222.0"/>
        <n v="223.0"/>
        <n v="197.0"/>
        <n v="206.0"/>
        <n v="207.0"/>
        <n v="208.0"/>
        <n v="209.0"/>
        <n v="211.0"/>
        <n v="212.0"/>
        <n v="213.0"/>
        <n v="214.0"/>
        <n v="215.0"/>
        <n v="216.0"/>
        <n v="217.0"/>
        <n v="218.0"/>
        <n v="219.0"/>
        <n v="220.0"/>
        <n v="221.0"/>
        <n v="224.0"/>
        <n v="233.0"/>
        <n v="234.0"/>
        <n v="235.0"/>
        <n v="236.0"/>
        <n v="237.0"/>
        <n v="238.0"/>
        <n v="239.0"/>
        <n v="240.0"/>
        <n v="225.0"/>
        <n v="227.0"/>
        <n v="228.0"/>
        <n v="229.0"/>
        <n v="230.0"/>
        <n v="231.0"/>
        <n v="232.0"/>
        <n v="254.0"/>
        <n v="251.0"/>
        <n v="252.0"/>
        <n v="253.0"/>
        <n v="274.0"/>
        <n v="275.0"/>
        <n v="276.0"/>
        <n v="277.0"/>
        <n v="278.0"/>
        <n v="279.0"/>
        <n v="280.0"/>
        <n v="281.0"/>
        <n v="282.0"/>
        <n v="266.0"/>
        <n v="283.0"/>
        <n v="267.0"/>
        <n v="268.0"/>
        <n v="269.0"/>
        <n v="270.0"/>
        <n v="271.0"/>
        <n v="272.0"/>
        <n v="273.0"/>
        <n v="300.0"/>
        <n v="301.0"/>
        <n v="293.0"/>
        <n v="294.0"/>
        <n v="295.0"/>
        <n v="296.0"/>
        <n v="297.0"/>
        <n v="298.0"/>
        <n v="299.0"/>
        <n v="307.0"/>
        <n v="316.0"/>
        <n v="317.0"/>
        <n v="318.0"/>
        <n v="319.0"/>
        <n v="320.0"/>
        <n v="321.0"/>
        <n v="308.0"/>
        <n v="309.0"/>
        <n v="310.0"/>
        <n v="311.0"/>
        <n v="378.0"/>
        <n v="379.0"/>
        <n v="380.0"/>
        <n v="381.0"/>
        <n v="382.0"/>
        <n v="383.0"/>
        <n v="384.0"/>
        <n v="385.0"/>
        <n v="386.0"/>
        <n v="388.0"/>
        <n v="389.0"/>
        <n v="390.0"/>
        <n v="391.0"/>
        <n v="393.0"/>
        <n v="347.0"/>
        <n v="374.0"/>
        <n v="375.0"/>
        <m/>
      </sharedItems>
    </cacheField>
    <cacheField name="Cliente" numFmtId="0">
      <sharedItems containsBlank="1">
        <s v="SUMMIT"/>
        <m/>
        <s v="KITCHEN-IT"/>
      </sharedItems>
    </cacheField>
  </cacheFields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Q1:AT936" sheet="21.04.25 Ubicaciones"/>
  </cacheSource>
  <cacheFields>
    <cacheField name="UBICACION" numFmtId="49">
      <sharedItems containsBlank="1">
        <s v="1-1-1"/>
        <s v="1-1-2"/>
        <s v="1-1-3"/>
        <s v="1-1-4"/>
        <s v="1-1-5"/>
        <s v="2-2-1"/>
        <s v="2-3-1"/>
        <s v="2-3-2"/>
        <s v="2-3-3"/>
        <s v="2-4-1"/>
        <s v="2-4-2"/>
        <s v="2-4-3"/>
        <s v="2-5-1"/>
        <s v="2-5-3"/>
        <s v="2-6-1"/>
        <s v="2-6-2"/>
        <s v="3-1-1A"/>
        <s v="3-1-2A"/>
        <s v="3-1-2B"/>
        <s v="3-1-3A"/>
        <s v="3-2-1A"/>
        <s v="3-2-2A"/>
        <s v="3-2-3A"/>
        <s v="3-2-4A"/>
        <s v="3-2-5A"/>
        <s v="3-2-5B"/>
        <s v="3-3-1A"/>
        <s v="3-3-2A"/>
        <s v="3-3-3A"/>
        <s v="3-3-4A"/>
        <s v="3-3-5A"/>
        <s v="3-4-1A"/>
        <s v="3-4-2A"/>
        <s v="3-4-3A"/>
        <s v="3-4-5A"/>
        <s v="3-5-1A"/>
        <s v="3-5-3A"/>
        <s v="3-5-4A"/>
        <s v="3-6-1A"/>
        <s v="3-6-2A"/>
        <s v="3-6-2B"/>
        <s v="3-6-3A"/>
        <s v="3-6-4A"/>
        <s v="3-7-2A"/>
        <s v="3-7-2B"/>
        <s v="3-7-3A"/>
        <s v="3-7-3B"/>
        <s v="3-7-4B"/>
        <s v="3-NV-1"/>
        <s v="3-NV-3"/>
        <s v="3-PRD-F1-1"/>
        <s v="3-PRD-F1-2"/>
        <s v="3-PRD-F1-3"/>
        <s v="3-PRD-F1-4"/>
        <s v="3-PRD-F2-1"/>
        <s v="3-PRD-F4-1"/>
        <s v="3-PRD-F4-2"/>
        <s v="3-R-1A"/>
        <s v="3-R-2A1"/>
        <s v="3-R-2A2"/>
        <s v="3-R-2B"/>
        <s v="4-1-A"/>
        <s v="4-1-B"/>
        <s v="4-1-C"/>
        <s v="4-1-D"/>
        <s v="4-10-A"/>
        <s v="4-10-B"/>
        <s v="4-11-A"/>
        <s v="4-11-B"/>
        <s v="4-11-C"/>
        <s v="4-11-D"/>
        <s v="4-12-A"/>
        <s v="4-12-B"/>
        <s v="4-12-C"/>
        <s v="4-12-D"/>
        <s v="4-13-A"/>
        <s v="4-13-B"/>
        <s v="4-13-C"/>
        <s v="4-13-D"/>
        <s v="4-14-A"/>
        <s v="4-15-A"/>
        <s v="4-15-B"/>
        <s v="4-15-C"/>
        <s v="4-16-A"/>
        <s v="4-16-B"/>
        <s v="4-16-C"/>
        <s v="4-17-A"/>
        <s v="4-17-B"/>
        <s v="4-17-C"/>
        <s v="4-17-D"/>
        <s v="4-18-A"/>
        <s v="4-18-B"/>
        <s v="4-18-C"/>
        <s v="4-19-A"/>
        <s v="4-19-B"/>
        <s v="4-19-C"/>
        <s v="4-19-D"/>
        <s v="4-2-A"/>
        <s v="4-2-B"/>
        <s v="4-2-C"/>
        <s v="4-2-D"/>
        <s v="4-21-A"/>
        <s v="4-21-B"/>
        <s v="4-21-C"/>
        <s v="4-3-C"/>
        <s v="4-3-D"/>
        <s v="4-6-A"/>
        <s v="4-6-B"/>
        <s v="4-7-A"/>
        <s v="4-7-B"/>
        <s v="4-7-C"/>
        <s v="4-7-D"/>
        <s v="4-8-A"/>
        <s v="4-8-B"/>
        <s v="4-8-C"/>
        <s v="4-8-D"/>
        <s v="4-9-A"/>
        <s v="4-9-B"/>
        <s v="4-9-C"/>
        <s v="4-9-D"/>
        <s v="4-R-10A"/>
        <s v="4-R-10B"/>
        <s v="4-R-1A"/>
        <s v="4-R-1B"/>
        <s v="4-R-1C"/>
        <s v="4-R-2A"/>
        <s v="4-R-2B"/>
        <s v="4-R-3B"/>
        <s v="4-R-4A"/>
        <s v="4-R-4B"/>
        <s v="4-R-5A"/>
        <s v="4-R-5B"/>
        <s v="4-R-6A"/>
        <s v="4-R-6B"/>
        <s v="4-R-7A"/>
        <s v="4-R-7B"/>
        <s v="4-R-9A"/>
        <s v="4-R-9B"/>
        <s v="ANDEN-1-1"/>
        <s v="ANDEN-1-10"/>
        <s v="ANDEN-1-11"/>
        <s v="ANDEN-1-12"/>
        <s v="ANDEN-1-13"/>
        <s v="ANDEN-1-14"/>
        <s v="ANDEN-1-15"/>
        <s v="ANDEN-1-16"/>
        <s v="ANDEN-1-17"/>
        <s v="ANDEN-1-2"/>
        <s v="ANDEN-1-4"/>
        <s v="ANDEN-1-5"/>
        <s v="ANDEN-1-6"/>
        <s v="ANDEN-1-7"/>
        <s v="ANDEN-1-8"/>
        <s v="ANDEN-1-9"/>
        <s v="CASINO-1-10"/>
        <s v="CASINO-1-7"/>
        <s v="CASINO-1-8"/>
        <s v="CASINO-1-9"/>
        <s v="PATIO-1-10"/>
        <s v="PATIO-1-11"/>
        <s v="PATIO-1-12"/>
        <s v="PATIO-1-13"/>
        <s v="PATIO-1-14"/>
        <s v="PATIO-1-15"/>
        <s v="PATIO-1-16"/>
        <s v="PATIO-1-17"/>
        <s v="PATIO-1-18"/>
        <s v="PATIO-1-19"/>
        <s v="PATIO-1-2"/>
        <s v="PATIO-1-20"/>
        <s v="PATIO-1-21"/>
        <s v="PATIO-1-22"/>
        <s v="PATIO-1-23"/>
        <s v="PATIO-1-24"/>
        <s v="PATIO-1-25"/>
        <s v="PATIO-1-26"/>
        <s v="PATIO-1-3"/>
        <s v="PATIO-1-4"/>
        <s v="PATIO-1-5"/>
        <s v="PATIO-1-6"/>
        <s v="PATIO-1-7"/>
        <s v="PATIO-1-8"/>
        <s v="PATIO-1-9"/>
        <s v="R-8-B1"/>
        <s v="R-8-B10"/>
        <s v="R-8-B11"/>
        <s v="R-8-B3"/>
        <s v="R-8-B4"/>
        <s v="R-8-B5"/>
        <s v="R-8-B6"/>
        <s v="R-8-B7"/>
        <s v="R-8-B8"/>
        <s v="R-8-B9"/>
        <s v="T-1-1"/>
        <s v="T-1-11"/>
        <s v="T-1-12"/>
        <s v="T-1-13"/>
        <s v="T-1-14"/>
        <s v="T-1-15"/>
        <s v="T-1-2"/>
        <s v="T-1-3"/>
        <s v="T-1-4"/>
        <s v="T-1-5"/>
        <s v="T-1-6"/>
        <s v="ZEST-1-2"/>
        <s v="ZEST-1-3"/>
        <s v="ZEST-1-4"/>
        <s v="ZEST-1-5"/>
        <s v="ZEST-2-1"/>
        <s v="ZEST-2-2"/>
        <s v="ZEST-2-3"/>
        <s v="ZEST-2-4"/>
        <s v="ZEST-2-5"/>
        <s v="ZEST-3-2"/>
        <s v="ZEST-3-3"/>
        <s v="ZEST-3-4"/>
        <s v="ZEST-3-5"/>
        <s v="ZEST-4-2"/>
        <s v="ZOUT-1-10"/>
        <s v="ZOUT-1-11"/>
        <s v="ZOUT-1-12"/>
        <s v="ZOUT-1-14"/>
        <s v="ZOUT-1-15"/>
        <s v="ZOUT-1-16"/>
        <s v="ZOUT-1-17"/>
        <s v="ZOUT-1-18"/>
        <s v="ZOUT-1-19"/>
        <s v="ZOUT-1-20"/>
        <s v="ZOUT-1-21"/>
        <s v="ZOUT-1-22"/>
        <s v="ZOUT-1-23"/>
        <s v="ZOUT-1-24"/>
        <s v="ZOUT-1-25"/>
        <s v="ZOUT-1-26"/>
        <s v="ZOUT-1-7"/>
        <s v="ZOUT-1-8"/>
        <s v="ZOUT-1-9"/>
        <m/>
      </sharedItems>
    </cacheField>
    <cacheField name="SKU">
      <sharedItems containsBlank="1" containsMixedTypes="1" containsNumber="1" containsInteger="1">
        <s v="691015"/>
        <s v="691410"/>
        <s v="692432"/>
        <s v="692425"/>
        <s v="692029S"/>
        <s v="691411"/>
        <s v="600482X"/>
        <s v="600505X"/>
        <s v="600499X"/>
        <s v="600666"/>
        <s v="600536"/>
        <s v="PDQSEPARADORPLATO"/>
        <s v="692036X"/>
        <s v="600567"/>
        <s v="PENDIENTE"/>
        <s v="692012X"/>
        <s v="600673"/>
        <s v="600697"/>
        <s v="600659"/>
        <s v="600550"/>
        <s v="600512"/>
        <s v="111111"/>
        <s v="600900P"/>
        <s v="605678"/>
        <s v="692029X"/>
        <n v="692043.0"/>
        <s v="690155"/>
        <s v="682778"/>
        <s v="LSS1200"/>
        <s v="PPPMXL"/>
        <s v="FAFE7L"/>
        <s v="FAPE5L"/>
        <s v="FACE4L"/>
        <s v="LPP800W"/>
        <s v="HEBE25L"/>
        <s v="HEGE18L"/>
        <s v="HF25L"/>
        <s v="FAME12L"/>
        <s v="HSC17L"/>
        <s v="PPME"/>
        <s v="HESS60"/>
        <s v="FADE9L"/>
        <s v="HESS45"/>
        <s v="CAFA4"/>
        <s v="600574"/>
        <s v="692043"/>
        <s v="LIPS850"/>
        <n v="691084.0"/>
        <s v="600523"/>
        <s v="PDQ FUNDA PANAL"/>
        <s v="PDQ BOTELLAS VASOS"/>
        <m/>
      </sharedItems>
    </cacheField>
    <cacheField name="DESCRIPCION" numFmtId="0">
      <sharedItems containsBlank="1">
        <s v="CAJA TV"/>
        <s v="CAJA CARTON ENVIOS PACK"/>
        <s v="CAJA CARTON ENVIOS 25x17x13 CM"/>
        <s v="CAJA CARTON PISQUERA 31x23x31 CM"/>
        <s v="CAJA CARTON CORRUGADO 60x40x40 S/IMPRESION"/>
        <s v="CAJA CARTON ENVIOS SB 18x10x8 CM."/>
        <s v="CAJA CARTON CON ASAS 40X30X30 CM  EASY"/>
        <s v="CAJA CARTON CON ASAS 70X30X30 CM EASY"/>
        <s v="CAJA CARTON CON ASAS 50X30X30 CM EASY"/>
        <s v="CAJA CARTON S/IMP 32x23x32 CM"/>
        <s v="ROLLO PAPEL KRAFT 35GR 20 MT"/>
        <s v="PDQ SEPARADOR PLATO"/>
        <s v="CAJA CARTON CORRUGADO 47x31x31 "/>
        <s v="SEPARADORES PLATOS 32X23X32"/>
        <s v="SEPARADOR BOTELLA DOS RANURAS"/>
        <s v="CAJA CARTON CORRUGADO 50x40x30 "/>
        <s v="ROLLO PAPEL KRAFT 35GR 25 MT"/>
        <s v="CAJA PLUMAVIT 35 LITROS"/>
        <s v="ROLLO ESPUMA EMBALAJE 1 MM 0,70X5 MT"/>
        <s v="ROLLO PAPEL PANAL 0,50 X 25MTS"/>
        <s v="ROLLO ESPUMA EMBALAJE 1 MM 0,70X10 MT"/>
        <s v="ROLLO PAPEL KRAFT 35G 230MT"/>
        <s v="ROLLO ESPUMA EMBALAJE 1 MM 1.40X125 MT"/>
        <s v="ROLLO CARTON CORRUGADO 1.20X73Mt aprox. 25K"/>
        <s v="CAJA CARTON CORRUGADO 60x40x40"/>
        <s v="CAJA CARTON CORRUGADO 60x60x50 CM"/>
        <s v="ROLLO CARTON CORRUGADO 0.80X10 MT"/>
        <s v="ROLLO CARTON CORRUGADO 1.20X25 MT"/>
        <s v="SEPARADOR 2 RANURAS"/>
        <s v="Licuadora Smart System 1200W"/>
        <s v="Plancha Panini Pro Max XL"/>
        <s v="Freidora de Aire Family Edition 7L"/>
        <s v="Freidora de Aire Plus Edition 5L"/>
        <s v="Freidora de Aire Chef Edition 4L"/>
        <s v="Licuadora Power Pro 800W"/>
        <s v="Hervidor Big Edition 2.5L"/>
        <s v="Hervidor Glass Edition 1.8L"/>
        <s v="Horno Freidora Smart Edition 25L"/>
        <s v="SEPARADOR  VASOS 3 RANURAS"/>
        <s v="Freidora de Aire Max Edition 12L"/>
        <s v="Hervidor Smart Control 1,7L"/>
        <s v="Sandwichera Panini Master Edition"/>
        <s v="Horno Eléctrico Silver Series 60L"/>
        <s v="Freidora de Aire Dual Edition 9L"/>
        <s v="Horno Eléctrico Silver Series 45L"/>
        <s v="Cafetera Arezzo 4 en 1"/>
        <s v="SEPARADOR VASOS BOTELLAS 32X23X32"/>
        <s v="CAJA CARTON CORRUGADO 60x60x50 CM "/>
        <s v="Licuadora Professional Series 850W"/>
        <s v="ROLLO CARTON ACOLCHADO 40cmx5mt"/>
        <s v="FUNDA PAPEL PANAL SET 3 UN 40X10CM"/>
        <s v="PDQ FUNDA PANAL"/>
        <s v="PDQ BOTELLAS VASOS"/>
        <m/>
      </sharedItems>
    </cacheField>
    <cacheField name="UNIDADADES TOTAL" numFmtId="3">
      <sharedItems containsString="0" containsBlank="1" containsNumber="1" containsInteger="1">
        <n v="90.0"/>
        <n v="43.0"/>
        <n v="700.0"/>
        <n v="511.0"/>
        <n v="100.0"/>
        <n v="1990.0"/>
        <n v="868.0"/>
        <n v="417.0"/>
        <n v="475.0"/>
        <n v="400.0"/>
        <n v="409.0"/>
        <n v="299.0"/>
        <n v="111.0"/>
        <n v="200.0"/>
        <n v="525.0"/>
        <n v="1500.0"/>
        <n v="4.0"/>
        <n v="350.0"/>
        <n v="199.0"/>
        <n v="450.0"/>
        <n v="500.0"/>
        <n v="250.0"/>
        <n v="488.0"/>
        <n v="268.0"/>
        <n v="640.0"/>
        <n v="600.0"/>
        <n v="775.0"/>
        <n v="300.0"/>
        <n v="30.0"/>
        <n v="9.0"/>
        <n v="18.0"/>
        <n v="7.0"/>
        <n v="71.0"/>
        <n v="55.0"/>
        <n v="23.0"/>
        <n v="6.0"/>
        <n v="20.0"/>
        <n v="35.0"/>
        <n v="21.0"/>
        <n v="10.0"/>
        <n v="11.0"/>
        <n v="19.0"/>
        <n v="3.0"/>
        <n v="666.0"/>
        <n v="38.0"/>
        <n v="140.0"/>
        <n v="120.0"/>
        <n v="42.0"/>
        <n v="72.0"/>
        <n v="37.0"/>
        <n v="80.0"/>
        <n v="2.0"/>
        <n v="144.0"/>
        <n v="84.0"/>
        <n v="330.0"/>
        <n v="147.0"/>
        <n v="288.0"/>
        <n v="360.0"/>
        <n v="549.0"/>
        <n v="667.0"/>
        <n v="276.0"/>
        <n v="160.0"/>
        <n v="13.0"/>
        <n v="576.0"/>
        <n v="840.0"/>
        <n v="31.0"/>
        <n v="171.0"/>
        <n v="163.0"/>
        <n v="5.0"/>
        <n v="8.0"/>
        <n v="29.0"/>
        <n v="118.0"/>
        <n v="40.0"/>
        <n v="166.0"/>
        <n v="510.0"/>
        <n v="996.0"/>
        <n v="790.0"/>
        <n v="795.0"/>
        <n v="225.0"/>
        <n v="718.0"/>
        <n v="716.0"/>
        <n v="325.0"/>
        <n v="275.0"/>
        <n v="150.0"/>
        <n v="205.0"/>
        <n v="93.0"/>
        <n v="17.0"/>
        <n v="1.0"/>
        <n v="24.0"/>
        <n v="65.0"/>
        <n v="206.0"/>
        <n v="12.0"/>
        <n v="15.0"/>
        <m/>
      </sharedItems>
    </cacheField>
  </cacheFields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439" sheet="21.04.25 Ubicaciones"/>
  </cacheSource>
  <cacheFields>
    <cacheField name="SALA">
      <sharedItems containsMixedTypes="1" containsNumber="1" containsInteger="1">
        <n v="1.0"/>
        <n v="2.0"/>
        <n v="3.0"/>
        <n v="4.0"/>
        <s v="ANDEN"/>
        <s v="CASINO"/>
        <s v="DEV"/>
        <s v="PATIO"/>
        <s v="R"/>
        <s v="T"/>
        <s v="ZOUT"/>
        <s v="ZEST"/>
      </sharedItems>
    </cacheField>
    <cacheField name="FILA" numFmtId="49">
      <sharedItems>
        <s v="1"/>
        <s v="2"/>
        <s v="3"/>
        <s v="4"/>
        <s v="5"/>
        <s v="6"/>
        <s v="7"/>
        <s v="NV"/>
        <s v="R"/>
        <s v="PRD-F1"/>
        <s v="PRD-F2"/>
        <s v="PRD-F3"/>
        <s v="PRD-F4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</sharedItems>
    </cacheField>
    <cacheField name="POSICIÓN" numFmtId="49">
      <sharedItems>
        <s v="1"/>
        <s v="2"/>
        <s v="3"/>
        <s v="4"/>
        <s v="5"/>
        <s v="6"/>
        <s v="7"/>
        <s v="1A"/>
        <s v="1B"/>
        <s v="2A"/>
        <s v="2B"/>
        <s v="3A"/>
        <s v="3B"/>
        <s v="4A"/>
        <s v="4B"/>
        <s v="5A"/>
        <s v="5B"/>
        <s v="2A1"/>
        <s v="2A2"/>
        <s v="A"/>
        <s v="B"/>
        <s v="C"/>
        <s v="D"/>
        <s v="E"/>
        <s v="1C"/>
        <s v="6A"/>
        <s v="6B"/>
        <s v="7A"/>
        <s v="7B"/>
        <s v="9A"/>
        <s v="9B"/>
        <s v="10A"/>
        <s v="10B"/>
        <s v="8"/>
        <s v="9"/>
        <s v="10"/>
        <s v="11"/>
        <s v="12"/>
        <s v="13"/>
        <s v="14"/>
        <s v="15"/>
        <s v="16"/>
        <s v="17"/>
        <s v="18"/>
        <s v="19"/>
        <s v="20"/>
        <s v="21"/>
        <s v="22"/>
        <s v="23"/>
        <s v="24"/>
        <s v="25"/>
        <s v="26"/>
        <s v="B1"/>
        <s v="B2"/>
        <s v="B3"/>
        <s v="B4"/>
        <s v="B5"/>
        <s v="B6"/>
        <s v="B7"/>
        <s v="B8"/>
        <s v="B9"/>
        <s v="B10"/>
        <s v="B11"/>
        <s v="B12"/>
        <s v="B13"/>
        <s v="B14"/>
        <s v="B15"/>
        <s v="B16"/>
        <s v="27"/>
        <s v="28"/>
        <s v="29"/>
        <s v="30"/>
        <s v="31"/>
        <s v="32"/>
        <s v="33"/>
        <s v="34"/>
        <s v="35"/>
        <s v="36"/>
        <s v="37"/>
        <s v="38"/>
        <s v="39"/>
        <s v="40"/>
      </sharedItems>
    </cacheField>
    <cacheField name="UBICACION" numFmtId="49">
      <sharedItems>
        <s v="1-1-1"/>
        <s v="1-1-2"/>
        <s v="1-1-3"/>
        <s v="1-1-4"/>
        <s v="1-1-5"/>
        <s v="1-1-6"/>
        <s v="1-1-7"/>
        <s v="2-1-1"/>
        <s v="2-1-2"/>
        <s v="2-1-3"/>
        <s v="2-2-1"/>
        <s v="2-2-2"/>
        <s v="2-2-3"/>
        <s v="2-3-1"/>
        <s v="2-3-2"/>
        <s v="2-3-3"/>
        <s v="2-4-1"/>
        <s v="2-4-2"/>
        <s v="2-4-3"/>
        <s v="2-5-1"/>
        <s v="2-5-2"/>
        <s v="2-5-3"/>
        <s v="2-6-1"/>
        <s v="2-6-2"/>
        <s v="2-6-3"/>
        <s v="3-1-1A"/>
        <s v="3-1-1B"/>
        <s v="3-1-2A"/>
        <s v="3-1-2B"/>
        <s v="3-1-3A"/>
        <s v="3-1-3B"/>
        <s v="3-2-1A"/>
        <s v="3-2-1B"/>
        <s v="3-2-2A"/>
        <s v="3-2-2B"/>
        <s v="3-2-3A"/>
        <s v="3-2-3B"/>
        <s v="3-2-4A"/>
        <s v="3-2-4B"/>
        <s v="3-2-5A"/>
        <s v="3-2-5B"/>
        <s v="3-3-1A"/>
        <s v="3-3-1B"/>
        <s v="3-3-2A"/>
        <s v="3-3-2B"/>
        <s v="3-3-3A"/>
        <s v="3-3-3B"/>
        <s v="3-3-4A"/>
        <s v="3-3-4B"/>
        <s v="3-3-5A"/>
        <s v="3-3-5B"/>
        <s v="3-4-1A"/>
        <s v="3-4-1B"/>
        <s v="3-4-2A"/>
        <s v="3-4-2B"/>
        <s v="3-4-3A"/>
        <s v="3-4-3B"/>
        <s v="3-4-4A"/>
        <s v="3-4-4B"/>
        <s v="3-4-5A"/>
        <s v="3-4-5B"/>
        <s v="3-5-1A"/>
        <s v="3-5-1B"/>
        <s v="3-5-2A"/>
        <s v="3-5-2B"/>
        <s v="3-5-3A"/>
        <s v="3-5-3B"/>
        <s v="3-5-4A"/>
        <s v="3-5-4B"/>
        <s v="3-5-5A"/>
        <s v="3-5-5B"/>
        <s v="3-6-1A"/>
        <s v="3-6-1B"/>
        <s v="3-6-2A"/>
        <s v="3-6-2B"/>
        <s v="3-6-3A"/>
        <s v="3-6-3B"/>
        <s v="3-6-4A"/>
        <s v="3-6-4B"/>
        <s v="3-6-5A"/>
        <s v="3-6-5B"/>
        <s v="3-7-1A"/>
        <s v="3-7-1B"/>
        <s v="3-7-2A"/>
        <s v="3-7-2B"/>
        <s v="3-7-3A"/>
        <s v="3-7-3B"/>
        <s v="3-7-4A"/>
        <s v="3-7-4B"/>
        <s v="3-7-5B"/>
        <s v="3-7-5A"/>
        <s v="3-NV-1"/>
        <s v="3-NV-2"/>
        <s v="3-NV-3"/>
        <s v="3-NV-4"/>
        <s v="3-R-1A"/>
        <s v="3-R-2A1"/>
        <s v="3-R-2A2"/>
        <s v="3-R-2B"/>
        <s v="3-PRD-F1-1"/>
        <s v="3-PRD-F1-2"/>
        <s v="3-PRD-F1-3"/>
        <s v="3-PRD-F1-4"/>
        <s v="3-PRD-F1-5"/>
        <s v="3-PRD-F2-1"/>
        <s v="3-PRD-F2-2"/>
        <s v="3-PRD-F2-3"/>
        <s v="3-PRD-F2-4"/>
        <s v="3-PRD-F2-5"/>
        <s v="3-PRD-F3-1"/>
        <s v="3-PRD-F3-2"/>
        <s v="3-PRD-F3-3"/>
        <s v="3-PRD-F3-4"/>
        <s v="3-PRD-F3-5"/>
        <s v="3-PRD-F4-1"/>
        <s v="3-PRD-F4-2"/>
        <s v="3-PRD-F4-3"/>
        <s v="3-PRD-F4-4"/>
        <s v="3-PRD-F4-5"/>
        <s v="4-1-A"/>
        <s v="4-1-B"/>
        <s v="4-1-C"/>
        <s v="4-1-D"/>
        <s v="4-1-E"/>
        <s v="4-2-A"/>
        <s v="4-2-B"/>
        <s v="4-2-C"/>
        <s v="4-2-D"/>
        <s v="4-3-A"/>
        <s v="4-3-B"/>
        <s v="4-3-C"/>
        <s v="4-3-D"/>
        <s v="4-4-A"/>
        <s v="4-4-B"/>
        <s v="4-4-C"/>
        <s v="4-4-D"/>
        <s v="4-5-A"/>
        <s v="4-5-B"/>
        <s v="4-5-C"/>
        <s v="4-5-D"/>
        <s v="4-6-A"/>
        <s v="4-6-B"/>
        <s v="4-6-C"/>
        <s v="4-6-D"/>
        <s v="4-7-A"/>
        <s v="4-7-B"/>
        <s v="4-7-C"/>
        <s v="4-7-D"/>
        <s v="4-8-A"/>
        <s v="4-8-B"/>
        <s v="4-8-C"/>
        <s v="4-8-D"/>
        <s v="4-9-A"/>
        <s v="4-9-B"/>
        <s v="4-9-C"/>
        <s v="4-9-D"/>
        <s v="4-10-A"/>
        <s v="4-10-B"/>
        <s v="4-10-C"/>
        <s v="4-10-D"/>
        <s v="4-11-A"/>
        <s v="4-11-B"/>
        <s v="4-11-C"/>
        <s v="4-11-D"/>
        <s v="4-12-A"/>
        <s v="4-12-B"/>
        <s v="4-12-C"/>
        <s v="4-12-D"/>
        <s v="4-13-A"/>
        <s v="4-13-B"/>
        <s v="4-13-C"/>
        <s v="4-13-D"/>
        <s v="4-14-A"/>
        <s v="4-14-B"/>
        <s v="4-14-C"/>
        <s v="4-14-D"/>
        <s v="4-15-A"/>
        <s v="4-15-B"/>
        <s v="4-15-C"/>
        <s v="4-15-D"/>
        <s v="4-16-A"/>
        <s v="4-16-B"/>
        <s v="4-16-C"/>
        <s v="4-16-D"/>
        <s v="4-17-A"/>
        <s v="4-17-B"/>
        <s v="4-17-C"/>
        <s v="4-17-D"/>
        <s v="4-18-A"/>
        <s v="4-18-B"/>
        <s v="4-18-C"/>
        <s v="4-18-D"/>
        <s v="4-19-A"/>
        <s v="4-19-B"/>
        <s v="4-19-C"/>
        <s v="4-19-D"/>
        <s v="4-20-A"/>
        <s v="4-20-B"/>
        <s v="4-20-C"/>
        <s v="4-20-D"/>
        <s v="4-21-A"/>
        <s v="4-21-B"/>
        <s v="4-21-C"/>
        <s v="4-21-D"/>
        <s v="4-R-1A"/>
        <s v="4-R-1B"/>
        <s v="4-R-1C"/>
        <s v="4-R-2A"/>
        <s v="4-R-2B"/>
        <s v="4-R-3A"/>
        <s v="4-R-3B"/>
        <s v="4-R-4A"/>
        <s v="4-R-4B"/>
        <s v="4-R-5A"/>
        <s v="4-R-5B"/>
        <s v="4-R-6A"/>
        <s v="4-R-6B"/>
        <s v="4-R-7A"/>
        <s v="4-R-7B"/>
        <s v="4-R-9A"/>
        <s v="4-R-9B"/>
        <s v="4-R-10A"/>
        <s v="4-R-10B"/>
        <s v="ANDEN-1-1"/>
        <s v="ANDEN-1-2"/>
        <s v="ANDEN-1-3"/>
        <s v="ANDEN-1-4"/>
        <s v="ANDEN-1-5"/>
        <s v="ANDEN-1-6"/>
        <s v="ANDEN-1-7"/>
        <s v="ANDEN-1-8"/>
        <s v="ANDEN-1-9"/>
        <s v="ANDEN-1-10"/>
        <s v="ANDEN-1-11"/>
        <s v="ANDEN-1-12"/>
        <s v="ANDEN-1-13"/>
        <s v="ANDEN-1-14"/>
        <s v="ANDEN-1-15"/>
        <s v="ANDEN-1-16"/>
        <s v="ANDEN-1-17"/>
        <s v="ANDEN-1-18"/>
        <s v="ANDEN-1-19"/>
        <s v="ANDEN-1-20"/>
        <s v="ANDEN-1-21"/>
        <s v="CASINO-1-1"/>
        <s v="CASINO-1-2"/>
        <s v="CASINO-1-3"/>
        <s v="CASINO-1-4"/>
        <s v="CASINO-1-5"/>
        <s v="CASINO-1-6"/>
        <s v="CASINO-1-7"/>
        <s v="CASINO-1-8"/>
        <s v="CASINO-1-9"/>
        <s v="CASINO-1-10"/>
        <s v="CASINO-1-11"/>
        <s v="DEV-1-1"/>
        <s v="DEV-1-2"/>
        <s v="DEV-1-3"/>
        <s v="DEV-1-4"/>
        <s v="DEV-1-5"/>
        <s v="DEV-1-6"/>
        <s v="DEV-1-7"/>
        <s v="DEV-1-8"/>
        <s v="DEV-1-9"/>
        <s v="PATIO-1-1"/>
        <s v="PATIO-1-2"/>
        <s v="PATIO-1-3"/>
        <s v="PATIO-1-4"/>
        <s v="PATIO-1-5"/>
        <s v="PATIO-1-6"/>
        <s v="PATIO-1-7"/>
        <s v="PATIO-1-8"/>
        <s v="PATIO-1-9"/>
        <s v="PATIO-1-10"/>
        <s v="PATIO-1-11"/>
        <s v="PATIO-1-12"/>
        <s v="PATIO-1-13"/>
        <s v="PATIO-1-14"/>
        <s v="PATIO-1-15"/>
        <s v="PATIO-1-16"/>
        <s v="PATIO-1-17"/>
        <s v="PATIO-1-18"/>
        <s v="PATIO-1-19"/>
        <s v="PATIO-1-20"/>
        <s v="PATIO-1-21"/>
        <s v="PATIO-1-22"/>
        <s v="PATIO-1-23"/>
        <s v="PATIO-1-24"/>
        <s v="PATIO-1-25"/>
        <s v="PATIO-1-26"/>
        <s v="R-8-B1"/>
        <s v="R-8-B2"/>
        <s v="R-8-B3"/>
        <s v="R-8-B4"/>
        <s v="R-8-B5"/>
        <s v="R-8-B6"/>
        <s v="R-8-B7"/>
        <s v="R-8-B8"/>
        <s v="R-8-B9"/>
        <s v="R-8-B10"/>
        <s v="R-8-B11"/>
        <s v="R-8-B12"/>
        <s v="R-8-B13"/>
        <s v="R-8-B14"/>
        <s v="R-8-B15"/>
        <s v="R-8-B16"/>
        <s v="T-1-1"/>
        <s v="T-1-2"/>
        <s v="T-1-3"/>
        <s v="T-1-4"/>
        <s v="T-1-5"/>
        <s v="T-1-6"/>
        <s v="T-1-7"/>
        <s v="T-1-8"/>
        <s v="T-1-9"/>
        <s v="T-1-10"/>
        <s v="T-1-11"/>
        <s v="T-1-12"/>
        <s v="T-1-13"/>
        <s v="T-1-14"/>
        <s v="T-1-15"/>
        <s v="T-1-16"/>
        <s v="T-1-17"/>
        <s v="T-1-18"/>
        <s v="T-1-19"/>
        <s v="T-1-20"/>
        <s v="T-1-21"/>
        <s v="T-1-22"/>
        <s v="T-1-23"/>
        <s v="T-1-24"/>
        <s v="T-1-25"/>
        <s v="T-1-26"/>
        <s v="T-1-27"/>
        <s v="T-1-28"/>
        <s v="T-1-29"/>
        <s v="T-1-30"/>
        <s v="T-1-31"/>
        <s v="T-1-32"/>
        <s v="T-1-33"/>
        <s v="T-1-34"/>
        <s v="T-1-35"/>
        <s v="T-1-36"/>
        <s v="T-1-37"/>
        <s v="T-1-38"/>
        <s v="T-1-39"/>
        <s v="T-1-40"/>
        <s v="ZOUT-1-1"/>
        <s v="ZOUT-1-2"/>
        <s v="ZOUT-1-3"/>
        <s v="ZOUT-1-4"/>
        <s v="ZOUT-1-5"/>
        <s v="ZOUT-1-6"/>
        <s v="ZOUT-1-7"/>
        <s v="ZOUT-1-8"/>
        <s v="ZOUT-1-9"/>
        <s v="ZOUT-1-10"/>
        <s v="ZOUT-1-11"/>
        <s v="ZOUT-1-12"/>
        <s v="ZOUT-1-13"/>
        <s v="ZOUT-1-14"/>
        <s v="ZOUT-1-15"/>
        <s v="ZOUT-1-16"/>
        <s v="ZOUT-1-17"/>
        <s v="ZOUT-1-18"/>
        <s v="ZOUT-1-19"/>
        <s v="ZOUT-1-20"/>
        <s v="ZOUT-1-21"/>
        <s v="ZOUT-1-22"/>
        <s v="ZOUT-1-23"/>
        <s v="ZOUT-1-24"/>
        <s v="ZOUT-1-25"/>
        <s v="ZOUT-1-26"/>
        <s v="ZOUT-1-27"/>
        <s v="ZOUT-1-28"/>
        <s v="ZOUT-1-29"/>
        <s v="ZOUT-1-30"/>
        <s v="ZEST-1-1"/>
        <s v="ZEST-1-2"/>
        <s v="ZEST-1-3"/>
        <s v="ZEST-1-4"/>
        <s v="ZEST-1-5"/>
        <s v="ZEST-2-1"/>
        <s v="ZEST-2-2"/>
        <s v="ZEST-2-3"/>
        <s v="ZEST-2-4"/>
        <s v="ZEST-2-5"/>
        <s v="ZEST-3-1"/>
        <s v="ZEST-3-2"/>
        <s v="ZEST-3-3"/>
        <s v="ZEST-3-4"/>
        <s v="ZEST-3-5"/>
        <s v="ZEST-4-1"/>
        <s v="ZEST-4-2"/>
        <s v="ZEST-4-3"/>
        <s v="ZEST-4-4"/>
        <s v="ZEST-4-5"/>
        <s v="ZEST-5-1"/>
        <s v="ZEST-5-2"/>
        <s v="ZEST-5-3"/>
        <s v="ZEST-5-4"/>
        <s v="ZEST-5-5"/>
        <s v="ZEST-5-6"/>
        <s v="ZEST-5-7"/>
        <s v="ZEST-6-1"/>
        <s v="ZEST-6-2"/>
        <s v="ZEST-6-3"/>
        <s v="ZEST-6-4"/>
        <s v="ZEST-6-5"/>
        <s v="ZEST-7-6"/>
        <s v="ZEST-7-7"/>
        <s v="ZEST-7-1"/>
        <s v="ZEST-7-2"/>
        <s v="ZEST-7-3"/>
        <s v="ZEST-7-4"/>
        <s v="ZEST-7-5"/>
        <s v="ZEST-8-1"/>
        <s v="ZEST-8-2"/>
        <s v="ZEST-8-3"/>
        <s v="ZEST-8-4"/>
        <s v="ZEST-8-5"/>
        <s v="ZEST-8-6"/>
        <s v="ZEST-8-7"/>
        <s v="ZEST-9-1"/>
        <s v="ZEST-9-2"/>
        <s v="ZEST-9-3"/>
        <s v="ZEST-9-4"/>
        <s v="ZEST-9-5"/>
        <s v="ZEST-9-6"/>
        <s v="ZEST-9-7"/>
        <s v="ZEST-10-1"/>
        <s v="ZEST-10-2"/>
        <s v="ZEST-10-3"/>
        <s v="ZEST-10-4"/>
        <s v="ZEST-10-5"/>
        <s v="ZEST-10-6"/>
        <s v="ZEST-10-7"/>
      </sharedItems>
    </cacheField>
    <cacheField name="FECHA INGRESO" numFmtId="164">
      <sharedItems containsDate="1" containsString="0" containsBlank="1">
        <d v="2025-03-17T00:00:00Z"/>
        <d v="2025-03-26T00:00:00Z"/>
        <m/>
        <d v="2025-03-21T00:00:00Z"/>
        <d v="2025-04-04T00:00:00Z"/>
        <d v="2025-04-07T00:00:00Z"/>
        <d v="2025-04-17T00:00:00Z"/>
        <d v="2025-04-16T00:00:00Z"/>
        <d v="2025-03-31T00:00:00Z"/>
        <d v="2025-04-15T00:00:00Z"/>
        <d v="2025-04-02T00:00:00Z"/>
        <d v="2025-02-20T00:00:00Z"/>
        <d v="2025-02-12T00:00:00Z"/>
        <d v="2025-04-11T00:00:00Z"/>
        <d v="2025-03-05T00:00:00Z"/>
        <d v="2025-03-14T00:00:00Z"/>
        <d v="2025-03-06T00:00:00Z"/>
        <d v="2024-12-26T00:00:00Z"/>
        <d v="2025-02-18T00:00:00Z"/>
        <d v="2024-12-30T00:00:00Z"/>
        <d v="2025-03-10T00:00:00Z"/>
        <d v="2025-03-20T00:00:00Z"/>
        <d v="2025-01-31T00:00:00Z"/>
        <d v="2025-03-19T00:00:00Z"/>
        <d v="2025-02-06T00:00:00Z"/>
        <d v="2025-03-13T00:00:00Z"/>
        <d v="2024-11-29T00:00:00Z"/>
        <d v="2025-04-09T00:00:00Z"/>
        <d v="2025-02-11T00:00:00Z"/>
        <d v="2025-03-28T00:00:00Z"/>
        <d v="2025-03-07T00:00:00Z"/>
        <d v="2025-04-14T00:00:00Z"/>
        <d v="2025-04-08T00:00:00Z"/>
      </sharedItems>
    </cacheField>
    <cacheField name="DOCUMENTO" numFmtId="49">
      <sharedItems containsBlank="1">
        <s v="Ajuste"/>
        <s v="6092"/>
        <m/>
        <s v="6053"/>
        <s v="6172"/>
        <s v="6156"/>
        <s v="6147"/>
        <s v="6158"/>
        <s v="MAQUILA"/>
        <s v="10086"/>
        <s v="SOBRANTE"/>
        <s v="175863"/>
        <s v="176825"/>
        <s v="177713"/>
        <s v="179552"/>
        <s v="177959"/>
        <s v="177712"/>
        <s v="2693589926"/>
        <s v="178859"/>
        <s v="SOLICITUD KITCHEN-IT"/>
        <s v="MOVIMIENTO INTERNO"/>
        <s v="1016"/>
        <s v="176804"/>
        <s v="6155"/>
        <s v="6154"/>
        <s v="6157"/>
        <s v="6148"/>
        <s v="6232"/>
        <s v="6227"/>
        <s v="6247"/>
        <s v="6238"/>
        <s v="6228"/>
        <s v="2772359571"/>
        <s v="2000007534883091"/>
        <s v="2758412046"/>
        <s v="2652203045"/>
        <s v="DESCONOCIDO"/>
        <s v="2753329514"/>
        <s v="579855"/>
        <s v="AF2625C1"/>
        <s v="162904456"/>
        <s v="178220"/>
        <s v="163312678"/>
        <s v="22656"/>
        <s v="ME LO LLEVO F.F"/>
        <s v="EL VOLCAN F.F"/>
      </sharedItems>
    </cacheField>
    <cacheField name="SKU">
      <sharedItems containsBlank="1" containsMixedTypes="1" containsNumber="1" containsInteger="1">
        <s v="691015"/>
        <s v="691410"/>
        <s v="692432"/>
        <s v="692425"/>
        <s v="692029S"/>
        <m/>
        <s v="691411"/>
        <s v="600482X"/>
        <s v="600505X"/>
        <s v="600499X"/>
        <s v="600666"/>
        <s v="600536"/>
        <s v="PDQSEPARADORPLATO"/>
        <s v="692036X"/>
        <s v="600567"/>
        <s v="PENDIENTE"/>
        <s v="692012X"/>
        <s v="600673"/>
        <s v="600697"/>
        <s v="600659"/>
        <s v="600550"/>
        <s v="600512"/>
        <s v="111111"/>
        <s v="600900P"/>
        <s v="605678"/>
        <s v="692029X"/>
        <n v="692043.0"/>
        <s v="690155"/>
        <s v="682778"/>
        <s v="LSS1200"/>
        <s v="PPPMXL"/>
        <s v="HF25L"/>
        <s v="FAME12L"/>
        <s v="HSC17L"/>
        <s v="FAPE5L"/>
        <s v="FAFE7L"/>
        <s v="FACE4L"/>
        <s v="LPP800W"/>
        <s v="HEBE25L"/>
        <s v="HEGE18L"/>
        <s v="PPME"/>
        <s v="HESS60"/>
        <s v="FADE9L"/>
        <s v="HESS45"/>
        <s v="CAFA4"/>
        <s v="600574"/>
        <s v="692043"/>
        <s v="LIPS850"/>
        <n v="691084.0"/>
        <s v="600523"/>
        <s v="PDQ FUNDA PANAL"/>
        <s v="PDQ BOTELLAS VASOS"/>
      </sharedItems>
    </cacheField>
    <cacheField name="DESCRIPCION" numFmtId="0">
      <sharedItems containsBlank="1">
        <s v="CAJA TV"/>
        <s v="CAJA CARTON ENVIOS PACK"/>
        <s v="CAJA CARTON ENVIOS 25x17x13 CM"/>
        <s v="CAJA CARTON PISQUERA 31x23x31 CM"/>
        <s v="CAJA CARTON CORRUGADO 60x40x40 S/IMPRESION"/>
        <m/>
        <s v="CAJA CARTON ENVIOS SB 18x10x8 CM."/>
        <s v="CAJA CARTON CON ASAS 40X30X30 CM  EASY"/>
        <s v="CAJA CARTON CON ASAS 70X30X30 CM EASY"/>
        <s v="CAJA CARTON CON ASAS 50X30X30 CM EASY"/>
        <s v="CAJA CARTON S/IMP 32x23x32 CM"/>
        <s v="ROLLO PAPEL KRAFT 35GR 20 MT"/>
        <s v="PDQ SEPARADOR PLATO"/>
        <s v="CAJA CARTON CORRUGADO 47x31x31 "/>
        <s v="SEPARADORES PLATOS 32X23X32"/>
        <s v="SEPARADOR BOTELLA DOS RANURAS"/>
        <s v="CAJA CARTON CORRUGADO 50x40x30 "/>
        <s v="ROLLO PAPEL KRAFT 35GR 25 MT"/>
        <s v="CAJA PLUMAVIT 35 LITROS"/>
        <s v="ROLLO ESPUMA EMBALAJE 1 MM 0,70X5 MT"/>
        <s v="ROLLO PAPEL PANAL 0,50 X 25MTS"/>
        <s v="ROLLO ESPUMA EMBALAJE 1 MM 0,70X10 MT"/>
        <s v="ROLLO PAPEL KRAFT 35G 230MT"/>
        <s v="ROLLO ESPUMA EMBALAJE 1 MM 1.40X125 MT"/>
        <s v="ROLLO CARTON CORRUGADO 1.20X73Mt aprox. 25K"/>
        <s v="SEPARADOR 2 RANURAS"/>
        <s v="CAJA CARTON CORRUGADO 60x40x40"/>
        <s v="CAJA CARTON CORRUGADO 60x60x50 CM"/>
        <s v="ROLLO CARTON CORRUGADO 0.80X10 MT"/>
        <s v="ROLLO CARTON CORRUGADO 1.20X25 MT"/>
        <s v="Licuadora Smart System 1200W"/>
        <s v="Plancha Panini Pro Max XL"/>
        <s v="Horno Freidora Smart Edition 25L"/>
        <s v="Freidora de Aire Max Edition 12L"/>
        <s v="Hervidor Smart Control 1,7L"/>
        <s v="Freidora de Aire Plus Edition 5L"/>
        <s v="Freidora de Aire Family Edition 7L"/>
        <s v="Freidora de Aire Chef Edition 4L"/>
        <s v="Licuadora Power Pro 800W"/>
        <s v="Hervidor Big Edition 2.5L"/>
        <s v="Hervidor Glass Edition 1.8L"/>
        <s v="SEPARADOR  VASOS 3 RANURAS"/>
        <s v="Sandwichera Panini Master Edition"/>
        <s v="Horno Eléctrico Silver Series 60L"/>
        <s v="Freidora de Aire Dual Edition 9L"/>
        <s v="Horno Eléctrico Silver Series 45L"/>
        <s v="Cafetera Arezzo 4 en 1"/>
        <s v="SEPARADOR VASOS BOTELLAS 32X23X32"/>
        <s v="CAJA CARTON CORRUGADO 60x60x50 CM "/>
        <s v="Licuadora Professional Series 850W"/>
        <s v="ROLLO CARTON ACOLCHADO 40cmx5mt"/>
        <s v="FUNDA PAPEL PANAL SET 3 UN 40X10CM"/>
        <s v="PDQ FUNDA PANAL"/>
        <s v="PDQ BOTELLAS VASOS"/>
      </sharedItems>
    </cacheField>
    <cacheField name="UNIDADADES TOTAL" numFmtId="3">
      <sharedItems containsString="0" containsBlank="1" containsNumber="1" containsInteger="1">
        <n v="90.0"/>
        <n v="43.0"/>
        <n v="700.0"/>
        <n v="511.0"/>
        <n v="100.0"/>
        <m/>
        <n v="1990.0"/>
        <n v="868.0"/>
        <n v="417.0"/>
        <n v="475.0"/>
        <n v="400.0"/>
        <n v="409.0"/>
        <n v="299.0"/>
        <n v="111.0"/>
        <n v="200.0"/>
        <n v="525.0"/>
        <n v="1500.0"/>
        <n v="4.0"/>
        <n v="350.0"/>
        <n v="199.0"/>
        <n v="450.0"/>
        <n v="500.0"/>
        <n v="250.0"/>
        <n v="488.0"/>
        <n v="268.0"/>
        <n v="640.0"/>
        <n v="600.0"/>
        <n v="775.0"/>
        <n v="300.0"/>
        <n v="30.0"/>
        <n v="9.0"/>
        <n v="18.0"/>
        <n v="7.0"/>
        <n v="71.0"/>
        <n v="55.0"/>
        <n v="23.0"/>
        <n v="6.0"/>
        <n v="10.0"/>
        <n v="666.0"/>
        <n v="20.0"/>
        <n v="35.0"/>
        <n v="21.0"/>
        <n v="11.0"/>
        <n v="19.0"/>
        <n v="3.0"/>
        <n v="38.0"/>
        <n v="140.0"/>
        <n v="120.0"/>
        <n v="276.0"/>
        <n v="72.0"/>
        <n v="42.0"/>
        <n v="37.0"/>
        <n v="80.0"/>
        <n v="2.0"/>
        <n v="144.0"/>
        <n v="84.0"/>
        <n v="330.0"/>
        <n v="147.0"/>
        <n v="288.0"/>
        <n v="360.0"/>
        <n v="549.0"/>
        <n v="667.0"/>
        <n v="13.0"/>
        <n v="576.0"/>
        <n v="840.0"/>
        <n v="31.0"/>
        <n v="171.0"/>
        <n v="163.0"/>
        <n v="5.0"/>
        <n v="8.0"/>
        <n v="29.0"/>
        <n v="118.0"/>
        <n v="40.0"/>
        <n v="160.0"/>
        <n v="166.0"/>
        <n v="795.0"/>
        <n v="225.0"/>
        <n v="718.0"/>
        <n v="716.0"/>
        <n v="510.0"/>
        <n v="996.0"/>
        <n v="790.0"/>
        <n v="325.0"/>
        <n v="275.0"/>
        <n v="150.0"/>
        <n v="205.0"/>
        <n v="93.0"/>
        <n v="1.0"/>
        <n v="24.0"/>
        <n v="17.0"/>
        <n v="206.0"/>
        <n v="65.0"/>
        <n v="15.0"/>
        <n v="12.0"/>
      </sharedItems>
    </cacheField>
    <cacheField name="ORIGEN INGRESO" numFmtId="0">
      <sharedItems containsBlank="1">
        <s v="PROVEEDOR"/>
        <s v="PRODUCTO TERMINADO"/>
        <m/>
        <s v="Contenedor"/>
        <s v="Devoluciones"/>
        <s v="Movimiento Interno"/>
        <s v="MERCADO  LIBRE"/>
        <s v="Retorno Falabella"/>
      </sharedItems>
    </cacheField>
    <cacheField name="ESTADO" numFmtId="0">
      <sharedItems>
        <s v="OCUPADO"/>
        <s v="DISPONIBLE"/>
      </sharedItems>
    </cacheField>
    <cacheField name="#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n v="90.0"/>
        <n v="91.0"/>
        <n v="92.0"/>
        <n v="93.0"/>
        <n v="94.0"/>
        <n v="95.0"/>
        <n v="96.0"/>
        <n v="97.0"/>
        <n v="98.0"/>
        <n v="100.0"/>
        <n v="101.0"/>
        <n v="102.0"/>
        <n v="103.0"/>
        <n v="104.0"/>
        <n v="105.0"/>
        <n v="106.0"/>
        <n v="107.0"/>
        <n v="108.0"/>
        <n v="109.0"/>
        <n v="110.0"/>
        <n v="111.0"/>
        <n v="112.0"/>
        <n v="113.0"/>
        <n v="114.0"/>
        <n v="115.0"/>
        <n v="116.0"/>
        <n v="117.0"/>
        <n v="118.0"/>
        <n v="119.0"/>
        <n v="120.0"/>
        <n v="121.0"/>
        <n v="122.0"/>
        <n v="123.0"/>
        <n v="124.0"/>
        <n v="125.0"/>
        <n v="126.0"/>
        <n v="127.0"/>
        <n v="128.0"/>
        <n v="129.0"/>
        <n v="130.0"/>
        <n v="131.0"/>
        <n v="132.0"/>
        <n v="133.0"/>
        <n v="134.0"/>
        <n v="135.0"/>
        <n v="136.0"/>
        <n v="137.0"/>
        <n v="138.0"/>
        <n v="139.0"/>
        <n v="140.0"/>
        <n v="141.0"/>
        <n v="142.0"/>
        <n v="143.0"/>
        <n v="144.0"/>
        <n v="145.0"/>
        <n v="146.0"/>
        <n v="147.0"/>
        <n v="148.0"/>
        <n v="149.0"/>
        <n v="150.0"/>
        <n v="151.0"/>
        <n v="152.0"/>
        <n v="153.0"/>
        <n v="154.0"/>
        <n v="155.0"/>
        <n v="156.0"/>
        <n v="157.0"/>
        <n v="158.0"/>
        <n v="159.0"/>
        <n v="160.0"/>
        <n v="161.0"/>
        <n v="162.0"/>
        <n v="163.0"/>
        <n v="164.0"/>
        <n v="165.0"/>
        <n v="166.0"/>
        <n v="167.0"/>
        <n v="168.0"/>
        <n v="169.0"/>
        <n v="170.0"/>
        <n v="171.0"/>
        <n v="172.0"/>
        <n v="173.0"/>
        <n v="174.0"/>
        <n v="175.0"/>
        <n v="176.0"/>
        <n v="177.0"/>
        <n v="178.0"/>
        <n v="179.0"/>
        <n v="180.0"/>
        <n v="181.0"/>
        <n v="182.0"/>
        <n v="183.0"/>
        <n v="184.0"/>
        <n v="185.0"/>
        <n v="186.0"/>
        <n v="187.0"/>
        <n v="188.0"/>
        <n v="189.0"/>
        <n v="190.0"/>
        <n v="191.0"/>
        <n v="192.0"/>
        <n v="193.0"/>
        <n v="194.0"/>
        <n v="195.0"/>
        <n v="196.0"/>
        <n v="197.0"/>
        <n v="198.0"/>
        <n v="199.0"/>
        <n v="200.0"/>
        <n v="201.0"/>
        <n v="206.0"/>
        <n v="207.0"/>
        <n v="208.0"/>
        <n v="209.0"/>
        <n v="210.0"/>
        <n v="211.0"/>
        <n v="212.0"/>
        <n v="213.0"/>
        <n v="214.0"/>
        <n v="215.0"/>
        <n v="216.0"/>
        <n v="217.0"/>
        <n v="218.0"/>
        <n v="219.0"/>
        <n v="220.0"/>
        <n v="221.0"/>
        <n v="222.0"/>
        <n v="223.0"/>
        <n v="224.0"/>
        <n v="225.0"/>
        <n v="226.0"/>
        <n v="227.0"/>
        <n v="228.0"/>
        <n v="229.0"/>
        <n v="230.0"/>
        <n v="231.0"/>
        <n v="232.0"/>
        <n v="233.0"/>
        <n v="234.0"/>
        <n v="235.0"/>
        <n v="236.0"/>
        <n v="237.0"/>
        <n v="238.0"/>
        <n v="239.0"/>
        <n v="240.0"/>
        <n v="241.0"/>
        <n v="242.0"/>
        <n v="243.0"/>
        <n v="244.0"/>
        <n v="245.0"/>
        <n v="246.0"/>
        <n v="247.0"/>
        <n v="248.0"/>
        <n v="249.0"/>
        <n v="250.0"/>
        <n v="251.0"/>
        <n v="252.0"/>
        <n v="253.0"/>
        <n v="254.0"/>
        <n v="255.0"/>
        <n v="256.0"/>
        <n v="257.0"/>
        <n v="258.0"/>
        <n v="259.0"/>
        <n v="260.0"/>
        <n v="261.0"/>
        <n v="262.0"/>
        <n v="263.0"/>
        <n v="264.0"/>
        <n v="265.0"/>
        <n v="266.0"/>
        <n v="267.0"/>
        <n v="268.0"/>
        <n v="269.0"/>
        <n v="270.0"/>
        <n v="271.0"/>
        <n v="272.0"/>
        <n v="273.0"/>
        <n v="274.0"/>
        <n v="275.0"/>
        <n v="276.0"/>
        <n v="277.0"/>
        <n v="278.0"/>
        <n v="279.0"/>
        <n v="280.0"/>
        <n v="281.0"/>
        <n v="282.0"/>
        <n v="283.0"/>
        <n v="292.0"/>
        <n v="293.0"/>
        <n v="294.0"/>
        <n v="295.0"/>
        <n v="296.0"/>
        <n v="297.0"/>
        <n v="298.0"/>
        <n v="299.0"/>
        <n v="300.0"/>
        <n v="301.0"/>
        <n v="302.0"/>
        <n v="303.0"/>
        <n v="304.0"/>
        <n v="305.0"/>
        <n v="306.0"/>
        <n v="307.0"/>
        <n v="308.0"/>
        <n v="309.0"/>
        <n v="310.0"/>
        <n v="311.0"/>
        <n v="312.0"/>
        <n v="313.0"/>
        <n v="314.0"/>
        <n v="315.0"/>
        <n v="316.0"/>
        <n v="317.0"/>
        <n v="318.0"/>
        <n v="319.0"/>
        <n v="320.0"/>
        <n v="321.0"/>
        <n v="322.0"/>
        <n v="323.0"/>
        <n v="324.0"/>
        <n v="325.0"/>
        <n v="326.0"/>
        <n v="327.0"/>
        <n v="328.0"/>
        <n v="329.0"/>
        <n v="330.0"/>
        <n v="331.0"/>
        <n v="332.0"/>
        <n v="333.0"/>
        <n v="334.0"/>
        <n v="335.0"/>
        <n v="336.0"/>
        <n v="337.0"/>
        <n v="338.0"/>
        <n v="339.0"/>
        <n v="340.0"/>
        <n v="341.0"/>
        <n v="342.0"/>
        <n v="343.0"/>
        <n v="344.0"/>
        <n v="345.0"/>
        <n v="346.0"/>
        <n v="347.0"/>
        <n v="348.0"/>
        <n v="349.0"/>
        <n v="350.0"/>
        <n v="351.0"/>
        <n v="352.0"/>
        <n v="353.0"/>
        <n v="354.0"/>
        <n v="355.0"/>
        <n v="356.0"/>
        <n v="357.0"/>
        <n v="358.0"/>
        <n v="359.0"/>
        <n v="360.0"/>
        <n v="361.0"/>
        <n v="362.0"/>
        <n v="363.0"/>
        <n v="364.0"/>
        <n v="365.0"/>
        <n v="366.0"/>
        <n v="367.0"/>
        <n v="368.0"/>
        <n v="369.0"/>
        <n v="370.0"/>
        <n v="371.0"/>
        <n v="372.0"/>
        <n v="373.0"/>
        <n v="374.0"/>
        <n v="375.0"/>
        <n v="376.0"/>
        <n v="377.0"/>
        <n v="378.0"/>
        <n v="379.0"/>
        <n v="380.0"/>
        <n v="381.0"/>
        <n v="382.0"/>
        <n v="383.0"/>
        <n v="384.0"/>
        <n v="385.0"/>
        <n v="386.0"/>
        <n v="387.0"/>
        <n v="388.0"/>
        <n v="389.0"/>
        <n v="390.0"/>
        <n v="391.0"/>
        <n v="392.0"/>
        <n v="393.0"/>
        <n v="394.0"/>
        <n v="395.0"/>
        <n v="396.0"/>
        <n v="397.0"/>
        <n v="398.0"/>
        <n v="399.0"/>
        <n v="400.0"/>
        <n v="401.0"/>
        <n v="402.0"/>
        <n v="403.0"/>
        <n v="404.0"/>
        <n v="405.0"/>
        <n v="406.0"/>
        <n v="407.0"/>
        <n v="408.0"/>
        <n v="409.0"/>
        <n v="410.0"/>
        <n v="411.0"/>
        <n v="412.0"/>
        <n v="413.0"/>
        <n v="414.0"/>
        <n v="415.0"/>
        <n v="416.0"/>
        <n v="417.0"/>
        <n v="418.0"/>
        <n v="419.0"/>
        <n v="420.0"/>
        <n v="421.0"/>
        <n v="422.0"/>
        <n v="423.0"/>
        <n v="424.0"/>
        <n v="425.0"/>
        <n v="426.0"/>
        <n v="427.0"/>
        <n v="428.0"/>
        <n v="429.0"/>
        <n v="430.0"/>
        <n v="431.0"/>
        <n v="432.0"/>
        <n v="433.0"/>
        <n v="434.0"/>
        <n v="435.0"/>
        <n v="436.0"/>
        <n v="437.0"/>
        <n v="438.0"/>
      </sharedItems>
    </cacheField>
    <cacheField name="TIPO" numFmtId="0">
      <sharedItems>
        <s v="PISO"/>
        <s v="JAULA"/>
        <s v="NAVE PSIO"/>
        <s v="RACK"/>
        <s v="PRODUCTO TERM"/>
        <s v="DEVOLUCIONES"/>
        <s v="RECUPERADO"/>
        <s v="TRANSITO"/>
        <s v="SALIDA"/>
        <s v="ESTANTERIA"/>
      </sharedItems>
    </cacheField>
    <cacheField name="OBS" numFmtId="0">
      <sharedItems containsBlank="1">
        <m/>
        <s v="PVD 10880"/>
      </sharedItems>
    </cacheField>
    <cacheField name="Cliente" numFmtId="0">
      <sharedItems containsBlank="1">
        <s v="SUMMIT"/>
        <m/>
        <s v="KITCHEN-IT"/>
      </sharedItems>
    </cacheField>
    <cacheField name="UBICACION2" numFmtId="49">
      <sharedItems>
        <s v="1-1-1"/>
        <s v="1-1-2"/>
        <s v="1-1-3"/>
        <s v="1-1-4"/>
        <s v="1-1-5"/>
        <s v="1-1-6"/>
        <s v="1-1-7"/>
        <s v="2-1-1"/>
        <s v="2-1-2"/>
        <s v="2-1-3"/>
        <s v="2-2-1"/>
        <s v="2-2-2"/>
        <s v="2-2-3"/>
        <s v="2-3-1"/>
        <s v="2-3-2"/>
        <s v="2-3-3"/>
        <s v="2-4-1"/>
        <s v="2-4-2"/>
        <s v="2-4-3"/>
        <s v="2-5-1"/>
        <s v="2-5-2"/>
        <s v="2-5-3"/>
        <s v="2-6-1"/>
        <s v="2-6-2"/>
        <s v="2-6-3"/>
        <s v="3-1-1A"/>
        <s v="3-1-1B"/>
        <s v="3-1-2A"/>
        <s v="3-1-2B"/>
        <s v="3-1-3A"/>
        <s v="3-1-3B"/>
        <s v="3-2-1A"/>
        <s v="3-2-1B"/>
        <s v="3-2-2A"/>
        <s v="3-2-2B"/>
        <s v="3-2-3A"/>
        <s v="3-2-3B"/>
        <s v="3-2-4A"/>
        <s v="3-2-4B"/>
        <s v="3-2-5A"/>
        <s v="3-2-5B"/>
        <s v="3-3-1A"/>
        <s v="3-3-1B"/>
        <s v="3-3-2A"/>
        <s v="3-3-2B"/>
        <s v="3-3-3A"/>
        <s v="3-3-3B"/>
        <s v="3-3-4A"/>
        <s v="3-3-4B"/>
        <s v="3-3-5A"/>
        <s v="3-3-5B"/>
        <s v="3-4-1A"/>
        <s v="3-4-1B"/>
        <s v="3-4-2A"/>
        <s v="3-4-2B"/>
        <s v="3-4-3A"/>
        <s v="3-4-3B"/>
        <s v="3-4-4A"/>
        <s v="3-4-4B"/>
        <s v="3-4-5A"/>
        <s v="3-4-5B"/>
        <s v="3-5-1A"/>
        <s v="3-5-1B"/>
        <s v="3-5-2A"/>
        <s v="3-5-2B"/>
        <s v="3-5-3A"/>
        <s v="3-5-3B"/>
        <s v="3-5-4A"/>
        <s v="3-5-4B"/>
        <s v="3-5-5A"/>
        <s v="3-5-5B"/>
        <s v="3-6-1A"/>
        <s v="3-6-1B"/>
        <s v="3-6-2A"/>
        <s v="3-6-2B"/>
        <s v="3-6-3A"/>
        <s v="3-6-3B"/>
        <s v="3-6-4A"/>
        <s v="3-6-4B"/>
        <s v="3-6-5A"/>
        <s v="3-6-5B"/>
        <s v="3-7-1A"/>
        <s v="3-7-1B"/>
        <s v="3-7-2A"/>
        <s v="3-7-2B"/>
        <s v="3-7-3A"/>
        <s v="3-7-3B"/>
        <s v="3-7-4A"/>
        <s v="3-7-4B"/>
        <s v="3-7-5B"/>
        <s v="3-7-5A"/>
        <s v="3-NV-1"/>
        <s v="3-NV-2"/>
        <s v="3-NV-3"/>
        <s v="3-NV-4"/>
        <s v="3-R-1A"/>
        <s v="3-R-2A1"/>
        <s v="3-R-2A2"/>
        <s v="3-R-2B"/>
        <s v="3-PRD-F1-1"/>
        <s v="3-PRD-F1-2"/>
        <s v="3-PRD-F1-3"/>
        <s v="3-PRD-F1-4"/>
        <s v="3-PRD-F1-5"/>
        <s v="3-PRD-F2-1"/>
        <s v="3-PRD-F2-2"/>
        <s v="3-PRD-F2-3"/>
        <s v="3-PRD-F2-4"/>
        <s v="3-PRD-F2-5"/>
        <s v="3-PRD-F3-1"/>
        <s v="3-PRD-F3-2"/>
        <s v="3-PRD-F3-3"/>
        <s v="3-PRD-F3-4"/>
        <s v="3-PRD-F3-5"/>
        <s v="3-PRD-F4-1"/>
        <s v="3-PRD-F4-2"/>
        <s v="3-PRD-F4-3"/>
        <s v="3-PRD-F4-4"/>
        <s v="3-PRD-F4-5"/>
        <s v="4-1-A"/>
        <s v="4-1-B"/>
        <s v="4-1-C"/>
        <s v="4-1-D"/>
        <s v="4-1-E"/>
        <s v="4-2-A"/>
        <s v="4-2-B"/>
        <s v="4-2-C"/>
        <s v="4-2-D"/>
        <s v="4-3-A"/>
        <s v="4-3-B"/>
        <s v="4-3-C"/>
        <s v="4-3-D"/>
        <s v="4-4-A"/>
        <s v="4-4-B"/>
        <s v="4-4-C"/>
        <s v="4-4-D"/>
        <s v="4-5-A"/>
        <s v="4-5-B"/>
        <s v="4-5-C"/>
        <s v="4-5-D"/>
        <s v="4-6-A"/>
        <s v="4-6-B"/>
        <s v="4-6-C"/>
        <s v="4-6-D"/>
        <s v="4-7-A"/>
        <s v="4-7-B"/>
        <s v="4-7-C"/>
        <s v="4-7-D"/>
        <s v="4-8-A"/>
        <s v="4-8-B"/>
        <s v="4-8-C"/>
        <s v="4-8-D"/>
        <s v="4-9-A"/>
        <s v="4-9-B"/>
        <s v="4-9-C"/>
        <s v="4-9-D"/>
        <s v="4-10-A"/>
        <s v="4-10-B"/>
        <s v="4-10-C"/>
        <s v="4-10-D"/>
        <s v="4-11-A"/>
        <s v="4-11-B"/>
        <s v="4-11-C"/>
        <s v="4-11-D"/>
        <s v="4-12-A"/>
        <s v="4-12-B"/>
        <s v="4-12-C"/>
        <s v="4-12-D"/>
        <s v="4-13-A"/>
        <s v="4-13-B"/>
        <s v="4-13-C"/>
        <s v="4-13-D"/>
        <s v="4-14-A"/>
        <s v="4-14-B"/>
        <s v="4-14-C"/>
        <s v="4-14-D"/>
        <s v="4-15-A"/>
        <s v="4-15-B"/>
        <s v="4-15-C"/>
        <s v="4-15-D"/>
        <s v="4-16-A"/>
        <s v="4-16-B"/>
        <s v="4-16-C"/>
        <s v="4-16-D"/>
        <s v="4-17-A"/>
        <s v="4-17-B"/>
        <s v="4-17-C"/>
        <s v="4-17-D"/>
        <s v="4-18-A"/>
        <s v="4-18-B"/>
        <s v="4-18-C"/>
        <s v="4-18-D"/>
        <s v="4-19-A"/>
        <s v="4-19-B"/>
        <s v="4-19-C"/>
        <s v="4-19-D"/>
        <s v="4-20-A"/>
        <s v="4-20-B"/>
        <s v="4-20-C"/>
        <s v="4-20-D"/>
        <s v="4-21-A"/>
        <s v="4-21-B"/>
        <s v="4-21-C"/>
        <s v="4-21-D"/>
        <s v="4-R-1A"/>
        <s v="4-R-1B"/>
        <s v="4-R-1C"/>
        <s v="4-R-2A"/>
        <s v="4-R-2B"/>
        <s v="4-R-3A"/>
        <s v="4-R-3B"/>
        <s v="4-R-4A"/>
        <s v="4-R-4B"/>
        <s v="4-R-5A"/>
        <s v="4-R-5B"/>
        <s v="4-R-6A"/>
        <s v="4-R-6B"/>
        <s v="4-R-7A"/>
        <s v="4-R-7B"/>
        <s v="4-R-9A"/>
        <s v="4-R-9B"/>
        <s v="4-R-10A"/>
        <s v="4-R-10B"/>
        <s v="ANDEN-1-1"/>
        <s v="ANDEN-1-2"/>
        <s v="ANDEN-1-3"/>
        <s v="ANDEN-1-4"/>
        <s v="ANDEN-1-5"/>
        <s v="ANDEN-1-6"/>
        <s v="ANDEN-1-7"/>
        <s v="ANDEN-1-8"/>
        <s v="ANDEN-1-9"/>
        <s v="ANDEN-1-10"/>
        <s v="ANDEN-1-11"/>
        <s v="ANDEN-1-12"/>
        <s v="ANDEN-1-13"/>
        <s v="ANDEN-1-14"/>
        <s v="ANDEN-1-15"/>
        <s v="ANDEN-1-16"/>
        <s v="ANDEN-1-17"/>
        <s v="ANDEN-1-18"/>
        <s v="ANDEN-1-19"/>
        <s v="ANDEN-1-20"/>
        <s v="ANDEN-1-21"/>
        <s v="CASINO-1-1"/>
        <s v="CASINO-1-2"/>
        <s v="CASINO-1-3"/>
        <s v="CASINO-1-4"/>
        <s v="CASINO-1-5"/>
        <s v="CASINO-1-6"/>
        <s v="CASINO-1-7"/>
        <s v="CASINO-1-8"/>
        <s v="CASINO-1-9"/>
        <s v="CASINO-1-10"/>
        <s v="CASINO-1-11"/>
        <s v="DEV-1-1"/>
        <s v="DEV-1-2"/>
        <s v="DEV-1-3"/>
        <s v="DEV-1-4"/>
        <s v="DEV-1-5"/>
        <s v="DEV-1-6"/>
        <s v="DEV-1-7"/>
        <s v="DEV-1-8"/>
        <s v="DEV-1-9"/>
        <s v="PATIO-1-1"/>
        <s v="PATIO-1-2"/>
        <s v="PATIO-1-3"/>
        <s v="PATIO-1-4"/>
        <s v="PATIO-1-5"/>
        <s v="PATIO-1-6"/>
        <s v="PATIO-1-7"/>
        <s v="PATIO-1-8"/>
        <s v="PATIO-1-9"/>
        <s v="PATIO-1-10"/>
        <s v="PATIO-1-11"/>
        <s v="PATIO-1-12"/>
        <s v="PATIO-1-13"/>
        <s v="PATIO-1-14"/>
        <s v="PATIO-1-15"/>
        <s v="PATIO-1-16"/>
        <s v="PATIO-1-17"/>
        <s v="PATIO-1-18"/>
        <s v="PATIO-1-19"/>
        <s v="PATIO-1-20"/>
        <s v="PATIO-1-21"/>
        <s v="PATIO-1-22"/>
        <s v="PATIO-1-23"/>
        <s v="PATIO-1-24"/>
        <s v="PATIO-1-25"/>
        <s v="PATIO-1-26"/>
        <s v="R-8-B1"/>
        <s v="R-8-B2"/>
        <s v="R-8-B3"/>
        <s v="R-8-B4"/>
        <s v="R-8-B5"/>
        <s v="R-8-B6"/>
        <s v="R-8-B7"/>
        <s v="R-8-B8"/>
        <s v="R-8-B9"/>
        <s v="R-8-B10"/>
        <s v="R-8-B11"/>
        <s v="R-8-B12"/>
        <s v="R-8-B13"/>
        <s v="R-8-B14"/>
        <s v="R-8-B15"/>
        <s v="R-8-B16"/>
        <s v="T-1-1"/>
        <s v="T-1-2"/>
        <s v="T-1-3"/>
        <s v="T-1-4"/>
        <s v="T-1-5"/>
        <s v="T-1-6"/>
        <s v="T-1-7"/>
        <s v="T-1-8"/>
        <s v="T-1-9"/>
        <s v="T-1-10"/>
        <s v="T-1-11"/>
        <s v="T-1-12"/>
        <s v="T-1-13"/>
        <s v="T-1-14"/>
        <s v="T-1-15"/>
        <s v="T-1-16"/>
        <s v="T-1-17"/>
        <s v="T-1-18"/>
        <s v="T-1-19"/>
        <s v="T-1-20"/>
        <s v="T-1-21"/>
        <s v="T-1-22"/>
        <s v="T-1-23"/>
        <s v="T-1-24"/>
        <s v="T-1-25"/>
        <s v="T-1-26"/>
        <s v="T-1-27"/>
        <s v="T-1-28"/>
        <s v="T-1-29"/>
        <s v="T-1-30"/>
        <s v="T-1-31"/>
        <s v="T-1-32"/>
        <s v="T-1-33"/>
        <s v="T-1-34"/>
        <s v="T-1-35"/>
        <s v="T-1-36"/>
        <s v="T-1-37"/>
        <s v="T-1-38"/>
        <s v="T-1-39"/>
        <s v="T-1-40"/>
        <s v="ZOUT-1-1"/>
        <s v="ZOUT-1-2"/>
        <s v="ZOUT-1-3"/>
        <s v="ZOUT-1-4"/>
        <s v="ZOUT-1-5"/>
        <s v="ZOUT-1-6"/>
        <s v="ZOUT-1-7"/>
        <s v="ZOUT-1-8"/>
        <s v="ZOUT-1-9"/>
        <s v="ZOUT-1-10"/>
        <s v="ZOUT-1-11"/>
        <s v="ZOUT-1-12"/>
        <s v="ZOUT-1-13"/>
        <s v="ZOUT-1-14"/>
        <s v="ZOUT-1-15"/>
        <s v="ZOUT-1-16"/>
        <s v="ZOUT-1-17"/>
        <s v="ZOUT-1-18"/>
        <s v="ZOUT-1-19"/>
        <s v="ZOUT-1-20"/>
        <s v="ZOUT-1-21"/>
        <s v="ZOUT-1-22"/>
        <s v="ZOUT-1-23"/>
        <s v="ZOUT-1-24"/>
        <s v="ZOUT-1-25"/>
        <s v="ZOUT-1-26"/>
        <s v="ZOUT-1-27"/>
        <s v="ZOUT-1-28"/>
        <s v="ZOUT-1-29"/>
        <s v="ZOUT-1-30"/>
        <s v="ZEST-1-1"/>
        <s v="ZEST-1-2"/>
        <s v="ZEST-1-3"/>
        <s v="ZEST-1-4"/>
        <s v="ZEST-1-5"/>
        <s v="ZEST-2-1"/>
        <s v="ZEST-2-2"/>
        <s v="ZEST-2-3"/>
        <s v="ZEST-2-4"/>
        <s v="ZEST-2-5"/>
        <s v="ZEST-3-1"/>
        <s v="ZEST-3-2"/>
        <s v="ZEST-3-3"/>
        <s v="ZEST-3-4"/>
        <s v="ZEST-3-5"/>
        <s v="ZEST-4-1"/>
        <s v="ZEST-4-2"/>
        <s v="ZEST-4-3"/>
        <s v="ZEST-4-4"/>
        <s v="ZEST-4-5"/>
        <s v="ZEST-5-1"/>
        <s v="ZEST-5-2"/>
        <s v="ZEST-5-3"/>
        <s v="ZEST-5-4"/>
        <s v="ZEST-5-5"/>
        <s v="ZEST-5-6"/>
        <s v="ZEST-5-7"/>
        <s v="ZEST-6-1"/>
        <s v="ZEST-6-2"/>
        <s v="ZEST-6-3"/>
        <s v="ZEST-6-4"/>
        <s v="ZEST-6-5"/>
        <s v="ZEST-7-6"/>
        <s v="ZEST-7-7"/>
        <s v="ZEST-7-1"/>
        <s v="ZEST-7-2"/>
        <s v="ZEST-7-3"/>
        <s v="ZEST-7-4"/>
        <s v="ZEST-7-5"/>
        <s v="ZEST-8-1"/>
        <s v="ZEST-8-2"/>
        <s v="ZEST-8-3"/>
        <s v="ZEST-8-4"/>
        <s v="ZEST-8-5"/>
        <s v="ZEST-8-6"/>
        <s v="ZEST-8-7"/>
        <s v="ZEST-9-1"/>
        <s v="ZEST-9-2"/>
        <s v="ZEST-9-3"/>
        <s v="ZEST-9-4"/>
        <s v="ZEST-9-5"/>
        <s v="ZEST-9-6"/>
        <s v="ZEST-9-7"/>
        <s v="ZEST-10-1"/>
        <s v="ZEST-10-2"/>
        <s v="ZEST-10-3"/>
        <s v="ZEST-10-4"/>
        <s v="ZEST-10-5"/>
        <s v="ZEST-10-6"/>
        <s v="ZEST-10-7"/>
      </sharedItems>
    </cacheField>
    <cacheField name="FECHA INGRESO2" numFmtId="164">
      <sharedItems containsDate="1" containsString="0" containsBlank="1">
        <d v="2025-03-17T00:00:00Z"/>
        <d v="2025-03-26T00:00:00Z"/>
        <m/>
        <d v="2025-03-21T00:00:00Z"/>
        <d v="2025-04-04T00:00:00Z"/>
        <d v="2025-04-07T00:00:00Z"/>
        <d v="2025-04-17T00:00:00Z"/>
        <d v="2025-04-16T00:00:00Z"/>
        <d v="2025-03-31T00:00:00Z"/>
        <d v="2025-04-15T00:00:00Z"/>
        <d v="2025-04-02T00:00:00Z"/>
        <d v="2025-02-20T00:00:00Z"/>
        <d v="2025-02-12T00:00:00Z"/>
        <d v="2025-04-11T00:00:00Z"/>
        <d v="2025-03-05T00:00:00Z"/>
        <d v="2025-03-14T00:00:00Z"/>
        <d v="2025-03-06T00:00:00Z"/>
        <d v="2024-12-26T00:00:00Z"/>
        <d v="2025-02-18T00:00:00Z"/>
        <d v="2024-12-30T00:00:00Z"/>
        <d v="2025-04-21T00:00:00Z"/>
        <d v="2025-01-31T00:00:00Z"/>
        <d v="2025-03-19T00:00:00Z"/>
        <d v="2025-02-06T00:00:00Z"/>
        <d v="2025-03-13T00:00:00Z"/>
        <d v="2024-11-29T00:00:00Z"/>
        <d v="2025-04-09T00:00:00Z"/>
        <d v="2025-02-11T00:00:00Z"/>
        <d v="2025-03-28T00:00:00Z"/>
        <d v="2025-03-07T00:00:00Z"/>
        <d v="2025-03-10T00:00:00Z"/>
        <d v="2025-04-08T00:00:00Z"/>
      </sharedItems>
    </cacheField>
    <cacheField name="DOCUMENTO2" numFmtId="49">
      <sharedItems containsBlank="1">
        <s v="Ajuste"/>
        <s v="6092"/>
        <m/>
        <s v="6053"/>
        <s v="6172"/>
        <s v="6156"/>
        <s v="6147"/>
        <s v="6158"/>
        <s v="MAQUILA"/>
        <s v="10086"/>
        <s v="SOBRANTE"/>
        <s v="175863"/>
        <s v="176825"/>
        <s v="177713"/>
        <s v="179552"/>
        <s v="177959"/>
        <s v="177712"/>
        <s v="2693589926"/>
        <s v="178859"/>
        <s v="SOLICITUD KITCHEN-IT"/>
        <s v="MOVIMIENTO INTERNO"/>
        <s v="1016"/>
        <s v="176804"/>
        <s v="6155"/>
        <s v="6154"/>
        <s v="6157"/>
        <s v="6148"/>
        <s v="6232"/>
        <s v="6227"/>
        <s v="6247"/>
        <s v="6238"/>
        <s v="6228"/>
        <s v="2772359571"/>
        <s v="2000007534883091"/>
        <s v="2758412046"/>
        <s v="2652203045"/>
        <s v="DESCONOCIDO"/>
        <s v="2753329514"/>
        <s v="579855"/>
        <s v="AF2625C1"/>
        <s v="162904456"/>
        <s v="178220"/>
        <s v="163312678"/>
        <s v="22656"/>
      </sharedItems>
    </cacheField>
    <cacheField name="SKU2">
      <sharedItems containsBlank="1" containsMixedTypes="1" containsNumber="1" containsInteger="1">
        <s v="691015"/>
        <s v="691410"/>
        <s v="692432"/>
        <s v="692425"/>
        <s v="692029S"/>
        <m/>
        <s v="691411"/>
        <s v="600482X"/>
        <s v="600505X"/>
        <s v="600499X"/>
        <s v="600666"/>
        <s v="600536"/>
        <s v="PDQSEPARADORPLATO"/>
        <s v="692036X"/>
        <s v="600567"/>
        <s v="PENDIENTE"/>
        <s v="692012X"/>
        <s v="600673"/>
        <s v="600697"/>
        <s v="600659"/>
        <s v="600550"/>
        <s v="600512"/>
        <s v="111111"/>
        <s v="600900P"/>
        <s v="605678"/>
        <s v="692029X"/>
        <n v="692043.0"/>
        <s v="690155"/>
        <s v="682778"/>
        <s v="LSS1200"/>
        <s v="PPPMXL"/>
        <s v="HF25L"/>
        <s v="FAME12L"/>
        <s v="HSC17L"/>
        <s v="FAPE5L"/>
        <s v="FAFE7L"/>
        <s v="FACE4L"/>
        <s v="LPP800W"/>
        <s v="HEBE25L"/>
        <s v="HEGE18L"/>
        <s v="PPME"/>
        <s v="HESS60"/>
        <s v="FADE9L"/>
        <s v="HESS45"/>
        <s v="CAFA4"/>
        <s v="600574"/>
        <s v="692043"/>
        <s v="LIPS850"/>
        <n v="691084.0"/>
        <s v="600523"/>
        <s v="PDQ FUNDA PANAL"/>
        <s v="PDQ BOTELLAS VASOS"/>
      </sharedItems>
    </cacheField>
    <cacheField name="DESCRIPCION2" numFmtId="0">
      <sharedItems containsBlank="1">
        <s v="CAJA TV"/>
        <s v="CAJA CARTON ENVIOS PACK"/>
        <s v="CAJA CARTON ENVIOS 25x17x13 CM"/>
        <s v="CAJA CARTON PISQUERA 31x23x31 CM"/>
        <s v="CAJA CARTON CORRUGADO 60x40x40 S/IMPRESION"/>
        <m/>
        <s v="CAJA CARTON ENVIOS SB 18x10x8 CM."/>
        <s v="CAJA CARTON CON ASAS 40X30X30 CM  EASY"/>
        <s v="CAJA CARTON CON ASAS 70X30X30 CM EASY"/>
        <s v="CAJA CARTON CON ASAS 50X30X30 CM EASY"/>
        <s v="CAJA CARTON S/IMP 32x23x32 CM"/>
        <s v="ROLLO PAPEL KRAFT 35GR 20 MT"/>
        <s v="PDQ SEPARADOR PLATO"/>
        <s v="CAJA CARTON CORRUGADO 47x31x31 "/>
        <s v="SEPARADORES PLATOS 32X23X32"/>
        <s v="SEPARADOR BOTELLA DOS RANURAS"/>
        <s v="CAJA CARTON CORRUGADO 50x40x30 "/>
        <s v="ROLLO PAPEL KRAFT 35GR 25 MT"/>
        <s v="CAJA PLUMAVIT 35 LITROS"/>
        <s v="ROLLO ESPUMA EMBALAJE 1 MM 0,70X5 MT"/>
        <s v="ROLLO PAPEL PANAL 0,50 X 25MTS"/>
        <s v="ROLLO ESPUMA EMBALAJE 1 MM 0,70X10 MT"/>
        <s v="ROLLO PAPEL KRAFT 35G 230MT"/>
        <s v="ROLLO ESPUMA EMBALAJE 1 MM 1.40X125 MT"/>
        <s v="ROLLO CARTON CORRUGADO 1.20X73Mt aprox. 25K"/>
        <s v="SEPARADOR 2 RANURAS"/>
        <s v="CAJA CARTON CORRUGADO 60x40x40"/>
        <s v="CAJA CARTON CORRUGADO 60x60x50 CM"/>
        <s v="ROLLO CARTON CORRUGADO 0.80X10 MT"/>
        <s v="ROLLO CARTON CORRUGADO 1.20X25 MT"/>
        <s v="Licuadora Smart System 1200W"/>
        <s v="Plancha Panini Pro Max XL"/>
        <s v="Horno Freidora Smart Edition 25L"/>
        <s v="Freidora de Aire Max Edition 12L"/>
        <s v="Hervidor Smart Control 1,7L"/>
        <s v="Freidora de Aire Plus Edition 5L"/>
        <s v="Freidora de Aire Family Edition 7L"/>
        <s v="Freidora de Aire Chef Edition 4L"/>
        <s v="Licuadora Power Pro 800W"/>
        <s v="Hervidor Big Edition 2.5L"/>
        <s v="Hervidor Glass Edition 1.8L"/>
        <s v="SEPARADOR  VASOS 3 RANURAS"/>
        <s v="Sandwichera Panini Master Edition"/>
        <s v="Horno Eléctrico Silver Series 60L"/>
        <s v="Freidora de Aire Dual Edition 9L"/>
        <s v="Horno Eléctrico Silver Series 45L"/>
        <s v="Cafetera Arezzo 4 en 1"/>
        <s v="SEPARADOR VASOS BOTELLAS 32X23X32"/>
        <s v="CAJA CARTON CORRUGADO 60x60x50 CM "/>
        <s v="Licuadora Professional Series 850W"/>
        <s v="ROLLO CARTON ACOLCHADO 40cmx5mt"/>
        <s v="FUNDA PAPEL PANAL SET 3 UN 40X10CM"/>
        <s v="PDQ FUNDA PANAL"/>
        <s v="PDQ BOTELLAS VASOS"/>
      </sharedItems>
    </cacheField>
    <cacheField name="UNIDADADES TOTAL2" numFmtId="3">
      <sharedItems containsString="0" containsBlank="1" containsNumber="1" containsInteger="1">
        <n v="90.0"/>
        <n v="43.0"/>
        <n v="700.0"/>
        <n v="511.0"/>
        <n v="100.0"/>
        <m/>
        <n v="1990.0"/>
        <n v="868.0"/>
        <n v="417.0"/>
        <n v="475.0"/>
        <n v="400.0"/>
        <n v="409.0"/>
        <n v="299.0"/>
        <n v="111.0"/>
        <n v="200.0"/>
        <n v="525.0"/>
        <n v="1500.0"/>
        <n v="4.0"/>
        <n v="350.0"/>
        <n v="199.0"/>
        <n v="450.0"/>
        <n v="500.0"/>
        <n v="250.0"/>
        <n v="488.0"/>
        <n v="268.0"/>
        <n v="640.0"/>
        <n v="600.0"/>
        <n v="775.0"/>
        <n v="300.0"/>
        <n v="30.0"/>
        <n v="9.0"/>
        <n v="18.0"/>
        <n v="7.0"/>
        <n v="71.0"/>
        <n v="55.0"/>
        <n v="23.0"/>
        <n v="6.0"/>
        <n v="10.0"/>
        <n v="666.0"/>
        <n v="20.0"/>
        <n v="35.0"/>
        <n v="21.0"/>
        <n v="11.0"/>
        <n v="19.0"/>
        <n v="3.0"/>
        <n v="36.0"/>
        <n v="140.0"/>
        <n v="117.0"/>
        <n v="120.0"/>
        <n v="8.0"/>
        <n v="163.0"/>
        <n v="72.0"/>
        <n v="42.0"/>
        <n v="14.0"/>
        <n v="38.0"/>
        <n v="80.0"/>
        <n v="2.0"/>
        <n v="144.0"/>
        <n v="84.0"/>
        <n v="330.0"/>
        <n v="148.0"/>
        <n v="288.0"/>
        <n v="360.0"/>
        <n v="549.0"/>
        <n v="667.0"/>
        <n v="13.0"/>
        <n v="576.0"/>
        <n v="840.0"/>
        <n v="31.0"/>
        <n v="171.0"/>
        <n v="5.0"/>
        <n v="29.0"/>
        <n v="116.0"/>
        <n v="40.0"/>
        <n v="160.0"/>
        <n v="166.0"/>
        <n v="795.0"/>
        <n v="225.0"/>
        <n v="718.0"/>
        <n v="716.0"/>
        <n v="510.0"/>
        <n v="996.0"/>
        <n v="790.0"/>
        <n v="325.0"/>
        <n v="275.0"/>
        <n v="150.0"/>
        <n v="205.0"/>
        <n v="93.0"/>
        <n v="1.0"/>
        <n v="24.0"/>
        <n v="206.0"/>
        <n v="76.0"/>
        <n v="44.0"/>
        <n v="89.0"/>
        <n v="50.0"/>
        <n v="1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1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1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1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1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0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8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Ubicaciones" cacheId="0" dataCaption="" rowGrandTotals="0" compact="0" compactData="0">
  <location ref="W3:AA221" firstHeaderRow="0" firstDataRow="4" firstDataCol="0" rowPageCount="1" colPageCount="1"/>
  <pivotFields>
    <pivotField name="SALA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1"/>
        <item x="10"/>
      </items>
    </pivotField>
    <pivotField name="FILA" axis="axisRow" compact="0" numFmtId="49" outline="0" multipleItemSelectionAllowed="1" showAll="0" sortType="ascending" defaultSubtotal="0">
      <items>
        <item x="0"/>
        <item x="15"/>
        <item x="16"/>
        <item x="17"/>
        <item x="18"/>
        <item x="19"/>
        <item x="20"/>
        <item x="21"/>
        <item x="22"/>
        <item x="23"/>
        <item x="24"/>
        <item x="1"/>
        <item x="25"/>
        <item x="26"/>
        <item x="2"/>
        <item x="3"/>
        <item x="4"/>
        <item x="5"/>
        <item x="6"/>
        <item x="13"/>
        <item x="14"/>
        <item x="7"/>
        <item x="9"/>
        <item x="10"/>
        <item x="11"/>
        <item x="12"/>
        <item x="8"/>
      </items>
    </pivotField>
    <pivotField name="POSICIÓN" axis="axisRow" compact="0" numFmtId="49" outline="0" multipleItemSelectionAllowed="1" showAll="0" sortType="ascending" defaultSubtotal="0">
      <items>
        <item x="0"/>
        <item x="35"/>
        <item x="31"/>
        <item x="32"/>
        <item x="36"/>
        <item x="37"/>
        <item x="38"/>
        <item x="39"/>
        <item x="40"/>
        <item x="41"/>
        <item x="42"/>
        <item x="43"/>
        <item x="44"/>
        <item x="7"/>
        <item x="8"/>
        <item x="24"/>
        <item x="1"/>
        <item x="45"/>
        <item x="46"/>
        <item x="47"/>
        <item x="48"/>
        <item x="49"/>
        <item x="50"/>
        <item x="51"/>
        <item x="68"/>
        <item x="69"/>
        <item x="70"/>
        <item x="9"/>
        <item x="17"/>
        <item x="18"/>
        <item x="10"/>
        <item x="2"/>
        <item x="71"/>
        <item x="72"/>
        <item x="73"/>
        <item x="74"/>
        <item x="75"/>
        <item x="76"/>
        <item x="77"/>
        <item x="78"/>
        <item x="79"/>
        <item x="80"/>
        <item x="11"/>
        <item x="12"/>
        <item x="3"/>
        <item x="81"/>
        <item x="13"/>
        <item x="14"/>
        <item x="4"/>
        <item x="15"/>
        <item x="16"/>
        <item x="5"/>
        <item x="25"/>
        <item x="26"/>
        <item x="6"/>
        <item x="27"/>
        <item x="28"/>
        <item x="33"/>
        <item x="34"/>
        <item x="29"/>
        <item x="30"/>
        <item x="19"/>
        <item x="20"/>
        <item x="52"/>
        <item x="61"/>
        <item x="62"/>
        <item x="63"/>
        <item x="64"/>
        <item x="65"/>
        <item x="66"/>
        <item x="67"/>
        <item x="53"/>
        <item x="54"/>
        <item x="55"/>
        <item x="56"/>
        <item x="57"/>
        <item x="58"/>
        <item x="59"/>
        <item x="60"/>
        <item x="21"/>
        <item x="22"/>
        <item x="23"/>
      </items>
    </pivotField>
    <pivotField name="UBICACION" axis="axisRow" compact="0" numFmtId="49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89"/>
        <item x="91"/>
        <item x="92"/>
        <item x="93"/>
        <item x="94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95"/>
        <item x="96"/>
        <item x="97"/>
        <item x="98"/>
        <item x="119"/>
        <item x="120"/>
        <item x="121"/>
        <item x="122"/>
        <item x="123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24"/>
        <item x="125"/>
        <item x="126"/>
        <item x="127"/>
        <item x="196"/>
        <item x="197"/>
        <item x="198"/>
        <item x="199"/>
        <item x="200"/>
        <item x="201"/>
        <item x="202"/>
        <item x="203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221"/>
        <item x="222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3"/>
        <item x="232"/>
        <item x="233"/>
        <item x="234"/>
        <item x="235"/>
        <item x="236"/>
        <item x="237"/>
        <item x="238"/>
        <item x="239"/>
        <item x="240"/>
        <item x="241"/>
        <item x="224"/>
        <item x="242"/>
        <item x="243"/>
        <item x="225"/>
        <item x="226"/>
        <item x="227"/>
        <item x="228"/>
        <item x="229"/>
        <item x="230"/>
        <item x="231"/>
        <item x="244"/>
        <item x="253"/>
        <item x="254"/>
        <item x="245"/>
        <item x="246"/>
        <item x="247"/>
        <item x="248"/>
        <item x="249"/>
        <item x="250"/>
        <item x="251"/>
        <item x="252"/>
        <item x="255"/>
        <item x="256"/>
        <item x="257"/>
        <item x="258"/>
        <item x="259"/>
        <item x="260"/>
        <item x="261"/>
        <item x="262"/>
        <item x="263"/>
        <item x="264"/>
        <item x="273"/>
        <item x="274"/>
        <item x="275"/>
        <item x="276"/>
        <item x="277"/>
        <item x="278"/>
        <item x="279"/>
        <item x="280"/>
        <item x="281"/>
        <item x="282"/>
        <item x="265"/>
        <item x="283"/>
        <item x="284"/>
        <item x="285"/>
        <item x="286"/>
        <item x="287"/>
        <item x="288"/>
        <item x="289"/>
        <item x="266"/>
        <item x="267"/>
        <item x="268"/>
        <item x="269"/>
        <item x="270"/>
        <item x="271"/>
        <item x="272"/>
        <item x="290"/>
        <item x="299"/>
        <item x="300"/>
        <item x="301"/>
        <item x="302"/>
        <item x="303"/>
        <item x="304"/>
        <item x="305"/>
        <item x="291"/>
        <item x="292"/>
        <item x="293"/>
        <item x="294"/>
        <item x="295"/>
        <item x="296"/>
        <item x="297"/>
        <item x="298"/>
        <item x="306"/>
        <item x="315"/>
        <item x="316"/>
        <item x="317"/>
        <item x="318"/>
        <item x="319"/>
        <item x="320"/>
        <item x="321"/>
        <item x="322"/>
        <item x="323"/>
        <item x="324"/>
        <item x="307"/>
        <item x="325"/>
        <item x="326"/>
        <item x="327"/>
        <item x="328"/>
        <item x="329"/>
        <item x="330"/>
        <item x="331"/>
        <item x="332"/>
        <item x="333"/>
        <item x="334"/>
        <item x="308"/>
        <item x="335"/>
        <item x="336"/>
        <item x="337"/>
        <item x="338"/>
        <item x="339"/>
        <item x="340"/>
        <item x="341"/>
        <item x="342"/>
        <item x="343"/>
        <item x="344"/>
        <item x="309"/>
        <item x="345"/>
        <item x="310"/>
        <item x="311"/>
        <item x="312"/>
        <item x="313"/>
        <item x="314"/>
        <item x="376"/>
        <item x="377"/>
        <item x="378"/>
        <item x="379"/>
        <item x="380"/>
        <item x="429"/>
        <item x="430"/>
        <item x="431"/>
        <item x="432"/>
        <item x="433"/>
        <item x="434"/>
        <item x="435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346"/>
        <item x="355"/>
        <item x="356"/>
        <item x="357"/>
        <item x="358"/>
        <item x="359"/>
        <item x="360"/>
        <item x="361"/>
        <item x="362"/>
        <item x="363"/>
        <item x="364"/>
        <item x="347"/>
        <item x="365"/>
        <item x="366"/>
        <item x="367"/>
        <item x="368"/>
        <item x="369"/>
        <item x="370"/>
        <item x="371"/>
        <item x="372"/>
        <item x="373"/>
        <item x="374"/>
        <item x="348"/>
        <item x="375"/>
        <item x="349"/>
        <item x="350"/>
        <item x="351"/>
        <item x="352"/>
        <item x="353"/>
        <item x="354"/>
        <item t="default"/>
      </items>
    </pivotField>
    <pivotField name="FECHA INGRES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DOCUMENT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SK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name="DESCRIP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t="default"/>
      </items>
    </pivotField>
    <pivotField name="UNIDADADES TOTAL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ORIGEN INGRES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STADO" axis="axisPage" compact="0" outline="0" multipleItemSelectionAllowed="1" showAll="0">
      <items>
        <item h="1" x="0"/>
        <item x="1"/>
        <item t="default"/>
      </items>
    </pivotField>
    <pivotField name="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t="default"/>
      </items>
    </pivotField>
    <pivotField name="TIP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OB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liente" compact="0" outline="0" multipleItemSelectionAllowed="1" showAll="0">
      <items>
        <item x="0"/>
        <item x="1"/>
        <item x="2"/>
        <item t="default"/>
      </items>
    </pivotField>
  </pivotFields>
  <rowFields>
    <field x="0"/>
    <field x="1"/>
    <field x="2"/>
    <field x="3"/>
  </rowFields>
  <pageFields>
    <pageField fld="10"/>
  </pageFields>
</pivotTableDefinition>
</file>

<file path=xl/pivotTables/pivotTable10.xml><?xml version="1.0" encoding="utf-8"?>
<pivotTableDefinition xmlns="http://schemas.openxmlformats.org/spreadsheetml/2006/main" name="Copia de Ubicaciones 3" cacheId="4" dataCaption="" rowGrandTotals="0" compact="0" compactData="0">
  <location ref="AR3:BB223" firstHeaderRow="0" firstDataRow="10" firstDataCol="0" rowPageCount="1" colPageCount="1"/>
  <pivotFields>
    <pivotField name="SALA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1"/>
        <item x="10"/>
      </items>
    </pivotField>
    <pivotField name="FILA" axis="axisRow" compact="0" numFmtId="49" outline="0" multipleItemSelectionAllowed="1" showAll="0" sortType="ascending" defaultSubtotal="0">
      <items>
        <item x="0"/>
        <item x="15"/>
        <item x="16"/>
        <item x="17"/>
        <item x="18"/>
        <item x="19"/>
        <item x="20"/>
        <item x="21"/>
        <item x="22"/>
        <item x="23"/>
        <item x="24"/>
        <item x="1"/>
        <item x="25"/>
        <item x="26"/>
        <item x="2"/>
        <item x="3"/>
        <item x="4"/>
        <item x="5"/>
        <item x="6"/>
        <item x="13"/>
        <item x="14"/>
        <item x="7"/>
        <item x="9"/>
        <item x="10"/>
        <item x="11"/>
        <item x="12"/>
        <item x="8"/>
      </items>
    </pivotField>
    <pivotField name="POSICIÓN" axis="axisRow" compact="0" numFmtId="49" outline="0" multipleItemSelectionAllowed="1" showAll="0" sortType="ascending" defaultSubtotal="0">
      <items>
        <item x="0"/>
        <item x="35"/>
        <item x="31"/>
        <item x="32"/>
        <item x="36"/>
        <item x="37"/>
        <item x="38"/>
        <item x="39"/>
        <item x="40"/>
        <item x="41"/>
        <item x="42"/>
        <item x="43"/>
        <item x="44"/>
        <item x="7"/>
        <item x="8"/>
        <item x="24"/>
        <item x="1"/>
        <item x="45"/>
        <item x="46"/>
        <item x="47"/>
        <item x="48"/>
        <item x="49"/>
        <item x="50"/>
        <item x="51"/>
        <item x="68"/>
        <item x="69"/>
        <item x="70"/>
        <item x="9"/>
        <item x="17"/>
        <item x="18"/>
        <item x="10"/>
        <item x="2"/>
        <item x="71"/>
        <item x="72"/>
        <item x="73"/>
        <item x="74"/>
        <item x="75"/>
        <item x="76"/>
        <item x="77"/>
        <item x="78"/>
        <item x="79"/>
        <item x="80"/>
        <item x="11"/>
        <item x="12"/>
        <item x="3"/>
        <item x="81"/>
        <item x="13"/>
        <item x="14"/>
        <item x="4"/>
        <item x="15"/>
        <item x="16"/>
        <item x="5"/>
        <item x="25"/>
        <item x="26"/>
        <item x="6"/>
        <item x="27"/>
        <item x="28"/>
        <item x="33"/>
        <item x="34"/>
        <item x="29"/>
        <item x="30"/>
        <item x="19"/>
        <item x="20"/>
        <item x="52"/>
        <item x="61"/>
        <item x="62"/>
        <item x="63"/>
        <item x="64"/>
        <item x="65"/>
        <item x="66"/>
        <item x="67"/>
        <item x="53"/>
        <item x="54"/>
        <item x="55"/>
        <item x="56"/>
        <item x="57"/>
        <item x="58"/>
        <item x="59"/>
        <item x="60"/>
        <item x="21"/>
        <item x="22"/>
        <item x="23"/>
      </items>
    </pivotField>
    <pivotField name="UBICACION" axis="axisRow" compact="0" numFmtId="49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89"/>
        <item x="91"/>
        <item x="92"/>
        <item x="93"/>
        <item x="94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95"/>
        <item x="96"/>
        <item x="97"/>
        <item x="98"/>
        <item x="119"/>
        <item x="120"/>
        <item x="121"/>
        <item x="122"/>
        <item x="123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24"/>
        <item x="125"/>
        <item x="126"/>
        <item x="127"/>
        <item x="196"/>
        <item x="197"/>
        <item x="198"/>
        <item x="199"/>
        <item x="200"/>
        <item x="201"/>
        <item x="202"/>
        <item x="203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221"/>
        <item x="222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3"/>
        <item x="232"/>
        <item x="233"/>
        <item x="234"/>
        <item x="235"/>
        <item x="236"/>
        <item x="237"/>
        <item x="238"/>
        <item x="239"/>
        <item x="240"/>
        <item x="241"/>
        <item x="224"/>
        <item x="242"/>
        <item x="243"/>
        <item x="225"/>
        <item x="226"/>
        <item x="227"/>
        <item x="228"/>
        <item x="229"/>
        <item x="230"/>
        <item x="231"/>
        <item x="244"/>
        <item x="253"/>
        <item x="254"/>
        <item x="245"/>
        <item x="246"/>
        <item x="247"/>
        <item x="248"/>
        <item x="249"/>
        <item x="250"/>
        <item x="251"/>
        <item x="252"/>
        <item x="255"/>
        <item x="256"/>
        <item x="257"/>
        <item x="258"/>
        <item x="259"/>
        <item x="260"/>
        <item x="261"/>
        <item x="262"/>
        <item x="263"/>
        <item x="264"/>
        <item x="273"/>
        <item x="274"/>
        <item x="275"/>
        <item x="276"/>
        <item x="277"/>
        <item x="278"/>
        <item x="279"/>
        <item x="280"/>
        <item x="281"/>
        <item x="282"/>
        <item x="265"/>
        <item x="283"/>
        <item x="284"/>
        <item x="285"/>
        <item x="286"/>
        <item x="287"/>
        <item x="288"/>
        <item x="289"/>
        <item x="266"/>
        <item x="267"/>
        <item x="268"/>
        <item x="269"/>
        <item x="270"/>
        <item x="271"/>
        <item x="272"/>
        <item x="290"/>
        <item x="299"/>
        <item x="300"/>
        <item x="301"/>
        <item x="302"/>
        <item x="303"/>
        <item x="304"/>
        <item x="305"/>
        <item x="291"/>
        <item x="292"/>
        <item x="293"/>
        <item x="294"/>
        <item x="295"/>
        <item x="296"/>
        <item x="297"/>
        <item x="298"/>
        <item x="306"/>
        <item x="315"/>
        <item x="316"/>
        <item x="317"/>
        <item x="318"/>
        <item x="319"/>
        <item x="320"/>
        <item x="321"/>
        <item x="322"/>
        <item x="323"/>
        <item x="324"/>
        <item x="307"/>
        <item x="325"/>
        <item x="326"/>
        <item x="327"/>
        <item x="328"/>
        <item x="329"/>
        <item x="330"/>
        <item x="331"/>
        <item x="332"/>
        <item x="333"/>
        <item x="334"/>
        <item x="308"/>
        <item x="335"/>
        <item x="336"/>
        <item x="337"/>
        <item x="338"/>
        <item x="339"/>
        <item x="340"/>
        <item x="341"/>
        <item x="342"/>
        <item x="343"/>
        <item x="344"/>
        <item x="309"/>
        <item x="345"/>
        <item x="310"/>
        <item x="311"/>
        <item x="312"/>
        <item x="313"/>
        <item x="314"/>
        <item x="376"/>
        <item x="377"/>
        <item x="378"/>
        <item x="379"/>
        <item x="380"/>
        <item x="429"/>
        <item x="430"/>
        <item x="431"/>
        <item x="432"/>
        <item x="433"/>
        <item x="434"/>
        <item x="435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10"/>
        <item x="411"/>
        <item x="412"/>
        <item x="413"/>
        <item x="414"/>
        <item x="408"/>
        <item x="409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346"/>
        <item x="355"/>
        <item x="356"/>
        <item x="357"/>
        <item x="358"/>
        <item x="359"/>
        <item x="360"/>
        <item x="361"/>
        <item x="362"/>
        <item x="363"/>
        <item x="364"/>
        <item x="347"/>
        <item x="365"/>
        <item x="366"/>
        <item x="367"/>
        <item x="368"/>
        <item x="369"/>
        <item x="370"/>
        <item x="371"/>
        <item x="372"/>
        <item x="373"/>
        <item x="374"/>
        <item x="348"/>
        <item x="375"/>
        <item x="349"/>
        <item x="350"/>
        <item x="351"/>
        <item x="352"/>
        <item x="353"/>
        <item x="354"/>
      </items>
    </pivotField>
    <pivotField name="FECHA INGRES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OCUMENT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SKU" axis="axisRow" compact="0" outline="0" multipleItemSelectionAllowed="1" showAll="0" sortType="ascending" defaultSubtotal="0">
      <items>
        <item x="5"/>
        <item x="48"/>
        <item x="26"/>
        <item x="22"/>
        <item x="7"/>
        <item x="9"/>
        <item x="8"/>
        <item x="21"/>
        <item x="49"/>
        <item x="11"/>
        <item x="20"/>
        <item x="14"/>
        <item x="45"/>
        <item x="19"/>
        <item x="10"/>
        <item x="17"/>
        <item x="18"/>
        <item x="23"/>
        <item x="24"/>
        <item x="28"/>
        <item x="27"/>
        <item x="0"/>
        <item x="1"/>
        <item x="6"/>
        <item x="16"/>
        <item x="4"/>
        <item x="25"/>
        <item x="13"/>
        <item x="46"/>
        <item x="3"/>
        <item x="2"/>
        <item x="44"/>
        <item x="36"/>
        <item x="42"/>
        <item x="35"/>
        <item x="32"/>
        <item x="34"/>
        <item x="38"/>
        <item x="39"/>
        <item x="43"/>
        <item x="41"/>
        <item x="31"/>
        <item x="33"/>
        <item x="47"/>
        <item x="37"/>
        <item x="29"/>
        <item x="51"/>
        <item x="50"/>
        <item x="12"/>
        <item x="15"/>
        <item x="40"/>
        <item x="30"/>
      </items>
    </pivotField>
    <pivotField name="DESCRIPCION" axis="axisRow" compact="0" outline="0" multipleItemSelectionAllowed="1" showAll="0" sortType="ascending" defaultSubtotal="0">
      <items>
        <item x="5"/>
        <item x="46"/>
        <item x="7"/>
        <item x="9"/>
        <item x="8"/>
        <item x="13"/>
        <item x="16"/>
        <item x="26"/>
        <item x="4"/>
        <item x="27"/>
        <item x="48"/>
        <item x="2"/>
        <item x="1"/>
        <item x="6"/>
        <item x="3"/>
        <item x="10"/>
        <item x="18"/>
        <item x="0"/>
        <item x="37"/>
        <item x="44"/>
        <item x="36"/>
        <item x="33"/>
        <item x="35"/>
        <item x="51"/>
        <item x="39"/>
        <item x="40"/>
        <item x="34"/>
        <item x="45"/>
        <item x="43"/>
        <item x="32"/>
        <item x="38"/>
        <item x="49"/>
        <item x="30"/>
        <item x="53"/>
        <item x="52"/>
        <item x="12"/>
        <item x="31"/>
        <item x="50"/>
        <item x="28"/>
        <item x="29"/>
        <item x="24"/>
        <item x="21"/>
        <item x="19"/>
        <item x="23"/>
        <item x="22"/>
        <item x="11"/>
        <item x="17"/>
        <item x="20"/>
        <item x="42"/>
        <item x="41"/>
        <item x="25"/>
        <item x="15"/>
        <item x="47"/>
        <item x="14"/>
      </items>
    </pivotField>
    <pivotField name="UNIDADADES TOTAL" axis="axisRow" compact="0" numFmtId="3" outline="0" multipleItemSelectionAllowed="1" showAll="0" sortType="ascending" defaultSubtotal="0">
      <items>
        <item x="5"/>
        <item x="88"/>
        <item x="56"/>
        <item x="44"/>
        <item x="17"/>
        <item x="70"/>
        <item x="36"/>
        <item x="32"/>
        <item x="49"/>
        <item x="30"/>
        <item x="37"/>
        <item x="42"/>
        <item x="95"/>
        <item x="65"/>
        <item x="53"/>
        <item x="31"/>
        <item x="43"/>
        <item x="39"/>
        <item x="41"/>
        <item x="35"/>
        <item x="89"/>
        <item x="71"/>
        <item x="29"/>
        <item x="68"/>
        <item x="40"/>
        <item x="45"/>
        <item x="54"/>
        <item x="73"/>
        <item x="52"/>
        <item x="1"/>
        <item x="92"/>
        <item x="94"/>
        <item x="34"/>
        <item x="33"/>
        <item x="51"/>
        <item x="91"/>
        <item x="55"/>
        <item x="58"/>
        <item x="93"/>
        <item x="0"/>
        <item x="87"/>
        <item x="4"/>
        <item x="13"/>
        <item x="72"/>
        <item x="47"/>
        <item x="48"/>
        <item x="46"/>
        <item x="57"/>
        <item x="60"/>
        <item x="85"/>
        <item x="74"/>
        <item x="50"/>
        <item x="75"/>
        <item x="69"/>
        <item x="19"/>
        <item x="14"/>
        <item x="86"/>
        <item x="90"/>
        <item x="77"/>
        <item x="22"/>
        <item x="24"/>
        <item x="84"/>
        <item x="61"/>
        <item x="12"/>
        <item x="28"/>
        <item x="83"/>
        <item x="59"/>
        <item x="18"/>
        <item x="62"/>
        <item x="10"/>
        <item x="11"/>
        <item x="8"/>
        <item x="20"/>
        <item x="9"/>
        <item x="23"/>
        <item x="21"/>
        <item x="80"/>
        <item x="3"/>
        <item x="15"/>
        <item x="63"/>
        <item x="66"/>
        <item x="26"/>
        <item x="25"/>
        <item x="38"/>
        <item x="64"/>
        <item x="2"/>
        <item x="79"/>
        <item x="78"/>
        <item x="27"/>
        <item x="82"/>
        <item x="76"/>
        <item x="67"/>
        <item x="7"/>
        <item x="81"/>
        <item x="16"/>
        <item x="6"/>
      </items>
    </pivotField>
    <pivotField name="ORIGEN INGRESO" axis="axisRow" compact="0" outline="0" multipleItemSelectionAllowed="1" showAll="0" sortType="ascending" defaultSubtotal="0">
      <items>
        <item x="2"/>
        <item x="3"/>
        <item x="4"/>
        <item x="6"/>
        <item x="5"/>
        <item x="1"/>
        <item x="0"/>
        <item x="7"/>
      </items>
    </pivotField>
    <pivotField name="ESTADO" axis="axisPage" compact="0" outline="0" multipleItemSelectionAllowed="1" showAll="0">
      <items>
        <item x="0"/>
        <item h="1" x="1"/>
        <item t="default"/>
      </items>
    </pivotField>
    <pivotField name="#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</items>
    </pivotField>
    <pivotField name="TIP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BS" compact="0" outline="0" multipleItemSelectionAllowed="1" showAll="0">
      <items>
        <item x="0"/>
        <item x="1"/>
        <item t="default"/>
      </items>
    </pivotField>
    <pivotField name="Cliente" axis="axisRow" compact="0" outline="0" multipleItemSelectionAllowed="1" showAll="0" sortType="ascending">
      <items>
        <item x="1"/>
        <item x="2"/>
        <item x="0"/>
        <item t="default"/>
      </items>
    </pivotField>
  </pivotFields>
  <rowFields>
    <field x="3"/>
    <field x="6"/>
    <field x="7"/>
    <field x="8"/>
    <field x="9"/>
    <field x="0"/>
    <field x="1"/>
    <field x="2"/>
    <field x="11"/>
    <field x="14"/>
  </rowFields>
  <pageFields>
    <pageField fld="10"/>
  </pageFields>
</pivotTableDefinition>
</file>

<file path=xl/pivotTables/pivotTable11.xml><?xml version="1.0" encoding="utf-8"?>
<pivotTableDefinition xmlns="http://schemas.openxmlformats.org/spreadsheetml/2006/main" name="Copia de Ubicaciones 4" cacheId="4" dataCaption="" rowGrandTotals="0" compact="0" compactData="0">
  <location ref="BD4:BG127" firstHeaderRow="0" firstDataRow="3" firstDataCol="0" rowPageCount="1" colPageCount="1"/>
  <pivotFields>
    <pivotField name="SA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FIL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POSICIÓ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UBICACION" axis="axisRow" compact="0" numFmtId="49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89"/>
        <item x="91"/>
        <item x="92"/>
        <item x="93"/>
        <item x="94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95"/>
        <item x="96"/>
        <item x="97"/>
        <item x="98"/>
        <item x="119"/>
        <item x="120"/>
        <item x="121"/>
        <item x="122"/>
        <item x="123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24"/>
        <item x="125"/>
        <item x="126"/>
        <item x="127"/>
        <item x="196"/>
        <item x="197"/>
        <item x="198"/>
        <item x="199"/>
        <item x="200"/>
        <item x="201"/>
        <item x="202"/>
        <item x="203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221"/>
        <item x="222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3"/>
        <item x="232"/>
        <item x="233"/>
        <item x="234"/>
        <item x="235"/>
        <item x="236"/>
        <item x="237"/>
        <item x="238"/>
        <item x="239"/>
        <item x="240"/>
        <item x="241"/>
        <item x="224"/>
        <item x="242"/>
        <item x="243"/>
        <item x="225"/>
        <item x="226"/>
        <item x="227"/>
        <item x="228"/>
        <item x="229"/>
        <item x="230"/>
        <item x="231"/>
        <item x="244"/>
        <item x="253"/>
        <item x="254"/>
        <item x="245"/>
        <item x="246"/>
        <item x="247"/>
        <item x="248"/>
        <item x="249"/>
        <item x="250"/>
        <item x="251"/>
        <item x="252"/>
        <item x="255"/>
        <item x="256"/>
        <item x="257"/>
        <item x="258"/>
        <item x="259"/>
        <item x="260"/>
        <item x="261"/>
        <item x="262"/>
        <item x="263"/>
        <item x="264"/>
        <item x="273"/>
        <item x="274"/>
        <item x="275"/>
        <item x="276"/>
        <item x="277"/>
        <item x="278"/>
        <item x="279"/>
        <item x="280"/>
        <item x="281"/>
        <item x="282"/>
        <item x="265"/>
        <item x="283"/>
        <item x="284"/>
        <item x="285"/>
        <item x="286"/>
        <item x="287"/>
        <item x="288"/>
        <item x="289"/>
        <item x="266"/>
        <item x="267"/>
        <item x="268"/>
        <item x="269"/>
        <item x="270"/>
        <item x="271"/>
        <item x="272"/>
        <item x="290"/>
        <item x="299"/>
        <item x="300"/>
        <item x="301"/>
        <item x="302"/>
        <item x="303"/>
        <item x="304"/>
        <item x="305"/>
        <item x="291"/>
        <item x="292"/>
        <item x="293"/>
        <item x="294"/>
        <item x="295"/>
        <item x="296"/>
        <item x="297"/>
        <item x="298"/>
        <item x="306"/>
        <item x="315"/>
        <item x="316"/>
        <item x="317"/>
        <item x="318"/>
        <item x="319"/>
        <item x="320"/>
        <item x="321"/>
        <item x="322"/>
        <item x="323"/>
        <item x="324"/>
        <item x="307"/>
        <item x="325"/>
        <item x="326"/>
        <item x="327"/>
        <item x="328"/>
        <item x="329"/>
        <item x="330"/>
        <item x="331"/>
        <item x="332"/>
        <item x="333"/>
        <item x="334"/>
        <item x="308"/>
        <item x="335"/>
        <item x="336"/>
        <item x="337"/>
        <item x="338"/>
        <item x="339"/>
        <item x="340"/>
        <item x="341"/>
        <item x="342"/>
        <item x="343"/>
        <item x="344"/>
        <item x="309"/>
        <item x="345"/>
        <item x="310"/>
        <item x="311"/>
        <item x="312"/>
        <item x="313"/>
        <item x="314"/>
        <item x="376"/>
        <item x="377"/>
        <item x="378"/>
        <item x="379"/>
        <item x="380"/>
        <item x="429"/>
        <item x="430"/>
        <item x="431"/>
        <item x="432"/>
        <item x="433"/>
        <item x="434"/>
        <item x="435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10"/>
        <item x="411"/>
        <item x="412"/>
        <item x="413"/>
        <item x="414"/>
        <item x="408"/>
        <item x="409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346"/>
        <item x="355"/>
        <item x="356"/>
        <item x="357"/>
        <item x="358"/>
        <item x="359"/>
        <item x="360"/>
        <item x="361"/>
        <item x="362"/>
        <item x="363"/>
        <item x="364"/>
        <item x="347"/>
        <item x="365"/>
        <item x="366"/>
        <item x="367"/>
        <item x="368"/>
        <item x="369"/>
        <item x="370"/>
        <item x="371"/>
        <item x="372"/>
        <item x="373"/>
        <item x="374"/>
        <item x="348"/>
        <item x="375"/>
        <item x="349"/>
        <item x="350"/>
        <item x="351"/>
        <item x="352"/>
        <item x="353"/>
        <item x="354"/>
      </items>
    </pivotField>
    <pivotField name="FECHA INGRES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OCUMENT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SKU" axis="axisRow" compact="0" outline="0" multipleItemSelectionAllowed="1" showAll="0" sortType="ascending" defaultSubtotal="0">
      <items>
        <item x="5"/>
        <item x="48"/>
        <item x="26"/>
        <item x="22"/>
        <item x="7"/>
        <item x="9"/>
        <item x="8"/>
        <item x="21"/>
        <item x="49"/>
        <item x="11"/>
        <item x="20"/>
        <item x="14"/>
        <item x="45"/>
        <item x="19"/>
        <item x="10"/>
        <item x="17"/>
        <item x="18"/>
        <item x="23"/>
        <item x="24"/>
        <item x="28"/>
        <item x="27"/>
        <item x="0"/>
        <item x="1"/>
        <item x="6"/>
        <item x="16"/>
        <item x="4"/>
        <item x="25"/>
        <item x="13"/>
        <item x="46"/>
        <item x="3"/>
        <item x="2"/>
        <item x="44"/>
        <item x="36"/>
        <item x="42"/>
        <item x="35"/>
        <item x="32"/>
        <item x="34"/>
        <item x="38"/>
        <item x="39"/>
        <item x="43"/>
        <item x="41"/>
        <item x="31"/>
        <item x="33"/>
        <item x="47"/>
        <item x="37"/>
        <item x="29"/>
        <item x="51"/>
        <item x="50"/>
        <item x="12"/>
        <item x="15"/>
        <item x="40"/>
        <item x="30"/>
      </items>
    </pivotField>
    <pivotField name="DESCRIPCION" axis="axisRow" compact="0" outline="0" multipleItemSelectionAllowed="1" showAll="0" sortType="ascending">
      <items>
        <item x="5"/>
        <item x="46"/>
        <item x="7"/>
        <item x="9"/>
        <item x="8"/>
        <item x="13"/>
        <item x="16"/>
        <item x="26"/>
        <item x="4"/>
        <item x="27"/>
        <item x="48"/>
        <item x="2"/>
        <item x="1"/>
        <item x="6"/>
        <item x="3"/>
        <item x="10"/>
        <item x="18"/>
        <item x="0"/>
        <item x="37"/>
        <item x="44"/>
        <item x="36"/>
        <item x="33"/>
        <item x="35"/>
        <item x="51"/>
        <item x="39"/>
        <item x="40"/>
        <item x="34"/>
        <item x="45"/>
        <item x="43"/>
        <item x="32"/>
        <item x="38"/>
        <item x="49"/>
        <item x="30"/>
        <item x="53"/>
        <item x="52"/>
        <item x="12"/>
        <item x="31"/>
        <item x="50"/>
        <item x="28"/>
        <item x="29"/>
        <item x="24"/>
        <item x="21"/>
        <item x="19"/>
        <item x="23"/>
        <item x="22"/>
        <item x="11"/>
        <item x="17"/>
        <item x="20"/>
        <item x="42"/>
        <item x="41"/>
        <item x="25"/>
        <item x="15"/>
        <item x="47"/>
        <item x="14"/>
        <item t="default"/>
      </items>
    </pivotField>
    <pivotField name="UNIDADADES TOTAL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ORIGEN INGRES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STADO" compact="0" outline="0" multipleItemSelectionAllowed="1" showAll="0">
      <items>
        <item x="0"/>
        <item x="1"/>
        <item t="default"/>
      </items>
    </pivotField>
    <pivotField name="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t="default"/>
      </items>
    </pivotField>
    <pivotField name="TIP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BS" compact="0" outline="0" multipleItemSelectionAllowed="1" showAll="0">
      <items>
        <item x="0"/>
        <item x="1"/>
        <item t="default"/>
      </items>
    </pivotField>
    <pivotField name="Cliente" axis="axisPage" compact="0" outline="0" multipleItemSelectionAllowed="1" showAll="0">
      <items>
        <item x="0"/>
        <item h="1" x="1"/>
        <item h="1" x="2"/>
        <item t="default"/>
      </items>
    </pivotField>
  </pivotFields>
  <rowFields>
    <field x="3"/>
    <field x="6"/>
    <field x="7"/>
  </rowFields>
  <pageFields>
    <pageField fld="14"/>
  </pageFields>
  <dataFields>
    <dataField name="UNIDADADES TOTAL" fld="8" baseField="0"/>
  </dataFields>
</pivotTableDefinition>
</file>

<file path=xl/pivotTables/pivotTable12.xml><?xml version="1.0" encoding="utf-8"?>
<pivotTableDefinition xmlns="http://schemas.openxmlformats.org/spreadsheetml/2006/main" name="Copia de Ubicaciones 5" cacheId="6" dataCaption="" rowGrandTotals="0" compact="0" compactData="0">
  <location ref="BL4:BQ99" firstHeaderRow="0" firstDataRow="5" firstDataCol="0" rowPageCount="1" colPageCount="1"/>
  <pivotFields>
    <pivotField name="UBICACION" axis="axisRow" compact="0" numFmtId="49" outline="0" multipleItemSelectionAllowed="1" showAll="0" sortType="ascending" defaultSubtotal="0">
      <items>
        <item x="2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</items>
    </pivotField>
    <pivotField name="SKU" axis="axisRow" compact="0" outline="0" multipleItemSelectionAllowed="1" showAll="0" sortType="ascending" defaultSubtotal="0">
      <items>
        <item x="51"/>
        <item x="47"/>
        <item x="25"/>
        <item x="21"/>
        <item x="6"/>
        <item x="8"/>
        <item x="7"/>
        <item x="20"/>
        <item x="48"/>
        <item x="10"/>
        <item x="19"/>
        <item x="13"/>
        <item x="44"/>
        <item x="18"/>
        <item x="9"/>
        <item x="16"/>
        <item x="17"/>
        <item x="22"/>
        <item x="23"/>
        <item x="27"/>
        <item x="26"/>
        <item x="0"/>
        <item x="1"/>
        <item x="5"/>
        <item x="15"/>
        <item x="4"/>
        <item x="24"/>
        <item x="12"/>
        <item x="45"/>
        <item x="3"/>
        <item x="2"/>
        <item x="43"/>
        <item x="32"/>
        <item x="41"/>
        <item x="30"/>
        <item x="37"/>
        <item x="31"/>
        <item x="34"/>
        <item x="35"/>
        <item x="42"/>
        <item x="40"/>
        <item x="36"/>
        <item x="38"/>
        <item x="46"/>
        <item x="33"/>
        <item x="28"/>
        <item x="50"/>
        <item x="49"/>
        <item x="11"/>
        <item x="14"/>
        <item x="39"/>
        <item x="29"/>
      </items>
    </pivotField>
    <pivotField name="DESCRIPCION" axis="axisRow" compact="0" outline="0" multipleItemSelectionAllowed="1" showAll="0" sortType="ascending" defaultSubtotal="0">
      <items>
        <item x="53"/>
        <item x="45"/>
        <item x="6"/>
        <item x="8"/>
        <item x="7"/>
        <item x="12"/>
        <item x="15"/>
        <item x="24"/>
        <item x="4"/>
        <item x="25"/>
        <item x="47"/>
        <item x="2"/>
        <item x="1"/>
        <item x="5"/>
        <item x="3"/>
        <item x="9"/>
        <item x="17"/>
        <item x="0"/>
        <item x="33"/>
        <item x="43"/>
        <item x="31"/>
        <item x="39"/>
        <item x="32"/>
        <item x="50"/>
        <item x="35"/>
        <item x="36"/>
        <item x="40"/>
        <item x="44"/>
        <item x="42"/>
        <item x="37"/>
        <item x="34"/>
        <item x="48"/>
        <item x="29"/>
        <item x="52"/>
        <item x="51"/>
        <item x="11"/>
        <item x="30"/>
        <item x="49"/>
        <item x="26"/>
        <item x="27"/>
        <item x="23"/>
        <item x="20"/>
        <item x="18"/>
        <item x="22"/>
        <item x="21"/>
        <item x="10"/>
        <item x="16"/>
        <item x="19"/>
        <item x="41"/>
        <item x="38"/>
        <item x="28"/>
        <item x="14"/>
        <item x="46"/>
        <item x="13"/>
      </items>
    </pivotField>
    <pivotField name="UNIDADADES TOTAL" axis="axisRow" compact="0" numFmtId="3" outline="0" multipleItemSelectionAllowed="1" showAll="0" sortType="ascending" defaultSubtotal="0">
      <items>
        <item x="95"/>
        <item x="87"/>
        <item x="52"/>
        <item x="42"/>
        <item x="16"/>
        <item x="70"/>
        <item x="35"/>
        <item x="31"/>
        <item x="60"/>
        <item x="29"/>
        <item x="39"/>
        <item x="40"/>
        <item x="93"/>
        <item x="65"/>
        <item x="48"/>
        <item x="30"/>
        <item x="41"/>
        <item x="36"/>
        <item x="38"/>
        <item x="34"/>
        <item x="88"/>
        <item x="71"/>
        <item x="28"/>
        <item x="68"/>
        <item x="37"/>
        <item x="44"/>
        <item x="50"/>
        <item x="73"/>
        <item x="47"/>
        <item x="1"/>
        <item x="90"/>
        <item x="94"/>
        <item x="33"/>
        <item x="32"/>
        <item x="49"/>
        <item x="89"/>
        <item x="51"/>
        <item x="54"/>
        <item x="91"/>
        <item x="0"/>
        <item x="86"/>
        <item x="4"/>
        <item x="12"/>
        <item x="72"/>
        <item x="46"/>
        <item x="59"/>
        <item x="45"/>
        <item x="53"/>
        <item x="56"/>
        <item x="84"/>
        <item x="64"/>
        <item x="63"/>
        <item x="74"/>
        <item x="69"/>
        <item x="18"/>
        <item x="13"/>
        <item x="85"/>
        <item x="92"/>
        <item x="79"/>
        <item x="21"/>
        <item x="23"/>
        <item x="83"/>
        <item x="57"/>
        <item x="11"/>
        <item x="27"/>
        <item x="82"/>
        <item x="55"/>
        <item x="17"/>
        <item x="58"/>
        <item x="9"/>
        <item x="10"/>
        <item x="7"/>
        <item x="19"/>
        <item x="8"/>
        <item x="22"/>
        <item x="20"/>
        <item x="75"/>
        <item x="3"/>
        <item x="14"/>
        <item x="61"/>
        <item x="66"/>
        <item x="25"/>
        <item x="24"/>
        <item x="43"/>
        <item x="62"/>
        <item x="2"/>
        <item x="81"/>
        <item x="80"/>
        <item x="26"/>
        <item x="77"/>
        <item x="78"/>
        <item x="67"/>
        <item x="6"/>
        <item x="76"/>
        <item x="15"/>
        <item x="5"/>
      </items>
    </pivotField>
    <pivotField name="ORIGEN INGRESO" axis="axisRow" compact="0" outline="0" multipleItemSelectionAllowed="1" showAll="0" sortType="ascending">
      <items>
        <item x="7"/>
        <item x="2"/>
        <item x="3"/>
        <item x="5"/>
        <item x="4"/>
        <item x="1"/>
        <item x="0"/>
        <item x="6"/>
        <item t="default"/>
      </items>
    </pivotField>
    <pivotField name="SA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FIL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OSICIÓ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Cliente" axis="axisPage" compact="0" outline="0" multipleItemSelectionAllowed="1" showAll="0">
      <items>
        <item h="1" x="0"/>
        <item h="1" x="1"/>
        <item x="2"/>
        <item t="default"/>
      </items>
    </pivotField>
  </pivotFields>
  <rowFields>
    <field x="0"/>
    <field x="1"/>
    <field x="2"/>
    <field x="3"/>
    <field x="4"/>
  </rowFields>
  <pageFields>
    <pageField fld="9"/>
  </pageFields>
</pivotTableDefinition>
</file>

<file path=xl/pivotTables/pivotTable13.xml><?xml version="1.0" encoding="utf-8"?>
<pivotTableDefinition xmlns="http://schemas.openxmlformats.org/spreadsheetml/2006/main" name="Copia de Ubicaciones 6" cacheId="6" dataCaption="" rowGrandTotals="0" compact="0" compactData="0">
  <location ref="BS4:BX127" firstHeaderRow="0" firstDataRow="5" firstDataCol="0" rowPageCount="1" colPageCount="1"/>
  <pivotFields>
    <pivotField name="UBICACION" axis="axisRow" compact="0" numFmtId="49" outline="0" multipleItemSelectionAllowed="1" showAll="0" sortType="ascending" defaultSubtotal="0">
      <items>
        <item x="220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</items>
    </pivotField>
    <pivotField name="SKU" axis="axisRow" compact="0" outline="0" multipleItemSelectionAllowed="1" showAll="0" sortType="ascending" defaultSubtotal="0">
      <items>
        <item x="51"/>
        <item x="47"/>
        <item x="25"/>
        <item x="21"/>
        <item x="6"/>
        <item x="8"/>
        <item x="7"/>
        <item x="20"/>
        <item x="48"/>
        <item x="10"/>
        <item x="19"/>
        <item x="13"/>
        <item x="44"/>
        <item x="18"/>
        <item x="9"/>
        <item x="16"/>
        <item x="17"/>
        <item x="22"/>
        <item x="23"/>
        <item x="27"/>
        <item x="26"/>
        <item x="0"/>
        <item x="1"/>
        <item x="5"/>
        <item x="15"/>
        <item x="4"/>
        <item x="24"/>
        <item x="12"/>
        <item x="45"/>
        <item x="3"/>
        <item x="2"/>
        <item x="43"/>
        <item x="32"/>
        <item x="41"/>
        <item x="30"/>
        <item x="37"/>
        <item x="31"/>
        <item x="34"/>
        <item x="35"/>
        <item x="42"/>
        <item x="40"/>
        <item x="36"/>
        <item x="38"/>
        <item x="46"/>
        <item x="33"/>
        <item x="28"/>
        <item x="50"/>
        <item x="49"/>
        <item x="11"/>
        <item x="14"/>
        <item x="39"/>
        <item x="29"/>
      </items>
    </pivotField>
    <pivotField name="DESCRIPCION" axis="axisRow" compact="0" outline="0" multipleItemSelectionAllowed="1" showAll="0" sortType="ascending" defaultSubtotal="0">
      <items>
        <item x="53"/>
        <item x="45"/>
        <item x="6"/>
        <item x="8"/>
        <item x="7"/>
        <item x="12"/>
        <item x="15"/>
        <item x="24"/>
        <item x="4"/>
        <item x="25"/>
        <item x="47"/>
        <item x="2"/>
        <item x="1"/>
        <item x="5"/>
        <item x="3"/>
        <item x="9"/>
        <item x="17"/>
        <item x="0"/>
        <item x="33"/>
        <item x="43"/>
        <item x="31"/>
        <item x="39"/>
        <item x="32"/>
        <item x="50"/>
        <item x="35"/>
        <item x="36"/>
        <item x="40"/>
        <item x="44"/>
        <item x="42"/>
        <item x="37"/>
        <item x="34"/>
        <item x="48"/>
        <item x="29"/>
        <item x="52"/>
        <item x="51"/>
        <item x="11"/>
        <item x="30"/>
        <item x="49"/>
        <item x="26"/>
        <item x="27"/>
        <item x="23"/>
        <item x="20"/>
        <item x="18"/>
        <item x="22"/>
        <item x="21"/>
        <item x="10"/>
        <item x="16"/>
        <item x="19"/>
        <item x="41"/>
        <item x="38"/>
        <item x="28"/>
        <item x="14"/>
        <item x="46"/>
        <item x="13"/>
      </items>
    </pivotField>
    <pivotField name="UNIDADADES TOTAL" axis="axisRow" compact="0" numFmtId="3" outline="0" multipleItemSelectionAllowed="1" showAll="0" sortType="ascending" defaultSubtotal="0">
      <items>
        <item x="95"/>
        <item x="87"/>
        <item x="52"/>
        <item x="42"/>
        <item x="16"/>
        <item x="70"/>
        <item x="35"/>
        <item x="31"/>
        <item x="60"/>
        <item x="29"/>
        <item x="39"/>
        <item x="40"/>
        <item x="93"/>
        <item x="65"/>
        <item x="48"/>
        <item x="30"/>
        <item x="41"/>
        <item x="36"/>
        <item x="38"/>
        <item x="34"/>
        <item x="88"/>
        <item x="71"/>
        <item x="28"/>
        <item x="68"/>
        <item x="37"/>
        <item x="44"/>
        <item x="50"/>
        <item x="73"/>
        <item x="47"/>
        <item x="1"/>
        <item x="90"/>
        <item x="94"/>
        <item x="33"/>
        <item x="32"/>
        <item x="49"/>
        <item x="89"/>
        <item x="51"/>
        <item x="54"/>
        <item x="91"/>
        <item x="0"/>
        <item x="86"/>
        <item x="4"/>
        <item x="12"/>
        <item x="72"/>
        <item x="46"/>
        <item x="59"/>
        <item x="45"/>
        <item x="53"/>
        <item x="56"/>
        <item x="84"/>
        <item x="64"/>
        <item x="63"/>
        <item x="74"/>
        <item x="69"/>
        <item x="18"/>
        <item x="13"/>
        <item x="85"/>
        <item x="92"/>
        <item x="79"/>
        <item x="21"/>
        <item x="23"/>
        <item x="83"/>
        <item x="57"/>
        <item x="11"/>
        <item x="27"/>
        <item x="82"/>
        <item x="55"/>
        <item x="17"/>
        <item x="58"/>
        <item x="9"/>
        <item x="10"/>
        <item x="7"/>
        <item x="19"/>
        <item x="8"/>
        <item x="22"/>
        <item x="20"/>
        <item x="75"/>
        <item x="3"/>
        <item x="14"/>
        <item x="61"/>
        <item x="66"/>
        <item x="25"/>
        <item x="24"/>
        <item x="43"/>
        <item x="62"/>
        <item x="2"/>
        <item x="81"/>
        <item x="80"/>
        <item x="26"/>
        <item x="77"/>
        <item x="78"/>
        <item x="67"/>
        <item x="6"/>
        <item x="76"/>
        <item x="15"/>
        <item x="5"/>
      </items>
    </pivotField>
    <pivotField name="ORIGEN INGRESO" axis="axisRow" compact="0" outline="0" multipleItemSelectionAllowed="1" showAll="0" sortType="ascending">
      <items>
        <item x="7"/>
        <item x="2"/>
        <item x="3"/>
        <item x="5"/>
        <item x="4"/>
        <item x="1"/>
        <item x="0"/>
        <item x="6"/>
        <item t="default"/>
      </items>
    </pivotField>
    <pivotField name="SA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FIL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OSICIÓ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t="default"/>
      </items>
    </pivotField>
    <pivotField name="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t="default"/>
      </items>
    </pivotField>
    <pivotField name="Cliente" axis="axisPage" compact="0" outline="0" multipleItemSelectionAllowed="1" showAll="0">
      <items>
        <item x="0"/>
        <item h="1" x="1"/>
        <item h="1" x="2"/>
        <item t="default"/>
      </items>
    </pivotField>
  </pivotFields>
  <rowFields>
    <field x="0"/>
    <field x="1"/>
    <field x="2"/>
    <field x="3"/>
    <field x="4"/>
  </rowFields>
  <pageFields>
    <pageField fld="9"/>
  </pageFields>
</pivotTableDefinition>
</file>

<file path=xl/pivotTables/pivotTable14.xml><?xml version="1.0" encoding="utf-8"?>
<pivotTableDefinition xmlns="http://schemas.openxmlformats.org/spreadsheetml/2006/main" name="21.04.25 Ubicaciones" cacheId="7" dataCaption="" rowGrandTotals="0" compact="0" compactData="0">
  <location ref="AL1:AN56" firstHeaderRow="0" firstDataRow="2" firstDataCol="0"/>
  <pivotFields>
    <pivotField name="UBICAC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t="default"/>
      </items>
    </pivotField>
    <pivotField name="SKU" axis="axisRow" compact="0" outline="0" multipleItemSelectionAllowed="1" showAll="0" sortType="ascending" defaultSubtotal="0">
      <items>
        <item x="51"/>
        <item x="47"/>
        <item x="25"/>
        <item x="21"/>
        <item x="6"/>
        <item x="8"/>
        <item x="7"/>
        <item x="20"/>
        <item x="48"/>
        <item x="10"/>
        <item x="19"/>
        <item x="13"/>
        <item x="44"/>
        <item x="18"/>
        <item x="9"/>
        <item x="16"/>
        <item x="17"/>
        <item x="22"/>
        <item x="23"/>
        <item x="27"/>
        <item x="26"/>
        <item x="0"/>
        <item x="1"/>
        <item x="5"/>
        <item x="15"/>
        <item x="4"/>
        <item x="24"/>
        <item x="12"/>
        <item x="45"/>
        <item x="3"/>
        <item x="2"/>
        <item x="43"/>
        <item x="32"/>
        <item x="41"/>
        <item x="30"/>
        <item x="37"/>
        <item x="31"/>
        <item x="34"/>
        <item x="35"/>
        <item x="42"/>
        <item x="40"/>
        <item x="36"/>
        <item x="38"/>
        <item x="46"/>
        <item x="33"/>
        <item x="28"/>
        <item x="50"/>
        <item x="49"/>
        <item x="11"/>
        <item x="14"/>
        <item x="39"/>
        <item x="29"/>
      </items>
    </pivotField>
    <pivotField name="DESCRIPCION" axis="axisRow" compact="0" outline="0" multipleItemSelectionAllowed="1" showAll="0" sortType="ascending">
      <items>
        <item x="53"/>
        <item x="45"/>
        <item x="6"/>
        <item x="8"/>
        <item x="7"/>
        <item x="12"/>
        <item x="15"/>
        <item x="24"/>
        <item x="4"/>
        <item x="25"/>
        <item x="47"/>
        <item x="2"/>
        <item x="1"/>
        <item x="5"/>
        <item x="3"/>
        <item x="9"/>
        <item x="17"/>
        <item x="0"/>
        <item x="33"/>
        <item x="43"/>
        <item x="31"/>
        <item x="39"/>
        <item x="32"/>
        <item x="50"/>
        <item x="35"/>
        <item x="36"/>
        <item x="40"/>
        <item x="44"/>
        <item x="42"/>
        <item x="37"/>
        <item x="34"/>
        <item x="48"/>
        <item x="29"/>
        <item x="52"/>
        <item x="51"/>
        <item x="11"/>
        <item x="30"/>
        <item x="49"/>
        <item x="26"/>
        <item x="27"/>
        <item x="23"/>
        <item x="20"/>
        <item x="18"/>
        <item x="22"/>
        <item x="21"/>
        <item x="10"/>
        <item x="16"/>
        <item x="19"/>
        <item x="41"/>
        <item x="38"/>
        <item x="28"/>
        <item x="14"/>
        <item x="46"/>
        <item x="13"/>
        <item t="default"/>
      </items>
    </pivotField>
    <pivotField name="UNIDADADES TOTAL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</pivotFields>
  <rowFields>
    <field x="1"/>
    <field x="2"/>
  </rowFields>
  <dataFields>
    <dataField name="SUM of UNIDADADES TOTAL" fld="3" baseField="0"/>
  </dataFields>
</pivotTableDefinition>
</file>

<file path=xl/pivotTables/pivotTable15.xml><?xml version="1.0" encoding="utf-8"?>
<pivotTableDefinition xmlns="http://schemas.openxmlformats.org/spreadsheetml/2006/main" name="21.04.25 Ubicaciones 2" cacheId="8" dataCaption="" rowGrandTotals="0" compact="0" compactData="0">
  <location ref="AQ3:BA240" firstHeaderRow="0" firstDataRow="10" firstDataCol="0" rowPageCount="1" colPageCount="1"/>
  <pivotFields>
    <pivotField name="SALA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1"/>
        <item x="10"/>
      </items>
    </pivotField>
    <pivotField name="FILA" axis="axisRow" compact="0" numFmtId="49" outline="0" multipleItemSelectionAllowed="1" showAll="0" sortType="ascending" defaultSubtotal="0">
      <items>
        <item x="0"/>
        <item x="15"/>
        <item x="16"/>
        <item x="17"/>
        <item x="18"/>
        <item x="19"/>
        <item x="20"/>
        <item x="21"/>
        <item x="22"/>
        <item x="23"/>
        <item x="24"/>
        <item x="1"/>
        <item x="25"/>
        <item x="26"/>
        <item x="2"/>
        <item x="3"/>
        <item x="4"/>
        <item x="5"/>
        <item x="6"/>
        <item x="13"/>
        <item x="14"/>
        <item x="7"/>
        <item x="9"/>
        <item x="10"/>
        <item x="11"/>
        <item x="12"/>
        <item x="8"/>
      </items>
    </pivotField>
    <pivotField name="POSICIÓN" axis="axisRow" compact="0" numFmtId="49" outline="0" multipleItemSelectionAllowed="1" showAll="0" sortType="ascending" defaultSubtotal="0">
      <items>
        <item x="0"/>
        <item x="35"/>
        <item x="31"/>
        <item x="32"/>
        <item x="36"/>
        <item x="37"/>
        <item x="38"/>
        <item x="39"/>
        <item x="40"/>
        <item x="41"/>
        <item x="42"/>
        <item x="43"/>
        <item x="44"/>
        <item x="7"/>
        <item x="8"/>
        <item x="24"/>
        <item x="1"/>
        <item x="45"/>
        <item x="46"/>
        <item x="47"/>
        <item x="48"/>
        <item x="49"/>
        <item x="50"/>
        <item x="51"/>
        <item x="68"/>
        <item x="69"/>
        <item x="70"/>
        <item x="9"/>
        <item x="17"/>
        <item x="18"/>
        <item x="10"/>
        <item x="2"/>
        <item x="71"/>
        <item x="72"/>
        <item x="73"/>
        <item x="74"/>
        <item x="75"/>
        <item x="76"/>
        <item x="77"/>
        <item x="78"/>
        <item x="79"/>
        <item x="80"/>
        <item x="11"/>
        <item x="12"/>
        <item x="3"/>
        <item x="81"/>
        <item x="13"/>
        <item x="14"/>
        <item x="4"/>
        <item x="15"/>
        <item x="16"/>
        <item x="5"/>
        <item x="25"/>
        <item x="26"/>
        <item x="6"/>
        <item x="27"/>
        <item x="28"/>
        <item x="33"/>
        <item x="34"/>
        <item x="29"/>
        <item x="30"/>
        <item x="19"/>
        <item x="20"/>
        <item x="52"/>
        <item x="61"/>
        <item x="62"/>
        <item x="63"/>
        <item x="64"/>
        <item x="65"/>
        <item x="66"/>
        <item x="67"/>
        <item x="53"/>
        <item x="54"/>
        <item x="55"/>
        <item x="56"/>
        <item x="57"/>
        <item x="58"/>
        <item x="59"/>
        <item x="60"/>
        <item x="21"/>
        <item x="22"/>
        <item x="23"/>
      </items>
    </pivotField>
    <pivotField name="UBICACION" axis="axisRow" compact="0" numFmtId="49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89"/>
        <item x="91"/>
        <item x="92"/>
        <item x="93"/>
        <item x="94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95"/>
        <item x="96"/>
        <item x="97"/>
        <item x="98"/>
        <item x="119"/>
        <item x="120"/>
        <item x="121"/>
        <item x="122"/>
        <item x="123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24"/>
        <item x="125"/>
        <item x="126"/>
        <item x="127"/>
        <item x="196"/>
        <item x="197"/>
        <item x="198"/>
        <item x="199"/>
        <item x="200"/>
        <item x="201"/>
        <item x="202"/>
        <item x="203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221"/>
        <item x="222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3"/>
        <item x="232"/>
        <item x="233"/>
        <item x="234"/>
        <item x="235"/>
        <item x="236"/>
        <item x="237"/>
        <item x="238"/>
        <item x="239"/>
        <item x="240"/>
        <item x="241"/>
        <item x="224"/>
        <item x="242"/>
        <item x="243"/>
        <item x="225"/>
        <item x="226"/>
        <item x="227"/>
        <item x="228"/>
        <item x="229"/>
        <item x="230"/>
        <item x="231"/>
        <item x="244"/>
        <item x="253"/>
        <item x="254"/>
        <item x="245"/>
        <item x="246"/>
        <item x="247"/>
        <item x="248"/>
        <item x="249"/>
        <item x="250"/>
        <item x="251"/>
        <item x="252"/>
        <item x="255"/>
        <item x="256"/>
        <item x="257"/>
        <item x="258"/>
        <item x="259"/>
        <item x="260"/>
        <item x="261"/>
        <item x="262"/>
        <item x="263"/>
        <item x="264"/>
        <item x="273"/>
        <item x="274"/>
        <item x="275"/>
        <item x="276"/>
        <item x="277"/>
        <item x="278"/>
        <item x="279"/>
        <item x="280"/>
        <item x="281"/>
        <item x="282"/>
        <item x="265"/>
        <item x="283"/>
        <item x="284"/>
        <item x="285"/>
        <item x="286"/>
        <item x="287"/>
        <item x="288"/>
        <item x="289"/>
        <item x="266"/>
        <item x="267"/>
        <item x="268"/>
        <item x="269"/>
        <item x="270"/>
        <item x="271"/>
        <item x="272"/>
        <item x="290"/>
        <item x="299"/>
        <item x="300"/>
        <item x="301"/>
        <item x="302"/>
        <item x="303"/>
        <item x="304"/>
        <item x="305"/>
        <item x="291"/>
        <item x="292"/>
        <item x="293"/>
        <item x="294"/>
        <item x="295"/>
        <item x="296"/>
        <item x="297"/>
        <item x="298"/>
        <item x="306"/>
        <item x="315"/>
        <item x="316"/>
        <item x="317"/>
        <item x="318"/>
        <item x="319"/>
        <item x="320"/>
        <item x="321"/>
        <item x="322"/>
        <item x="323"/>
        <item x="324"/>
        <item x="307"/>
        <item x="325"/>
        <item x="326"/>
        <item x="327"/>
        <item x="328"/>
        <item x="329"/>
        <item x="330"/>
        <item x="331"/>
        <item x="332"/>
        <item x="333"/>
        <item x="334"/>
        <item x="308"/>
        <item x="335"/>
        <item x="336"/>
        <item x="337"/>
        <item x="338"/>
        <item x="339"/>
        <item x="340"/>
        <item x="341"/>
        <item x="342"/>
        <item x="343"/>
        <item x="344"/>
        <item x="309"/>
        <item x="345"/>
        <item x="310"/>
        <item x="311"/>
        <item x="312"/>
        <item x="313"/>
        <item x="314"/>
        <item x="376"/>
        <item x="377"/>
        <item x="378"/>
        <item x="379"/>
        <item x="380"/>
        <item x="429"/>
        <item x="430"/>
        <item x="431"/>
        <item x="432"/>
        <item x="433"/>
        <item x="434"/>
        <item x="435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10"/>
        <item x="411"/>
        <item x="412"/>
        <item x="413"/>
        <item x="414"/>
        <item x="408"/>
        <item x="409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346"/>
        <item x="355"/>
        <item x="356"/>
        <item x="357"/>
        <item x="358"/>
        <item x="359"/>
        <item x="360"/>
        <item x="361"/>
        <item x="362"/>
        <item x="363"/>
        <item x="364"/>
        <item x="347"/>
        <item x="365"/>
        <item x="366"/>
        <item x="367"/>
        <item x="368"/>
        <item x="369"/>
        <item x="370"/>
        <item x="371"/>
        <item x="372"/>
        <item x="373"/>
        <item x="374"/>
        <item x="348"/>
        <item x="375"/>
        <item x="349"/>
        <item x="350"/>
        <item x="351"/>
        <item x="352"/>
        <item x="353"/>
        <item x="354"/>
      </items>
    </pivotField>
    <pivotField name="FECHA INGRES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OCUMENT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SKU" axis="axisRow" compact="0" outline="0" multipleItemSelectionAllowed="1" showAll="0" sortType="ascending" defaultSubtotal="0">
      <items>
        <item x="5"/>
        <item x="48"/>
        <item x="26"/>
        <item x="22"/>
        <item x="7"/>
        <item x="9"/>
        <item x="8"/>
        <item x="21"/>
        <item x="49"/>
        <item x="11"/>
        <item x="20"/>
        <item x="14"/>
        <item x="45"/>
        <item x="19"/>
        <item x="10"/>
        <item x="17"/>
        <item x="18"/>
        <item x="23"/>
        <item x="24"/>
        <item x="28"/>
        <item x="27"/>
        <item x="0"/>
        <item x="1"/>
        <item x="6"/>
        <item x="16"/>
        <item x="4"/>
        <item x="25"/>
        <item x="13"/>
        <item x="46"/>
        <item x="3"/>
        <item x="2"/>
        <item x="44"/>
        <item x="36"/>
        <item x="42"/>
        <item x="35"/>
        <item x="32"/>
        <item x="34"/>
        <item x="38"/>
        <item x="39"/>
        <item x="43"/>
        <item x="41"/>
        <item x="31"/>
        <item x="33"/>
        <item x="47"/>
        <item x="37"/>
        <item x="29"/>
        <item x="51"/>
        <item x="50"/>
        <item x="12"/>
        <item x="15"/>
        <item x="40"/>
        <item x="30"/>
      </items>
    </pivotField>
    <pivotField name="DESCRIPCION" axis="axisRow" compact="0" outline="0" multipleItemSelectionAllowed="1" showAll="0" sortType="ascending" defaultSubtotal="0">
      <items>
        <item x="5"/>
        <item x="46"/>
        <item x="7"/>
        <item x="9"/>
        <item x="8"/>
        <item x="13"/>
        <item x="16"/>
        <item x="26"/>
        <item x="4"/>
        <item x="27"/>
        <item x="48"/>
        <item x="2"/>
        <item x="1"/>
        <item x="6"/>
        <item x="3"/>
        <item x="10"/>
        <item x="18"/>
        <item x="0"/>
        <item x="37"/>
        <item x="44"/>
        <item x="36"/>
        <item x="33"/>
        <item x="35"/>
        <item x="51"/>
        <item x="39"/>
        <item x="40"/>
        <item x="34"/>
        <item x="45"/>
        <item x="43"/>
        <item x="32"/>
        <item x="38"/>
        <item x="49"/>
        <item x="30"/>
        <item x="53"/>
        <item x="52"/>
        <item x="12"/>
        <item x="31"/>
        <item x="50"/>
        <item x="28"/>
        <item x="29"/>
        <item x="24"/>
        <item x="21"/>
        <item x="19"/>
        <item x="23"/>
        <item x="22"/>
        <item x="11"/>
        <item x="17"/>
        <item x="20"/>
        <item x="42"/>
        <item x="41"/>
        <item x="25"/>
        <item x="15"/>
        <item x="47"/>
        <item x="14"/>
      </items>
    </pivotField>
    <pivotField name="UNIDADADES TOTAL" axis="axisRow" compact="0" numFmtId="3" outline="0" multipleItemSelectionAllowed="1" showAll="0" sortType="ascending" defaultSubtotal="0">
      <items>
        <item x="5"/>
        <item x="87"/>
        <item x="53"/>
        <item x="44"/>
        <item x="17"/>
        <item x="68"/>
        <item x="36"/>
        <item x="32"/>
        <item x="69"/>
        <item x="30"/>
        <item x="37"/>
        <item x="42"/>
        <item x="93"/>
        <item x="62"/>
        <item x="92"/>
        <item x="89"/>
        <item x="31"/>
        <item x="43"/>
        <item x="39"/>
        <item x="41"/>
        <item x="35"/>
        <item x="88"/>
        <item x="70"/>
        <item x="29"/>
        <item x="65"/>
        <item x="40"/>
        <item x="51"/>
        <item x="45"/>
        <item x="72"/>
        <item x="50"/>
        <item x="1"/>
        <item x="34"/>
        <item x="91"/>
        <item x="33"/>
        <item x="49"/>
        <item x="52"/>
        <item x="55"/>
        <item x="0"/>
        <item x="86"/>
        <item x="4"/>
        <item x="13"/>
        <item x="71"/>
        <item x="47"/>
        <item x="46"/>
        <item x="54"/>
        <item x="57"/>
        <item x="84"/>
        <item x="73"/>
        <item x="67"/>
        <item x="74"/>
        <item x="66"/>
        <item x="19"/>
        <item x="14"/>
        <item x="85"/>
        <item x="90"/>
        <item x="76"/>
        <item x="22"/>
        <item x="24"/>
        <item x="83"/>
        <item x="48"/>
        <item x="58"/>
        <item x="12"/>
        <item x="28"/>
        <item x="82"/>
        <item x="56"/>
        <item x="18"/>
        <item x="59"/>
        <item x="10"/>
        <item x="11"/>
        <item x="8"/>
        <item x="20"/>
        <item x="9"/>
        <item x="23"/>
        <item x="21"/>
        <item x="79"/>
        <item x="3"/>
        <item x="15"/>
        <item x="60"/>
        <item x="63"/>
        <item x="26"/>
        <item x="25"/>
        <item x="38"/>
        <item x="61"/>
        <item x="2"/>
        <item x="78"/>
        <item x="77"/>
        <item x="27"/>
        <item x="81"/>
        <item x="75"/>
        <item x="64"/>
        <item x="7"/>
        <item x="80"/>
        <item x="16"/>
        <item x="6"/>
      </items>
    </pivotField>
    <pivotField name="ORIGEN INGRESO" axis="axisRow" compact="0" outline="0" multipleItemSelectionAllowed="1" showAll="0" sortType="ascending" defaultSubtotal="0">
      <items>
        <item x="2"/>
        <item x="3"/>
        <item x="4"/>
        <item x="6"/>
        <item x="5"/>
        <item x="1"/>
        <item x="0"/>
        <item x="7"/>
      </items>
    </pivotField>
    <pivotField name="ESTADO" axis="axisPage" compact="0" outline="0" multipleItemSelectionAllowed="1" showAll="0">
      <items>
        <item x="0"/>
        <item h="1" x="1"/>
        <item t="default"/>
      </items>
    </pivotField>
    <pivotField name="#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</items>
    </pivotField>
    <pivotField name="TIP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BS" compact="0" outline="0" multipleItemSelectionAllowed="1" showAll="0">
      <items>
        <item x="0"/>
        <item x="1"/>
        <item t="default"/>
      </items>
    </pivotField>
    <pivotField name="Cliente" axis="axisRow" compact="0" outline="0" multipleItemSelectionAllowed="1" showAll="0" sortType="ascending">
      <items>
        <item x="1"/>
        <item x="2"/>
        <item x="0"/>
        <item t="default"/>
      </items>
    </pivotField>
    <pivotField name="UBICACION2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t="default"/>
      </items>
    </pivotField>
    <pivotField name="FECHA INGRESO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OCUMENTO2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SKU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DESCRIPCION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UNIDADADES TOTAL2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</pivotFields>
  <rowFields>
    <field x="3"/>
    <field x="6"/>
    <field x="7"/>
    <field x="8"/>
    <field x="9"/>
    <field x="0"/>
    <field x="1"/>
    <field x="2"/>
    <field x="11"/>
    <field x="14"/>
  </rowFields>
  <pageFields>
    <pageField fld="10"/>
  </pageFields>
</pivotTableDefinition>
</file>

<file path=xl/pivotTables/pivotTable16.xml><?xml version="1.0" encoding="utf-8"?>
<pivotTableDefinition xmlns="http://schemas.openxmlformats.org/spreadsheetml/2006/main" name="21.04.25 Ubicaciones 3" cacheId="8" dataCaption="" rowGrandTotals="0" compact="0" compactData="0">
  <location ref="BC4:BF124" firstHeaderRow="0" firstDataRow="3" firstDataCol="0" rowPageCount="1" colPageCount="1"/>
  <pivotFields>
    <pivotField name="SA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FIL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POSICIÓ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UBICACION" axis="axisRow" compact="0" numFmtId="49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89"/>
        <item x="91"/>
        <item x="92"/>
        <item x="93"/>
        <item x="94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95"/>
        <item x="96"/>
        <item x="97"/>
        <item x="98"/>
        <item x="119"/>
        <item x="120"/>
        <item x="121"/>
        <item x="122"/>
        <item x="123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24"/>
        <item x="125"/>
        <item x="126"/>
        <item x="127"/>
        <item x="196"/>
        <item x="197"/>
        <item x="198"/>
        <item x="199"/>
        <item x="200"/>
        <item x="201"/>
        <item x="202"/>
        <item x="203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221"/>
        <item x="222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3"/>
        <item x="232"/>
        <item x="233"/>
        <item x="234"/>
        <item x="235"/>
        <item x="236"/>
        <item x="237"/>
        <item x="238"/>
        <item x="239"/>
        <item x="240"/>
        <item x="241"/>
        <item x="224"/>
        <item x="242"/>
        <item x="243"/>
        <item x="225"/>
        <item x="226"/>
        <item x="227"/>
        <item x="228"/>
        <item x="229"/>
        <item x="230"/>
        <item x="231"/>
        <item x="244"/>
        <item x="253"/>
        <item x="254"/>
        <item x="245"/>
        <item x="246"/>
        <item x="247"/>
        <item x="248"/>
        <item x="249"/>
        <item x="250"/>
        <item x="251"/>
        <item x="252"/>
        <item x="255"/>
        <item x="256"/>
        <item x="257"/>
        <item x="258"/>
        <item x="259"/>
        <item x="260"/>
        <item x="261"/>
        <item x="262"/>
        <item x="263"/>
        <item x="264"/>
        <item x="273"/>
        <item x="274"/>
        <item x="275"/>
        <item x="276"/>
        <item x="277"/>
        <item x="278"/>
        <item x="279"/>
        <item x="280"/>
        <item x="281"/>
        <item x="282"/>
        <item x="265"/>
        <item x="283"/>
        <item x="284"/>
        <item x="285"/>
        <item x="286"/>
        <item x="287"/>
        <item x="288"/>
        <item x="289"/>
        <item x="266"/>
        <item x="267"/>
        <item x="268"/>
        <item x="269"/>
        <item x="270"/>
        <item x="271"/>
        <item x="272"/>
        <item x="290"/>
        <item x="299"/>
        <item x="300"/>
        <item x="301"/>
        <item x="302"/>
        <item x="303"/>
        <item x="304"/>
        <item x="305"/>
        <item x="291"/>
        <item x="292"/>
        <item x="293"/>
        <item x="294"/>
        <item x="295"/>
        <item x="296"/>
        <item x="297"/>
        <item x="298"/>
        <item x="306"/>
        <item x="315"/>
        <item x="316"/>
        <item x="317"/>
        <item x="318"/>
        <item x="319"/>
        <item x="320"/>
        <item x="321"/>
        <item x="322"/>
        <item x="323"/>
        <item x="324"/>
        <item x="307"/>
        <item x="325"/>
        <item x="326"/>
        <item x="327"/>
        <item x="328"/>
        <item x="329"/>
        <item x="330"/>
        <item x="331"/>
        <item x="332"/>
        <item x="333"/>
        <item x="334"/>
        <item x="308"/>
        <item x="335"/>
        <item x="336"/>
        <item x="337"/>
        <item x="338"/>
        <item x="339"/>
        <item x="340"/>
        <item x="341"/>
        <item x="342"/>
        <item x="343"/>
        <item x="344"/>
        <item x="309"/>
        <item x="345"/>
        <item x="310"/>
        <item x="311"/>
        <item x="312"/>
        <item x="313"/>
        <item x="314"/>
        <item x="376"/>
        <item x="377"/>
        <item x="378"/>
        <item x="379"/>
        <item x="380"/>
        <item x="429"/>
        <item x="430"/>
        <item x="431"/>
        <item x="432"/>
        <item x="433"/>
        <item x="434"/>
        <item x="435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10"/>
        <item x="411"/>
        <item x="412"/>
        <item x="413"/>
        <item x="414"/>
        <item x="408"/>
        <item x="409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346"/>
        <item x="355"/>
        <item x="356"/>
        <item x="357"/>
        <item x="358"/>
        <item x="359"/>
        <item x="360"/>
        <item x="361"/>
        <item x="362"/>
        <item x="363"/>
        <item x="364"/>
        <item x="347"/>
        <item x="365"/>
        <item x="366"/>
        <item x="367"/>
        <item x="368"/>
        <item x="369"/>
        <item x="370"/>
        <item x="371"/>
        <item x="372"/>
        <item x="373"/>
        <item x="374"/>
        <item x="348"/>
        <item x="375"/>
        <item x="349"/>
        <item x="350"/>
        <item x="351"/>
        <item x="352"/>
        <item x="353"/>
        <item x="354"/>
      </items>
    </pivotField>
    <pivotField name="FECHA INGRES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DOCUMENT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t="default"/>
      </items>
    </pivotField>
    <pivotField name="SKU" axis="axisRow" compact="0" outline="0" multipleItemSelectionAllowed="1" showAll="0" sortType="ascending" defaultSubtotal="0">
      <items>
        <item x="5"/>
        <item x="48"/>
        <item x="26"/>
        <item x="22"/>
        <item x="7"/>
        <item x="9"/>
        <item x="8"/>
        <item x="21"/>
        <item x="49"/>
        <item x="11"/>
        <item x="20"/>
        <item x="14"/>
        <item x="45"/>
        <item x="19"/>
        <item x="10"/>
        <item x="17"/>
        <item x="18"/>
        <item x="23"/>
        <item x="24"/>
        <item x="28"/>
        <item x="27"/>
        <item x="0"/>
        <item x="1"/>
        <item x="6"/>
        <item x="16"/>
        <item x="4"/>
        <item x="25"/>
        <item x="13"/>
        <item x="46"/>
        <item x="3"/>
        <item x="2"/>
        <item x="44"/>
        <item x="36"/>
        <item x="42"/>
        <item x="35"/>
        <item x="32"/>
        <item x="34"/>
        <item x="38"/>
        <item x="39"/>
        <item x="43"/>
        <item x="41"/>
        <item x="31"/>
        <item x="33"/>
        <item x="47"/>
        <item x="37"/>
        <item x="29"/>
        <item x="51"/>
        <item x="50"/>
        <item x="12"/>
        <item x="15"/>
        <item x="40"/>
        <item x="30"/>
      </items>
    </pivotField>
    <pivotField name="DESCRIPCION" axis="axisRow" compact="0" outline="0" multipleItemSelectionAllowed="1" showAll="0" sortType="ascending">
      <items>
        <item x="5"/>
        <item x="46"/>
        <item x="7"/>
        <item x="9"/>
        <item x="8"/>
        <item x="13"/>
        <item x="16"/>
        <item x="26"/>
        <item x="4"/>
        <item x="27"/>
        <item x="48"/>
        <item x="2"/>
        <item x="1"/>
        <item x="6"/>
        <item x="3"/>
        <item x="10"/>
        <item x="18"/>
        <item x="0"/>
        <item x="37"/>
        <item x="44"/>
        <item x="36"/>
        <item x="33"/>
        <item x="35"/>
        <item x="51"/>
        <item x="39"/>
        <item x="40"/>
        <item x="34"/>
        <item x="45"/>
        <item x="43"/>
        <item x="32"/>
        <item x="38"/>
        <item x="49"/>
        <item x="30"/>
        <item x="53"/>
        <item x="52"/>
        <item x="12"/>
        <item x="31"/>
        <item x="50"/>
        <item x="28"/>
        <item x="29"/>
        <item x="24"/>
        <item x="21"/>
        <item x="19"/>
        <item x="23"/>
        <item x="22"/>
        <item x="11"/>
        <item x="17"/>
        <item x="20"/>
        <item x="42"/>
        <item x="41"/>
        <item x="25"/>
        <item x="15"/>
        <item x="47"/>
        <item x="14"/>
        <item t="default"/>
      </items>
    </pivotField>
    <pivotField name="UNIDADADES TOTAL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ORIGEN INGRES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STADO" compact="0" outline="0" multipleItemSelectionAllowed="1" showAll="0">
      <items>
        <item x="0"/>
        <item x="1"/>
        <item t="default"/>
      </items>
    </pivotField>
    <pivotField name="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t="default"/>
      </items>
    </pivotField>
    <pivotField name="TIP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BS" compact="0" outline="0" multipleItemSelectionAllowed="1" showAll="0">
      <items>
        <item x="0"/>
        <item x="1"/>
        <item t="default"/>
      </items>
    </pivotField>
    <pivotField name="Cliente" axis="axisPage" compact="0" outline="0" multipleItemSelectionAllowed="1" showAll="0">
      <items>
        <item x="0"/>
        <item h="1" x="1"/>
        <item h="1" x="2"/>
        <item t="default"/>
      </items>
    </pivotField>
    <pivotField name="UBICACION2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t="default"/>
      </items>
    </pivotField>
    <pivotField name="FECHA INGRESO2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OCUMENTO2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SKU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DESCRIPCION2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UNIDADADES TOTAL2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</pivotFields>
  <rowFields>
    <field x="3"/>
    <field x="6"/>
    <field x="7"/>
  </rowFields>
  <pageFields>
    <pageField fld="14"/>
  </pageFields>
  <dataFields>
    <dataField name="UNIDADADES TOTAL" fld="8" baseField="0"/>
  </dataFields>
</pivotTableDefinition>
</file>

<file path=xl/pivotTables/pivotTable17.xml><?xml version="1.0" encoding="utf-8"?>
<pivotTableDefinition xmlns="http://schemas.openxmlformats.org/spreadsheetml/2006/main" name="21.04.25 Ubicaciones 4" cacheId="9" dataCaption="" rowGrandTotals="0" compact="0" compactData="0">
  <location ref="BK4:BP118" firstHeaderRow="0" firstDataRow="5" firstDataCol="0" rowPageCount="1" colPageCount="1"/>
  <pivotFields>
    <pivotField name="UBICACION" axis="axisRow" compact="0" numFmtId="49" outline="0" multipleItemSelectionAllowed="1" showAll="0" sortType="ascending" defaultSubtotal="0">
      <items>
        <item x="2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</items>
    </pivotField>
    <pivotField name="SKU" axis="axisRow" compact="0" outline="0" multipleItemSelectionAllowed="1" showAll="0" sortType="ascending" defaultSubtotal="0">
      <items>
        <item x="51"/>
        <item x="47"/>
        <item x="25"/>
        <item x="21"/>
        <item x="6"/>
        <item x="8"/>
        <item x="7"/>
        <item x="20"/>
        <item x="48"/>
        <item x="10"/>
        <item x="19"/>
        <item x="13"/>
        <item x="44"/>
        <item x="18"/>
        <item x="9"/>
        <item x="16"/>
        <item x="17"/>
        <item x="22"/>
        <item x="23"/>
        <item x="27"/>
        <item x="26"/>
        <item x="0"/>
        <item x="1"/>
        <item x="5"/>
        <item x="15"/>
        <item x="4"/>
        <item x="24"/>
        <item x="12"/>
        <item x="45"/>
        <item x="3"/>
        <item x="2"/>
        <item x="43"/>
        <item x="32"/>
        <item x="41"/>
        <item x="30"/>
        <item x="37"/>
        <item x="31"/>
        <item x="34"/>
        <item x="35"/>
        <item x="42"/>
        <item x="40"/>
        <item x="36"/>
        <item x="38"/>
        <item x="46"/>
        <item x="33"/>
        <item x="28"/>
        <item x="50"/>
        <item x="49"/>
        <item x="11"/>
        <item x="14"/>
        <item x="39"/>
        <item x="29"/>
      </items>
    </pivotField>
    <pivotField name="DESCRIPCION" axis="axisRow" compact="0" outline="0" multipleItemSelectionAllowed="1" showAll="0" sortType="ascending" defaultSubtotal="0">
      <items>
        <item x="53"/>
        <item x="45"/>
        <item x="6"/>
        <item x="8"/>
        <item x="7"/>
        <item x="12"/>
        <item x="15"/>
        <item x="24"/>
        <item x="4"/>
        <item x="25"/>
        <item x="47"/>
        <item x="2"/>
        <item x="1"/>
        <item x="5"/>
        <item x="3"/>
        <item x="9"/>
        <item x="17"/>
        <item x="0"/>
        <item x="33"/>
        <item x="43"/>
        <item x="31"/>
        <item x="39"/>
        <item x="32"/>
        <item x="50"/>
        <item x="35"/>
        <item x="36"/>
        <item x="40"/>
        <item x="44"/>
        <item x="42"/>
        <item x="37"/>
        <item x="34"/>
        <item x="48"/>
        <item x="29"/>
        <item x="52"/>
        <item x="51"/>
        <item x="11"/>
        <item x="30"/>
        <item x="49"/>
        <item x="26"/>
        <item x="27"/>
        <item x="23"/>
        <item x="20"/>
        <item x="18"/>
        <item x="22"/>
        <item x="21"/>
        <item x="10"/>
        <item x="16"/>
        <item x="19"/>
        <item x="41"/>
        <item x="38"/>
        <item x="28"/>
        <item x="14"/>
        <item x="46"/>
        <item x="13"/>
      </items>
    </pivotField>
    <pivotField name="UNIDADADES TOTAL" axis="axisRow" compact="0" numFmtId="3" outline="0" multipleItemSelectionAllowed="1" showAll="0" sortType="ascending" defaultSubtotal="0">
      <items>
        <item x="93"/>
        <item x="87"/>
        <item x="51"/>
        <item x="42"/>
        <item x="16"/>
        <item x="68"/>
        <item x="35"/>
        <item x="31"/>
        <item x="69"/>
        <item x="29"/>
        <item x="39"/>
        <item x="40"/>
        <item x="91"/>
        <item x="62"/>
        <item x="92"/>
        <item x="86"/>
        <item x="30"/>
        <item x="41"/>
        <item x="36"/>
        <item x="38"/>
        <item x="34"/>
        <item x="88"/>
        <item x="70"/>
        <item x="28"/>
        <item x="65"/>
        <item x="37"/>
        <item x="49"/>
        <item x="44"/>
        <item x="72"/>
        <item x="47"/>
        <item x="1"/>
        <item x="33"/>
        <item x="89"/>
        <item x="32"/>
        <item x="48"/>
        <item x="50"/>
        <item x="53"/>
        <item x="0"/>
        <item x="85"/>
        <item x="4"/>
        <item x="12"/>
        <item x="71"/>
        <item x="46"/>
        <item x="45"/>
        <item x="52"/>
        <item x="55"/>
        <item x="83"/>
        <item x="61"/>
        <item x="67"/>
        <item x="73"/>
        <item x="66"/>
        <item x="18"/>
        <item x="13"/>
        <item x="84"/>
        <item x="90"/>
        <item x="78"/>
        <item x="21"/>
        <item x="23"/>
        <item x="82"/>
        <item x="60"/>
        <item x="56"/>
        <item x="11"/>
        <item x="27"/>
        <item x="81"/>
        <item x="54"/>
        <item x="17"/>
        <item x="57"/>
        <item x="9"/>
        <item x="10"/>
        <item x="7"/>
        <item x="19"/>
        <item x="8"/>
        <item x="22"/>
        <item x="20"/>
        <item x="74"/>
        <item x="3"/>
        <item x="14"/>
        <item x="58"/>
        <item x="63"/>
        <item x="25"/>
        <item x="24"/>
        <item x="43"/>
        <item x="59"/>
        <item x="2"/>
        <item x="80"/>
        <item x="79"/>
        <item x="26"/>
        <item x="76"/>
        <item x="77"/>
        <item x="64"/>
        <item x="6"/>
        <item x="75"/>
        <item x="15"/>
        <item x="5"/>
      </items>
    </pivotField>
    <pivotField name="ORIGEN INGRESO" axis="axisRow" compact="0" outline="0" multipleItemSelectionAllowed="1" showAll="0" sortType="ascending">
      <items>
        <item x="7"/>
        <item x="2"/>
        <item x="3"/>
        <item x="5"/>
        <item x="4"/>
        <item x="1"/>
        <item x="0"/>
        <item x="6"/>
        <item t="default"/>
      </items>
    </pivotField>
    <pivotField name="SA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FIL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OSICIÓ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Cliente" axis="axisPage" compact="0" outline="0" multipleItemSelectionAllowed="1" showAll="0">
      <items>
        <item h="1" x="0"/>
        <item h="1" x="1"/>
        <item x="2"/>
        <item t="default"/>
      </items>
    </pivotField>
  </pivotFields>
  <rowFields>
    <field x="0"/>
    <field x="1"/>
    <field x="2"/>
    <field x="3"/>
    <field x="4"/>
  </rowFields>
  <pageFields>
    <pageField fld="9"/>
  </pageFields>
</pivotTableDefinition>
</file>

<file path=xl/pivotTables/pivotTable18.xml><?xml version="1.0" encoding="utf-8"?>
<pivotTableDefinition xmlns="http://schemas.openxmlformats.org/spreadsheetml/2006/main" name="21.04.25 Ubicaciones 5" cacheId="9" dataCaption="" rowGrandTotals="0" compact="0" compactData="0">
  <location ref="BR4:BW124" firstHeaderRow="0" firstDataRow="5" firstDataCol="0" rowPageCount="1" colPageCount="1"/>
  <pivotFields>
    <pivotField name="UBICACION" axis="axisRow" compact="0" numFmtId="49" outline="0" multipleItemSelectionAllowed="1" showAll="0" sortType="ascending" defaultSubtotal="0">
      <items>
        <item x="237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</items>
    </pivotField>
    <pivotField name="SKU" axis="axisRow" compact="0" outline="0" multipleItemSelectionAllowed="1" showAll="0" sortType="ascending" defaultSubtotal="0">
      <items>
        <item x="51"/>
        <item x="47"/>
        <item x="25"/>
        <item x="21"/>
        <item x="6"/>
        <item x="8"/>
        <item x="7"/>
        <item x="20"/>
        <item x="48"/>
        <item x="10"/>
        <item x="19"/>
        <item x="13"/>
        <item x="44"/>
        <item x="18"/>
        <item x="9"/>
        <item x="16"/>
        <item x="17"/>
        <item x="22"/>
        <item x="23"/>
        <item x="27"/>
        <item x="26"/>
        <item x="0"/>
        <item x="1"/>
        <item x="5"/>
        <item x="15"/>
        <item x="4"/>
        <item x="24"/>
        <item x="12"/>
        <item x="45"/>
        <item x="3"/>
        <item x="2"/>
        <item x="43"/>
        <item x="32"/>
        <item x="41"/>
        <item x="30"/>
        <item x="37"/>
        <item x="31"/>
        <item x="34"/>
        <item x="35"/>
        <item x="42"/>
        <item x="40"/>
        <item x="36"/>
        <item x="38"/>
        <item x="46"/>
        <item x="33"/>
        <item x="28"/>
        <item x="50"/>
        <item x="49"/>
        <item x="11"/>
        <item x="14"/>
        <item x="39"/>
        <item x="29"/>
      </items>
    </pivotField>
    <pivotField name="DESCRIPCION" axis="axisRow" compact="0" outline="0" multipleItemSelectionAllowed="1" showAll="0" sortType="ascending" defaultSubtotal="0">
      <items>
        <item x="53"/>
        <item x="45"/>
        <item x="6"/>
        <item x="8"/>
        <item x="7"/>
        <item x="12"/>
        <item x="15"/>
        <item x="24"/>
        <item x="4"/>
        <item x="25"/>
        <item x="47"/>
        <item x="2"/>
        <item x="1"/>
        <item x="5"/>
        <item x="3"/>
        <item x="9"/>
        <item x="17"/>
        <item x="0"/>
        <item x="33"/>
        <item x="43"/>
        <item x="31"/>
        <item x="39"/>
        <item x="32"/>
        <item x="50"/>
        <item x="35"/>
        <item x="36"/>
        <item x="40"/>
        <item x="44"/>
        <item x="42"/>
        <item x="37"/>
        <item x="34"/>
        <item x="48"/>
        <item x="29"/>
        <item x="52"/>
        <item x="51"/>
        <item x="11"/>
        <item x="30"/>
        <item x="49"/>
        <item x="26"/>
        <item x="27"/>
        <item x="23"/>
        <item x="20"/>
        <item x="18"/>
        <item x="22"/>
        <item x="21"/>
        <item x="10"/>
        <item x="16"/>
        <item x="19"/>
        <item x="41"/>
        <item x="38"/>
        <item x="28"/>
        <item x="14"/>
        <item x="46"/>
        <item x="13"/>
      </items>
    </pivotField>
    <pivotField name="UNIDADADES TOTAL" axis="axisRow" compact="0" numFmtId="3" outline="0" multipleItemSelectionAllowed="1" showAll="0" sortType="ascending" defaultSubtotal="0">
      <items>
        <item x="93"/>
        <item x="87"/>
        <item x="51"/>
        <item x="42"/>
        <item x="16"/>
        <item x="68"/>
        <item x="35"/>
        <item x="31"/>
        <item x="69"/>
        <item x="29"/>
        <item x="39"/>
        <item x="40"/>
        <item x="91"/>
        <item x="62"/>
        <item x="92"/>
        <item x="86"/>
        <item x="30"/>
        <item x="41"/>
        <item x="36"/>
        <item x="38"/>
        <item x="34"/>
        <item x="88"/>
        <item x="70"/>
        <item x="28"/>
        <item x="65"/>
        <item x="37"/>
        <item x="49"/>
        <item x="44"/>
        <item x="72"/>
        <item x="47"/>
        <item x="1"/>
        <item x="33"/>
        <item x="89"/>
        <item x="32"/>
        <item x="48"/>
        <item x="50"/>
        <item x="53"/>
        <item x="0"/>
        <item x="85"/>
        <item x="4"/>
        <item x="12"/>
        <item x="71"/>
        <item x="46"/>
        <item x="45"/>
        <item x="52"/>
        <item x="55"/>
        <item x="83"/>
        <item x="61"/>
        <item x="67"/>
        <item x="73"/>
        <item x="66"/>
        <item x="18"/>
        <item x="13"/>
        <item x="84"/>
        <item x="90"/>
        <item x="78"/>
        <item x="21"/>
        <item x="23"/>
        <item x="82"/>
        <item x="60"/>
        <item x="56"/>
        <item x="11"/>
        <item x="27"/>
        <item x="81"/>
        <item x="54"/>
        <item x="17"/>
        <item x="57"/>
        <item x="9"/>
        <item x="10"/>
        <item x="7"/>
        <item x="19"/>
        <item x="8"/>
        <item x="22"/>
        <item x="20"/>
        <item x="74"/>
        <item x="3"/>
        <item x="14"/>
        <item x="58"/>
        <item x="63"/>
        <item x="25"/>
        <item x="24"/>
        <item x="43"/>
        <item x="59"/>
        <item x="2"/>
        <item x="80"/>
        <item x="79"/>
        <item x="26"/>
        <item x="76"/>
        <item x="77"/>
        <item x="64"/>
        <item x="6"/>
        <item x="75"/>
        <item x="15"/>
        <item x="5"/>
      </items>
    </pivotField>
    <pivotField name="ORIGEN INGRESO" axis="axisRow" compact="0" outline="0" multipleItemSelectionAllowed="1" showAll="0" sortType="ascending">
      <items>
        <item x="7"/>
        <item x="2"/>
        <item x="3"/>
        <item x="5"/>
        <item x="4"/>
        <item x="1"/>
        <item x="0"/>
        <item x="6"/>
        <item t="default"/>
      </items>
    </pivotField>
    <pivotField name="SA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FIL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OSICIÓ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name="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t="default"/>
      </items>
    </pivotField>
    <pivotField name="Cliente" axis="axisPage" compact="0" outline="0" multipleItemSelectionAllowed="1" showAll="0">
      <items>
        <item x="0"/>
        <item h="1" x="1"/>
        <item h="1" x="2"/>
        <item t="default"/>
      </items>
    </pivotField>
  </pivotFields>
  <rowFields>
    <field x="0"/>
    <field x="1"/>
    <field x="2"/>
    <field x="3"/>
    <field x="4"/>
  </rowFields>
  <pageFields>
    <pageField fld="9"/>
  </pageFields>
</pivotTableDefinition>
</file>

<file path=xl/pivotTables/pivotTable2.xml><?xml version="1.0" encoding="utf-8"?>
<pivotTableDefinition xmlns="http://schemas.openxmlformats.org/spreadsheetml/2006/main" name="Ubicaciones 2" cacheId="1" dataCaption="" rowGrandTotals="0" compact="0" compactData="0">
  <location ref="AM1:AO60" firstHeaderRow="0" firstDataRow="2" firstDataCol="0"/>
  <pivotFields>
    <pivotField name="UBICAC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name="SKU" axis="axisRow" compact="0" outline="0" multipleItemSelectionAllowed="1" showAll="0" sortType="ascending" defaultSubtotal="0">
      <items>
        <item x="55"/>
        <item x="18"/>
        <item x="51"/>
        <item x="50"/>
        <item x="25"/>
        <item x="47"/>
        <item x="49"/>
        <item x="7"/>
        <item x="19"/>
        <item x="54"/>
        <item x="9"/>
        <item x="12"/>
        <item x="10"/>
        <item x="4"/>
        <item x="53"/>
        <item x="6"/>
        <item x="8"/>
        <item x="17"/>
        <item x="20"/>
        <item x="26"/>
        <item x="22"/>
        <item x="11"/>
        <item x="23"/>
        <item x="0"/>
        <item x="1"/>
        <item x="5"/>
        <item x="14"/>
        <item x="16"/>
        <item x="15"/>
        <item x="24"/>
        <item x="21"/>
        <item x="3"/>
        <item x="2"/>
        <item x="42"/>
        <item x="52"/>
        <item x="28"/>
        <item x="37"/>
        <item x="30"/>
        <item x="31"/>
        <item x="33"/>
        <item x="29"/>
        <item x="34"/>
        <item x="35"/>
        <item x="43"/>
        <item x="48"/>
        <item x="27"/>
        <item x="44"/>
        <item x="39"/>
        <item x="46"/>
        <item x="38"/>
        <item x="41"/>
        <item x="13"/>
        <item x="40"/>
        <item x="36"/>
        <item x="45"/>
        <item x="32"/>
      </items>
    </pivotField>
    <pivotField name="DESCRIPCION" axis="axisRow" compact="0" outline="0" multipleItemSelectionAllowed="1" showAll="0" sortType="ascending">
      <items>
        <item x="57"/>
        <item x="48"/>
        <item x="45"/>
        <item x="50"/>
        <item x="52"/>
        <item x="7"/>
        <item x="15"/>
        <item x="14"/>
        <item x="25"/>
        <item x="16"/>
        <item x="26"/>
        <item x="24"/>
        <item x="2"/>
        <item x="1"/>
        <item x="5"/>
        <item x="3"/>
        <item x="6"/>
        <item x="17"/>
        <item x="0"/>
        <item x="54"/>
        <item x="11"/>
        <item x="30"/>
        <item x="40"/>
        <item x="32"/>
        <item x="33"/>
        <item x="35"/>
        <item x="31"/>
        <item x="36"/>
        <item x="37"/>
        <item x="42"/>
        <item x="46"/>
        <item x="51"/>
        <item x="29"/>
        <item x="47"/>
        <item x="41"/>
        <item x="49"/>
        <item x="44"/>
        <item x="55"/>
        <item x="56"/>
        <item x="10"/>
        <item x="38"/>
        <item x="53"/>
        <item x="21"/>
        <item x="23"/>
        <item x="22"/>
        <item x="19"/>
        <item x="28"/>
        <item x="20"/>
        <item x="9"/>
        <item x="8"/>
        <item x="18"/>
        <item x="43"/>
        <item x="39"/>
        <item x="27"/>
        <item x="13"/>
        <item x="4"/>
        <item x="12"/>
        <item x="34"/>
        <item t="default"/>
      </items>
    </pivotField>
    <pivotField name="UNIDADADES TOTAL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</pivotFields>
  <rowFields>
    <field x="1"/>
    <field x="2"/>
  </rowFields>
  <dataFields>
    <dataField name="SUM of UNIDADADES TOTAL" fld="3" baseField="0"/>
  </dataFields>
</pivotTableDefinition>
</file>

<file path=xl/pivotTables/pivotTable3.xml><?xml version="1.0" encoding="utf-8"?>
<pivotTableDefinition xmlns="http://schemas.openxmlformats.org/spreadsheetml/2006/main" name="Ubicaciones 3" cacheId="0" dataCaption="" rowGrandTotals="0" compact="0" compactData="0">
  <location ref="AR3:BB221" firstHeaderRow="0" firstDataRow="10" firstDataCol="0" rowPageCount="1" colPageCount="1"/>
  <pivotFields>
    <pivotField name="SALA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1"/>
        <item x="10"/>
      </items>
    </pivotField>
    <pivotField name="FILA" axis="axisRow" compact="0" numFmtId="49" outline="0" multipleItemSelectionAllowed="1" showAll="0" sortType="ascending" defaultSubtotal="0">
      <items>
        <item x="0"/>
        <item x="15"/>
        <item x="16"/>
        <item x="17"/>
        <item x="18"/>
        <item x="19"/>
        <item x="20"/>
        <item x="21"/>
        <item x="22"/>
        <item x="23"/>
        <item x="24"/>
        <item x="1"/>
        <item x="25"/>
        <item x="26"/>
        <item x="2"/>
        <item x="3"/>
        <item x="4"/>
        <item x="5"/>
        <item x="6"/>
        <item x="13"/>
        <item x="14"/>
        <item x="7"/>
        <item x="9"/>
        <item x="10"/>
        <item x="11"/>
        <item x="12"/>
        <item x="8"/>
      </items>
    </pivotField>
    <pivotField name="POSICIÓN" axis="axisRow" compact="0" numFmtId="49" outline="0" multipleItemSelectionAllowed="1" showAll="0" sortType="ascending" defaultSubtotal="0">
      <items>
        <item x="0"/>
        <item x="35"/>
        <item x="31"/>
        <item x="32"/>
        <item x="36"/>
        <item x="37"/>
        <item x="38"/>
        <item x="39"/>
        <item x="40"/>
        <item x="41"/>
        <item x="42"/>
        <item x="43"/>
        <item x="44"/>
        <item x="7"/>
        <item x="8"/>
        <item x="24"/>
        <item x="1"/>
        <item x="45"/>
        <item x="46"/>
        <item x="47"/>
        <item x="48"/>
        <item x="49"/>
        <item x="50"/>
        <item x="51"/>
        <item x="68"/>
        <item x="69"/>
        <item x="70"/>
        <item x="9"/>
        <item x="17"/>
        <item x="18"/>
        <item x="10"/>
        <item x="2"/>
        <item x="71"/>
        <item x="72"/>
        <item x="73"/>
        <item x="74"/>
        <item x="75"/>
        <item x="76"/>
        <item x="77"/>
        <item x="78"/>
        <item x="79"/>
        <item x="80"/>
        <item x="11"/>
        <item x="12"/>
        <item x="3"/>
        <item x="81"/>
        <item x="13"/>
        <item x="14"/>
        <item x="4"/>
        <item x="15"/>
        <item x="16"/>
        <item x="5"/>
        <item x="25"/>
        <item x="26"/>
        <item x="6"/>
        <item x="27"/>
        <item x="28"/>
        <item x="33"/>
        <item x="34"/>
        <item x="29"/>
        <item x="30"/>
        <item x="19"/>
        <item x="20"/>
        <item x="52"/>
        <item x="61"/>
        <item x="62"/>
        <item x="63"/>
        <item x="64"/>
        <item x="65"/>
        <item x="66"/>
        <item x="67"/>
        <item x="53"/>
        <item x="54"/>
        <item x="55"/>
        <item x="56"/>
        <item x="57"/>
        <item x="58"/>
        <item x="59"/>
        <item x="60"/>
        <item x="21"/>
        <item x="22"/>
        <item x="23"/>
      </items>
    </pivotField>
    <pivotField name="UBICACION" axis="axisRow" compact="0" numFmtId="49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89"/>
        <item x="91"/>
        <item x="92"/>
        <item x="93"/>
        <item x="94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95"/>
        <item x="96"/>
        <item x="97"/>
        <item x="98"/>
        <item x="119"/>
        <item x="120"/>
        <item x="121"/>
        <item x="122"/>
        <item x="123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24"/>
        <item x="125"/>
        <item x="126"/>
        <item x="127"/>
        <item x="196"/>
        <item x="197"/>
        <item x="198"/>
        <item x="199"/>
        <item x="200"/>
        <item x="201"/>
        <item x="202"/>
        <item x="203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221"/>
        <item x="222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3"/>
        <item x="232"/>
        <item x="233"/>
        <item x="234"/>
        <item x="235"/>
        <item x="236"/>
        <item x="237"/>
        <item x="238"/>
        <item x="239"/>
        <item x="240"/>
        <item x="241"/>
        <item x="224"/>
        <item x="242"/>
        <item x="243"/>
        <item x="225"/>
        <item x="226"/>
        <item x="227"/>
        <item x="228"/>
        <item x="229"/>
        <item x="230"/>
        <item x="231"/>
        <item x="244"/>
        <item x="253"/>
        <item x="254"/>
        <item x="245"/>
        <item x="246"/>
        <item x="247"/>
        <item x="248"/>
        <item x="249"/>
        <item x="250"/>
        <item x="251"/>
        <item x="252"/>
        <item x="255"/>
        <item x="256"/>
        <item x="257"/>
        <item x="258"/>
        <item x="259"/>
        <item x="260"/>
        <item x="261"/>
        <item x="262"/>
        <item x="263"/>
        <item x="264"/>
        <item x="273"/>
        <item x="274"/>
        <item x="275"/>
        <item x="276"/>
        <item x="277"/>
        <item x="278"/>
        <item x="279"/>
        <item x="280"/>
        <item x="281"/>
        <item x="282"/>
        <item x="265"/>
        <item x="283"/>
        <item x="284"/>
        <item x="285"/>
        <item x="286"/>
        <item x="287"/>
        <item x="288"/>
        <item x="289"/>
        <item x="266"/>
        <item x="267"/>
        <item x="268"/>
        <item x="269"/>
        <item x="270"/>
        <item x="271"/>
        <item x="272"/>
        <item x="290"/>
        <item x="299"/>
        <item x="300"/>
        <item x="301"/>
        <item x="302"/>
        <item x="303"/>
        <item x="304"/>
        <item x="305"/>
        <item x="291"/>
        <item x="292"/>
        <item x="293"/>
        <item x="294"/>
        <item x="295"/>
        <item x="296"/>
        <item x="297"/>
        <item x="298"/>
        <item x="306"/>
        <item x="315"/>
        <item x="316"/>
        <item x="317"/>
        <item x="318"/>
        <item x="319"/>
        <item x="320"/>
        <item x="321"/>
        <item x="322"/>
        <item x="323"/>
        <item x="324"/>
        <item x="307"/>
        <item x="325"/>
        <item x="326"/>
        <item x="327"/>
        <item x="328"/>
        <item x="329"/>
        <item x="330"/>
        <item x="331"/>
        <item x="332"/>
        <item x="333"/>
        <item x="334"/>
        <item x="308"/>
        <item x="335"/>
        <item x="336"/>
        <item x="337"/>
        <item x="338"/>
        <item x="339"/>
        <item x="340"/>
        <item x="341"/>
        <item x="342"/>
        <item x="343"/>
        <item x="344"/>
        <item x="309"/>
        <item x="345"/>
        <item x="310"/>
        <item x="311"/>
        <item x="312"/>
        <item x="313"/>
        <item x="314"/>
        <item x="376"/>
        <item x="377"/>
        <item x="378"/>
        <item x="379"/>
        <item x="380"/>
        <item x="429"/>
        <item x="430"/>
        <item x="431"/>
        <item x="432"/>
        <item x="433"/>
        <item x="434"/>
        <item x="435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346"/>
        <item x="355"/>
        <item x="356"/>
        <item x="357"/>
        <item x="358"/>
        <item x="359"/>
        <item x="360"/>
        <item x="361"/>
        <item x="362"/>
        <item x="363"/>
        <item x="364"/>
        <item x="347"/>
        <item x="365"/>
        <item x="366"/>
        <item x="367"/>
        <item x="368"/>
        <item x="369"/>
        <item x="370"/>
        <item x="371"/>
        <item x="372"/>
        <item x="373"/>
        <item x="374"/>
        <item x="348"/>
        <item x="375"/>
        <item x="349"/>
        <item x="350"/>
        <item x="351"/>
        <item x="352"/>
        <item x="353"/>
        <item x="354"/>
      </items>
    </pivotField>
    <pivotField name="FECHA INGRES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DOCUMENT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SKU" axis="axisRow" compact="0" outline="0" multipleItemSelectionAllowed="1" showAll="0" sortType="ascending" defaultSubtotal="0">
      <items>
        <item x="4"/>
        <item x="19"/>
        <item x="53"/>
        <item x="48"/>
        <item x="27"/>
        <item x="51"/>
        <item x="52"/>
        <item x="8"/>
        <item x="20"/>
        <item x="55"/>
        <item x="10"/>
        <item x="13"/>
        <item x="11"/>
        <item x="5"/>
        <item x="54"/>
        <item x="7"/>
        <item x="9"/>
        <item x="18"/>
        <item x="21"/>
        <item x="26"/>
        <item x="23"/>
        <item x="12"/>
        <item x="24"/>
        <item x="0"/>
        <item x="1"/>
        <item x="6"/>
        <item x="15"/>
        <item x="17"/>
        <item x="16"/>
        <item x="25"/>
        <item x="22"/>
        <item x="3"/>
        <item x="2"/>
        <item x="43"/>
        <item x="50"/>
        <item x="33"/>
        <item x="30"/>
        <item x="34"/>
        <item x="35"/>
        <item x="37"/>
        <item x="32"/>
        <item x="38"/>
        <item x="39"/>
        <item x="44"/>
        <item x="49"/>
        <item x="28"/>
        <item x="45"/>
        <item x="40"/>
        <item x="47"/>
        <item x="31"/>
        <item x="42"/>
        <item x="14"/>
        <item x="41"/>
        <item x="29"/>
        <item x="46"/>
        <item x="36"/>
      </items>
    </pivotField>
    <pivotField name="DESCRIPCION" axis="axisRow" compact="0" outline="0" multipleItemSelectionAllowed="1" showAll="0" sortType="ascending" defaultSubtotal="0">
      <items>
        <item x="4"/>
        <item x="49"/>
        <item x="46"/>
        <item x="54"/>
        <item x="55"/>
        <item x="8"/>
        <item x="16"/>
        <item x="15"/>
        <item x="28"/>
        <item x="17"/>
        <item x="29"/>
        <item x="25"/>
        <item x="2"/>
        <item x="1"/>
        <item x="6"/>
        <item x="3"/>
        <item x="7"/>
        <item x="18"/>
        <item x="0"/>
        <item x="53"/>
        <item x="12"/>
        <item x="35"/>
        <item x="32"/>
        <item x="36"/>
        <item x="37"/>
        <item x="39"/>
        <item x="34"/>
        <item x="40"/>
        <item x="41"/>
        <item x="43"/>
        <item x="47"/>
        <item x="52"/>
        <item x="30"/>
        <item x="48"/>
        <item x="33"/>
        <item x="50"/>
        <item x="45"/>
        <item x="56"/>
        <item x="57"/>
        <item x="11"/>
        <item x="31"/>
        <item x="51"/>
        <item x="22"/>
        <item x="24"/>
        <item x="23"/>
        <item x="20"/>
        <item x="27"/>
        <item x="21"/>
        <item x="10"/>
        <item x="9"/>
        <item x="19"/>
        <item x="44"/>
        <item x="42"/>
        <item x="26"/>
        <item x="14"/>
        <item x="5"/>
        <item x="13"/>
        <item x="38"/>
      </items>
    </pivotField>
    <pivotField name="UNIDADADES TOTAL" axis="axisRow" compact="0" numFmtId="3" outline="0" multipleItemSelectionAllowed="1" showAll="0" sortType="ascending" defaultSubtotal="0">
      <items>
        <item x="4"/>
        <item x="75"/>
        <item x="76"/>
        <item x="81"/>
        <item x="62"/>
        <item x="30"/>
        <item x="77"/>
        <item x="90"/>
        <item x="65"/>
        <item x="23"/>
        <item x="32"/>
        <item x="43"/>
        <item x="31"/>
        <item x="63"/>
        <item x="72"/>
        <item x="16"/>
        <item x="40"/>
        <item x="33"/>
        <item x="44"/>
        <item x="1"/>
        <item x="11"/>
        <item x="67"/>
        <item x="36"/>
        <item x="82"/>
        <item x="52"/>
        <item x="89"/>
        <item x="74"/>
        <item x="59"/>
        <item x="26"/>
        <item x="24"/>
        <item x="80"/>
        <item x="39"/>
        <item x="21"/>
        <item x="48"/>
        <item x="47"/>
        <item x="25"/>
        <item x="42"/>
        <item x="27"/>
        <item x="61"/>
        <item x="35"/>
        <item x="41"/>
        <item x="0"/>
        <item x="46"/>
        <item x="79"/>
        <item x="38"/>
        <item x="53"/>
        <item x="87"/>
        <item x="66"/>
        <item x="22"/>
        <item x="45"/>
        <item x="64"/>
        <item x="88"/>
        <item x="84"/>
        <item x="34"/>
        <item x="37"/>
        <item x="60"/>
        <item x="12"/>
        <item x="83"/>
        <item x="69"/>
        <item x="73"/>
        <item x="51"/>
        <item x="78"/>
        <item x="9"/>
        <item x="20"/>
        <item x="17"/>
        <item x="58"/>
        <item x="50"/>
        <item x="86"/>
        <item x="49"/>
        <item x="10"/>
        <item x="85"/>
        <item x="68"/>
        <item x="3"/>
        <item x="15"/>
        <item x="18"/>
        <item x="19"/>
        <item x="70"/>
        <item x="13"/>
        <item x="57"/>
        <item x="7"/>
        <item x="29"/>
        <item x="54"/>
        <item x="8"/>
        <item x="2"/>
        <item x="5"/>
        <item x="55"/>
        <item x="71"/>
        <item x="56"/>
        <item x="28"/>
        <item x="14"/>
        <item x="6"/>
      </items>
    </pivotField>
    <pivotField name="ORIGEN INGRESO" axis="axisRow" compact="0" outline="0" multipleItemSelectionAllowed="1" showAll="0" sortType="ascending" defaultSubtotal="0">
      <items>
        <item x="2"/>
        <item x="3"/>
        <item x="6"/>
        <item x="4"/>
        <item x="1"/>
        <item x="0"/>
        <item x="5"/>
      </items>
    </pivotField>
    <pivotField name="ESTADO" axis="axisPage" compact="0" outline="0" multipleItemSelectionAllowed="1" showAll="0">
      <items>
        <item x="0"/>
        <item h="1" x="1"/>
        <item t="default"/>
      </items>
    </pivotField>
    <pivotField name="#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395"/>
      </items>
    </pivotField>
    <pivotField name="TIP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OB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liente" axis="axisRow" compact="0" outline="0" multipleItemSelectionAllowed="1" showAll="0" sortType="ascending">
      <items>
        <item x="1"/>
        <item x="2"/>
        <item x="0"/>
        <item t="default"/>
      </items>
    </pivotField>
  </pivotFields>
  <rowFields>
    <field x="3"/>
    <field x="6"/>
    <field x="7"/>
    <field x="8"/>
    <field x="9"/>
    <field x="0"/>
    <field x="1"/>
    <field x="2"/>
    <field x="11"/>
    <field x="14"/>
  </rowFields>
  <pageFields>
    <pageField fld="10"/>
  </pageFields>
</pivotTableDefinition>
</file>

<file path=xl/pivotTables/pivotTable4.xml><?xml version="1.0" encoding="utf-8"?>
<pivotTableDefinition xmlns="http://schemas.openxmlformats.org/spreadsheetml/2006/main" name="Ubicaciones 4" cacheId="0" dataCaption="" rowGrandTotals="0" compact="0" compactData="0">
  <location ref="BD4:BG127" firstHeaderRow="0" firstDataRow="3" firstDataCol="0" rowPageCount="1" colPageCount="1"/>
  <pivotFields>
    <pivotField name="SA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FIL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name="POSICIÓ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t="default"/>
      </items>
    </pivotField>
    <pivotField name="UBICACION" axis="axisRow" compact="0" numFmtId="49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89"/>
        <item x="91"/>
        <item x="92"/>
        <item x="93"/>
        <item x="94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95"/>
        <item x="96"/>
        <item x="97"/>
        <item x="98"/>
        <item x="119"/>
        <item x="120"/>
        <item x="121"/>
        <item x="122"/>
        <item x="123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24"/>
        <item x="125"/>
        <item x="126"/>
        <item x="127"/>
        <item x="196"/>
        <item x="197"/>
        <item x="198"/>
        <item x="199"/>
        <item x="200"/>
        <item x="201"/>
        <item x="202"/>
        <item x="203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221"/>
        <item x="222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3"/>
        <item x="232"/>
        <item x="233"/>
        <item x="234"/>
        <item x="235"/>
        <item x="236"/>
        <item x="237"/>
        <item x="238"/>
        <item x="239"/>
        <item x="240"/>
        <item x="241"/>
        <item x="224"/>
        <item x="242"/>
        <item x="243"/>
        <item x="225"/>
        <item x="226"/>
        <item x="227"/>
        <item x="228"/>
        <item x="229"/>
        <item x="230"/>
        <item x="231"/>
        <item x="244"/>
        <item x="253"/>
        <item x="254"/>
        <item x="245"/>
        <item x="246"/>
        <item x="247"/>
        <item x="248"/>
        <item x="249"/>
        <item x="250"/>
        <item x="251"/>
        <item x="252"/>
        <item x="255"/>
        <item x="256"/>
        <item x="257"/>
        <item x="258"/>
        <item x="259"/>
        <item x="260"/>
        <item x="261"/>
        <item x="262"/>
        <item x="263"/>
        <item x="264"/>
        <item x="273"/>
        <item x="274"/>
        <item x="275"/>
        <item x="276"/>
        <item x="277"/>
        <item x="278"/>
        <item x="279"/>
        <item x="280"/>
        <item x="281"/>
        <item x="282"/>
        <item x="265"/>
        <item x="283"/>
        <item x="284"/>
        <item x="285"/>
        <item x="286"/>
        <item x="287"/>
        <item x="288"/>
        <item x="289"/>
        <item x="266"/>
        <item x="267"/>
        <item x="268"/>
        <item x="269"/>
        <item x="270"/>
        <item x="271"/>
        <item x="272"/>
        <item x="290"/>
        <item x="299"/>
        <item x="300"/>
        <item x="301"/>
        <item x="302"/>
        <item x="303"/>
        <item x="304"/>
        <item x="305"/>
        <item x="291"/>
        <item x="292"/>
        <item x="293"/>
        <item x="294"/>
        <item x="295"/>
        <item x="296"/>
        <item x="297"/>
        <item x="298"/>
        <item x="306"/>
        <item x="315"/>
        <item x="316"/>
        <item x="317"/>
        <item x="318"/>
        <item x="319"/>
        <item x="320"/>
        <item x="321"/>
        <item x="322"/>
        <item x="323"/>
        <item x="324"/>
        <item x="307"/>
        <item x="325"/>
        <item x="326"/>
        <item x="327"/>
        <item x="328"/>
        <item x="329"/>
        <item x="330"/>
        <item x="331"/>
        <item x="332"/>
        <item x="333"/>
        <item x="334"/>
        <item x="308"/>
        <item x="335"/>
        <item x="336"/>
        <item x="337"/>
        <item x="338"/>
        <item x="339"/>
        <item x="340"/>
        <item x="341"/>
        <item x="342"/>
        <item x="343"/>
        <item x="344"/>
        <item x="309"/>
        <item x="345"/>
        <item x="310"/>
        <item x="311"/>
        <item x="312"/>
        <item x="313"/>
        <item x="314"/>
        <item x="376"/>
        <item x="377"/>
        <item x="378"/>
        <item x="379"/>
        <item x="380"/>
        <item x="429"/>
        <item x="430"/>
        <item x="431"/>
        <item x="432"/>
        <item x="433"/>
        <item x="434"/>
        <item x="435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346"/>
        <item x="355"/>
        <item x="356"/>
        <item x="357"/>
        <item x="358"/>
        <item x="359"/>
        <item x="360"/>
        <item x="361"/>
        <item x="362"/>
        <item x="363"/>
        <item x="364"/>
        <item x="347"/>
        <item x="365"/>
        <item x="366"/>
        <item x="367"/>
        <item x="368"/>
        <item x="369"/>
        <item x="370"/>
        <item x="371"/>
        <item x="372"/>
        <item x="373"/>
        <item x="374"/>
        <item x="348"/>
        <item x="375"/>
        <item x="349"/>
        <item x="350"/>
        <item x="351"/>
        <item x="352"/>
        <item x="353"/>
        <item x="354"/>
      </items>
    </pivotField>
    <pivotField name="FECHA INGRES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DOCUMENT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t="default"/>
      </items>
    </pivotField>
    <pivotField name="SKU" axis="axisRow" compact="0" outline="0" multipleItemSelectionAllowed="1" showAll="0" sortType="ascending" defaultSubtotal="0">
      <items>
        <item x="4"/>
        <item x="19"/>
        <item x="53"/>
        <item x="48"/>
        <item x="27"/>
        <item x="51"/>
        <item x="52"/>
        <item x="8"/>
        <item x="20"/>
        <item x="55"/>
        <item x="10"/>
        <item x="13"/>
        <item x="11"/>
        <item x="5"/>
        <item x="54"/>
        <item x="7"/>
        <item x="9"/>
        <item x="18"/>
        <item x="21"/>
        <item x="26"/>
        <item x="23"/>
        <item x="12"/>
        <item x="24"/>
        <item x="0"/>
        <item x="1"/>
        <item x="6"/>
        <item x="15"/>
        <item x="17"/>
        <item x="16"/>
        <item x="25"/>
        <item x="22"/>
        <item x="3"/>
        <item x="2"/>
        <item x="43"/>
        <item x="50"/>
        <item x="33"/>
        <item x="30"/>
        <item x="34"/>
        <item x="35"/>
        <item x="37"/>
        <item x="32"/>
        <item x="38"/>
        <item x="39"/>
        <item x="44"/>
        <item x="49"/>
        <item x="28"/>
        <item x="45"/>
        <item x="40"/>
        <item x="47"/>
        <item x="31"/>
        <item x="42"/>
        <item x="14"/>
        <item x="41"/>
        <item x="29"/>
        <item x="46"/>
        <item x="36"/>
      </items>
    </pivotField>
    <pivotField name="DESCRIPCION" axis="axisRow" compact="0" outline="0" multipleItemSelectionAllowed="1" showAll="0" sortType="ascending">
      <items>
        <item x="4"/>
        <item x="49"/>
        <item x="46"/>
        <item x="54"/>
        <item x="55"/>
        <item x="8"/>
        <item x="16"/>
        <item x="15"/>
        <item x="28"/>
        <item x="17"/>
        <item x="29"/>
        <item x="25"/>
        <item x="2"/>
        <item x="1"/>
        <item x="6"/>
        <item x="3"/>
        <item x="7"/>
        <item x="18"/>
        <item x="0"/>
        <item x="53"/>
        <item x="12"/>
        <item x="35"/>
        <item x="32"/>
        <item x="36"/>
        <item x="37"/>
        <item x="39"/>
        <item x="34"/>
        <item x="40"/>
        <item x="41"/>
        <item x="43"/>
        <item x="47"/>
        <item x="52"/>
        <item x="30"/>
        <item x="48"/>
        <item x="33"/>
        <item x="50"/>
        <item x="45"/>
        <item x="56"/>
        <item x="57"/>
        <item x="11"/>
        <item x="31"/>
        <item x="51"/>
        <item x="22"/>
        <item x="24"/>
        <item x="23"/>
        <item x="20"/>
        <item x="27"/>
        <item x="21"/>
        <item x="10"/>
        <item x="9"/>
        <item x="19"/>
        <item x="44"/>
        <item x="42"/>
        <item x="26"/>
        <item x="14"/>
        <item x="5"/>
        <item x="13"/>
        <item x="38"/>
        <item t="default"/>
      </items>
    </pivotField>
    <pivotField name="UNIDADADES TOTAL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t="default"/>
      </items>
    </pivotField>
    <pivotField name="ORIGEN INGRESO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ESTADO" compact="0" outline="0" multipleItemSelectionAllowed="1" showAll="0">
      <items>
        <item x="0"/>
        <item x="1"/>
        <item t="default"/>
      </items>
    </pivotField>
    <pivotField name="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t="default"/>
      </items>
    </pivotField>
    <pivotField name="TIP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OB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Cliente" axis="axisPage" compact="0" outline="0" multipleItemSelectionAllowed="1" showAll="0">
      <items>
        <item x="0"/>
        <item h="1" x="1"/>
        <item h="1" x="2"/>
        <item t="default"/>
      </items>
    </pivotField>
  </pivotFields>
  <rowFields>
    <field x="3"/>
    <field x="6"/>
    <field x="7"/>
  </rowFields>
  <pageFields>
    <pageField fld="14"/>
  </pageFields>
  <dataFields>
    <dataField name="UNIDADADES TOTAL" fld="8" baseField="0"/>
  </dataFields>
</pivotTableDefinition>
</file>

<file path=xl/pivotTables/pivotTable5.xml><?xml version="1.0" encoding="utf-8"?>
<pivotTableDefinition xmlns="http://schemas.openxmlformats.org/spreadsheetml/2006/main" name="Ubicaciones 5" cacheId="2" dataCaption="" rowGrandTotals="0" compact="0" compactData="0">
  <location ref="BL4:BQ110" firstHeaderRow="0" firstDataRow="5" firstDataCol="0" rowPageCount="1" colPageCount="1"/>
  <pivotFields>
    <pivotField name="UBICACION" axis="axisRow" compact="0" numFmtId="49" outline="0" multipleItemSelectionAllowed="1" showAll="0" sortType="ascending" defaultSubtotal="0">
      <items>
        <item x="2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</items>
    </pivotField>
    <pivotField name="SKU" axis="axisRow" compact="0" outline="0" multipleItemSelectionAllowed="1" showAll="0" sortType="ascending" defaultSubtotal="0">
      <items>
        <item x="55"/>
        <item x="18"/>
        <item x="51"/>
        <item x="50"/>
        <item x="25"/>
        <item x="47"/>
        <item x="49"/>
        <item x="7"/>
        <item x="19"/>
        <item x="54"/>
        <item x="9"/>
        <item x="12"/>
        <item x="10"/>
        <item x="4"/>
        <item x="53"/>
        <item x="6"/>
        <item x="8"/>
        <item x="17"/>
        <item x="20"/>
        <item x="26"/>
        <item x="22"/>
        <item x="11"/>
        <item x="23"/>
        <item x="0"/>
        <item x="1"/>
        <item x="5"/>
        <item x="14"/>
        <item x="16"/>
        <item x="15"/>
        <item x="24"/>
        <item x="21"/>
        <item x="3"/>
        <item x="2"/>
        <item x="42"/>
        <item x="52"/>
        <item x="28"/>
        <item x="37"/>
        <item x="30"/>
        <item x="31"/>
        <item x="33"/>
        <item x="29"/>
        <item x="34"/>
        <item x="35"/>
        <item x="43"/>
        <item x="48"/>
        <item x="27"/>
        <item x="44"/>
        <item x="39"/>
        <item x="46"/>
        <item x="38"/>
        <item x="41"/>
        <item x="13"/>
        <item x="40"/>
        <item x="36"/>
        <item x="45"/>
        <item x="32"/>
      </items>
    </pivotField>
    <pivotField name="DESCRIPCION" axis="axisRow" compact="0" outline="0" multipleItemSelectionAllowed="1" showAll="0" sortType="ascending" defaultSubtotal="0">
      <items>
        <item x="57"/>
        <item x="48"/>
        <item x="45"/>
        <item x="50"/>
        <item x="52"/>
        <item x="7"/>
        <item x="15"/>
        <item x="14"/>
        <item x="25"/>
        <item x="16"/>
        <item x="26"/>
        <item x="24"/>
        <item x="2"/>
        <item x="1"/>
        <item x="5"/>
        <item x="3"/>
        <item x="6"/>
        <item x="17"/>
        <item x="0"/>
        <item x="54"/>
        <item x="11"/>
        <item x="30"/>
        <item x="40"/>
        <item x="32"/>
        <item x="33"/>
        <item x="35"/>
        <item x="31"/>
        <item x="36"/>
        <item x="37"/>
        <item x="42"/>
        <item x="46"/>
        <item x="51"/>
        <item x="29"/>
        <item x="47"/>
        <item x="41"/>
        <item x="49"/>
        <item x="44"/>
        <item x="55"/>
        <item x="56"/>
        <item x="10"/>
        <item x="38"/>
        <item x="53"/>
        <item x="21"/>
        <item x="23"/>
        <item x="22"/>
        <item x="19"/>
        <item x="28"/>
        <item x="20"/>
        <item x="9"/>
        <item x="8"/>
        <item x="18"/>
        <item x="43"/>
        <item x="39"/>
        <item x="27"/>
        <item x="13"/>
        <item x="4"/>
        <item x="12"/>
        <item x="34"/>
      </items>
    </pivotField>
    <pivotField name="UNIDADADES TOTAL" axis="axisRow" compact="0" numFmtId="3" outline="0" multipleItemSelectionAllowed="1" showAll="0" sortType="ascending" defaultSubtotal="0">
      <items>
        <item x="90"/>
        <item x="74"/>
        <item x="75"/>
        <item x="85"/>
        <item x="61"/>
        <item x="31"/>
        <item x="76"/>
        <item x="89"/>
        <item x="64"/>
        <item x="22"/>
        <item x="29"/>
        <item x="35"/>
        <item x="28"/>
        <item x="62"/>
        <item x="71"/>
        <item x="15"/>
        <item x="55"/>
        <item x="32"/>
        <item x="36"/>
        <item x="1"/>
        <item x="10"/>
        <item x="66"/>
        <item x="51"/>
        <item x="86"/>
        <item x="44"/>
        <item x="88"/>
        <item x="73"/>
        <item x="58"/>
        <item x="25"/>
        <item x="23"/>
        <item x="84"/>
        <item x="54"/>
        <item x="20"/>
        <item x="40"/>
        <item x="39"/>
        <item x="24"/>
        <item x="34"/>
        <item x="26"/>
        <item x="60"/>
        <item x="46"/>
        <item x="33"/>
        <item x="0"/>
        <item x="38"/>
        <item x="81"/>
        <item x="53"/>
        <item x="47"/>
        <item x="82"/>
        <item x="65"/>
        <item x="21"/>
        <item x="37"/>
        <item x="63"/>
        <item x="83"/>
        <item x="77"/>
        <item x="45"/>
        <item x="52"/>
        <item x="59"/>
        <item x="11"/>
        <item x="87"/>
        <item x="70"/>
        <item x="72"/>
        <item x="43"/>
        <item x="78"/>
        <item x="8"/>
        <item x="19"/>
        <item x="16"/>
        <item x="57"/>
        <item x="42"/>
        <item x="80"/>
        <item x="41"/>
        <item x="9"/>
        <item x="79"/>
        <item x="67"/>
        <item x="3"/>
        <item x="14"/>
        <item x="17"/>
        <item x="18"/>
        <item x="68"/>
        <item x="12"/>
        <item x="56"/>
        <item x="6"/>
        <item x="30"/>
        <item x="48"/>
        <item x="7"/>
        <item x="2"/>
        <item x="4"/>
        <item x="49"/>
        <item x="69"/>
        <item x="50"/>
        <item x="27"/>
        <item x="13"/>
        <item x="5"/>
      </items>
    </pivotField>
    <pivotField name="ORIGEN INGRESO" axis="axisRow" compact="0" outline="0" multipleItemSelectionAllowed="1" showAll="0" sortType="ascending">
      <items>
        <item x="6"/>
        <item x="2"/>
        <item x="5"/>
        <item x="3"/>
        <item x="1"/>
        <item x="0"/>
        <item x="4"/>
        <item t="default"/>
      </items>
    </pivotField>
    <pivotField name="SA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IL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OSICIÓ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Cliente" axis="axisPage" compact="0" outline="0" multipleItemSelectionAllowed="1" showAll="0">
      <items>
        <item h="1" x="0"/>
        <item h="1" x="1"/>
        <item x="2"/>
        <item t="default"/>
      </items>
    </pivotField>
  </pivotFields>
  <rowFields>
    <field x="0"/>
    <field x="1"/>
    <field x="2"/>
    <field x="3"/>
    <field x="4"/>
  </rowFields>
  <pageFields>
    <pageField fld="9"/>
  </pageFields>
</pivotTableDefinition>
</file>

<file path=xl/pivotTables/pivotTable6.xml><?xml version="1.0" encoding="utf-8"?>
<pivotTableDefinition xmlns="http://schemas.openxmlformats.org/spreadsheetml/2006/main" name="Ubicaciones 6" cacheId="2" dataCaption="" rowGrandTotals="0" compact="0" compactData="0">
  <location ref="BS4:BX113" firstHeaderRow="0" firstDataRow="5" firstDataCol="0" rowPageCount="1" colPageCount="1"/>
  <pivotFields>
    <pivotField name="UBICACION" axis="axisRow" compact="0" numFmtId="49" outline="0" multipleItemSelectionAllowed="1" showAll="0" sortType="ascending" defaultSubtotal="0">
      <items>
        <item x="218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</items>
    </pivotField>
    <pivotField name="SKU" axis="axisRow" compact="0" outline="0" multipleItemSelectionAllowed="1" showAll="0" sortType="ascending" defaultSubtotal="0">
      <items>
        <item x="55"/>
        <item x="18"/>
        <item x="51"/>
        <item x="50"/>
        <item x="25"/>
        <item x="47"/>
        <item x="49"/>
        <item x="7"/>
        <item x="19"/>
        <item x="54"/>
        <item x="9"/>
        <item x="12"/>
        <item x="10"/>
        <item x="4"/>
        <item x="53"/>
        <item x="6"/>
        <item x="8"/>
        <item x="17"/>
        <item x="20"/>
        <item x="26"/>
        <item x="22"/>
        <item x="11"/>
        <item x="23"/>
        <item x="0"/>
        <item x="1"/>
        <item x="5"/>
        <item x="14"/>
        <item x="16"/>
        <item x="15"/>
        <item x="24"/>
        <item x="21"/>
        <item x="3"/>
        <item x="2"/>
        <item x="42"/>
        <item x="52"/>
        <item x="28"/>
        <item x="37"/>
        <item x="30"/>
        <item x="31"/>
        <item x="33"/>
        <item x="29"/>
        <item x="34"/>
        <item x="35"/>
        <item x="43"/>
        <item x="48"/>
        <item x="27"/>
        <item x="44"/>
        <item x="39"/>
        <item x="46"/>
        <item x="38"/>
        <item x="41"/>
        <item x="13"/>
        <item x="40"/>
        <item x="36"/>
        <item x="45"/>
        <item x="32"/>
      </items>
    </pivotField>
    <pivotField name="DESCRIPCION" axis="axisRow" compact="0" outline="0" multipleItemSelectionAllowed="1" showAll="0" sortType="ascending" defaultSubtotal="0">
      <items>
        <item x="57"/>
        <item x="48"/>
        <item x="45"/>
        <item x="50"/>
        <item x="52"/>
        <item x="7"/>
        <item x="15"/>
        <item x="14"/>
        <item x="25"/>
        <item x="16"/>
        <item x="26"/>
        <item x="24"/>
        <item x="2"/>
        <item x="1"/>
        <item x="5"/>
        <item x="3"/>
        <item x="6"/>
        <item x="17"/>
        <item x="0"/>
        <item x="54"/>
        <item x="11"/>
        <item x="30"/>
        <item x="40"/>
        <item x="32"/>
        <item x="33"/>
        <item x="35"/>
        <item x="31"/>
        <item x="36"/>
        <item x="37"/>
        <item x="42"/>
        <item x="46"/>
        <item x="51"/>
        <item x="29"/>
        <item x="47"/>
        <item x="41"/>
        <item x="49"/>
        <item x="44"/>
        <item x="55"/>
        <item x="56"/>
        <item x="10"/>
        <item x="38"/>
        <item x="53"/>
        <item x="21"/>
        <item x="23"/>
        <item x="22"/>
        <item x="19"/>
        <item x="28"/>
        <item x="20"/>
        <item x="9"/>
        <item x="8"/>
        <item x="18"/>
        <item x="43"/>
        <item x="39"/>
        <item x="27"/>
        <item x="13"/>
        <item x="4"/>
        <item x="12"/>
        <item x="34"/>
      </items>
    </pivotField>
    <pivotField name="UNIDADADES TOTAL" axis="axisRow" compact="0" numFmtId="3" outline="0" multipleItemSelectionAllowed="1" showAll="0" sortType="ascending" defaultSubtotal="0">
      <items>
        <item x="90"/>
        <item x="74"/>
        <item x="75"/>
        <item x="85"/>
        <item x="61"/>
        <item x="31"/>
        <item x="76"/>
        <item x="89"/>
        <item x="64"/>
        <item x="22"/>
        <item x="29"/>
        <item x="35"/>
        <item x="28"/>
        <item x="62"/>
        <item x="71"/>
        <item x="15"/>
        <item x="55"/>
        <item x="32"/>
        <item x="36"/>
        <item x="1"/>
        <item x="10"/>
        <item x="66"/>
        <item x="51"/>
        <item x="86"/>
        <item x="44"/>
        <item x="88"/>
        <item x="73"/>
        <item x="58"/>
        <item x="25"/>
        <item x="23"/>
        <item x="84"/>
        <item x="54"/>
        <item x="20"/>
        <item x="40"/>
        <item x="39"/>
        <item x="24"/>
        <item x="34"/>
        <item x="26"/>
        <item x="60"/>
        <item x="46"/>
        <item x="33"/>
        <item x="0"/>
        <item x="38"/>
        <item x="81"/>
        <item x="53"/>
        <item x="47"/>
        <item x="82"/>
        <item x="65"/>
        <item x="21"/>
        <item x="37"/>
        <item x="63"/>
        <item x="83"/>
        <item x="77"/>
        <item x="45"/>
        <item x="52"/>
        <item x="59"/>
        <item x="11"/>
        <item x="87"/>
        <item x="70"/>
        <item x="72"/>
        <item x="43"/>
        <item x="78"/>
        <item x="8"/>
        <item x="19"/>
        <item x="16"/>
        <item x="57"/>
        <item x="42"/>
        <item x="80"/>
        <item x="41"/>
        <item x="9"/>
        <item x="79"/>
        <item x="67"/>
        <item x="3"/>
        <item x="14"/>
        <item x="17"/>
        <item x="18"/>
        <item x="68"/>
        <item x="12"/>
        <item x="56"/>
        <item x="6"/>
        <item x="30"/>
        <item x="48"/>
        <item x="7"/>
        <item x="2"/>
        <item x="4"/>
        <item x="49"/>
        <item x="69"/>
        <item x="50"/>
        <item x="27"/>
        <item x="13"/>
        <item x="5"/>
      </items>
    </pivotField>
    <pivotField name="ORIGEN INGRESO" axis="axisRow" compact="0" outline="0" multipleItemSelectionAllowed="1" showAll="0" sortType="ascending">
      <items>
        <item x="6"/>
        <item x="2"/>
        <item x="5"/>
        <item x="3"/>
        <item x="1"/>
        <item x="0"/>
        <item x="4"/>
        <item t="default"/>
      </items>
    </pivotField>
    <pivotField name="SALA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FILA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name="POSICIÓ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t="default"/>
      </items>
    </pivotField>
    <pivotField name="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t="default"/>
      </items>
    </pivotField>
    <pivotField name="Cliente" axis="axisPage" compact="0" outline="0" multipleItemSelectionAllowed="1" showAll="0">
      <items>
        <item x="0"/>
        <item h="1" x="1"/>
        <item h="1" x="2"/>
        <item t="default"/>
      </items>
    </pivotField>
  </pivotFields>
  <rowFields>
    <field x="0"/>
    <field x="1"/>
    <field x="2"/>
    <field x="3"/>
    <field x="4"/>
  </rowFields>
  <pageFields>
    <pageField fld="9"/>
  </pageFields>
</pivotTableDefinition>
</file>

<file path=xl/pivotTables/pivotTable7.xml><?xml version="1.0" encoding="utf-8"?>
<pivotTableDefinition xmlns="http://schemas.openxmlformats.org/spreadsheetml/2006/main" name="Ubicaciones 7" cacheId="3" dataCaption="" rowGrandTotals="0" compact="0" compactData="0">
  <location ref="BZ2:CB39" firstHeaderRow="0" firstDataRow="2" firstDataCol="0"/>
  <pivotFields>
    <pivotField name="UBICAC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t="default"/>
      </items>
    </pivotField>
    <pivotField name="SKU" axis="axisRow" compact="0" outline="0" multipleItemSelectionAllowed="1" showAll="0" sortType="ascending" defaultSubtotal="0">
      <items>
        <item x="33"/>
        <item x="18"/>
        <item x="30"/>
        <item x="29"/>
        <item x="25"/>
        <item x="27"/>
        <item x="28"/>
        <item x="7"/>
        <item x="19"/>
        <item x="32"/>
        <item x="9"/>
        <item x="12"/>
        <item x="10"/>
        <item x="4"/>
        <item x="31"/>
        <item x="6"/>
        <item x="8"/>
        <item x="17"/>
        <item x="20"/>
        <item x="26"/>
        <item x="22"/>
        <item x="11"/>
        <item x="23"/>
        <item x="0"/>
        <item x="1"/>
        <item x="5"/>
        <item x="14"/>
        <item x="16"/>
        <item x="15"/>
        <item x="24"/>
        <item x="21"/>
        <item x="3"/>
        <item x="2"/>
        <item x="13"/>
      </items>
    </pivotField>
    <pivotField name="DESCRIPCION" axis="axisRow" compact="0" outline="0" multipleItemSelectionAllowed="1" showAll="0" sortType="ascending">
      <items>
        <item x="35"/>
        <item x="30"/>
        <item x="31"/>
        <item x="7"/>
        <item x="15"/>
        <item x="14"/>
        <item x="25"/>
        <item x="16"/>
        <item x="26"/>
        <item x="24"/>
        <item x="2"/>
        <item x="1"/>
        <item x="5"/>
        <item x="3"/>
        <item x="6"/>
        <item x="17"/>
        <item x="0"/>
        <item x="11"/>
        <item x="33"/>
        <item x="34"/>
        <item x="10"/>
        <item x="32"/>
        <item x="21"/>
        <item x="23"/>
        <item x="22"/>
        <item x="19"/>
        <item x="28"/>
        <item x="20"/>
        <item x="9"/>
        <item x="8"/>
        <item x="18"/>
        <item x="29"/>
        <item x="27"/>
        <item x="13"/>
        <item x="4"/>
        <item x="12"/>
        <item t="default"/>
      </items>
    </pivotField>
    <pivotField name="UNIDADADES TOTAL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ORIGEN INGRESO" compact="0" numFmtId="49" outline="0" multipleItemSelectionAllowed="1" showAll="0">
      <items>
        <item x="0"/>
        <item x="1"/>
        <item x="2"/>
        <item t="default"/>
      </items>
    </pivotField>
  </pivotFields>
  <rowFields>
    <field x="1"/>
    <field x="2"/>
  </rowFields>
  <dataFields>
    <dataField name="COUNTA of UNIDADADES TOTAL" fld="3" subtotal="count" baseField="0"/>
  </dataFields>
</pivotTableDefinition>
</file>

<file path=xl/pivotTables/pivotTable8.xml><?xml version="1.0" encoding="utf-8"?>
<pivotTableDefinition xmlns="http://schemas.openxmlformats.org/spreadsheetml/2006/main" name="Copia de Ubicaciones" cacheId="4" dataCaption="" rowGrandTotals="0" compact="0" compactData="0">
  <location ref="W3:AA219" firstHeaderRow="0" firstDataRow="4" firstDataCol="0" rowPageCount="1" colPageCount="1"/>
  <pivotFields>
    <pivotField name="SALA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1"/>
        <item x="10"/>
      </items>
    </pivotField>
    <pivotField name="FILA" axis="axisRow" compact="0" numFmtId="49" outline="0" multipleItemSelectionAllowed="1" showAll="0" sortType="ascending" defaultSubtotal="0">
      <items>
        <item x="0"/>
        <item x="15"/>
        <item x="16"/>
        <item x="17"/>
        <item x="18"/>
        <item x="19"/>
        <item x="20"/>
        <item x="21"/>
        <item x="22"/>
        <item x="23"/>
        <item x="24"/>
        <item x="1"/>
        <item x="25"/>
        <item x="26"/>
        <item x="2"/>
        <item x="3"/>
        <item x="4"/>
        <item x="5"/>
        <item x="6"/>
        <item x="13"/>
        <item x="14"/>
        <item x="7"/>
        <item x="9"/>
        <item x="10"/>
        <item x="11"/>
        <item x="12"/>
        <item x="8"/>
      </items>
    </pivotField>
    <pivotField name="POSICIÓN" axis="axisRow" compact="0" numFmtId="49" outline="0" multipleItemSelectionAllowed="1" showAll="0" sortType="ascending" defaultSubtotal="0">
      <items>
        <item x="0"/>
        <item x="35"/>
        <item x="31"/>
        <item x="32"/>
        <item x="36"/>
        <item x="37"/>
        <item x="38"/>
        <item x="39"/>
        <item x="40"/>
        <item x="41"/>
        <item x="42"/>
        <item x="43"/>
        <item x="44"/>
        <item x="7"/>
        <item x="8"/>
        <item x="24"/>
        <item x="1"/>
        <item x="45"/>
        <item x="46"/>
        <item x="47"/>
        <item x="48"/>
        <item x="49"/>
        <item x="50"/>
        <item x="51"/>
        <item x="68"/>
        <item x="69"/>
        <item x="70"/>
        <item x="9"/>
        <item x="17"/>
        <item x="18"/>
        <item x="10"/>
        <item x="2"/>
        <item x="71"/>
        <item x="72"/>
        <item x="73"/>
        <item x="74"/>
        <item x="75"/>
        <item x="76"/>
        <item x="77"/>
        <item x="78"/>
        <item x="79"/>
        <item x="80"/>
        <item x="11"/>
        <item x="12"/>
        <item x="3"/>
        <item x="81"/>
        <item x="13"/>
        <item x="14"/>
        <item x="4"/>
        <item x="15"/>
        <item x="16"/>
        <item x="5"/>
        <item x="25"/>
        <item x="26"/>
        <item x="6"/>
        <item x="27"/>
        <item x="28"/>
        <item x="33"/>
        <item x="34"/>
        <item x="29"/>
        <item x="30"/>
        <item x="19"/>
        <item x="20"/>
        <item x="52"/>
        <item x="61"/>
        <item x="62"/>
        <item x="63"/>
        <item x="64"/>
        <item x="65"/>
        <item x="66"/>
        <item x="67"/>
        <item x="53"/>
        <item x="54"/>
        <item x="55"/>
        <item x="56"/>
        <item x="57"/>
        <item x="58"/>
        <item x="59"/>
        <item x="60"/>
        <item x="21"/>
        <item x="22"/>
        <item x="23"/>
      </items>
    </pivotField>
    <pivotField name="UBICACION" axis="axisRow" compact="0" numFmtId="49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90"/>
        <item x="89"/>
        <item x="91"/>
        <item x="92"/>
        <item x="93"/>
        <item x="94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95"/>
        <item x="96"/>
        <item x="97"/>
        <item x="98"/>
        <item x="119"/>
        <item x="120"/>
        <item x="121"/>
        <item x="122"/>
        <item x="123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24"/>
        <item x="125"/>
        <item x="126"/>
        <item x="127"/>
        <item x="196"/>
        <item x="197"/>
        <item x="198"/>
        <item x="199"/>
        <item x="200"/>
        <item x="201"/>
        <item x="202"/>
        <item x="203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221"/>
        <item x="222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3"/>
        <item x="232"/>
        <item x="233"/>
        <item x="234"/>
        <item x="235"/>
        <item x="236"/>
        <item x="237"/>
        <item x="238"/>
        <item x="239"/>
        <item x="240"/>
        <item x="241"/>
        <item x="224"/>
        <item x="242"/>
        <item x="243"/>
        <item x="225"/>
        <item x="226"/>
        <item x="227"/>
        <item x="228"/>
        <item x="229"/>
        <item x="230"/>
        <item x="231"/>
        <item x="244"/>
        <item x="253"/>
        <item x="254"/>
        <item x="245"/>
        <item x="246"/>
        <item x="247"/>
        <item x="248"/>
        <item x="249"/>
        <item x="250"/>
        <item x="251"/>
        <item x="252"/>
        <item x="255"/>
        <item x="256"/>
        <item x="257"/>
        <item x="258"/>
        <item x="259"/>
        <item x="260"/>
        <item x="261"/>
        <item x="262"/>
        <item x="263"/>
        <item x="264"/>
        <item x="273"/>
        <item x="274"/>
        <item x="275"/>
        <item x="276"/>
        <item x="277"/>
        <item x="278"/>
        <item x="279"/>
        <item x="280"/>
        <item x="281"/>
        <item x="282"/>
        <item x="265"/>
        <item x="283"/>
        <item x="284"/>
        <item x="285"/>
        <item x="286"/>
        <item x="287"/>
        <item x="288"/>
        <item x="289"/>
        <item x="266"/>
        <item x="267"/>
        <item x="268"/>
        <item x="269"/>
        <item x="270"/>
        <item x="271"/>
        <item x="272"/>
        <item x="290"/>
        <item x="299"/>
        <item x="300"/>
        <item x="301"/>
        <item x="302"/>
        <item x="303"/>
        <item x="304"/>
        <item x="305"/>
        <item x="291"/>
        <item x="292"/>
        <item x="293"/>
        <item x="294"/>
        <item x="295"/>
        <item x="296"/>
        <item x="297"/>
        <item x="298"/>
        <item x="306"/>
        <item x="315"/>
        <item x="316"/>
        <item x="317"/>
        <item x="318"/>
        <item x="319"/>
        <item x="320"/>
        <item x="321"/>
        <item x="322"/>
        <item x="323"/>
        <item x="324"/>
        <item x="307"/>
        <item x="325"/>
        <item x="326"/>
        <item x="327"/>
        <item x="328"/>
        <item x="329"/>
        <item x="330"/>
        <item x="331"/>
        <item x="332"/>
        <item x="333"/>
        <item x="334"/>
        <item x="308"/>
        <item x="335"/>
        <item x="336"/>
        <item x="337"/>
        <item x="338"/>
        <item x="339"/>
        <item x="340"/>
        <item x="341"/>
        <item x="342"/>
        <item x="343"/>
        <item x="344"/>
        <item x="309"/>
        <item x="345"/>
        <item x="310"/>
        <item x="311"/>
        <item x="312"/>
        <item x="313"/>
        <item x="314"/>
        <item x="376"/>
        <item x="377"/>
        <item x="378"/>
        <item x="379"/>
        <item x="380"/>
        <item x="429"/>
        <item x="430"/>
        <item x="431"/>
        <item x="432"/>
        <item x="433"/>
        <item x="434"/>
        <item x="435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10"/>
        <item x="411"/>
        <item x="412"/>
        <item x="413"/>
        <item x="414"/>
        <item x="408"/>
        <item x="409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346"/>
        <item x="355"/>
        <item x="356"/>
        <item x="357"/>
        <item x="358"/>
        <item x="359"/>
        <item x="360"/>
        <item x="361"/>
        <item x="362"/>
        <item x="363"/>
        <item x="364"/>
        <item x="347"/>
        <item x="365"/>
        <item x="366"/>
        <item x="367"/>
        <item x="368"/>
        <item x="369"/>
        <item x="370"/>
        <item x="371"/>
        <item x="372"/>
        <item x="373"/>
        <item x="374"/>
        <item x="348"/>
        <item x="375"/>
        <item x="349"/>
        <item x="350"/>
        <item x="351"/>
        <item x="352"/>
        <item x="353"/>
        <item x="354"/>
        <item t="default"/>
      </items>
    </pivotField>
    <pivotField name="FECHA INGRESO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name="DOCUMENTO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t="default"/>
      </items>
    </pivotField>
    <pivotField name="SKU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t="default"/>
      </items>
    </pivotField>
    <pivotField name="DESCRIPC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name="UNIDADADES TOTAL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  <pivotField name="ORIGEN INGRESO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ESTADO" axis="axisPage" compact="0" outline="0" multipleItemSelectionAllowed="1" showAll="0">
      <items>
        <item h="1" x="0"/>
        <item x="1"/>
        <item t="default"/>
      </items>
    </pivotField>
    <pivotField name="#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t="default"/>
      </items>
    </pivotField>
    <pivotField name="TIP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OBS" compact="0" outline="0" multipleItemSelectionAllowed="1" showAll="0">
      <items>
        <item x="0"/>
        <item x="1"/>
        <item t="default"/>
      </items>
    </pivotField>
    <pivotField name="Cliente" compact="0" outline="0" multipleItemSelectionAllowed="1" showAll="0">
      <items>
        <item x="0"/>
        <item x="1"/>
        <item x="2"/>
        <item t="default"/>
      </items>
    </pivotField>
  </pivotFields>
  <rowFields>
    <field x="0"/>
    <field x="1"/>
    <field x="2"/>
    <field x="3"/>
  </rowFields>
  <pageFields>
    <pageField fld="10"/>
  </pageFields>
</pivotTableDefinition>
</file>

<file path=xl/pivotTables/pivotTable9.xml><?xml version="1.0" encoding="utf-8"?>
<pivotTableDefinition xmlns="http://schemas.openxmlformats.org/spreadsheetml/2006/main" name="Copia de Ubicaciones 2" cacheId="5" dataCaption="" rowGrandTotals="0" compact="0" compactData="0">
  <location ref="AM1:AO56" firstHeaderRow="0" firstDataRow="2" firstDataCol="0"/>
  <pivotFields>
    <pivotField name="UBICACION" compact="0" numFmtId="49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SKU" axis="axisRow" compact="0" outline="0" multipleItemSelectionAllowed="1" showAll="0" sortType="ascending" defaultSubtotal="0">
      <items>
        <item x="51"/>
        <item x="47"/>
        <item x="25"/>
        <item x="21"/>
        <item x="6"/>
        <item x="8"/>
        <item x="7"/>
        <item x="20"/>
        <item x="48"/>
        <item x="10"/>
        <item x="19"/>
        <item x="13"/>
        <item x="44"/>
        <item x="18"/>
        <item x="9"/>
        <item x="16"/>
        <item x="17"/>
        <item x="22"/>
        <item x="23"/>
        <item x="27"/>
        <item x="26"/>
        <item x="0"/>
        <item x="1"/>
        <item x="5"/>
        <item x="15"/>
        <item x="4"/>
        <item x="24"/>
        <item x="12"/>
        <item x="45"/>
        <item x="3"/>
        <item x="2"/>
        <item x="43"/>
        <item x="32"/>
        <item x="41"/>
        <item x="30"/>
        <item x="37"/>
        <item x="31"/>
        <item x="34"/>
        <item x="35"/>
        <item x="42"/>
        <item x="40"/>
        <item x="36"/>
        <item x="38"/>
        <item x="46"/>
        <item x="33"/>
        <item x="28"/>
        <item x="50"/>
        <item x="49"/>
        <item x="11"/>
        <item x="14"/>
        <item x="39"/>
        <item x="29"/>
      </items>
    </pivotField>
    <pivotField name="DESCRIPCION" axis="axisRow" compact="0" outline="0" multipleItemSelectionAllowed="1" showAll="0" sortType="ascending">
      <items>
        <item x="53"/>
        <item x="45"/>
        <item x="6"/>
        <item x="8"/>
        <item x="7"/>
        <item x="12"/>
        <item x="15"/>
        <item x="24"/>
        <item x="4"/>
        <item x="25"/>
        <item x="47"/>
        <item x="2"/>
        <item x="1"/>
        <item x="5"/>
        <item x="3"/>
        <item x="9"/>
        <item x="17"/>
        <item x="0"/>
        <item x="33"/>
        <item x="43"/>
        <item x="31"/>
        <item x="39"/>
        <item x="32"/>
        <item x="50"/>
        <item x="35"/>
        <item x="36"/>
        <item x="40"/>
        <item x="44"/>
        <item x="42"/>
        <item x="37"/>
        <item x="34"/>
        <item x="48"/>
        <item x="29"/>
        <item x="52"/>
        <item x="51"/>
        <item x="11"/>
        <item x="30"/>
        <item x="49"/>
        <item x="26"/>
        <item x="27"/>
        <item x="23"/>
        <item x="20"/>
        <item x="18"/>
        <item x="22"/>
        <item x="21"/>
        <item x="10"/>
        <item x="16"/>
        <item x="19"/>
        <item x="41"/>
        <item x="38"/>
        <item x="28"/>
        <item x="14"/>
        <item x="46"/>
        <item x="13"/>
        <item t="default"/>
      </items>
    </pivotField>
    <pivotField name="UNIDADADES TOTAL" dataField="1" compact="0" numFmtId="3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t="default"/>
      </items>
    </pivotField>
  </pivotFields>
  <rowFields>
    <field x="1"/>
    <field x="2"/>
  </rowFields>
  <dataFields>
    <dataField name="SUM of UNIDADADES TOTAL" fld="3" baseField="0"/>
  </dataFields>
</pivotTableDefinition>
</file>

<file path=xl/tables/table1.xml><?xml version="1.0" encoding="utf-8"?>
<table xmlns="http://schemas.openxmlformats.org/spreadsheetml/2006/main" ref="A1:O438" displayName="Ubicaciones" name="Ubicaciones" id="1">
  <autoFilter ref="$A$1:$O$438"/>
  <tableColumns count="15">
    <tableColumn name="SALA" id="1"/>
    <tableColumn name="FILA" id="2"/>
    <tableColumn name="POSICIÓN" id="3"/>
    <tableColumn name="UBICACION" id="4"/>
    <tableColumn name="FECHA INGRESO" id="5"/>
    <tableColumn name="DOCUMENTO" id="6"/>
    <tableColumn name="SKU" id="7"/>
    <tableColumn name="DESCRIPCION" id="8"/>
    <tableColumn name="UNIDADADES TOTAL" id="9"/>
    <tableColumn name="ORIGEN INGRESO" id="10"/>
    <tableColumn name="ESTADO" id="11"/>
    <tableColumn name="#" id="12"/>
    <tableColumn name="TIPO" id="13"/>
    <tableColumn name="OBS" id="14"/>
    <tableColumn name="Cliente" id="15"/>
  </tableColumns>
  <tableStyleInfo name="Ubicaciones-style" showColumnStripes="0" showFirstColumn="1" showLastColumn="1" showRowStripes="1"/>
</table>
</file>

<file path=xl/tables/table2.xml><?xml version="1.0" encoding="utf-8"?>
<table xmlns="http://schemas.openxmlformats.org/spreadsheetml/2006/main" ref="A1:O439" displayName="Ubicaciones_3" name="Ubicaciones_3" id="2">
  <autoFilter ref="$A$1:$O$439"/>
  <tableColumns count="15">
    <tableColumn name="SALA" id="1"/>
    <tableColumn name="FILA" id="2"/>
    <tableColumn name="POSICIÓN" id="3"/>
    <tableColumn name="UBICACION" id="4"/>
    <tableColumn name="FECHA INGRESO" id="5"/>
    <tableColumn name="DOCUMENTO" id="6"/>
    <tableColumn name="SKU" id="7"/>
    <tableColumn name="DESCRIPCION" id="8"/>
    <tableColumn name="UNIDADADES TOTAL" id="9"/>
    <tableColumn name="ORIGEN INGRESO" id="10"/>
    <tableColumn name="ESTADO" id="11"/>
    <tableColumn name="#" id="12"/>
    <tableColumn name="TIPO" id="13"/>
    <tableColumn name="OBS" id="14"/>
    <tableColumn name="Cliente" id="15"/>
  </tableColumns>
  <tableStyleInfo name="Copia de Ubicaciones-style" showColumnStripes="0" showFirstColumn="1" showLastColumn="1" showRowStripes="1"/>
</table>
</file>

<file path=xl/tables/table3.xml><?xml version="1.0" encoding="utf-8"?>
<table xmlns="http://schemas.openxmlformats.org/spreadsheetml/2006/main" ref="A1:U439" displayName="Ubicaciones_2" name="Ubicaciones_2" id="3">
  <autoFilter ref="$A$1:$U$439"/>
  <tableColumns count="21">
    <tableColumn name="SALA" id="1"/>
    <tableColumn name="FILA" id="2"/>
    <tableColumn name="POSICIÓN" id="3"/>
    <tableColumn name="UBICACION" id="4"/>
    <tableColumn name="FECHA INGRESO" id="5"/>
    <tableColumn name="DOCUMENTO" id="6"/>
    <tableColumn name="SKU" id="7"/>
    <tableColumn name="DESCRIPCION" id="8"/>
    <tableColumn name="UNIDADADES TOTAL" id="9"/>
    <tableColumn name="ORIGEN INGRESO" id="10"/>
    <tableColumn name="ESTADO" id="11"/>
    <tableColumn name="#" id="12"/>
    <tableColumn name="TIPO" id="13"/>
    <tableColumn name="OBS" id="14"/>
    <tableColumn name="Cliente" id="15"/>
    <tableColumn name="UBICACION2" id="16"/>
    <tableColumn name="FECHA INGRESO2" id="17"/>
    <tableColumn name="DOCUMENTO2" id="18"/>
    <tableColumn name="SKU2" id="19"/>
    <tableColumn name="DESCRIPCION2" id="20"/>
    <tableColumn name="UNIDADADES TOTAL2" id="21"/>
  </tableColumns>
  <tableStyleInfo name="21.04.25 Ubicaciones-style" showColumnStripes="0" showFirstColumn="1" showLastColumn="1" showRowStripes="1"/>
</table>
</file>

<file path=xl/tables/table4.xml><?xml version="1.0" encoding="utf-8"?>
<table xmlns="http://schemas.openxmlformats.org/spreadsheetml/2006/main" ref="A1:O439" displayName="Tabla_1" name="Tabla_1" id="4">
  <tableColumns count="15">
    <tableColumn name="SALA" id="1"/>
    <tableColumn name="FILA" id="2"/>
    <tableColumn name="POSICIÓN" id="3"/>
    <tableColumn name="UBICACION" id="4"/>
    <tableColumn name="FECHA INGRESO" id="5"/>
    <tableColumn name="DOCUMENTO" id="6"/>
    <tableColumn name="SKU" id="7"/>
    <tableColumn name="DESCRIPCION" id="8"/>
    <tableColumn name="UNIDADADES TOTAL" id="9"/>
    <tableColumn name="ORIGEN INGRESO" id="10"/>
    <tableColumn name="ESTADO" id="11"/>
    <tableColumn name="#" id="12"/>
    <tableColumn name="TIPO" id="13"/>
    <tableColumn name="OBS" id="14"/>
    <tableColumn name="Cliente" id="15"/>
  </tableColumns>
  <tableStyleInfo name="RESP170425-style" showColumnStripes="0" showFirstColumn="1" showLastColumn="1" showRowStripes="1"/>
</table>
</file>

<file path=xl/tables/table5.xml><?xml version="1.0" encoding="utf-8"?>
<table xmlns="http://schemas.openxmlformats.org/spreadsheetml/2006/main" headerRowCount="0" ref="A1:F1" displayName="INVENTARIO_SELECTIVO" name="INVENTARIO_SELECTIVO" id="5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Inventarios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ables/table6.xml><?xml version="1.0" encoding="utf-8"?>
<table xmlns="http://schemas.openxmlformats.org/spreadsheetml/2006/main" headerRowCount="0" ref="H1:M1" displayName="INVENTARIO_TOTAL" name="INVENTARIO_TOTAL" id="6">
  <tableColumns count="6">
    <tableColumn name="Column1" id="1"/>
    <tableColumn name="Column2" id="2"/>
    <tableColumn name="Column3" id="3"/>
    <tableColumn name="Column4" id="4"/>
    <tableColumn name="Column5" id="5"/>
    <tableColumn name="Column6" id="6"/>
  </tableColumns>
  <tableStyleInfo name="Inventarios-style 2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10" Type="http://schemas.openxmlformats.org/officeDocument/2006/relationships/table" Target="../tables/table1.xml"/><Relationship Id="rId5" Type="http://schemas.openxmlformats.org/officeDocument/2006/relationships/pivotTable" Target="../pivotTables/pivotTable5.xml"/><Relationship Id="rId6" Type="http://schemas.openxmlformats.org/officeDocument/2006/relationships/pivotTable" Target="../pivotTables/pivotTable6.xml"/><Relationship Id="rId7" Type="http://schemas.openxmlformats.org/officeDocument/2006/relationships/pivotTable" Target="../pivotTables/pivotTable7.xml"/><Relationship Id="rId8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8.xml"/><Relationship Id="rId2" Type="http://schemas.openxmlformats.org/officeDocument/2006/relationships/pivotTable" Target="../pivotTables/pivotTable9.xml"/><Relationship Id="rId3" Type="http://schemas.openxmlformats.org/officeDocument/2006/relationships/pivotTable" Target="../pivotTables/pivotTable10.xml"/><Relationship Id="rId4" Type="http://schemas.openxmlformats.org/officeDocument/2006/relationships/pivotTable" Target="../pivotTables/pivotTable11.xml"/><Relationship Id="rId9" Type="http://schemas.openxmlformats.org/officeDocument/2006/relationships/table" Target="../tables/table2.xml"/><Relationship Id="rId5" Type="http://schemas.openxmlformats.org/officeDocument/2006/relationships/pivotTable" Target="../pivotTables/pivotTable12.xml"/><Relationship Id="rId6" Type="http://schemas.openxmlformats.org/officeDocument/2006/relationships/pivotTable" Target="../pivotTables/pivotTable13.xml"/><Relationship Id="rId7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4.xml"/><Relationship Id="rId2" Type="http://schemas.openxmlformats.org/officeDocument/2006/relationships/pivotTable" Target="../pivotTables/pivotTable15.xml"/><Relationship Id="rId3" Type="http://schemas.openxmlformats.org/officeDocument/2006/relationships/pivotTable" Target="../pivotTables/pivotTable16.xml"/><Relationship Id="rId4" Type="http://schemas.openxmlformats.org/officeDocument/2006/relationships/pivotTable" Target="../pivotTables/pivotTable17.xml"/><Relationship Id="rId5" Type="http://schemas.openxmlformats.org/officeDocument/2006/relationships/pivotTable" Target="../pivotTables/pivotTable18.xml"/><Relationship Id="rId6" Type="http://schemas.openxmlformats.org/officeDocument/2006/relationships/drawing" Target="../drawings/drawing3.xml"/><Relationship Id="rId8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3" Type="http://schemas.openxmlformats.org/officeDocument/2006/relationships/table" Target="../tables/table4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4" Type="http://schemas.openxmlformats.org/officeDocument/2006/relationships/table" Target="../tables/table5.xml"/><Relationship Id="rId5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2" max="2" width="8.25"/>
    <col customWidth="1" min="3" max="3" width="11.88"/>
    <col customWidth="1" min="4" max="4" width="12.63"/>
    <col customWidth="1" min="5" max="5" width="14.63"/>
    <col customWidth="1" min="6" max="6" width="17.25"/>
    <col customWidth="1" min="7" max="7" width="17.0"/>
    <col customWidth="1" min="8" max="8" width="35.5"/>
    <col customWidth="1" min="9" max="9" width="17.0"/>
    <col customWidth="1" min="10" max="10" width="17.75"/>
    <col customWidth="1" min="11" max="11" width="10.63"/>
    <col customWidth="1" min="12" max="12" width="6.38"/>
    <col customWidth="1" min="13" max="13" width="13.63"/>
    <col customWidth="1" min="14" max="14" width="11.25"/>
    <col customWidth="1" min="15" max="15" width="9.88"/>
    <col customWidth="1" min="23" max="23" width="8.38"/>
    <col customWidth="1" min="24" max="24" width="6.75"/>
    <col customWidth="1" min="25" max="25" width="7.75"/>
    <col customWidth="1" min="26" max="26" width="10.0"/>
    <col customWidth="1" min="27" max="27" width="13.25"/>
    <col customWidth="1" min="29" max="29" width="10.0"/>
    <col customWidth="1" min="30" max="30" width="7.63"/>
    <col customWidth="1" min="31" max="31" width="33.63"/>
    <col customWidth="1" min="32" max="32" width="13.75"/>
    <col customWidth="1" min="33" max="33" width="15.75"/>
    <col customWidth="1" min="34" max="34" width="4.63"/>
    <col customWidth="1" min="35" max="35" width="4.25"/>
    <col customWidth="1" min="36" max="36" width="6.88"/>
    <col customWidth="1" min="37" max="37" width="3.25"/>
    <col customWidth="1" min="38" max="38" width="7.75"/>
    <col customWidth="1" min="39" max="39" width="10.13"/>
    <col customWidth="1" min="40" max="40" width="33.63"/>
    <col customWidth="1" min="41" max="41" width="18.75"/>
    <col customWidth="1" min="44" max="44" width="12.5"/>
    <col customWidth="1" min="45" max="45" width="10.13"/>
    <col customWidth="1" min="46" max="46" width="36.13"/>
    <col customWidth="1" min="47" max="47" width="14.5"/>
    <col customWidth="1" min="48" max="48" width="18.25"/>
    <col customWidth="1" min="49" max="49" width="8.38"/>
    <col customWidth="1" min="50" max="50" width="6.75"/>
    <col customWidth="1" min="51" max="51" width="7.75"/>
    <col customWidth="1" min="52" max="52" width="5.75"/>
    <col customWidth="1" min="53" max="53" width="7.75"/>
    <col customWidth="1" min="56" max="56" width="12.5"/>
    <col customWidth="1" min="57" max="57" width="10.13"/>
    <col customWidth="1" min="58" max="58" width="33.63"/>
    <col customWidth="1" min="59" max="59" width="13.75"/>
    <col customWidth="1" min="60" max="60" width="12.13"/>
    <col customWidth="1" min="61" max="61" width="4.75"/>
    <col customWidth="1" min="62" max="62" width="6.5"/>
    <col customWidth="1" min="64" max="64" width="11.75"/>
    <col customWidth="1" min="65" max="65" width="9.25"/>
    <col customWidth="1" min="66" max="66" width="25.5"/>
    <col customWidth="1" min="67" max="67" width="14.5"/>
    <col customWidth="1" min="68" max="68" width="13.25"/>
    <col customWidth="1" min="71" max="71" width="12.5"/>
    <col customWidth="1" min="72" max="72" width="10.13"/>
    <col customWidth="1" min="73" max="73" width="36.13"/>
    <col customWidth="1" min="74" max="74" width="14.5"/>
    <col customWidth="1" min="75" max="75" width="15.75"/>
    <col customWidth="1" min="79" max="79" width="24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9" t="s">
        <v>12</v>
      </c>
      <c r="N1" s="10" t="s">
        <v>13</v>
      </c>
      <c r="O1" s="11" t="s">
        <v>14</v>
      </c>
      <c r="P1" s="12"/>
      <c r="Q1" s="12"/>
      <c r="R1" s="12"/>
      <c r="S1" s="12"/>
      <c r="T1" s="12"/>
      <c r="U1" s="12"/>
      <c r="V1" s="12"/>
      <c r="AB1" s="12"/>
      <c r="AC1" s="12" t="str">
        <f>IFERROR(__xludf.DUMMYFUNCTION("QUERY(AR1:BA936, ""SELECT * WHERE AZ &gt; 0 ORDER BY AZ ASC"")"),"UBICACION")</f>
        <v>UBICACION</v>
      </c>
      <c r="AD1" s="12" t="str">
        <f>IFERROR(__xludf.DUMMYFUNCTION("""COMPUTED_VALUE"""),"SKU")</f>
        <v>SKU</v>
      </c>
      <c r="AE1" s="12" t="str">
        <f>IFERROR(__xludf.DUMMYFUNCTION("""COMPUTED_VALUE"""),"DESCRIPCION")</f>
        <v>DESCRIPCION</v>
      </c>
      <c r="AF1" s="12" t="str">
        <f>IFERROR(__xludf.DUMMYFUNCTION("""COMPUTED_VALUE"""),"UNIDADADES TOTAL")</f>
        <v>UNIDADADES TOTAL</v>
      </c>
      <c r="AG1" s="12" t="str">
        <f>IFERROR(__xludf.DUMMYFUNCTION("""COMPUTED_VALUE"""),"ORIGEN INGRESO")</f>
        <v>ORIGEN INGRESO</v>
      </c>
      <c r="AH1" s="12" t="str">
        <f>IFERROR(__xludf.DUMMYFUNCTION("""COMPUTED_VALUE"""),"SALA")</f>
        <v>SALA</v>
      </c>
      <c r="AI1" s="12" t="str">
        <f>IFERROR(__xludf.DUMMYFUNCTION("""COMPUTED_VALUE"""),"FILA")</f>
        <v>FILA</v>
      </c>
      <c r="AJ1" s="12" t="str">
        <f>IFERROR(__xludf.DUMMYFUNCTION("""COMPUTED_VALUE"""),"POSICIÓN")</f>
        <v>POSICIÓN</v>
      </c>
      <c r="AK1" s="12" t="str">
        <f>IFERROR(__xludf.DUMMYFUNCTION("""COMPUTED_VALUE"""),"#")</f>
        <v>#</v>
      </c>
      <c r="AL1" s="12" t="str">
        <f>IFERROR(__xludf.DUMMYFUNCTION("""COMPUTED_VALUE"""),"Cliente")</f>
        <v>Cliente</v>
      </c>
      <c r="AP1" s="12"/>
      <c r="AQ1" s="12"/>
      <c r="BC1" s="12"/>
      <c r="BD1" s="16" t="s">
        <v>16</v>
      </c>
      <c r="BE1" s="14"/>
      <c r="BF1" s="12"/>
      <c r="BG1" s="12"/>
      <c r="BH1" s="14"/>
      <c r="BI1" s="12"/>
      <c r="BJ1" s="12"/>
      <c r="BK1" s="12"/>
      <c r="BL1" s="16" t="s">
        <v>17</v>
      </c>
      <c r="BM1" s="12"/>
      <c r="BN1" s="12"/>
      <c r="BO1" s="12"/>
      <c r="BP1" s="12"/>
      <c r="BQ1" s="12"/>
      <c r="BR1" s="12"/>
      <c r="BS1" s="16" t="s">
        <v>16</v>
      </c>
      <c r="BT1" s="12"/>
      <c r="BU1" s="12"/>
      <c r="BV1" s="12"/>
      <c r="BW1" s="17"/>
      <c r="BX1" s="14"/>
      <c r="BY1" s="14"/>
      <c r="BZ1" s="14"/>
      <c r="CA1" s="14"/>
      <c r="CB1" s="14"/>
      <c r="CC1" s="14"/>
      <c r="CD1" s="14"/>
      <c r="CE1" s="14"/>
      <c r="CF1" s="12"/>
      <c r="CG1" s="12"/>
      <c r="CH1" s="12"/>
      <c r="CI1" s="12"/>
      <c r="CJ1" s="12"/>
      <c r="CK1" s="12"/>
      <c r="CL1" s="12"/>
      <c r="CM1" s="12"/>
      <c r="CN1" s="12"/>
      <c r="CO1" s="12"/>
    </row>
    <row r="2">
      <c r="A2" s="18">
        <v>1.0</v>
      </c>
      <c r="B2" s="19" t="s">
        <v>18</v>
      </c>
      <c r="C2" s="19" t="s">
        <v>18</v>
      </c>
      <c r="D2" s="20" t="str">
        <f t="shared" ref="D2:D96" si="1">CONCATENATE(A2,"-",B2,"-",C2)</f>
        <v>1-1-1</v>
      </c>
      <c r="E2" s="21">
        <v>45733.0</v>
      </c>
      <c r="F2" s="22" t="s">
        <v>19</v>
      </c>
      <c r="G2" s="23" t="s">
        <v>20</v>
      </c>
      <c r="H2" s="24" t="s">
        <v>21</v>
      </c>
      <c r="I2" s="25">
        <v>81.0</v>
      </c>
      <c r="J2" s="26" t="s">
        <v>22</v>
      </c>
      <c r="K2" s="27" t="str">
        <f t="shared" ref="K2:K438" si="2">IF(ISBLANK(E2),"DISPONIBLE","OCUPADO")</f>
        <v>OCUPADO</v>
      </c>
      <c r="L2" s="28">
        <f t="shared" ref="L2:L53" si="3">IF(B1&lt;&gt;"", ROW(A1), "")
</f>
        <v>1</v>
      </c>
      <c r="M2" s="28" t="s">
        <v>23</v>
      </c>
      <c r="N2" s="28"/>
      <c r="O2" s="29" t="s">
        <v>24</v>
      </c>
      <c r="P2" s="12"/>
      <c r="Q2" s="12"/>
      <c r="R2" s="12"/>
      <c r="S2" s="12"/>
      <c r="T2" s="12"/>
      <c r="U2" s="12"/>
      <c r="V2" s="12"/>
      <c r="AB2" s="12"/>
      <c r="AC2" s="12" t="str">
        <f>IFERROR(__xludf.DUMMYFUNCTION("""COMPUTED_VALUE"""),"1-1-1")</f>
        <v>1-1-1</v>
      </c>
      <c r="AD2" s="12" t="str">
        <f>IFERROR(__xludf.DUMMYFUNCTION("""COMPUTED_VALUE"""),"691015")</f>
        <v>691015</v>
      </c>
      <c r="AE2" s="12" t="str">
        <f>IFERROR(__xludf.DUMMYFUNCTION("""COMPUTED_VALUE"""),"CAJA TV")</f>
        <v>CAJA TV</v>
      </c>
      <c r="AF2" s="30">
        <f>IFERROR(__xludf.DUMMYFUNCTION("""COMPUTED_VALUE"""),81.0)</f>
        <v>81</v>
      </c>
      <c r="AG2" s="12" t="str">
        <f>IFERROR(__xludf.DUMMYFUNCTION("""COMPUTED_VALUE"""),"PROVEEDOR")</f>
        <v>PROVEEDOR</v>
      </c>
      <c r="AH2" s="12">
        <f>IFERROR(__xludf.DUMMYFUNCTION("""COMPUTED_VALUE"""),1.0)</f>
        <v>1</v>
      </c>
      <c r="AI2" s="12" t="str">
        <f>IFERROR(__xludf.DUMMYFUNCTION("""COMPUTED_VALUE"""),"1")</f>
        <v>1</v>
      </c>
      <c r="AJ2" s="12" t="str">
        <f>IFERROR(__xludf.DUMMYFUNCTION("""COMPUTED_VALUE"""),"1")</f>
        <v>1</v>
      </c>
      <c r="AK2" s="12">
        <f>IFERROR(__xludf.DUMMYFUNCTION("""COMPUTED_VALUE"""),1.0)</f>
        <v>1</v>
      </c>
      <c r="AL2" s="12" t="str">
        <f>IFERROR(__xludf.DUMMYFUNCTION("""COMPUTED_VALUE"""),"SUMMIT")</f>
        <v>SUMMIT</v>
      </c>
      <c r="AP2" s="12"/>
      <c r="AQ2" s="12"/>
      <c r="BC2" s="12"/>
      <c r="BH2" s="31" t="s">
        <v>28</v>
      </c>
      <c r="BI2" s="31" t="s">
        <v>29</v>
      </c>
      <c r="BJ2" s="31" t="s">
        <v>30</v>
      </c>
      <c r="BK2" s="12"/>
      <c r="BR2" s="12"/>
      <c r="BY2" s="14"/>
      <c r="CC2" s="14"/>
      <c r="CD2" s="14"/>
      <c r="CE2" s="14"/>
      <c r="CF2" s="12"/>
      <c r="CG2" s="12"/>
      <c r="CH2" s="12"/>
      <c r="CI2" s="12"/>
      <c r="CJ2" s="12"/>
      <c r="CK2" s="12"/>
      <c r="CL2" s="12"/>
      <c r="CM2" s="12"/>
      <c r="CN2" s="12"/>
      <c r="CO2" s="12"/>
    </row>
    <row r="3">
      <c r="A3" s="18">
        <v>1.0</v>
      </c>
      <c r="B3" s="19" t="s">
        <v>18</v>
      </c>
      <c r="C3" s="19" t="s">
        <v>32</v>
      </c>
      <c r="D3" s="20" t="str">
        <f t="shared" si="1"/>
        <v>1-1-2</v>
      </c>
      <c r="E3" s="21">
        <v>45733.0</v>
      </c>
      <c r="F3" s="22" t="s">
        <v>19</v>
      </c>
      <c r="G3" s="23" t="s">
        <v>33</v>
      </c>
      <c r="H3" s="24" t="s">
        <v>34</v>
      </c>
      <c r="I3" s="25">
        <v>31.0</v>
      </c>
      <c r="J3" s="26" t="s">
        <v>35</v>
      </c>
      <c r="K3" s="32" t="str">
        <f t="shared" si="2"/>
        <v>OCUPADO</v>
      </c>
      <c r="L3" s="33">
        <f t="shared" si="3"/>
        <v>2</v>
      </c>
      <c r="M3" s="33" t="s">
        <v>23</v>
      </c>
      <c r="N3" s="33"/>
      <c r="O3" s="34" t="s">
        <v>24</v>
      </c>
      <c r="P3" s="12"/>
      <c r="Q3" s="12"/>
      <c r="R3" s="12"/>
      <c r="S3" s="12"/>
      <c r="T3" s="12"/>
      <c r="U3" s="12"/>
      <c r="V3" s="12"/>
      <c r="AB3" s="12"/>
      <c r="AC3" s="12" t="str">
        <f>IFERROR(__xludf.DUMMYFUNCTION("""COMPUTED_VALUE"""),"1-1-2")</f>
        <v>1-1-2</v>
      </c>
      <c r="AD3" s="12" t="str">
        <f>IFERROR(__xludf.DUMMYFUNCTION("""COMPUTED_VALUE"""),"691410")</f>
        <v>691410</v>
      </c>
      <c r="AE3" s="12" t="str">
        <f>IFERROR(__xludf.DUMMYFUNCTION("""COMPUTED_VALUE"""),"CAJA CARTON ENVIOS PACK")</f>
        <v>CAJA CARTON ENVIOS PACK</v>
      </c>
      <c r="AF3" s="30">
        <f>IFERROR(__xludf.DUMMYFUNCTION("""COMPUTED_VALUE"""),31.0)</f>
        <v>31</v>
      </c>
      <c r="AG3" s="12" t="str">
        <f>IFERROR(__xludf.DUMMYFUNCTION("""COMPUTED_VALUE"""),"PRODUCTO TERMINADO")</f>
        <v>PRODUCTO TERMINADO</v>
      </c>
      <c r="AH3" s="12">
        <f>IFERROR(__xludf.DUMMYFUNCTION("""COMPUTED_VALUE"""),1.0)</f>
        <v>1</v>
      </c>
      <c r="AI3" s="12" t="str">
        <f>IFERROR(__xludf.DUMMYFUNCTION("""COMPUTED_VALUE"""),"1")</f>
        <v>1</v>
      </c>
      <c r="AJ3" s="12" t="str">
        <f>IFERROR(__xludf.DUMMYFUNCTION("""COMPUTED_VALUE"""),"2")</f>
        <v>2</v>
      </c>
      <c r="AK3" s="12">
        <f>IFERROR(__xludf.DUMMYFUNCTION("""COMPUTED_VALUE"""),2.0)</f>
        <v>2</v>
      </c>
      <c r="AL3" s="12" t="str">
        <f>IFERROR(__xludf.DUMMYFUNCTION("""COMPUTED_VALUE"""),"SUMMIT")</f>
        <v>SUMMIT</v>
      </c>
      <c r="AP3" s="12"/>
      <c r="AQ3" s="12"/>
      <c r="BC3" s="12"/>
      <c r="BH3" s="12" t="str">
        <f>IFERROR(__xludf.DUMMYFUNCTION("IFERROR(INDEX(QUERY(IMPORTRANGE(""1T7HG8KEs-Ob7f3M5atEVN9Yn7IeORGp0QGvggB62ELw"",""Maestro!A:I""),""SELECT Col8 WHERE Col3 = '""&amp;BE3&amp;""'"", 0), 1, 1),""NO ENCONTRADO"")"),"D")</f>
        <v>D</v>
      </c>
      <c r="BI3" s="16">
        <v>1.0</v>
      </c>
      <c r="BJ3" s="16">
        <f t="shared" ref="BJ3:BJ53" si="4">IFERROR(ROUND(IF(BH3="D",BG3/BI3,BG3*BI3),0),1)</f>
        <v>81</v>
      </c>
      <c r="BK3" s="12"/>
      <c r="BR3" s="12"/>
      <c r="BY3" s="14"/>
      <c r="CC3" s="14"/>
      <c r="CD3" s="14"/>
      <c r="CE3" s="14"/>
      <c r="CF3" s="12"/>
      <c r="CG3" s="12"/>
      <c r="CH3" s="12"/>
      <c r="CI3" s="12"/>
      <c r="CJ3" s="12"/>
      <c r="CK3" s="12"/>
      <c r="CL3" s="12"/>
      <c r="CM3" s="12"/>
      <c r="CN3" s="12"/>
      <c r="CO3" s="12"/>
    </row>
    <row r="4">
      <c r="A4" s="18">
        <v>1.0</v>
      </c>
      <c r="B4" s="19" t="s">
        <v>18</v>
      </c>
      <c r="C4" s="19" t="s">
        <v>44</v>
      </c>
      <c r="D4" s="20" t="str">
        <f t="shared" si="1"/>
        <v>1-1-3</v>
      </c>
      <c r="E4" s="35">
        <v>45742.0</v>
      </c>
      <c r="F4" s="36" t="s">
        <v>45</v>
      </c>
      <c r="G4" s="37" t="s">
        <v>46</v>
      </c>
      <c r="H4" s="38" t="s">
        <v>47</v>
      </c>
      <c r="I4" s="39">
        <v>700.0</v>
      </c>
      <c r="J4" s="38" t="s">
        <v>22</v>
      </c>
      <c r="K4" s="27" t="str">
        <f t="shared" si="2"/>
        <v>OCUPADO</v>
      </c>
      <c r="L4" s="28">
        <f t="shared" si="3"/>
        <v>3</v>
      </c>
      <c r="M4" s="28" t="s">
        <v>23</v>
      </c>
      <c r="N4" s="28"/>
      <c r="O4" s="29" t="s">
        <v>24</v>
      </c>
      <c r="P4" s="12"/>
      <c r="Q4" s="12"/>
      <c r="R4" s="12"/>
      <c r="S4" s="12"/>
      <c r="T4" s="12"/>
      <c r="U4" s="12"/>
      <c r="V4" s="12"/>
      <c r="AB4" s="12"/>
      <c r="AC4" s="12" t="str">
        <f>IFERROR(__xludf.DUMMYFUNCTION("""COMPUTED_VALUE"""),"1-1-3")</f>
        <v>1-1-3</v>
      </c>
      <c r="AD4" s="12" t="str">
        <f>IFERROR(__xludf.DUMMYFUNCTION("""COMPUTED_VALUE"""),"692432")</f>
        <v>692432</v>
      </c>
      <c r="AE4" s="12" t="str">
        <f>IFERROR(__xludf.DUMMYFUNCTION("""COMPUTED_VALUE"""),"CAJA CARTON ENVIOS 25x17x13 CM")</f>
        <v>CAJA CARTON ENVIOS 25x17x13 CM</v>
      </c>
      <c r="AF4" s="30">
        <f>IFERROR(__xludf.DUMMYFUNCTION("""COMPUTED_VALUE"""),700.0)</f>
        <v>700</v>
      </c>
      <c r="AG4" s="12" t="str">
        <f>IFERROR(__xludf.DUMMYFUNCTION("""COMPUTED_VALUE"""),"PROVEEDOR")</f>
        <v>PROVEEDOR</v>
      </c>
      <c r="AH4" s="12">
        <f>IFERROR(__xludf.DUMMYFUNCTION("""COMPUTED_VALUE"""),1.0)</f>
        <v>1</v>
      </c>
      <c r="AI4" s="12" t="str">
        <f>IFERROR(__xludf.DUMMYFUNCTION("""COMPUTED_VALUE"""),"1")</f>
        <v>1</v>
      </c>
      <c r="AJ4" s="12" t="str">
        <f>IFERROR(__xludf.DUMMYFUNCTION("""COMPUTED_VALUE"""),"3")</f>
        <v>3</v>
      </c>
      <c r="AK4" s="12">
        <f>IFERROR(__xludf.DUMMYFUNCTION("""COMPUTED_VALUE"""),3.0)</f>
        <v>3</v>
      </c>
      <c r="AL4" s="12" t="str">
        <f>IFERROR(__xludf.DUMMYFUNCTION("""COMPUTED_VALUE"""),"SUMMIT")</f>
        <v>SUMMIT</v>
      </c>
      <c r="AP4" s="12"/>
      <c r="AQ4" s="12"/>
      <c r="BC4" s="12"/>
      <c r="BH4" s="12" t="str">
        <f>IFERROR(__xludf.DUMMYFUNCTION("IFERROR(INDEX(QUERY(IMPORTRANGE(""1T7HG8KEs-Ob7f3M5atEVN9Yn7IeORGp0QGvggB62ELw"",""Maestro!A:I""),""SELECT Col8 WHERE Col3 = '""&amp;BE4&amp;""'"", 0), 1, 1),""NO ENCONTRADO"")"),"NO ENCONTRADO")</f>
        <v>NO ENCONTRADO</v>
      </c>
      <c r="BI4" s="16">
        <v>1.0</v>
      </c>
      <c r="BJ4" s="16">
        <f t="shared" si="4"/>
        <v>31</v>
      </c>
      <c r="BK4" s="12"/>
      <c r="BR4" s="12"/>
      <c r="BY4" s="14"/>
      <c r="CC4" s="14"/>
      <c r="CD4" s="14"/>
      <c r="CE4" s="14"/>
      <c r="CF4" s="12"/>
      <c r="CG4" s="12"/>
      <c r="CH4" s="12"/>
      <c r="CI4" s="12"/>
      <c r="CJ4" s="12"/>
      <c r="CK4" s="12"/>
      <c r="CL4" s="12"/>
      <c r="CM4" s="12"/>
      <c r="CN4" s="12"/>
      <c r="CO4" s="12"/>
    </row>
    <row r="5">
      <c r="A5" s="18">
        <v>1.0</v>
      </c>
      <c r="B5" s="19" t="s">
        <v>18</v>
      </c>
      <c r="C5" s="19" t="s">
        <v>53</v>
      </c>
      <c r="D5" s="20" t="str">
        <f t="shared" si="1"/>
        <v>1-1-4</v>
      </c>
      <c r="E5" s="40">
        <v>45784.0</v>
      </c>
      <c r="F5" s="41" t="s">
        <v>19</v>
      </c>
      <c r="G5" s="41" t="s">
        <v>54</v>
      </c>
      <c r="H5" s="42" t="s">
        <v>55</v>
      </c>
      <c r="I5" s="43">
        <v>360.0</v>
      </c>
      <c r="J5" s="38" t="s">
        <v>22</v>
      </c>
      <c r="K5" s="32" t="str">
        <f t="shared" si="2"/>
        <v>OCUPADO</v>
      </c>
      <c r="L5" s="33">
        <f t="shared" si="3"/>
        <v>4</v>
      </c>
      <c r="M5" s="33" t="s">
        <v>23</v>
      </c>
      <c r="N5" s="33"/>
      <c r="O5" s="34" t="s">
        <v>24</v>
      </c>
      <c r="P5" s="12"/>
      <c r="Q5" s="12"/>
      <c r="R5" s="12"/>
      <c r="S5" s="12"/>
      <c r="T5" s="12"/>
      <c r="U5" s="12"/>
      <c r="V5" s="12"/>
      <c r="AB5" s="12"/>
      <c r="AC5" s="12" t="str">
        <f>IFERROR(__xludf.DUMMYFUNCTION("""COMPUTED_VALUE"""),"1-1-4")</f>
        <v>1-1-4</v>
      </c>
      <c r="AD5" s="12" t="str">
        <f>IFERROR(__xludf.DUMMYFUNCTION("""COMPUTED_VALUE"""),"692425")</f>
        <v>692425</v>
      </c>
      <c r="AE5" s="12" t="str">
        <f>IFERROR(__xludf.DUMMYFUNCTION("""COMPUTED_VALUE"""),"CAJA CARTON PISQUERA 31x23x31 CM")</f>
        <v>CAJA CARTON PISQUERA 31x23x31 CM</v>
      </c>
      <c r="AF5" s="30">
        <f>IFERROR(__xludf.DUMMYFUNCTION("""COMPUTED_VALUE"""),360.0)</f>
        <v>360</v>
      </c>
      <c r="AG5" s="12" t="str">
        <f>IFERROR(__xludf.DUMMYFUNCTION("""COMPUTED_VALUE"""),"PROVEEDOR")</f>
        <v>PROVEEDOR</v>
      </c>
      <c r="AH5" s="12">
        <f>IFERROR(__xludf.DUMMYFUNCTION("""COMPUTED_VALUE"""),1.0)</f>
        <v>1</v>
      </c>
      <c r="AI5" s="12" t="str">
        <f>IFERROR(__xludf.DUMMYFUNCTION("""COMPUTED_VALUE"""),"1")</f>
        <v>1</v>
      </c>
      <c r="AJ5" s="12" t="str">
        <f>IFERROR(__xludf.DUMMYFUNCTION("""COMPUTED_VALUE"""),"4")</f>
        <v>4</v>
      </c>
      <c r="AK5" s="12">
        <f>IFERROR(__xludf.DUMMYFUNCTION("""COMPUTED_VALUE"""),4.0)</f>
        <v>4</v>
      </c>
      <c r="AL5" s="12" t="str">
        <f>IFERROR(__xludf.DUMMYFUNCTION("""COMPUTED_VALUE"""),"SUMMIT")</f>
        <v>SUMMIT</v>
      </c>
      <c r="AP5" s="12"/>
      <c r="AQ5" s="12"/>
      <c r="BC5" s="12"/>
      <c r="BH5" s="12" t="str">
        <f>IFERROR(__xludf.DUMMYFUNCTION("IFERROR(INDEX(QUERY(IMPORTRANGE(""1T7HG8KEs-Ob7f3M5atEVN9Yn7IeORGp0QGvggB62ELw"",""Maestro!A:I""),""SELECT Col8 WHERE Col3 = '""&amp;BE5&amp;""'"", 0), 1, 1),""NO ENCONTRADO"")"),"D")</f>
        <v>D</v>
      </c>
      <c r="BI5" s="16">
        <v>1.0</v>
      </c>
      <c r="BJ5" s="16">
        <f t="shared" si="4"/>
        <v>700</v>
      </c>
      <c r="BK5" s="12"/>
      <c r="BR5" s="12"/>
      <c r="BY5" s="14"/>
      <c r="CC5" s="14"/>
      <c r="CD5" s="14"/>
      <c r="CE5" s="14"/>
      <c r="CF5" s="12"/>
      <c r="CG5" s="12"/>
      <c r="CH5" s="12"/>
      <c r="CI5" s="12"/>
      <c r="CJ5" s="12"/>
      <c r="CK5" s="12"/>
      <c r="CL5" s="12"/>
      <c r="CM5" s="12"/>
      <c r="CN5" s="12"/>
      <c r="CO5" s="12"/>
    </row>
    <row r="6">
      <c r="A6" s="18">
        <v>1.0</v>
      </c>
      <c r="B6" s="19" t="s">
        <v>18</v>
      </c>
      <c r="C6" s="19" t="s">
        <v>25</v>
      </c>
      <c r="D6" s="20" t="str">
        <f t="shared" si="1"/>
        <v>1-1-5</v>
      </c>
      <c r="E6" s="44"/>
      <c r="F6" s="45"/>
      <c r="G6" s="46"/>
      <c r="H6" s="47"/>
      <c r="I6" s="48"/>
      <c r="J6" s="49"/>
      <c r="K6" s="27" t="str">
        <f t="shared" si="2"/>
        <v>DISPONIBLE</v>
      </c>
      <c r="L6" s="28">
        <f t="shared" si="3"/>
        <v>5</v>
      </c>
      <c r="M6" s="28" t="s">
        <v>23</v>
      </c>
      <c r="N6" s="28"/>
      <c r="O6" s="29" t="s">
        <v>24</v>
      </c>
      <c r="P6" s="12"/>
      <c r="Q6" s="12"/>
      <c r="R6" s="12"/>
      <c r="S6" s="12"/>
      <c r="T6" s="12"/>
      <c r="U6" s="12"/>
      <c r="V6" s="12"/>
      <c r="AB6" s="12"/>
      <c r="AC6" s="12" t="str">
        <f>IFERROR(__xludf.DUMMYFUNCTION("""COMPUTED_VALUE"""),"2-1-3")</f>
        <v>2-1-3</v>
      </c>
      <c r="AD6" s="12" t="str">
        <f>IFERROR(__xludf.DUMMYFUNCTION("""COMPUTED_VALUE"""),"600574")</f>
        <v>600574</v>
      </c>
      <c r="AE6" s="12" t="str">
        <f>IFERROR(__xludf.DUMMYFUNCTION("""COMPUTED_VALUE"""),"SEPARADOR VASOS BOTELLAS 32X23X32")</f>
        <v>SEPARADOR VASOS BOTELLAS 32X23X32</v>
      </c>
      <c r="AF6" s="30">
        <f>IFERROR(__xludf.DUMMYFUNCTION("""COMPUTED_VALUE"""),716.0)</f>
        <v>716</v>
      </c>
      <c r="AG6" s="12" t="str">
        <f>IFERROR(__xludf.DUMMYFUNCTION("""COMPUTED_VALUE"""),"PROVEEDOR")</f>
        <v>PROVEEDOR</v>
      </c>
      <c r="AH6" s="12">
        <f>IFERROR(__xludf.DUMMYFUNCTION("""COMPUTED_VALUE"""),2.0)</f>
        <v>2</v>
      </c>
      <c r="AI6" s="12" t="str">
        <f>IFERROR(__xludf.DUMMYFUNCTION("""COMPUTED_VALUE"""),"1")</f>
        <v>1</v>
      </c>
      <c r="AJ6" s="12" t="str">
        <f>IFERROR(__xludf.DUMMYFUNCTION("""COMPUTED_VALUE"""),"3")</f>
        <v>3</v>
      </c>
      <c r="AK6" s="12">
        <f>IFERROR(__xludf.DUMMYFUNCTION("""COMPUTED_VALUE"""),10.0)</f>
        <v>10</v>
      </c>
      <c r="AL6" s="12" t="str">
        <f>IFERROR(__xludf.DUMMYFUNCTION("""COMPUTED_VALUE"""),"SUMMIT")</f>
        <v>SUMMIT</v>
      </c>
      <c r="AP6" s="12"/>
      <c r="AQ6" s="12"/>
      <c r="BC6" s="12"/>
      <c r="BH6" s="12" t="str">
        <f>IFERROR(__xludf.DUMMYFUNCTION("IFERROR(INDEX(QUERY(IMPORTRANGE(""1T7HG8KEs-Ob7f3M5atEVN9Yn7IeORGp0QGvggB62ELw"",""Maestro!A:I""),""SELECT Col8 WHERE Col3 = '""&amp;BE6&amp;""'"", 0), 1, 1),""NO ENCONTRADO"")"),"D")</f>
        <v>D</v>
      </c>
      <c r="BI6" s="16">
        <v>1.0</v>
      </c>
      <c r="BJ6" s="16">
        <f t="shared" si="4"/>
        <v>360</v>
      </c>
      <c r="BK6" s="12"/>
      <c r="BR6" s="12"/>
      <c r="BY6" s="14"/>
      <c r="CC6" s="14"/>
      <c r="CD6" s="14"/>
      <c r="CE6" s="14"/>
      <c r="CF6" s="12"/>
      <c r="CG6" s="12"/>
      <c r="CH6" s="12"/>
      <c r="CI6" s="12"/>
      <c r="CJ6" s="12"/>
      <c r="CK6" s="12"/>
      <c r="CL6" s="12"/>
      <c r="CM6" s="12"/>
      <c r="CN6" s="12"/>
      <c r="CO6" s="12"/>
    </row>
    <row r="7">
      <c r="A7" s="18">
        <v>1.0</v>
      </c>
      <c r="B7" s="19" t="s">
        <v>18</v>
      </c>
      <c r="C7" s="19" t="s">
        <v>36</v>
      </c>
      <c r="D7" s="20" t="str">
        <f t="shared" si="1"/>
        <v>1-1-6</v>
      </c>
      <c r="E7" s="50"/>
      <c r="F7" s="51"/>
      <c r="G7" s="46"/>
      <c r="H7" s="47"/>
      <c r="I7" s="48"/>
      <c r="J7" s="52"/>
      <c r="K7" s="32" t="str">
        <f t="shared" si="2"/>
        <v>DISPONIBLE</v>
      </c>
      <c r="L7" s="33">
        <f t="shared" si="3"/>
        <v>6</v>
      </c>
      <c r="M7" s="33" t="s">
        <v>23</v>
      </c>
      <c r="N7" s="53"/>
      <c r="O7" s="34"/>
      <c r="P7" s="12"/>
      <c r="Q7" s="12"/>
      <c r="R7" s="12"/>
      <c r="S7" s="12"/>
      <c r="T7" s="12"/>
      <c r="U7" s="12"/>
      <c r="V7" s="12"/>
      <c r="AB7" s="12"/>
      <c r="AC7" s="12" t="str">
        <f>IFERROR(__xludf.DUMMYFUNCTION("""COMPUTED_VALUE"""),"2-2-1")</f>
        <v>2-2-1</v>
      </c>
      <c r="AD7" s="12" t="str">
        <f>IFERROR(__xludf.DUMMYFUNCTION("""COMPUTED_VALUE"""),"691411")</f>
        <v>691411</v>
      </c>
      <c r="AE7" s="12" t="str">
        <f>IFERROR(__xludf.DUMMYFUNCTION("""COMPUTED_VALUE"""),"CAJA CARTON ENVIOS SB 18x10x8 CM.")</f>
        <v>CAJA CARTON ENVIOS SB 18x10x8 CM.</v>
      </c>
      <c r="AF7" s="30">
        <f>IFERROR(__xludf.DUMMYFUNCTION("""COMPUTED_VALUE"""),1640.0)</f>
        <v>1640</v>
      </c>
      <c r="AG7" s="12" t="str">
        <f>IFERROR(__xludf.DUMMYFUNCTION("""COMPUTED_VALUE"""),"PROVEEDOR")</f>
        <v>PROVEEDOR</v>
      </c>
      <c r="AH7" s="12">
        <f>IFERROR(__xludf.DUMMYFUNCTION("""COMPUTED_VALUE"""),2.0)</f>
        <v>2</v>
      </c>
      <c r="AI7" s="12" t="str">
        <f>IFERROR(__xludf.DUMMYFUNCTION("""COMPUTED_VALUE"""),"2")</f>
        <v>2</v>
      </c>
      <c r="AJ7" s="12" t="str">
        <f>IFERROR(__xludf.DUMMYFUNCTION("""COMPUTED_VALUE"""),"1")</f>
        <v>1</v>
      </c>
      <c r="AK7" s="12">
        <f>IFERROR(__xludf.DUMMYFUNCTION("""COMPUTED_VALUE"""),11.0)</f>
        <v>11</v>
      </c>
      <c r="AL7" s="12" t="str">
        <f>IFERROR(__xludf.DUMMYFUNCTION("""COMPUTED_VALUE"""),"SUMMIT")</f>
        <v>SUMMIT</v>
      </c>
      <c r="AP7" s="12"/>
      <c r="AQ7" s="12"/>
      <c r="BC7" s="12"/>
      <c r="BH7" s="12" t="str">
        <f>IFERROR(__xludf.DUMMYFUNCTION("IFERROR(INDEX(QUERY(IMPORTRANGE(""1T7HG8KEs-Ob7f3M5atEVN9Yn7IeORGp0QGvggB62ELw"",""Maestro!A:I""),""SELECT Col8 WHERE Col3 = '""&amp;BE7&amp;""'"", 0), 1, 1),""NO ENCONTRADO"")"),"")</f>
        <v/>
      </c>
      <c r="BI7" s="16">
        <v>1.0</v>
      </c>
      <c r="BJ7" s="16">
        <f t="shared" si="4"/>
        <v>0</v>
      </c>
      <c r="BK7" s="12"/>
      <c r="BR7" s="12"/>
      <c r="BY7" s="14"/>
      <c r="CC7" s="14"/>
      <c r="CD7" s="14"/>
      <c r="CE7" s="14"/>
      <c r="CF7" s="12"/>
      <c r="CG7" s="12"/>
      <c r="CH7" s="12"/>
      <c r="CI7" s="12"/>
      <c r="CJ7" s="12"/>
      <c r="CK7" s="12"/>
      <c r="CL7" s="12"/>
      <c r="CM7" s="12"/>
      <c r="CN7" s="12"/>
      <c r="CO7" s="12"/>
    </row>
    <row r="8">
      <c r="A8" s="54">
        <v>1.0</v>
      </c>
      <c r="B8" s="55" t="s">
        <v>18</v>
      </c>
      <c r="C8" s="55" t="s">
        <v>48</v>
      </c>
      <c r="D8" s="56" t="str">
        <f t="shared" si="1"/>
        <v>1-1-7</v>
      </c>
      <c r="E8" s="57"/>
      <c r="F8" s="58"/>
      <c r="G8" s="59"/>
      <c r="H8" s="60"/>
      <c r="I8" s="61"/>
      <c r="J8" s="62"/>
      <c r="K8" s="63" t="str">
        <f t="shared" si="2"/>
        <v>DISPONIBLE</v>
      </c>
      <c r="L8" s="64">
        <f t="shared" si="3"/>
        <v>7</v>
      </c>
      <c r="M8" s="64" t="s">
        <v>23</v>
      </c>
      <c r="N8" s="65"/>
      <c r="O8" s="66"/>
      <c r="P8" s="12"/>
      <c r="Q8" s="12"/>
      <c r="R8" s="12"/>
      <c r="S8" s="12"/>
      <c r="T8" s="12"/>
      <c r="U8" s="12"/>
      <c r="V8" s="12"/>
      <c r="AB8" s="12"/>
      <c r="AC8" s="12" t="str">
        <f>IFERROR(__xludf.DUMMYFUNCTION("""COMPUTED_VALUE"""),"2-2-3")</f>
        <v>2-2-3</v>
      </c>
      <c r="AD8" s="12" t="str">
        <f>IFERROR(__xludf.DUMMYFUNCTION("""COMPUTED_VALUE"""),"600666")</f>
        <v>600666</v>
      </c>
      <c r="AE8" s="12" t="str">
        <f>IFERROR(__xludf.DUMMYFUNCTION("""COMPUTED_VALUE"""),"CAJA CARTON S/IMP 32x23x32 CM")</f>
        <v>CAJA CARTON S/IMP 32x23x32 CM</v>
      </c>
      <c r="AF8" s="30">
        <f>IFERROR(__xludf.DUMMYFUNCTION("""COMPUTED_VALUE"""),600.0)</f>
        <v>600</v>
      </c>
      <c r="AG8" s="12" t="str">
        <f>IFERROR(__xludf.DUMMYFUNCTION("""COMPUTED_VALUE"""),"PROVEEDOR")</f>
        <v>PROVEEDOR</v>
      </c>
      <c r="AH8" s="12">
        <f>IFERROR(__xludf.DUMMYFUNCTION("""COMPUTED_VALUE"""),2.0)</f>
        <v>2</v>
      </c>
      <c r="AI8" s="12" t="str">
        <f>IFERROR(__xludf.DUMMYFUNCTION("""COMPUTED_VALUE"""),"2")</f>
        <v>2</v>
      </c>
      <c r="AJ8" s="12" t="str">
        <f>IFERROR(__xludf.DUMMYFUNCTION("""COMPUTED_VALUE"""),"3")</f>
        <v>3</v>
      </c>
      <c r="AK8" s="12">
        <f>IFERROR(__xludf.DUMMYFUNCTION("""COMPUTED_VALUE"""),13.0)</f>
        <v>13</v>
      </c>
      <c r="AL8" s="12" t="str">
        <f>IFERROR(__xludf.DUMMYFUNCTION("""COMPUTED_VALUE"""),"SUMMIT")</f>
        <v>SUMMIT</v>
      </c>
      <c r="AP8" s="12"/>
      <c r="AQ8" s="12"/>
      <c r="BC8" s="12"/>
      <c r="BH8" s="12" t="str">
        <f>IFERROR(__xludf.DUMMYFUNCTION("IFERROR(INDEX(QUERY(IMPORTRANGE(""1T7HG8KEs-Ob7f3M5atEVN9Yn7IeORGp0QGvggB62ELw"",""Maestro!A:I""),""SELECT Col8 WHERE Col3 = '""&amp;BE8&amp;""'"", 0), 1, 1),""NO ENCONTRADO"")"),"D")</f>
        <v>D</v>
      </c>
      <c r="BI8" s="16">
        <v>1.0</v>
      </c>
      <c r="BJ8" s="16">
        <f t="shared" si="4"/>
        <v>716</v>
      </c>
      <c r="BK8" s="12"/>
      <c r="BR8" s="12"/>
      <c r="BY8" s="14"/>
      <c r="CC8" s="14"/>
      <c r="CD8" s="14"/>
      <c r="CE8" s="14"/>
      <c r="CF8" s="12"/>
      <c r="CG8" s="12"/>
      <c r="CH8" s="12"/>
      <c r="CI8" s="12"/>
      <c r="CJ8" s="12"/>
      <c r="CK8" s="12"/>
      <c r="CL8" s="12"/>
      <c r="CM8" s="12"/>
      <c r="CN8" s="12"/>
      <c r="CO8" s="12"/>
    </row>
    <row r="9">
      <c r="A9" s="67">
        <v>2.0</v>
      </c>
      <c r="B9" s="68" t="s">
        <v>18</v>
      </c>
      <c r="C9" s="68" t="s">
        <v>18</v>
      </c>
      <c r="D9" s="69" t="str">
        <f t="shared" si="1"/>
        <v>2-1-1</v>
      </c>
      <c r="E9" s="50"/>
      <c r="F9" s="51"/>
      <c r="G9" s="46"/>
      <c r="H9" s="47"/>
      <c r="I9" s="48"/>
      <c r="J9" s="52"/>
      <c r="K9" s="32" t="str">
        <f t="shared" si="2"/>
        <v>DISPONIBLE</v>
      </c>
      <c r="L9" s="33">
        <f t="shared" si="3"/>
        <v>8</v>
      </c>
      <c r="M9" s="33" t="s">
        <v>23</v>
      </c>
      <c r="N9" s="53"/>
      <c r="O9" s="34"/>
      <c r="P9" s="12"/>
      <c r="Q9" s="12"/>
      <c r="R9" s="12"/>
      <c r="S9" s="12"/>
      <c r="T9" s="12"/>
      <c r="U9" s="12"/>
      <c r="V9" s="12"/>
      <c r="AB9" s="12"/>
      <c r="AC9" s="12" t="str">
        <f>IFERROR(__xludf.DUMMYFUNCTION("""COMPUTED_VALUE"""),"2-4-2")</f>
        <v>2-4-2</v>
      </c>
      <c r="AD9" s="12" t="str">
        <f>IFERROR(__xludf.DUMMYFUNCTION("""COMPUTED_VALUE"""),"600505X")</f>
        <v>600505X</v>
      </c>
      <c r="AE9" s="12" t="str">
        <f>IFERROR(__xludf.DUMMYFUNCTION("""COMPUTED_VALUE"""),"CAJA CARTON CON ASAS 70X30X30 CM EASY")</f>
        <v>CAJA CARTON CON ASAS 70X30X30 CM EASY</v>
      </c>
      <c r="AF9" s="30">
        <f>IFERROR(__xludf.DUMMYFUNCTION("""COMPUTED_VALUE"""),680.0)</f>
        <v>680</v>
      </c>
      <c r="AG9" s="12" t="str">
        <f>IFERROR(__xludf.DUMMYFUNCTION("""COMPUTED_VALUE"""),"PROVEEDOR")</f>
        <v>PROVEEDOR</v>
      </c>
      <c r="AH9" s="12">
        <f>IFERROR(__xludf.DUMMYFUNCTION("""COMPUTED_VALUE"""),2.0)</f>
        <v>2</v>
      </c>
      <c r="AI9" s="12" t="str">
        <f>IFERROR(__xludf.DUMMYFUNCTION("""COMPUTED_VALUE"""),"4")</f>
        <v>4</v>
      </c>
      <c r="AJ9" s="12" t="str">
        <f>IFERROR(__xludf.DUMMYFUNCTION("""COMPUTED_VALUE"""),"2")</f>
        <v>2</v>
      </c>
      <c r="AK9" s="12">
        <f>IFERROR(__xludf.DUMMYFUNCTION("""COMPUTED_VALUE"""),18.0)</f>
        <v>18</v>
      </c>
      <c r="AL9" s="12" t="str">
        <f>IFERROR(__xludf.DUMMYFUNCTION("""COMPUTED_VALUE"""),"SUMMIT")</f>
        <v>SUMMIT</v>
      </c>
      <c r="AP9" s="12"/>
      <c r="AQ9" s="12"/>
      <c r="BC9" s="12"/>
      <c r="BH9" s="12" t="str">
        <f>IFERROR(__xludf.DUMMYFUNCTION("IFERROR(INDEX(QUERY(IMPORTRANGE(""1T7HG8KEs-Ob7f3M5atEVN9Yn7IeORGp0QGvggB62ELw"",""Maestro!A:I""),""SELECT Col8 WHERE Col3 = '""&amp;BE9&amp;""'"", 0), 1, 1),""NO ENCONTRADO"")"),"D")</f>
        <v>D</v>
      </c>
      <c r="BI9" s="16">
        <v>1.0</v>
      </c>
      <c r="BJ9" s="16">
        <f t="shared" si="4"/>
        <v>1640</v>
      </c>
      <c r="BK9" s="12"/>
      <c r="BR9" s="12"/>
      <c r="BY9" s="14"/>
      <c r="CC9" s="14"/>
      <c r="CD9" s="14"/>
      <c r="CE9" s="14"/>
      <c r="CF9" s="12"/>
      <c r="CG9" s="12"/>
      <c r="CH9" s="12"/>
      <c r="CI9" s="12"/>
      <c r="CJ9" s="12"/>
      <c r="CK9" s="12"/>
      <c r="CL9" s="12"/>
      <c r="CM9" s="12"/>
      <c r="CN9" s="12"/>
      <c r="CO9" s="12"/>
    </row>
    <row r="10">
      <c r="A10" s="67">
        <v>2.0</v>
      </c>
      <c r="B10" s="68" t="s">
        <v>18</v>
      </c>
      <c r="C10" s="68" t="s">
        <v>32</v>
      </c>
      <c r="D10" s="69" t="str">
        <f t="shared" si="1"/>
        <v>2-1-2</v>
      </c>
      <c r="E10" s="50"/>
      <c r="F10" s="51"/>
      <c r="G10" s="46"/>
      <c r="H10" s="47"/>
      <c r="I10" s="48"/>
      <c r="J10" s="52"/>
      <c r="K10" s="27" t="str">
        <f t="shared" si="2"/>
        <v>DISPONIBLE</v>
      </c>
      <c r="L10" s="28">
        <f t="shared" si="3"/>
        <v>9</v>
      </c>
      <c r="M10" s="28" t="s">
        <v>23</v>
      </c>
      <c r="N10" s="70"/>
      <c r="O10" s="29"/>
      <c r="P10" s="12"/>
      <c r="Q10" s="12"/>
      <c r="R10" s="12"/>
      <c r="S10" s="12"/>
      <c r="T10" s="12"/>
      <c r="U10" s="12"/>
      <c r="V10" s="12"/>
      <c r="AB10" s="12"/>
      <c r="AC10" s="12" t="str">
        <f>IFERROR(__xludf.DUMMYFUNCTION("""COMPUTED_VALUE"""),"2-5-1")</f>
        <v>2-5-1</v>
      </c>
      <c r="AD10" s="12" t="str">
        <f>IFERROR(__xludf.DUMMYFUNCTION("""COMPUTED_VALUE"""),"600673")</f>
        <v>600673</v>
      </c>
      <c r="AE10" s="12" t="str">
        <f>IFERROR(__xludf.DUMMYFUNCTION("""COMPUTED_VALUE"""),"ROLLO PAPEL KRAFT 35GR 57X25 MT")</f>
        <v>ROLLO PAPEL KRAFT 35GR 57X25 MT</v>
      </c>
      <c r="AF10" s="30">
        <f>IFERROR(__xludf.DUMMYFUNCTION("""COMPUTED_VALUE"""),214.0)</f>
        <v>214</v>
      </c>
      <c r="AG10" s="12" t="str">
        <f>IFERROR(__xludf.DUMMYFUNCTION("""COMPUTED_VALUE"""),"PROVEEDOR")</f>
        <v>PROVEEDOR</v>
      </c>
      <c r="AH10" s="12">
        <f>IFERROR(__xludf.DUMMYFUNCTION("""COMPUTED_VALUE"""),2.0)</f>
        <v>2</v>
      </c>
      <c r="AI10" s="12" t="str">
        <f>IFERROR(__xludf.DUMMYFUNCTION("""COMPUTED_VALUE"""),"5")</f>
        <v>5</v>
      </c>
      <c r="AJ10" s="12" t="str">
        <f>IFERROR(__xludf.DUMMYFUNCTION("""COMPUTED_VALUE"""),"1")</f>
        <v>1</v>
      </c>
      <c r="AK10" s="12">
        <f>IFERROR(__xludf.DUMMYFUNCTION("""COMPUTED_VALUE"""),20.0)</f>
        <v>20</v>
      </c>
      <c r="AL10" s="12" t="str">
        <f>IFERROR(__xludf.DUMMYFUNCTION("""COMPUTED_VALUE"""),"SUMMIT")</f>
        <v>SUMMIT</v>
      </c>
      <c r="AP10" s="12"/>
      <c r="AQ10" s="12"/>
      <c r="BC10" s="12"/>
      <c r="BH10" s="12" t="str">
        <f>IFERROR(__xludf.DUMMYFUNCTION("IFERROR(INDEX(QUERY(IMPORTRANGE(""1T7HG8KEs-Ob7f3M5atEVN9Yn7IeORGp0QGvggB62ELw"",""Maestro!A:I""),""SELECT Col8 WHERE Col3 = '""&amp;BE10&amp;""'"", 0), 1, 1),""NO ENCONTRADO"")"),"D")</f>
        <v>D</v>
      </c>
      <c r="BI10" s="16">
        <v>1.0</v>
      </c>
      <c r="BJ10" s="16">
        <f t="shared" si="4"/>
        <v>600</v>
      </c>
      <c r="BK10" s="12"/>
      <c r="BR10" s="12"/>
      <c r="BY10" s="14"/>
      <c r="CC10" s="14"/>
      <c r="CD10" s="14"/>
      <c r="CE10" s="14"/>
      <c r="CF10" s="12"/>
      <c r="CG10" s="12"/>
      <c r="CH10" s="12"/>
      <c r="CI10" s="12"/>
      <c r="CJ10" s="12"/>
      <c r="CK10" s="12"/>
      <c r="CL10" s="12"/>
      <c r="CM10" s="12"/>
      <c r="CN10" s="12"/>
      <c r="CO10" s="12"/>
    </row>
    <row r="11">
      <c r="A11" s="67">
        <v>2.0</v>
      </c>
      <c r="B11" s="68" t="s">
        <v>18</v>
      </c>
      <c r="C11" s="68" t="s">
        <v>44</v>
      </c>
      <c r="D11" s="69" t="str">
        <f t="shared" si="1"/>
        <v>2-1-3</v>
      </c>
      <c r="E11" s="21">
        <v>45818.0</v>
      </c>
      <c r="F11" s="71" t="s">
        <v>98</v>
      </c>
      <c r="G11" s="23" t="s">
        <v>63</v>
      </c>
      <c r="H11" s="24" t="s">
        <v>64</v>
      </c>
      <c r="I11" s="25">
        <v>716.0</v>
      </c>
      <c r="J11" s="26" t="s">
        <v>22</v>
      </c>
      <c r="K11" s="32" t="str">
        <f t="shared" si="2"/>
        <v>OCUPADO</v>
      </c>
      <c r="L11" s="33">
        <f t="shared" si="3"/>
        <v>10</v>
      </c>
      <c r="M11" s="33" t="s">
        <v>23</v>
      </c>
      <c r="N11" s="53"/>
      <c r="O11" s="34" t="s">
        <v>24</v>
      </c>
      <c r="P11" s="12"/>
      <c r="Q11" s="12"/>
      <c r="R11" s="12"/>
      <c r="S11" s="12"/>
      <c r="T11" s="12"/>
      <c r="U11" s="12"/>
      <c r="V11" s="12"/>
      <c r="AB11" s="12"/>
      <c r="AC11" s="12" t="str">
        <f>IFERROR(__xludf.DUMMYFUNCTION("""COMPUTED_VALUE"""),"2-6-1")</f>
        <v>2-6-1</v>
      </c>
      <c r="AD11" s="12" t="str">
        <f>IFERROR(__xludf.DUMMYFUNCTION("""COMPUTED_VALUE"""),"600536")</f>
        <v>600536</v>
      </c>
      <c r="AE11" s="12" t="str">
        <f>IFERROR(__xludf.DUMMYFUNCTION("""COMPUTED_VALUE"""),"ROLLO PAPEL KRAFT 35GR 57X20 MT")</f>
        <v>ROLLO PAPEL KRAFT 35GR 57X20 MT</v>
      </c>
      <c r="AF11" s="30">
        <f>IFERROR(__xludf.DUMMYFUNCTION("""COMPUTED_VALUE"""),311.0)</f>
        <v>311</v>
      </c>
      <c r="AG11" s="12" t="str">
        <f>IFERROR(__xludf.DUMMYFUNCTION("""COMPUTED_VALUE"""),"PROVEEDOR")</f>
        <v>PROVEEDOR</v>
      </c>
      <c r="AH11" s="12">
        <f>IFERROR(__xludf.DUMMYFUNCTION("""COMPUTED_VALUE"""),2.0)</f>
        <v>2</v>
      </c>
      <c r="AI11" s="12" t="str">
        <f>IFERROR(__xludf.DUMMYFUNCTION("""COMPUTED_VALUE"""),"6")</f>
        <v>6</v>
      </c>
      <c r="AJ11" s="12" t="str">
        <f>IFERROR(__xludf.DUMMYFUNCTION("""COMPUTED_VALUE"""),"1")</f>
        <v>1</v>
      </c>
      <c r="AK11" s="12">
        <f>IFERROR(__xludf.DUMMYFUNCTION("""COMPUTED_VALUE"""),23.0)</f>
        <v>23</v>
      </c>
      <c r="AL11" s="12" t="str">
        <f>IFERROR(__xludf.DUMMYFUNCTION("""COMPUTED_VALUE"""),"SUMMIT")</f>
        <v>SUMMIT</v>
      </c>
      <c r="AP11" s="12"/>
      <c r="AQ11" s="12"/>
      <c r="BC11" s="12"/>
      <c r="BH11" s="12" t="str">
        <f>IFERROR(__xludf.DUMMYFUNCTION("IFERROR(INDEX(QUERY(IMPORTRANGE(""1T7HG8KEs-Ob7f3M5atEVN9Yn7IeORGp0QGvggB62ELw"",""Maestro!A:I""),""SELECT Col8 WHERE Col3 = '""&amp;BE11&amp;""'"", 0), 1, 1),""NO ENCONTRADO"")"),"")</f>
        <v/>
      </c>
      <c r="BI11" s="16">
        <v>1.0</v>
      </c>
      <c r="BJ11" s="16">
        <f t="shared" si="4"/>
        <v>0</v>
      </c>
      <c r="BK11" s="12"/>
      <c r="BR11" s="12"/>
      <c r="BY11" s="14"/>
      <c r="CC11" s="14"/>
      <c r="CD11" s="14"/>
      <c r="CE11" s="14"/>
      <c r="CF11" s="12"/>
      <c r="CG11" s="12"/>
      <c r="CH11" s="12"/>
      <c r="CI11" s="12"/>
      <c r="CJ11" s="12"/>
      <c r="CK11" s="12"/>
      <c r="CL11" s="12"/>
      <c r="CM11" s="12"/>
      <c r="CN11" s="12"/>
      <c r="CO11" s="12"/>
    </row>
    <row r="12">
      <c r="A12" s="67">
        <v>2.0</v>
      </c>
      <c r="B12" s="68" t="s">
        <v>32</v>
      </c>
      <c r="C12" s="68" t="s">
        <v>18</v>
      </c>
      <c r="D12" s="69" t="str">
        <f t="shared" si="1"/>
        <v>2-2-1</v>
      </c>
      <c r="E12" s="21">
        <v>45733.0</v>
      </c>
      <c r="F12" s="22" t="s">
        <v>19</v>
      </c>
      <c r="G12" s="23" t="s">
        <v>70</v>
      </c>
      <c r="H12" s="24" t="s">
        <v>71</v>
      </c>
      <c r="I12" s="25">
        <v>1640.0</v>
      </c>
      <c r="J12" s="26" t="s">
        <v>22</v>
      </c>
      <c r="K12" s="27" t="str">
        <f t="shared" si="2"/>
        <v>OCUPADO</v>
      </c>
      <c r="L12" s="28">
        <f t="shared" si="3"/>
        <v>11</v>
      </c>
      <c r="M12" s="28" t="s">
        <v>23</v>
      </c>
      <c r="N12" s="70"/>
      <c r="O12" s="29" t="s">
        <v>24</v>
      </c>
      <c r="P12" s="12"/>
      <c r="Q12" s="12"/>
      <c r="R12" s="12"/>
      <c r="S12" s="12"/>
      <c r="T12" s="12"/>
      <c r="U12" s="12"/>
      <c r="V12" s="12"/>
      <c r="AB12" s="12"/>
      <c r="AC12" s="12" t="str">
        <f>IFERROR(__xludf.DUMMYFUNCTION("""COMPUTED_VALUE"""),"2-6-2")</f>
        <v>2-6-2</v>
      </c>
      <c r="AD12" s="12" t="str">
        <f>IFERROR(__xludf.DUMMYFUNCTION("""COMPUTED_VALUE"""),"600567XX")</f>
        <v>600567XX</v>
      </c>
      <c r="AE12" s="12" t="str">
        <f>IFERROR(__xludf.DUMMYFUNCTION("""COMPUTED_VALUE"""),"PDQ SEPARADOR PLATO")</f>
        <v>PDQ SEPARADOR PLATO</v>
      </c>
      <c r="AF12" s="30">
        <f>IFERROR(__xludf.DUMMYFUNCTION("""COMPUTED_VALUE"""),32.0)</f>
        <v>32</v>
      </c>
      <c r="AG12" s="12" t="str">
        <f>IFERROR(__xludf.DUMMYFUNCTION("""COMPUTED_VALUE"""),"PROVEEDOR")</f>
        <v>PROVEEDOR</v>
      </c>
      <c r="AH12" s="12">
        <f>IFERROR(__xludf.DUMMYFUNCTION("""COMPUTED_VALUE"""),2.0)</f>
        <v>2</v>
      </c>
      <c r="AI12" s="12" t="str">
        <f>IFERROR(__xludf.DUMMYFUNCTION("""COMPUTED_VALUE"""),"6")</f>
        <v>6</v>
      </c>
      <c r="AJ12" s="12" t="str">
        <f>IFERROR(__xludf.DUMMYFUNCTION("""COMPUTED_VALUE"""),"2")</f>
        <v>2</v>
      </c>
      <c r="AK12" s="12">
        <f>IFERROR(__xludf.DUMMYFUNCTION("""COMPUTED_VALUE"""),24.0)</f>
        <v>24</v>
      </c>
      <c r="AL12" s="12" t="str">
        <f>IFERROR(__xludf.DUMMYFUNCTION("""COMPUTED_VALUE"""),"SUMMIT")</f>
        <v>SUMMIT</v>
      </c>
      <c r="AP12" s="12"/>
      <c r="AQ12" s="12"/>
      <c r="BC12" s="12"/>
      <c r="BH12" s="12" t="str">
        <f>IFERROR(__xludf.DUMMYFUNCTION("IFERROR(INDEX(QUERY(IMPORTRANGE(""1T7HG8KEs-Ob7f3M5atEVN9Yn7IeORGp0QGvggB62ELw"",""Maestro!A:I""),""SELECT Col8 WHERE Col3 = '""&amp;BE12&amp;""'"", 0), 1, 1),""NO ENCONTRADO"")"),"")</f>
        <v/>
      </c>
      <c r="BI12" s="16">
        <v>1.0</v>
      </c>
      <c r="BJ12" s="16">
        <f t="shared" si="4"/>
        <v>0</v>
      </c>
      <c r="BK12" s="12"/>
      <c r="BR12" s="12"/>
      <c r="BY12" s="14"/>
      <c r="CC12" s="14"/>
      <c r="CD12" s="14"/>
      <c r="CE12" s="14"/>
      <c r="CF12" s="12"/>
      <c r="CG12" s="12"/>
      <c r="CH12" s="12"/>
      <c r="CI12" s="12"/>
      <c r="CJ12" s="12"/>
      <c r="CK12" s="12"/>
      <c r="CL12" s="12"/>
      <c r="CM12" s="12"/>
      <c r="CN12" s="12"/>
      <c r="CO12" s="12"/>
    </row>
    <row r="13">
      <c r="A13" s="67">
        <v>2.0</v>
      </c>
      <c r="B13" s="68" t="s">
        <v>32</v>
      </c>
      <c r="C13" s="68" t="s">
        <v>32</v>
      </c>
      <c r="D13" s="69" t="str">
        <f t="shared" si="1"/>
        <v>2-2-2</v>
      </c>
      <c r="E13" s="50"/>
      <c r="F13" s="51"/>
      <c r="G13" s="46"/>
      <c r="H13" s="47"/>
      <c r="I13" s="48"/>
      <c r="J13" s="52"/>
      <c r="K13" s="32" t="str">
        <f t="shared" si="2"/>
        <v>DISPONIBLE</v>
      </c>
      <c r="L13" s="33">
        <f t="shared" si="3"/>
        <v>12</v>
      </c>
      <c r="M13" s="33" t="s">
        <v>23</v>
      </c>
      <c r="N13" s="53"/>
      <c r="O13" s="34"/>
      <c r="P13" s="12"/>
      <c r="Q13" s="12"/>
      <c r="R13" s="12"/>
      <c r="S13" s="12"/>
      <c r="T13" s="12"/>
      <c r="U13" s="12"/>
      <c r="V13" s="12"/>
      <c r="AB13" s="12"/>
      <c r="AC13" s="12" t="str">
        <f>IFERROR(__xludf.DUMMYFUNCTION("""COMPUTED_VALUE"""),"3-1-1A")</f>
        <v>3-1-1A</v>
      </c>
      <c r="AD13" s="12" t="str">
        <f>IFERROR(__xludf.DUMMYFUNCTION("""COMPUTED_VALUE"""),"657325")</f>
        <v>657325</v>
      </c>
      <c r="AE13" s="12" t="str">
        <f>IFERROR(__xludf.DUMMYFUNCTION("""COMPUTED_VALUE"""),"FILM STRECH MANUAL 20MIC X 500MM 2,0KG")</f>
        <v>FILM STRECH MANUAL 20MIC X 500MM 2,0KG</v>
      </c>
      <c r="AF13" s="30">
        <f>IFERROR(__xludf.DUMMYFUNCTION("""COMPUTED_VALUE"""),180.0)</f>
        <v>180</v>
      </c>
      <c r="AG13" s="12" t="str">
        <f>IFERROR(__xludf.DUMMYFUNCTION("""COMPUTED_VALUE"""),"PROVEEDOR")</f>
        <v>PROVEEDOR</v>
      </c>
      <c r="AH13" s="12">
        <f>IFERROR(__xludf.DUMMYFUNCTION("""COMPUTED_VALUE"""),3.0)</f>
        <v>3</v>
      </c>
      <c r="AI13" s="12" t="str">
        <f>IFERROR(__xludf.DUMMYFUNCTION("""COMPUTED_VALUE"""),"1")</f>
        <v>1</v>
      </c>
      <c r="AJ13" s="12" t="str">
        <f>IFERROR(__xludf.DUMMYFUNCTION("""COMPUTED_VALUE"""),"1A")</f>
        <v>1A</v>
      </c>
      <c r="AK13" s="12">
        <f>IFERROR(__xludf.DUMMYFUNCTION("""COMPUTED_VALUE"""),26.0)</f>
        <v>26</v>
      </c>
      <c r="AL13" s="12" t="str">
        <f>IFERROR(__xludf.DUMMYFUNCTION("""COMPUTED_VALUE"""),"SUMMIT")</f>
        <v>SUMMIT</v>
      </c>
      <c r="AP13" s="12"/>
      <c r="AQ13" s="12"/>
      <c r="BC13" s="12"/>
      <c r="BH13" s="12" t="str">
        <f>IFERROR(__xludf.DUMMYFUNCTION("IFERROR(INDEX(QUERY(IMPORTRANGE(""1T7HG8KEs-Ob7f3M5atEVN9Yn7IeORGp0QGvggB62ELw"",""Maestro!A:I""),""SELECT Col8 WHERE Col3 = '""&amp;BE13&amp;""'"", 0), 1, 1),""NO ENCONTRADO"")"),"D")</f>
        <v>D</v>
      </c>
      <c r="BI13" s="16">
        <v>1.0</v>
      </c>
      <c r="BJ13" s="16">
        <f t="shared" si="4"/>
        <v>680</v>
      </c>
      <c r="BK13" s="12"/>
      <c r="BR13" s="12"/>
      <c r="BY13" s="14"/>
      <c r="CC13" s="14"/>
      <c r="CD13" s="14"/>
      <c r="CE13" s="14"/>
      <c r="CF13" s="12"/>
      <c r="CG13" s="12"/>
      <c r="CH13" s="12"/>
      <c r="CI13" s="12"/>
      <c r="CJ13" s="12"/>
      <c r="CK13" s="12"/>
      <c r="CL13" s="12"/>
      <c r="CM13" s="12"/>
      <c r="CN13" s="12"/>
      <c r="CO13" s="12"/>
    </row>
    <row r="14">
      <c r="A14" s="67">
        <v>2.0</v>
      </c>
      <c r="B14" s="68" t="s">
        <v>32</v>
      </c>
      <c r="C14" s="68" t="s">
        <v>44</v>
      </c>
      <c r="D14" s="69" t="str">
        <f t="shared" si="1"/>
        <v>2-2-3</v>
      </c>
      <c r="E14" s="21">
        <v>45818.0</v>
      </c>
      <c r="F14" s="71" t="s">
        <v>121</v>
      </c>
      <c r="G14" s="23" t="s">
        <v>77</v>
      </c>
      <c r="H14" s="24" t="s">
        <v>78</v>
      </c>
      <c r="I14" s="25">
        <v>600.0</v>
      </c>
      <c r="J14" s="26" t="s">
        <v>22</v>
      </c>
      <c r="K14" s="27" t="str">
        <f t="shared" si="2"/>
        <v>OCUPADO</v>
      </c>
      <c r="L14" s="28">
        <f t="shared" si="3"/>
        <v>13</v>
      </c>
      <c r="M14" s="28" t="s">
        <v>23</v>
      </c>
      <c r="N14" s="70"/>
      <c r="O14" s="29" t="s">
        <v>24</v>
      </c>
      <c r="P14" s="12"/>
      <c r="Q14" s="12"/>
      <c r="R14" s="12"/>
      <c r="S14" s="12"/>
      <c r="T14" s="12"/>
      <c r="U14" s="12"/>
      <c r="V14" s="12"/>
      <c r="AB14" s="12"/>
      <c r="AC14" s="12" t="str">
        <f>IFERROR(__xludf.DUMMYFUNCTION("""COMPUTED_VALUE"""),"3-1-2A")</f>
        <v>3-1-2A</v>
      </c>
      <c r="AD14" s="12" t="str">
        <f>IFERROR(__xludf.DUMMYFUNCTION("""COMPUTED_VALUE"""),"600567")</f>
        <v>600567</v>
      </c>
      <c r="AE14" s="12" t="str">
        <f>IFERROR(__xludf.DUMMYFUNCTION("""COMPUTED_VALUE"""),"SEPARADORES PLATOS 32X23X32")</f>
        <v>SEPARADORES PLATOS 32X23X32</v>
      </c>
      <c r="AF14" s="30">
        <f>IFERROR(__xludf.DUMMYFUNCTION("""COMPUTED_VALUE"""),525.0)</f>
        <v>525</v>
      </c>
      <c r="AG14" s="12" t="str">
        <f>IFERROR(__xludf.DUMMYFUNCTION("""COMPUTED_VALUE"""),"PROVEEDOR")</f>
        <v>PROVEEDOR</v>
      </c>
      <c r="AH14" s="12">
        <f>IFERROR(__xludf.DUMMYFUNCTION("""COMPUTED_VALUE"""),3.0)</f>
        <v>3</v>
      </c>
      <c r="AI14" s="12" t="str">
        <f>IFERROR(__xludf.DUMMYFUNCTION("""COMPUTED_VALUE"""),"1")</f>
        <v>1</v>
      </c>
      <c r="AJ14" s="12" t="str">
        <f>IFERROR(__xludf.DUMMYFUNCTION("""COMPUTED_VALUE"""),"2A")</f>
        <v>2A</v>
      </c>
      <c r="AK14" s="12">
        <f>IFERROR(__xludf.DUMMYFUNCTION("""COMPUTED_VALUE"""),28.0)</f>
        <v>28</v>
      </c>
      <c r="AL14" s="12" t="str">
        <f>IFERROR(__xludf.DUMMYFUNCTION("""COMPUTED_VALUE"""),"SUMMIT")</f>
        <v>SUMMIT</v>
      </c>
      <c r="AP14" s="12"/>
      <c r="AQ14" s="12"/>
      <c r="BC14" s="12"/>
      <c r="BH14" s="12" t="str">
        <f>IFERROR(__xludf.DUMMYFUNCTION("IFERROR(INDEX(QUERY(IMPORTRANGE(""1T7HG8KEs-Ob7f3M5atEVN9Yn7IeORGp0QGvggB62ELw"",""Maestro!A:I""),""SELECT Col8 WHERE Col3 = '""&amp;BE14&amp;""'"", 0), 1, 1),""NO ENCONTRADO"")"),"D")</f>
        <v>D</v>
      </c>
      <c r="BI14" s="16">
        <v>1.0</v>
      </c>
      <c r="BJ14" s="16">
        <f t="shared" si="4"/>
        <v>214</v>
      </c>
      <c r="BK14" s="12"/>
      <c r="BR14" s="12"/>
      <c r="BY14" s="14"/>
      <c r="CC14" s="14"/>
      <c r="CD14" s="14"/>
      <c r="CE14" s="14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>
      <c r="A15" s="67">
        <v>2.0</v>
      </c>
      <c r="B15" s="68" t="s">
        <v>44</v>
      </c>
      <c r="C15" s="68" t="s">
        <v>18</v>
      </c>
      <c r="D15" s="69" t="str">
        <f t="shared" si="1"/>
        <v>2-3-1</v>
      </c>
      <c r="E15" s="72"/>
      <c r="F15" s="73"/>
      <c r="G15" s="74"/>
      <c r="H15" s="75"/>
      <c r="I15" s="76"/>
      <c r="J15" s="75"/>
      <c r="K15" s="32" t="str">
        <f t="shared" si="2"/>
        <v>DISPONIBLE</v>
      </c>
      <c r="L15" s="33">
        <f t="shared" si="3"/>
        <v>14</v>
      </c>
      <c r="M15" s="33" t="s">
        <v>23</v>
      </c>
      <c r="N15" s="33"/>
      <c r="O15" s="34" t="s">
        <v>24</v>
      </c>
      <c r="P15" s="12"/>
      <c r="Q15" s="12"/>
      <c r="R15" s="12"/>
      <c r="S15" s="12"/>
      <c r="T15" s="12"/>
      <c r="U15" s="12"/>
      <c r="V15" s="12"/>
      <c r="AB15" s="12"/>
      <c r="AC15" s="12" t="str">
        <f>IFERROR(__xludf.DUMMYFUNCTION("""COMPUTED_VALUE"""),"3-1-3A")</f>
        <v>3-1-3A</v>
      </c>
      <c r="AD15" s="12" t="str">
        <f>IFERROR(__xludf.DUMMYFUNCTION("""COMPUTED_VALUE"""),"PENDIENTE")</f>
        <v>PENDIENTE</v>
      </c>
      <c r="AE15" s="12" t="str">
        <f>IFERROR(__xludf.DUMMYFUNCTION("""COMPUTED_VALUE"""),"SEPARADOR BOTELLA DOS RANURAS")</f>
        <v>SEPARADOR BOTELLA DOS RANURAS</v>
      </c>
      <c r="AF15" s="30">
        <f>IFERROR(__xludf.DUMMYFUNCTION("""COMPUTED_VALUE"""),1500.0)</f>
        <v>1500</v>
      </c>
      <c r="AG15" s="12" t="str">
        <f>IFERROR(__xludf.DUMMYFUNCTION("""COMPUTED_VALUE"""),"PROVEEDOR")</f>
        <v>PROVEEDOR</v>
      </c>
      <c r="AH15" s="12">
        <f>IFERROR(__xludf.DUMMYFUNCTION("""COMPUTED_VALUE"""),3.0)</f>
        <v>3</v>
      </c>
      <c r="AI15" s="12" t="str">
        <f>IFERROR(__xludf.DUMMYFUNCTION("""COMPUTED_VALUE"""),"1")</f>
        <v>1</v>
      </c>
      <c r="AJ15" s="12" t="str">
        <f>IFERROR(__xludf.DUMMYFUNCTION("""COMPUTED_VALUE"""),"3A")</f>
        <v>3A</v>
      </c>
      <c r="AK15" s="12">
        <f>IFERROR(__xludf.DUMMYFUNCTION("""COMPUTED_VALUE"""),30.0)</f>
        <v>30</v>
      </c>
      <c r="AL15" s="12" t="str">
        <f>IFERROR(__xludf.DUMMYFUNCTION("""COMPUTED_VALUE"""),"SUMMIT")</f>
        <v>SUMMIT</v>
      </c>
      <c r="AP15" s="12"/>
      <c r="AQ15" s="12"/>
      <c r="BC15" s="12"/>
      <c r="BH15" s="12" t="str">
        <f>IFERROR(__xludf.DUMMYFUNCTION("IFERROR(INDEX(QUERY(IMPORTRANGE(""1T7HG8KEs-Ob7f3M5atEVN9Yn7IeORGp0QGvggB62ELw"",""Maestro!A:I""),""SELECT Col8 WHERE Col3 = '""&amp;BE15&amp;""'"", 0), 1, 1),""NO ENCONTRADO"")"),"")</f>
        <v/>
      </c>
      <c r="BI15" s="16">
        <v>1.0</v>
      </c>
      <c r="BJ15" s="16">
        <f t="shared" si="4"/>
        <v>0</v>
      </c>
      <c r="BK15" s="12"/>
      <c r="BR15" s="12"/>
      <c r="BY15" s="14"/>
      <c r="CC15" s="14"/>
      <c r="CD15" s="14"/>
      <c r="CE15" s="14"/>
      <c r="CF15" s="12"/>
      <c r="CG15" s="12"/>
      <c r="CH15" s="12"/>
      <c r="CI15" s="12"/>
      <c r="CJ15" s="12"/>
      <c r="CK15" s="12"/>
      <c r="CL15" s="12"/>
      <c r="CM15" s="12"/>
      <c r="CN15" s="12"/>
      <c r="CO15" s="12"/>
    </row>
    <row r="16">
      <c r="A16" s="67">
        <v>2.0</v>
      </c>
      <c r="B16" s="68" t="s">
        <v>44</v>
      </c>
      <c r="C16" s="68" t="s">
        <v>32</v>
      </c>
      <c r="D16" s="69" t="str">
        <f t="shared" si="1"/>
        <v>2-3-2</v>
      </c>
      <c r="E16" s="72"/>
      <c r="F16" s="77"/>
      <c r="G16" s="74"/>
      <c r="H16" s="75"/>
      <c r="I16" s="76"/>
      <c r="J16" s="75"/>
      <c r="K16" s="27" t="str">
        <f t="shared" si="2"/>
        <v>DISPONIBLE</v>
      </c>
      <c r="L16" s="28">
        <f t="shared" si="3"/>
        <v>15</v>
      </c>
      <c r="M16" s="28" t="s">
        <v>23</v>
      </c>
      <c r="N16" s="28"/>
      <c r="O16" s="29" t="s">
        <v>24</v>
      </c>
      <c r="P16" s="12"/>
      <c r="Q16" s="12"/>
      <c r="R16" s="12"/>
      <c r="S16" s="12"/>
      <c r="T16" s="12"/>
      <c r="U16" s="12"/>
      <c r="V16" s="12"/>
      <c r="AB16" s="12"/>
      <c r="AC16" s="12" t="str">
        <f>IFERROR(__xludf.DUMMYFUNCTION("""COMPUTED_VALUE"""),"3-2-1A")</f>
        <v>3-2-1A</v>
      </c>
      <c r="AD16" s="12" t="str">
        <f>IFERROR(__xludf.DUMMYFUNCTION("""COMPUTED_VALUE"""),"692012X")</f>
        <v>692012X</v>
      </c>
      <c r="AE16" s="12" t="str">
        <f>IFERROR(__xludf.DUMMYFUNCTION("""COMPUTED_VALUE"""),"CAJA CARTON CORRUGADO 50x40x30 ")</f>
        <v>CAJA CARTON CORRUGADO 50x40x30 </v>
      </c>
      <c r="AF16" s="30">
        <f>IFERROR(__xludf.DUMMYFUNCTION("""COMPUTED_VALUE"""),400.0)</f>
        <v>400</v>
      </c>
      <c r="AG16" s="12" t="str">
        <f>IFERROR(__xludf.DUMMYFUNCTION("""COMPUTED_VALUE"""),"PROVEEDOR")</f>
        <v>PROVEEDOR</v>
      </c>
      <c r="AH16" s="12">
        <f>IFERROR(__xludf.DUMMYFUNCTION("""COMPUTED_VALUE"""),3.0)</f>
        <v>3</v>
      </c>
      <c r="AI16" s="12" t="str">
        <f>IFERROR(__xludf.DUMMYFUNCTION("""COMPUTED_VALUE"""),"2")</f>
        <v>2</v>
      </c>
      <c r="AJ16" s="12" t="str">
        <f>IFERROR(__xludf.DUMMYFUNCTION("""COMPUTED_VALUE"""),"1A")</f>
        <v>1A</v>
      </c>
      <c r="AK16" s="12">
        <f>IFERROR(__xludf.DUMMYFUNCTION("""COMPUTED_VALUE"""),32.0)</f>
        <v>32</v>
      </c>
      <c r="AL16" s="12" t="str">
        <f>IFERROR(__xludf.DUMMYFUNCTION("""COMPUTED_VALUE"""),"SUMMIT")</f>
        <v>SUMMIT</v>
      </c>
      <c r="AP16" s="12"/>
      <c r="AQ16" s="12"/>
      <c r="BC16" s="12"/>
      <c r="BH16" s="12" t="str">
        <f>IFERROR(__xludf.DUMMYFUNCTION("IFERROR(INDEX(QUERY(IMPORTRANGE(""1T7HG8KEs-Ob7f3M5atEVN9Yn7IeORGp0QGvggB62ELw"",""Maestro!A:I""),""SELECT Col8 WHERE Col3 = '""&amp;BE16&amp;""'"", 0), 1, 1),""NO ENCONTRADO"")"),"")</f>
        <v/>
      </c>
      <c r="BI16" s="16">
        <v>1.0</v>
      </c>
      <c r="BJ16" s="16">
        <f t="shared" si="4"/>
        <v>0</v>
      </c>
      <c r="BK16" s="12"/>
      <c r="BR16" s="12"/>
      <c r="BY16" s="14"/>
      <c r="CC16" s="14"/>
      <c r="CD16" s="14"/>
      <c r="CE16" s="14"/>
      <c r="CF16" s="12"/>
      <c r="CG16" s="12"/>
      <c r="CH16" s="12"/>
      <c r="CI16" s="12"/>
      <c r="CJ16" s="12"/>
      <c r="CK16" s="12"/>
      <c r="CL16" s="12"/>
      <c r="CM16" s="12"/>
      <c r="CN16" s="12"/>
      <c r="CO16" s="12"/>
    </row>
    <row r="17">
      <c r="A17" s="67">
        <v>2.0</v>
      </c>
      <c r="B17" s="68" t="s">
        <v>44</v>
      </c>
      <c r="C17" s="68" t="s">
        <v>44</v>
      </c>
      <c r="D17" s="69" t="str">
        <f t="shared" si="1"/>
        <v>2-3-3</v>
      </c>
      <c r="E17" s="72"/>
      <c r="F17" s="77"/>
      <c r="G17" s="74"/>
      <c r="H17" s="75"/>
      <c r="I17" s="76"/>
      <c r="J17" s="75"/>
      <c r="K17" s="32" t="str">
        <f t="shared" si="2"/>
        <v>DISPONIBLE</v>
      </c>
      <c r="L17" s="33">
        <f t="shared" si="3"/>
        <v>16</v>
      </c>
      <c r="M17" s="33" t="s">
        <v>23</v>
      </c>
      <c r="N17" s="33"/>
      <c r="O17" s="34"/>
      <c r="P17" s="12"/>
      <c r="Q17" s="12"/>
      <c r="R17" s="12"/>
      <c r="S17" s="12"/>
      <c r="T17" s="12"/>
      <c r="U17" s="12"/>
      <c r="V17" s="12"/>
      <c r="AB17" s="12"/>
      <c r="AC17" s="12" t="str">
        <f>IFERROR(__xludf.DUMMYFUNCTION("""COMPUTED_VALUE"""),"3-2-4A")</f>
        <v>3-2-4A</v>
      </c>
      <c r="AD17" s="12" t="str">
        <f>IFERROR(__xludf.DUMMYFUNCTION("""COMPUTED_VALUE"""),"692036X")</f>
        <v>692036X</v>
      </c>
      <c r="AE17" s="12" t="str">
        <f>IFERROR(__xludf.DUMMYFUNCTION("""COMPUTED_VALUE"""),"CAJA CARTON CORRUGADO 47x31x31 ")</f>
        <v>CAJA CARTON CORRUGADO 47x31x31 </v>
      </c>
      <c r="AF17" s="30">
        <f>IFERROR(__xludf.DUMMYFUNCTION("""COMPUTED_VALUE"""),25.0)</f>
        <v>25</v>
      </c>
      <c r="AG17" s="12" t="str">
        <f>IFERROR(__xludf.DUMMYFUNCTION("""COMPUTED_VALUE"""),"PROVEEDOR")</f>
        <v>PROVEEDOR</v>
      </c>
      <c r="AH17" s="12">
        <f>IFERROR(__xludf.DUMMYFUNCTION("""COMPUTED_VALUE"""),3.0)</f>
        <v>3</v>
      </c>
      <c r="AI17" s="12" t="str">
        <f>IFERROR(__xludf.DUMMYFUNCTION("""COMPUTED_VALUE"""),"2")</f>
        <v>2</v>
      </c>
      <c r="AJ17" s="12" t="str">
        <f>IFERROR(__xludf.DUMMYFUNCTION("""COMPUTED_VALUE"""),"4A")</f>
        <v>4A</v>
      </c>
      <c r="AK17" s="12">
        <f>IFERROR(__xludf.DUMMYFUNCTION("""COMPUTED_VALUE"""),38.0)</f>
        <v>38</v>
      </c>
      <c r="AL17" s="12" t="str">
        <f>IFERROR(__xludf.DUMMYFUNCTION("""COMPUTED_VALUE"""),"SUMMIT")</f>
        <v>SUMMIT</v>
      </c>
      <c r="AP17" s="12"/>
      <c r="AQ17" s="12"/>
      <c r="BC17" s="12"/>
      <c r="BH17" s="12" t="str">
        <f>IFERROR(__xludf.DUMMYFUNCTION("IFERROR(INDEX(QUERY(IMPORTRANGE(""1T7HG8KEs-Ob7f3M5atEVN9Yn7IeORGp0QGvggB62ELw"",""Maestro!A:I""),""SELECT Col8 WHERE Col3 = '""&amp;BE17&amp;""'"", 0), 1, 1),""NO ENCONTRADO"")"),"D")</f>
        <v>D</v>
      </c>
      <c r="BI17" s="16">
        <v>1.0</v>
      </c>
      <c r="BJ17" s="16">
        <f t="shared" si="4"/>
        <v>311</v>
      </c>
      <c r="BK17" s="12"/>
      <c r="BR17" s="12"/>
      <c r="BY17" s="14"/>
      <c r="CC17" s="14"/>
      <c r="CD17" s="14"/>
      <c r="CE17" s="14"/>
      <c r="CF17" s="12"/>
      <c r="CG17" s="12"/>
      <c r="CH17" s="12"/>
      <c r="CI17" s="12"/>
      <c r="CJ17" s="12"/>
      <c r="CK17" s="12"/>
      <c r="CL17" s="12"/>
      <c r="CM17" s="12"/>
      <c r="CN17" s="12"/>
      <c r="CO17" s="12"/>
    </row>
    <row r="18">
      <c r="A18" s="67">
        <v>2.0</v>
      </c>
      <c r="B18" s="68" t="s">
        <v>53</v>
      </c>
      <c r="C18" s="68" t="s">
        <v>18</v>
      </c>
      <c r="D18" s="69" t="str">
        <f t="shared" si="1"/>
        <v>2-4-1</v>
      </c>
      <c r="E18" s="72"/>
      <c r="F18" s="77"/>
      <c r="G18" s="74"/>
      <c r="H18" s="75"/>
      <c r="I18" s="76"/>
      <c r="J18" s="75"/>
      <c r="K18" s="27" t="str">
        <f t="shared" si="2"/>
        <v>DISPONIBLE</v>
      </c>
      <c r="L18" s="28">
        <f t="shared" si="3"/>
        <v>17</v>
      </c>
      <c r="M18" s="28" t="s">
        <v>23</v>
      </c>
      <c r="N18" s="28" t="s">
        <v>147</v>
      </c>
      <c r="O18" s="29"/>
      <c r="P18" s="12"/>
      <c r="Q18" s="12"/>
      <c r="R18" s="12"/>
      <c r="S18" s="12"/>
      <c r="T18" s="12"/>
      <c r="U18" s="12"/>
      <c r="V18" s="12"/>
      <c r="AB18" s="12"/>
      <c r="AC18" s="12" t="str">
        <f>IFERROR(__xludf.DUMMYFUNCTION("""COMPUTED_VALUE"""),"3-3-1A")</f>
        <v>3-3-1A</v>
      </c>
      <c r="AD18" s="12" t="str">
        <f>IFERROR(__xludf.DUMMYFUNCTION("""COMPUTED_VALUE"""),"692029X")</f>
        <v>692029X</v>
      </c>
      <c r="AE18" s="12" t="str">
        <f>IFERROR(__xludf.DUMMYFUNCTION("""COMPUTED_VALUE"""),"CAJA CARTON CORRUGADO 60x40x40 ")</f>
        <v>CAJA CARTON CORRUGADO 60x40x40 </v>
      </c>
      <c r="AF18" s="30">
        <f>IFERROR(__xludf.DUMMYFUNCTION("""COMPUTED_VALUE"""),400.0)</f>
        <v>400</v>
      </c>
      <c r="AG18" s="12" t="str">
        <f>IFERROR(__xludf.DUMMYFUNCTION("""COMPUTED_VALUE"""),"PROVEEDOR")</f>
        <v>PROVEEDOR</v>
      </c>
      <c r="AH18" s="12">
        <f>IFERROR(__xludf.DUMMYFUNCTION("""COMPUTED_VALUE"""),3.0)</f>
        <v>3</v>
      </c>
      <c r="AI18" s="12" t="str">
        <f>IFERROR(__xludf.DUMMYFUNCTION("""COMPUTED_VALUE"""),"3")</f>
        <v>3</v>
      </c>
      <c r="AJ18" s="12" t="str">
        <f>IFERROR(__xludf.DUMMYFUNCTION("""COMPUTED_VALUE"""),"1A")</f>
        <v>1A</v>
      </c>
      <c r="AK18" s="12">
        <f>IFERROR(__xludf.DUMMYFUNCTION("""COMPUTED_VALUE"""),42.0)</f>
        <v>42</v>
      </c>
      <c r="AL18" s="12" t="str">
        <f>IFERROR(__xludf.DUMMYFUNCTION("""COMPUTED_VALUE"""),"SUMMIT")</f>
        <v>SUMMIT</v>
      </c>
      <c r="AP18" s="12"/>
      <c r="AQ18" s="12"/>
      <c r="BC18" s="12"/>
      <c r="BH18" s="12" t="str">
        <f>IFERROR(__xludf.DUMMYFUNCTION("IFERROR(INDEX(QUERY(IMPORTRANGE(""1T7HG8KEs-Ob7f3M5atEVN9Yn7IeORGp0QGvggB62ELw"",""Maestro!A:I""),""SELECT Col8 WHERE Col3 = '""&amp;BE18&amp;""'"", 0), 1, 1),""NO ENCONTRADO"")"),"D")</f>
        <v>D</v>
      </c>
      <c r="BI18" s="16">
        <v>1.0</v>
      </c>
      <c r="BJ18" s="16">
        <f t="shared" si="4"/>
        <v>32</v>
      </c>
      <c r="BK18" s="12"/>
      <c r="BR18" s="12"/>
      <c r="BY18" s="14"/>
      <c r="CC18" s="14"/>
      <c r="CD18" s="14"/>
      <c r="CE18" s="14"/>
      <c r="CF18" s="12"/>
      <c r="CG18" s="12"/>
      <c r="CH18" s="12"/>
      <c r="CI18" s="12"/>
      <c r="CJ18" s="12"/>
      <c r="CK18" s="12"/>
      <c r="CL18" s="12"/>
      <c r="CM18" s="12"/>
      <c r="CN18" s="12"/>
      <c r="CO18" s="12"/>
    </row>
    <row r="19">
      <c r="A19" s="67">
        <v>2.0</v>
      </c>
      <c r="B19" s="68" t="s">
        <v>53</v>
      </c>
      <c r="C19" s="68" t="s">
        <v>32</v>
      </c>
      <c r="D19" s="69" t="str">
        <f t="shared" si="1"/>
        <v>2-4-2</v>
      </c>
      <c r="E19" s="78">
        <v>45754.0</v>
      </c>
      <c r="F19" s="79" t="s">
        <v>154</v>
      </c>
      <c r="G19" s="80" t="s">
        <v>83</v>
      </c>
      <c r="H19" s="81" t="s">
        <v>84</v>
      </c>
      <c r="I19" s="82">
        <v>680.0</v>
      </c>
      <c r="J19" s="81" t="s">
        <v>22</v>
      </c>
      <c r="K19" s="32" t="str">
        <f t="shared" si="2"/>
        <v>OCUPADO</v>
      </c>
      <c r="L19" s="33">
        <f t="shared" si="3"/>
        <v>18</v>
      </c>
      <c r="M19" s="33" t="s">
        <v>23</v>
      </c>
      <c r="N19" s="33">
        <v>0.0</v>
      </c>
      <c r="O19" s="34" t="s">
        <v>24</v>
      </c>
      <c r="P19" s="12"/>
      <c r="Q19" s="12"/>
      <c r="R19" s="12"/>
      <c r="S19" s="12"/>
      <c r="T19" s="12"/>
      <c r="U19" s="12"/>
      <c r="V19" s="12"/>
      <c r="AB19" s="12"/>
      <c r="AC19" s="12" t="str">
        <f>IFERROR(__xludf.DUMMYFUNCTION("""COMPUTED_VALUE"""),"3-3-2A")</f>
        <v>3-3-2A</v>
      </c>
      <c r="AD19" s="12" t="str">
        <f>IFERROR(__xludf.DUMMYFUNCTION("""COMPUTED_VALUE"""),"692029X")</f>
        <v>692029X</v>
      </c>
      <c r="AE19" s="12" t="str">
        <f>IFERROR(__xludf.DUMMYFUNCTION("""COMPUTED_VALUE"""),"CAJA CARTON CORRUGADO 60x40x40 ")</f>
        <v>CAJA CARTON CORRUGADO 60x40x40 </v>
      </c>
      <c r="AF19" s="30">
        <f>IFERROR(__xludf.DUMMYFUNCTION("""COMPUTED_VALUE"""),400.0)</f>
        <v>400</v>
      </c>
      <c r="AG19" s="12" t="str">
        <f>IFERROR(__xludf.DUMMYFUNCTION("""COMPUTED_VALUE"""),"PROVEEDOR")</f>
        <v>PROVEEDOR</v>
      </c>
      <c r="AH19" s="12">
        <f>IFERROR(__xludf.DUMMYFUNCTION("""COMPUTED_VALUE"""),3.0)</f>
        <v>3</v>
      </c>
      <c r="AI19" s="12" t="str">
        <f>IFERROR(__xludf.DUMMYFUNCTION("""COMPUTED_VALUE"""),"3")</f>
        <v>3</v>
      </c>
      <c r="AJ19" s="12" t="str">
        <f>IFERROR(__xludf.DUMMYFUNCTION("""COMPUTED_VALUE"""),"2A")</f>
        <v>2A</v>
      </c>
      <c r="AK19" s="12">
        <f>IFERROR(__xludf.DUMMYFUNCTION("""COMPUTED_VALUE"""),44.0)</f>
        <v>44</v>
      </c>
      <c r="AL19" s="12" t="str">
        <f>IFERROR(__xludf.DUMMYFUNCTION("""COMPUTED_VALUE"""),"SUMMIT")</f>
        <v>SUMMIT</v>
      </c>
      <c r="AP19" s="12"/>
      <c r="AQ19" s="12"/>
      <c r="BC19" s="12"/>
      <c r="BH19" s="12" t="str">
        <f>IFERROR(__xludf.DUMMYFUNCTION("IFERROR(INDEX(QUERY(IMPORTRANGE(""1T7HG8KEs-Ob7f3M5atEVN9Yn7IeORGp0QGvggB62ELw"",""Maestro!A:I""),""SELECT Col8 WHERE Col3 = '""&amp;BE19&amp;""'"", 0), 1, 1),""NO ENCONTRADO"")"),"D")</f>
        <v>D</v>
      </c>
      <c r="BI19" s="16">
        <v>1.0</v>
      </c>
      <c r="BJ19" s="16">
        <f t="shared" si="4"/>
        <v>180</v>
      </c>
      <c r="BK19" s="12"/>
      <c r="BR19" s="12"/>
      <c r="BY19" s="14"/>
      <c r="CC19" s="14"/>
      <c r="CD19" s="14"/>
      <c r="CE19" s="14"/>
      <c r="CF19" s="12"/>
      <c r="CG19" s="12"/>
      <c r="CH19" s="12"/>
      <c r="CI19" s="12"/>
      <c r="CJ19" s="12"/>
      <c r="CK19" s="12"/>
      <c r="CL19" s="12"/>
      <c r="CM19" s="12"/>
      <c r="CN19" s="12"/>
      <c r="CO19" s="12"/>
    </row>
    <row r="20">
      <c r="A20" s="67">
        <v>2.0</v>
      </c>
      <c r="B20" s="68" t="s">
        <v>53</v>
      </c>
      <c r="C20" s="68" t="s">
        <v>44</v>
      </c>
      <c r="D20" s="69" t="str">
        <f t="shared" si="1"/>
        <v>2-4-3</v>
      </c>
      <c r="E20" s="72"/>
      <c r="F20" s="77"/>
      <c r="G20" s="74"/>
      <c r="H20" s="75"/>
      <c r="I20" s="76"/>
      <c r="J20" s="75"/>
      <c r="K20" s="27" t="str">
        <f t="shared" si="2"/>
        <v>DISPONIBLE</v>
      </c>
      <c r="L20" s="28">
        <f t="shared" si="3"/>
        <v>19</v>
      </c>
      <c r="M20" s="28" t="s">
        <v>23</v>
      </c>
      <c r="N20" s="70"/>
      <c r="O20" s="29"/>
      <c r="P20" s="12"/>
      <c r="Q20" s="12"/>
      <c r="R20" s="12"/>
      <c r="S20" s="12"/>
      <c r="T20" s="12"/>
      <c r="U20" s="12"/>
      <c r="V20" s="12"/>
      <c r="AB20" s="12"/>
      <c r="AC20" s="12" t="str">
        <f>IFERROR(__xludf.DUMMYFUNCTION("""COMPUTED_VALUE"""),"3-3-3A")</f>
        <v>3-3-3A</v>
      </c>
      <c r="AD20" s="12" t="str">
        <f>IFERROR(__xludf.DUMMYFUNCTION("""COMPUTED_VALUE"""),"692029X")</f>
        <v>692029X</v>
      </c>
      <c r="AE20" s="12" t="str">
        <f>IFERROR(__xludf.DUMMYFUNCTION("""COMPUTED_VALUE"""),"CAJA CARTON CORRUGADO 60x40x40 ")</f>
        <v>CAJA CARTON CORRUGADO 60x40x40 </v>
      </c>
      <c r="AF20" s="30">
        <f>IFERROR(__xludf.DUMMYFUNCTION("""COMPUTED_VALUE"""),225.0)</f>
        <v>225</v>
      </c>
      <c r="AG20" s="12" t="str">
        <f>IFERROR(__xludf.DUMMYFUNCTION("""COMPUTED_VALUE"""),"PROVEEDOR")</f>
        <v>PROVEEDOR</v>
      </c>
      <c r="AH20" s="12">
        <f>IFERROR(__xludf.DUMMYFUNCTION("""COMPUTED_VALUE"""),3.0)</f>
        <v>3</v>
      </c>
      <c r="AI20" s="12" t="str">
        <f>IFERROR(__xludf.DUMMYFUNCTION("""COMPUTED_VALUE"""),"3")</f>
        <v>3</v>
      </c>
      <c r="AJ20" s="12" t="str">
        <f>IFERROR(__xludf.DUMMYFUNCTION("""COMPUTED_VALUE"""),"3A")</f>
        <v>3A</v>
      </c>
      <c r="AK20" s="12">
        <f>IFERROR(__xludf.DUMMYFUNCTION("""COMPUTED_VALUE"""),46.0)</f>
        <v>46</v>
      </c>
      <c r="AL20" s="12"/>
      <c r="AP20" s="12"/>
      <c r="AQ20" s="12"/>
      <c r="BC20" s="12"/>
      <c r="BH20" s="12" t="str">
        <f>IFERROR(__xludf.DUMMYFUNCTION("IFERROR(INDEX(QUERY(IMPORTRANGE(""1T7HG8KEs-Ob7f3M5atEVN9Yn7IeORGp0QGvggB62ELw"",""Maestro!A:I""),""SELECT Col8 WHERE Col3 = '""&amp;BE20&amp;""'"", 0), 1, 1),""NO ENCONTRADO"")"),"D")</f>
        <v>D</v>
      </c>
      <c r="BI20" s="16">
        <v>1.0</v>
      </c>
      <c r="BJ20" s="16">
        <f t="shared" si="4"/>
        <v>525</v>
      </c>
      <c r="BK20" s="12"/>
      <c r="BR20" s="12"/>
      <c r="BY20" s="14"/>
      <c r="CC20" s="14"/>
      <c r="CD20" s="14"/>
      <c r="CE20" s="14"/>
      <c r="CF20" s="12"/>
      <c r="CG20" s="12"/>
      <c r="CH20" s="12"/>
      <c r="CI20" s="12"/>
      <c r="CJ20" s="12"/>
      <c r="CK20" s="12"/>
      <c r="CL20" s="12"/>
      <c r="CM20" s="12"/>
      <c r="CN20" s="12"/>
      <c r="CO20" s="12"/>
    </row>
    <row r="21">
      <c r="A21" s="67">
        <v>2.0</v>
      </c>
      <c r="B21" s="68" t="s">
        <v>25</v>
      </c>
      <c r="C21" s="68" t="s">
        <v>18</v>
      </c>
      <c r="D21" s="69" t="str">
        <f t="shared" si="1"/>
        <v>2-5-1</v>
      </c>
      <c r="E21" s="21">
        <v>45818.0</v>
      </c>
      <c r="F21" s="71" t="s">
        <v>19</v>
      </c>
      <c r="G21" s="23" t="s">
        <v>93</v>
      </c>
      <c r="H21" s="24" t="s">
        <v>94</v>
      </c>
      <c r="I21" s="25">
        <v>214.0</v>
      </c>
      <c r="J21" s="26" t="s">
        <v>22</v>
      </c>
      <c r="K21" s="32" t="str">
        <f t="shared" si="2"/>
        <v>OCUPADO</v>
      </c>
      <c r="L21" s="33">
        <f t="shared" si="3"/>
        <v>20</v>
      </c>
      <c r="M21" s="33" t="s">
        <v>23</v>
      </c>
      <c r="N21" s="33" t="s">
        <v>165</v>
      </c>
      <c r="O21" s="34" t="s">
        <v>24</v>
      </c>
      <c r="P21" s="12"/>
      <c r="Q21" s="12"/>
      <c r="R21" s="12"/>
      <c r="S21" s="12"/>
      <c r="T21" s="12"/>
      <c r="U21" s="12"/>
      <c r="V21" s="12"/>
      <c r="AB21" s="12"/>
      <c r="AC21" s="12" t="str">
        <f>IFERROR(__xludf.DUMMYFUNCTION("""COMPUTED_VALUE"""),"3-4-1A")</f>
        <v>3-4-1A</v>
      </c>
      <c r="AD21" s="12" t="str">
        <f>IFERROR(__xludf.DUMMYFUNCTION("""COMPUTED_VALUE"""),"692012X")</f>
        <v>692012X</v>
      </c>
      <c r="AE21" s="12" t="str">
        <f>IFERROR(__xludf.DUMMYFUNCTION("""COMPUTED_VALUE"""),"CAJA CARTON CORRUGADO 50x40x30 ")</f>
        <v>CAJA CARTON CORRUGADO 50x40x30 </v>
      </c>
      <c r="AF21" s="30">
        <f>IFERROR(__xludf.DUMMYFUNCTION("""COMPUTED_VALUE"""),450.0)</f>
        <v>450</v>
      </c>
      <c r="AG21" s="12" t="str">
        <f>IFERROR(__xludf.DUMMYFUNCTION("""COMPUTED_VALUE"""),"PROVEEDOR")</f>
        <v>PROVEEDOR</v>
      </c>
      <c r="AH21" s="12">
        <f>IFERROR(__xludf.DUMMYFUNCTION("""COMPUTED_VALUE"""),3.0)</f>
        <v>3</v>
      </c>
      <c r="AI21" s="12" t="str">
        <f>IFERROR(__xludf.DUMMYFUNCTION("""COMPUTED_VALUE"""),"4")</f>
        <v>4</v>
      </c>
      <c r="AJ21" s="12" t="str">
        <f>IFERROR(__xludf.DUMMYFUNCTION("""COMPUTED_VALUE"""),"1A")</f>
        <v>1A</v>
      </c>
      <c r="AK21" s="12">
        <f>IFERROR(__xludf.DUMMYFUNCTION("""COMPUTED_VALUE"""),52.0)</f>
        <v>52</v>
      </c>
      <c r="AL21" s="12" t="str">
        <f>IFERROR(__xludf.DUMMYFUNCTION("""COMPUTED_VALUE"""),"SUMMIT")</f>
        <v>SUMMIT</v>
      </c>
      <c r="AP21" s="12"/>
      <c r="AQ21" s="12"/>
      <c r="BC21" s="12"/>
      <c r="BH21" s="12" t="str">
        <f>IFERROR(__xludf.DUMMYFUNCTION("IFERROR(INDEX(QUERY(IMPORTRANGE(""1T7HG8KEs-Ob7f3M5atEVN9Yn7IeORGp0QGvggB62ELw"",""Maestro!A:I""),""SELECT Col8 WHERE Col3 = '""&amp;BE21&amp;""'"", 0), 1, 1),""NO ENCONTRADO"")"),"NO ENCONTRADO")</f>
        <v>NO ENCONTRADO</v>
      </c>
      <c r="BI21" s="16">
        <v>1.0</v>
      </c>
      <c r="BJ21" s="16">
        <f t="shared" si="4"/>
        <v>1500</v>
      </c>
      <c r="BK21" s="12"/>
      <c r="BR21" s="12"/>
      <c r="BY21" s="14"/>
      <c r="CC21" s="14"/>
      <c r="CD21" s="14"/>
      <c r="CE21" s="14"/>
      <c r="CF21" s="12"/>
      <c r="CG21" s="12"/>
      <c r="CH21" s="12"/>
      <c r="CI21" s="12"/>
      <c r="CJ21" s="12"/>
      <c r="CK21" s="12"/>
      <c r="CL21" s="12"/>
      <c r="CM21" s="12"/>
      <c r="CN21" s="12"/>
      <c r="CO21" s="12"/>
    </row>
    <row r="22">
      <c r="A22" s="67">
        <v>2.0</v>
      </c>
      <c r="B22" s="68" t="s">
        <v>25</v>
      </c>
      <c r="C22" s="68" t="s">
        <v>32</v>
      </c>
      <c r="D22" s="69" t="str">
        <f t="shared" si="1"/>
        <v>2-5-2</v>
      </c>
      <c r="E22" s="50"/>
      <c r="F22" s="51"/>
      <c r="G22" s="46"/>
      <c r="H22" s="47"/>
      <c r="I22" s="48"/>
      <c r="J22" s="52"/>
      <c r="K22" s="27" t="str">
        <f t="shared" si="2"/>
        <v>DISPONIBLE</v>
      </c>
      <c r="L22" s="28">
        <f t="shared" si="3"/>
        <v>21</v>
      </c>
      <c r="M22" s="28" t="s">
        <v>23</v>
      </c>
      <c r="N22" s="70"/>
      <c r="O22" s="29" t="s">
        <v>24</v>
      </c>
      <c r="P22" s="12"/>
      <c r="Q22" s="12"/>
      <c r="R22" s="12"/>
      <c r="S22" s="12"/>
      <c r="T22" s="12"/>
      <c r="U22" s="12"/>
      <c r="V22" s="12"/>
      <c r="AB22" s="12"/>
      <c r="AC22" s="12" t="str">
        <f>IFERROR(__xludf.DUMMYFUNCTION("""COMPUTED_VALUE"""),"3-4-2A")</f>
        <v>3-4-2A</v>
      </c>
      <c r="AD22" s="12" t="str">
        <f>IFERROR(__xludf.DUMMYFUNCTION("""COMPUTED_VALUE"""),"692012X")</f>
        <v>692012X</v>
      </c>
      <c r="AE22" s="12" t="str">
        <f>IFERROR(__xludf.DUMMYFUNCTION("""COMPUTED_VALUE"""),"CAJA CARTON CORRUGADO 50x40x30 ")</f>
        <v>CAJA CARTON CORRUGADO 50x40x30 </v>
      </c>
      <c r="AF22" s="30">
        <f>IFERROR(__xludf.DUMMYFUNCTION("""COMPUTED_VALUE"""),500.0)</f>
        <v>500</v>
      </c>
      <c r="AG22" s="12" t="str">
        <f>IFERROR(__xludf.DUMMYFUNCTION("""COMPUTED_VALUE"""),"PROVEEDOR")</f>
        <v>PROVEEDOR</v>
      </c>
      <c r="AH22" s="12">
        <f>IFERROR(__xludf.DUMMYFUNCTION("""COMPUTED_VALUE"""),3.0)</f>
        <v>3</v>
      </c>
      <c r="AI22" s="12" t="str">
        <f>IFERROR(__xludf.DUMMYFUNCTION("""COMPUTED_VALUE"""),"4")</f>
        <v>4</v>
      </c>
      <c r="AJ22" s="12" t="str">
        <f>IFERROR(__xludf.DUMMYFUNCTION("""COMPUTED_VALUE"""),"2A")</f>
        <v>2A</v>
      </c>
      <c r="AK22" s="12">
        <f>IFERROR(__xludf.DUMMYFUNCTION("""COMPUTED_VALUE"""),55.0)</f>
        <v>55</v>
      </c>
      <c r="AL22" s="12" t="str">
        <f>IFERROR(__xludf.DUMMYFUNCTION("""COMPUTED_VALUE"""),"SUMMIT")</f>
        <v>SUMMIT</v>
      </c>
      <c r="AP22" s="12"/>
      <c r="AQ22" s="12"/>
      <c r="BC22" s="12"/>
      <c r="BH22" s="12" t="str">
        <f>IFERROR(__xludf.DUMMYFUNCTION("IFERROR(INDEX(QUERY(IMPORTRANGE(""1T7HG8KEs-Ob7f3M5atEVN9Yn7IeORGp0QGvggB62ELw"",""Maestro!A:I""),""SELECT Col8 WHERE Col3 = '""&amp;BE22&amp;""'"", 0), 1, 1),""NO ENCONTRADO"")"),"D")</f>
        <v>D</v>
      </c>
      <c r="BI22" s="16">
        <v>1.0</v>
      </c>
      <c r="BJ22" s="16">
        <f t="shared" si="4"/>
        <v>400</v>
      </c>
      <c r="BK22" s="12"/>
      <c r="BR22" s="12"/>
      <c r="BY22" s="14"/>
      <c r="CC22" s="14"/>
      <c r="CD22" s="14"/>
      <c r="CE22" s="14"/>
      <c r="CF22" s="12"/>
      <c r="CG22" s="12"/>
      <c r="CH22" s="12"/>
      <c r="CI22" s="12"/>
      <c r="CJ22" s="12"/>
      <c r="CK22" s="12"/>
      <c r="CL22" s="12"/>
      <c r="CM22" s="12"/>
      <c r="CN22" s="12"/>
      <c r="CO22" s="12"/>
    </row>
    <row r="23">
      <c r="A23" s="67">
        <v>2.0</v>
      </c>
      <c r="B23" s="68" t="s">
        <v>25</v>
      </c>
      <c r="C23" s="68" t="s">
        <v>44</v>
      </c>
      <c r="D23" s="69" t="str">
        <f t="shared" si="1"/>
        <v>2-5-3</v>
      </c>
      <c r="E23" s="83"/>
      <c r="F23" s="84"/>
      <c r="G23" s="85"/>
      <c r="H23" s="49"/>
      <c r="I23" s="86"/>
      <c r="J23" s="87"/>
      <c r="K23" s="32" t="str">
        <f t="shared" si="2"/>
        <v>DISPONIBLE</v>
      </c>
      <c r="L23" s="33">
        <f t="shared" si="3"/>
        <v>22</v>
      </c>
      <c r="M23" s="33" t="s">
        <v>23</v>
      </c>
      <c r="N23" s="33"/>
      <c r="O23" s="34" t="s">
        <v>24</v>
      </c>
      <c r="P23" s="12"/>
      <c r="Q23" s="12"/>
      <c r="R23" s="12"/>
      <c r="S23" s="12"/>
      <c r="T23" s="12"/>
      <c r="U23" s="12"/>
      <c r="V23" s="12"/>
      <c r="AB23" s="12"/>
      <c r="AC23" s="12" t="str">
        <f>IFERROR(__xludf.DUMMYFUNCTION("""COMPUTED_VALUE"""),"3-4-4A")</f>
        <v>3-4-4A</v>
      </c>
      <c r="AD23" s="12" t="str">
        <f>IFERROR(__xludf.DUMMYFUNCTION("""COMPUTED_VALUE"""),"692012X")</f>
        <v>692012X</v>
      </c>
      <c r="AE23" s="12" t="str">
        <f>IFERROR(__xludf.DUMMYFUNCTION("""COMPUTED_VALUE"""),"CAJA CARTON CORRUGADO 50x40x30 ")</f>
        <v>CAJA CARTON CORRUGADO 50x40x30 </v>
      </c>
      <c r="AF23" s="30">
        <f>IFERROR(__xludf.DUMMYFUNCTION("""COMPUTED_VALUE"""),216.0)</f>
        <v>216</v>
      </c>
      <c r="AG23" s="12" t="str">
        <f>IFERROR(__xludf.DUMMYFUNCTION("""COMPUTED_VALUE"""),"PROVEEDOR")</f>
        <v>PROVEEDOR</v>
      </c>
      <c r="AH23" s="12">
        <f>IFERROR(__xludf.DUMMYFUNCTION("""COMPUTED_VALUE"""),3.0)</f>
        <v>3</v>
      </c>
      <c r="AI23" s="12" t="str">
        <f>IFERROR(__xludf.DUMMYFUNCTION("""COMPUTED_VALUE"""),"4")</f>
        <v>4</v>
      </c>
      <c r="AJ23" s="12" t="str">
        <f>IFERROR(__xludf.DUMMYFUNCTION("""COMPUTED_VALUE"""),"4A")</f>
        <v>4A</v>
      </c>
      <c r="AK23" s="12">
        <f>IFERROR(__xludf.DUMMYFUNCTION("""COMPUTED_VALUE"""),59.0)</f>
        <v>59</v>
      </c>
      <c r="AL23" s="12" t="str">
        <f>IFERROR(__xludf.DUMMYFUNCTION("""COMPUTED_VALUE"""),"SUMMIT")</f>
        <v>SUMMIT</v>
      </c>
      <c r="AP23" s="12"/>
      <c r="AQ23" s="12"/>
      <c r="BC23" s="12"/>
      <c r="BH23" s="12" t="str">
        <f>IFERROR(__xludf.DUMMYFUNCTION("IFERROR(INDEX(QUERY(IMPORTRANGE(""1T7HG8KEs-Ob7f3M5atEVN9Yn7IeORGp0QGvggB62ELw"",""Maestro!A:I""),""SELECT Col8 WHERE Col3 = '""&amp;BE23&amp;""'"", 0), 1, 1),""NO ENCONTRADO"")"),"")</f>
        <v/>
      </c>
      <c r="BI23" s="16">
        <v>1.0</v>
      </c>
      <c r="BJ23" s="16">
        <f t="shared" si="4"/>
        <v>0</v>
      </c>
      <c r="BK23" s="12"/>
      <c r="BR23" s="12"/>
      <c r="BY23" s="14"/>
      <c r="CC23" s="14"/>
      <c r="CD23" s="14"/>
      <c r="CE23" s="14"/>
      <c r="CF23" s="12"/>
      <c r="CG23" s="12"/>
      <c r="CH23" s="12"/>
      <c r="CI23" s="12"/>
      <c r="CJ23" s="12"/>
      <c r="CK23" s="12"/>
      <c r="CL23" s="12"/>
      <c r="CM23" s="12"/>
      <c r="CN23" s="12"/>
      <c r="CO23" s="12"/>
    </row>
    <row r="24">
      <c r="A24" s="67">
        <v>2.0</v>
      </c>
      <c r="B24" s="68" t="s">
        <v>36</v>
      </c>
      <c r="C24" s="68" t="s">
        <v>18</v>
      </c>
      <c r="D24" s="69" t="str">
        <f t="shared" si="1"/>
        <v>2-6-1</v>
      </c>
      <c r="E24" s="35">
        <v>45813.0</v>
      </c>
      <c r="F24" s="88" t="s">
        <v>180</v>
      </c>
      <c r="G24" s="80" t="s">
        <v>103</v>
      </c>
      <c r="H24" s="81" t="s">
        <v>104</v>
      </c>
      <c r="I24" s="82">
        <v>311.0</v>
      </c>
      <c r="J24" s="81" t="s">
        <v>22</v>
      </c>
      <c r="K24" s="27" t="str">
        <f t="shared" si="2"/>
        <v>OCUPADO</v>
      </c>
      <c r="L24" s="28">
        <f t="shared" si="3"/>
        <v>23</v>
      </c>
      <c r="M24" s="28" t="s">
        <v>23</v>
      </c>
      <c r="N24" s="28"/>
      <c r="O24" s="29" t="s">
        <v>24</v>
      </c>
      <c r="P24" s="12"/>
      <c r="Q24" s="12"/>
      <c r="R24" s="12"/>
      <c r="S24" s="12"/>
      <c r="T24" s="12"/>
      <c r="U24" s="12"/>
      <c r="V24" s="12"/>
      <c r="AB24" s="12"/>
      <c r="AC24" s="12" t="str">
        <f>IFERROR(__xludf.DUMMYFUNCTION("""COMPUTED_VALUE"""),"3-5-1A")</f>
        <v>3-5-1A</v>
      </c>
      <c r="AD24" s="12" t="str">
        <f>IFERROR(__xludf.DUMMYFUNCTION("""COMPUTED_VALUE"""),"692029X")</f>
        <v>692029X</v>
      </c>
      <c r="AE24" s="12" t="str">
        <f>IFERROR(__xludf.DUMMYFUNCTION("""COMPUTED_VALUE"""),"CAJA CARTON CORRUGADO 60x40x40 ")</f>
        <v>CAJA CARTON CORRUGADO 60x40x40 </v>
      </c>
      <c r="AF24" s="30">
        <f>IFERROR(__xludf.DUMMYFUNCTION("""COMPUTED_VALUE"""),400.0)</f>
        <v>400</v>
      </c>
      <c r="AG24" s="12" t="str">
        <f>IFERROR(__xludf.DUMMYFUNCTION("""COMPUTED_VALUE"""),"PROVEEDOR")</f>
        <v>PROVEEDOR</v>
      </c>
      <c r="AH24" s="12">
        <f>IFERROR(__xludf.DUMMYFUNCTION("""COMPUTED_VALUE"""),3.0)</f>
        <v>3</v>
      </c>
      <c r="AI24" s="12" t="str">
        <f>IFERROR(__xludf.DUMMYFUNCTION("""COMPUTED_VALUE"""),"5")</f>
        <v>5</v>
      </c>
      <c r="AJ24" s="12" t="str">
        <f>IFERROR(__xludf.DUMMYFUNCTION("""COMPUTED_VALUE"""),"1A")</f>
        <v>1A</v>
      </c>
      <c r="AK24" s="12">
        <f>IFERROR(__xludf.DUMMYFUNCTION("""COMPUTED_VALUE"""),63.0)</f>
        <v>63</v>
      </c>
      <c r="AL24" s="12"/>
      <c r="AP24" s="12"/>
      <c r="AQ24" s="12"/>
      <c r="BC24" s="12"/>
      <c r="BH24" s="12" t="str">
        <f>IFERROR(__xludf.DUMMYFUNCTION("IFERROR(INDEX(QUERY(IMPORTRANGE(""1T7HG8KEs-Ob7f3M5atEVN9Yn7IeORGp0QGvggB62ELw"",""Maestro!A:I""),""SELECT Col8 WHERE Col3 = '""&amp;BE24&amp;""'"", 0), 1, 1),""NO ENCONTRADO"")"),"D")</f>
        <v>D</v>
      </c>
      <c r="BI24" s="16">
        <v>1.0</v>
      </c>
      <c r="BJ24" s="16">
        <f t="shared" si="4"/>
        <v>25</v>
      </c>
      <c r="BK24" s="12"/>
      <c r="BR24" s="12"/>
      <c r="BY24" s="14"/>
      <c r="CC24" s="14"/>
      <c r="CD24" s="14"/>
      <c r="CE24" s="14"/>
      <c r="CF24" s="12"/>
      <c r="CG24" s="12"/>
      <c r="CH24" s="12"/>
      <c r="CI24" s="12"/>
      <c r="CJ24" s="12"/>
      <c r="CK24" s="12"/>
      <c r="CL24" s="12"/>
      <c r="CM24" s="12"/>
      <c r="CN24" s="12"/>
      <c r="CO24" s="12"/>
    </row>
    <row r="25">
      <c r="A25" s="67">
        <v>2.0</v>
      </c>
      <c r="B25" s="68" t="s">
        <v>36</v>
      </c>
      <c r="C25" s="68" t="s">
        <v>32</v>
      </c>
      <c r="D25" s="69" t="str">
        <f t="shared" si="1"/>
        <v>2-6-2</v>
      </c>
      <c r="E25" s="35">
        <v>45764.0</v>
      </c>
      <c r="F25" s="79" t="s">
        <v>19</v>
      </c>
      <c r="G25" s="80" t="s">
        <v>108</v>
      </c>
      <c r="H25" s="81" t="s">
        <v>109</v>
      </c>
      <c r="I25" s="82">
        <v>32.0</v>
      </c>
      <c r="J25" s="81" t="s">
        <v>22</v>
      </c>
      <c r="K25" s="32" t="str">
        <f t="shared" si="2"/>
        <v>OCUPADO</v>
      </c>
      <c r="L25" s="33">
        <f t="shared" si="3"/>
        <v>24</v>
      </c>
      <c r="M25" s="33" t="s">
        <v>23</v>
      </c>
      <c r="N25" s="33"/>
      <c r="O25" s="34" t="s">
        <v>24</v>
      </c>
      <c r="P25" s="12"/>
      <c r="Q25" s="12"/>
      <c r="R25" s="12"/>
      <c r="S25" s="12"/>
      <c r="T25" s="12"/>
      <c r="U25" s="12"/>
      <c r="V25" s="12"/>
      <c r="AB25" s="12"/>
      <c r="AC25" s="12" t="str">
        <f>IFERROR(__xludf.DUMMYFUNCTION("""COMPUTED_VALUE"""),"3-5-2A")</f>
        <v>3-5-2A</v>
      </c>
      <c r="AD25" s="12" t="str">
        <f>IFERROR(__xludf.DUMMYFUNCTION("""COMPUTED_VALUE"""),"692029X")</f>
        <v>692029X</v>
      </c>
      <c r="AE25" s="12" t="str">
        <f>IFERROR(__xludf.DUMMYFUNCTION("""COMPUTED_VALUE"""),"CAJA CARTON CORRUGADO 60x40x40 ")</f>
        <v>CAJA CARTON CORRUGADO 60x40x40 </v>
      </c>
      <c r="AF25" s="30">
        <f>IFERROR(__xludf.DUMMYFUNCTION("""COMPUTED_VALUE"""),400.0)</f>
        <v>400</v>
      </c>
      <c r="AG25" s="12" t="str">
        <f>IFERROR(__xludf.DUMMYFUNCTION("""COMPUTED_VALUE"""),"PROVEEDOR")</f>
        <v>PROVEEDOR</v>
      </c>
      <c r="AH25" s="12">
        <f>IFERROR(__xludf.DUMMYFUNCTION("""COMPUTED_VALUE"""),3.0)</f>
        <v>3</v>
      </c>
      <c r="AI25" s="12" t="str">
        <f>IFERROR(__xludf.DUMMYFUNCTION("""COMPUTED_VALUE"""),"5")</f>
        <v>5</v>
      </c>
      <c r="AJ25" s="12" t="str">
        <f>IFERROR(__xludf.DUMMYFUNCTION("""COMPUTED_VALUE"""),"2A")</f>
        <v>2A</v>
      </c>
      <c r="AK25" s="12">
        <f>IFERROR(__xludf.DUMMYFUNCTION("""COMPUTED_VALUE"""),65.0)</f>
        <v>65</v>
      </c>
      <c r="AL25" s="12" t="str">
        <f>IFERROR(__xludf.DUMMYFUNCTION("""COMPUTED_VALUE"""),"SUMMIT")</f>
        <v>SUMMIT</v>
      </c>
      <c r="AP25" s="12"/>
      <c r="AQ25" s="12"/>
      <c r="BC25" s="12"/>
      <c r="BH25" s="12" t="str">
        <f>IFERROR(__xludf.DUMMYFUNCTION("IFERROR(INDEX(QUERY(IMPORTRANGE(""1T7HG8KEs-Ob7f3M5atEVN9Yn7IeORGp0QGvggB62ELw"",""Maestro!A:I""),""SELECT Col8 WHERE Col3 = '""&amp;BE25&amp;""'"", 0), 1, 1),""NO ENCONTRADO"")"),"D")</f>
        <v>D</v>
      </c>
      <c r="BI25" s="16">
        <v>1.0</v>
      </c>
      <c r="BJ25" s="16">
        <f t="shared" si="4"/>
        <v>400</v>
      </c>
      <c r="BK25" s="12"/>
      <c r="BR25" s="12"/>
      <c r="BY25" s="14"/>
      <c r="CC25" s="14"/>
      <c r="CD25" s="14"/>
      <c r="CE25" s="14"/>
      <c r="CF25" s="12"/>
      <c r="CG25" s="12"/>
      <c r="CH25" s="12"/>
      <c r="CI25" s="12"/>
      <c r="CJ25" s="12"/>
      <c r="CK25" s="12"/>
      <c r="CL25" s="12"/>
      <c r="CM25" s="12"/>
      <c r="CN25" s="12"/>
      <c r="CO25" s="12"/>
    </row>
    <row r="26">
      <c r="A26" s="89">
        <v>2.0</v>
      </c>
      <c r="B26" s="90" t="s">
        <v>36</v>
      </c>
      <c r="C26" s="90" t="s">
        <v>44</v>
      </c>
      <c r="D26" s="91" t="str">
        <f t="shared" si="1"/>
        <v>2-6-3</v>
      </c>
      <c r="E26" s="57"/>
      <c r="F26" s="58"/>
      <c r="G26" s="59"/>
      <c r="H26" s="60"/>
      <c r="I26" s="61"/>
      <c r="J26" s="62"/>
      <c r="K26" s="63" t="str">
        <f t="shared" si="2"/>
        <v>DISPONIBLE</v>
      </c>
      <c r="L26" s="64">
        <f t="shared" si="3"/>
        <v>25</v>
      </c>
      <c r="M26" s="64" t="s">
        <v>23</v>
      </c>
      <c r="N26" s="65"/>
      <c r="O26" s="66"/>
      <c r="P26" s="12"/>
      <c r="Q26" s="12"/>
      <c r="R26" s="12"/>
      <c r="S26" s="12"/>
      <c r="T26" s="12"/>
      <c r="U26" s="12"/>
      <c r="V26" s="12"/>
      <c r="AB26" s="12"/>
      <c r="AC26" s="12" t="str">
        <f>IFERROR(__xludf.DUMMYFUNCTION("""COMPUTED_VALUE"""),"3-5-3A")</f>
        <v>3-5-3A</v>
      </c>
      <c r="AD26" s="12" t="str">
        <f>IFERROR(__xludf.DUMMYFUNCTION("""COMPUTED_VALUE"""),"692029X")</f>
        <v>692029X</v>
      </c>
      <c r="AE26" s="12" t="str">
        <f>IFERROR(__xludf.DUMMYFUNCTION("""COMPUTED_VALUE"""),"CAJA CARTON CORRUGADO 60x40x40 ")</f>
        <v>CAJA CARTON CORRUGADO 60x40x40 </v>
      </c>
      <c r="AF26" s="30">
        <f>IFERROR(__xludf.DUMMYFUNCTION("""COMPUTED_VALUE"""),400.0)</f>
        <v>400</v>
      </c>
      <c r="AG26" s="12" t="str">
        <f>IFERROR(__xludf.DUMMYFUNCTION("""COMPUTED_VALUE"""),"PROVEEDOR")</f>
        <v>PROVEEDOR</v>
      </c>
      <c r="AH26" s="12">
        <f>IFERROR(__xludf.DUMMYFUNCTION("""COMPUTED_VALUE"""),3.0)</f>
        <v>3</v>
      </c>
      <c r="AI26" s="12" t="str">
        <f>IFERROR(__xludf.DUMMYFUNCTION("""COMPUTED_VALUE"""),"5")</f>
        <v>5</v>
      </c>
      <c r="AJ26" s="12" t="str">
        <f>IFERROR(__xludf.DUMMYFUNCTION("""COMPUTED_VALUE"""),"3A")</f>
        <v>3A</v>
      </c>
      <c r="AK26" s="12">
        <f>IFERROR(__xludf.DUMMYFUNCTION("""COMPUTED_VALUE"""),67.0)</f>
        <v>67</v>
      </c>
      <c r="AL26" s="12"/>
      <c r="AP26" s="12"/>
      <c r="AQ26" s="12"/>
      <c r="BC26" s="12"/>
      <c r="BH26" s="12" t="str">
        <f>IFERROR(__xludf.DUMMYFUNCTION("IFERROR(INDEX(QUERY(IMPORTRANGE(""1T7HG8KEs-Ob7f3M5atEVN9Yn7IeORGp0QGvggB62ELw"",""Maestro!A:I""),""SELECT Col8 WHERE Col3 = '""&amp;BE26&amp;""'"", 0), 1, 1),""NO ENCONTRADO"")"),"D")</f>
        <v>D</v>
      </c>
      <c r="BI26" s="16">
        <v>1.0</v>
      </c>
      <c r="BJ26" s="16">
        <f t="shared" si="4"/>
        <v>400</v>
      </c>
      <c r="BK26" s="12"/>
      <c r="BR26" s="12"/>
      <c r="BY26" s="14"/>
      <c r="CC26" s="14"/>
      <c r="CD26" s="14"/>
      <c r="CE26" s="14"/>
      <c r="CF26" s="12"/>
      <c r="CG26" s="12"/>
      <c r="CH26" s="12"/>
      <c r="CI26" s="12"/>
      <c r="CJ26" s="12"/>
      <c r="CK26" s="12"/>
      <c r="CL26" s="12"/>
      <c r="CM26" s="12"/>
      <c r="CN26" s="12"/>
      <c r="CO26" s="12"/>
    </row>
    <row r="27">
      <c r="A27" s="92">
        <v>3.0</v>
      </c>
      <c r="B27" s="93" t="s">
        <v>18</v>
      </c>
      <c r="C27" s="94" t="s">
        <v>119</v>
      </c>
      <c r="D27" s="95" t="str">
        <f t="shared" si="1"/>
        <v>3-1-1A</v>
      </c>
      <c r="E27" s="96">
        <v>45818.0</v>
      </c>
      <c r="F27" s="97" t="s">
        <v>199</v>
      </c>
      <c r="G27" s="98" t="s">
        <v>117</v>
      </c>
      <c r="H27" s="99" t="s">
        <v>118</v>
      </c>
      <c r="I27" s="100">
        <v>180.0</v>
      </c>
      <c r="J27" s="101" t="s">
        <v>22</v>
      </c>
      <c r="K27" s="32" t="str">
        <f t="shared" si="2"/>
        <v>OCUPADO</v>
      </c>
      <c r="L27" s="33">
        <f t="shared" si="3"/>
        <v>26</v>
      </c>
      <c r="M27" s="33" t="s">
        <v>23</v>
      </c>
      <c r="N27" s="102"/>
      <c r="O27" s="34" t="s">
        <v>24</v>
      </c>
      <c r="P27" s="12"/>
      <c r="Q27" s="12"/>
      <c r="R27" s="12"/>
      <c r="S27" s="12"/>
      <c r="T27" s="12"/>
      <c r="U27" s="12"/>
      <c r="V27" s="12"/>
      <c r="AB27" s="12"/>
      <c r="AC27" s="12" t="str">
        <f>IFERROR(__xludf.DUMMYFUNCTION("""COMPUTED_VALUE"""),"3-6-4A")</f>
        <v>3-6-4A</v>
      </c>
      <c r="AD27" s="12" t="str">
        <f>IFERROR(__xludf.DUMMYFUNCTION("""COMPUTED_VALUE"""),"600697")</f>
        <v>600697</v>
      </c>
      <c r="AE27" s="12" t="str">
        <f>IFERROR(__xludf.DUMMYFUNCTION("""COMPUTED_VALUE"""),"CAJA PLUMAVIT 35 LITROS")</f>
        <v>CAJA PLUMAVIT 35 LITROS</v>
      </c>
      <c r="AF27" s="30">
        <f>IFERROR(__xludf.DUMMYFUNCTION("""COMPUTED_VALUE"""),60.0)</f>
        <v>60</v>
      </c>
      <c r="AG27" s="12" t="str">
        <f>IFERROR(__xludf.DUMMYFUNCTION("""COMPUTED_VALUE"""),"PROVEEDOR")</f>
        <v>PROVEEDOR</v>
      </c>
      <c r="AH27" s="12">
        <f>IFERROR(__xludf.DUMMYFUNCTION("""COMPUTED_VALUE"""),3.0)</f>
        <v>3</v>
      </c>
      <c r="AI27" s="12" t="str">
        <f>IFERROR(__xludf.DUMMYFUNCTION("""COMPUTED_VALUE"""),"6")</f>
        <v>6</v>
      </c>
      <c r="AJ27" s="12" t="str">
        <f>IFERROR(__xludf.DUMMYFUNCTION("""COMPUTED_VALUE"""),"4A")</f>
        <v>4A</v>
      </c>
      <c r="AK27" s="12">
        <f>IFERROR(__xludf.DUMMYFUNCTION("""COMPUTED_VALUE"""),79.0)</f>
        <v>79</v>
      </c>
      <c r="AL27" s="12" t="str">
        <f>IFERROR(__xludf.DUMMYFUNCTION("""COMPUTED_VALUE"""),"SUMMIT")</f>
        <v>SUMMIT</v>
      </c>
      <c r="AP27" s="12"/>
      <c r="AQ27" s="12"/>
      <c r="BC27" s="12"/>
      <c r="BH27" s="12" t="str">
        <f>IFERROR(__xludf.DUMMYFUNCTION("IFERROR(INDEX(QUERY(IMPORTRANGE(""1T7HG8KEs-Ob7f3M5atEVN9Yn7IeORGp0QGvggB62ELw"",""Maestro!A:I""),""SELECT Col8 WHERE Col3 = '""&amp;BE27&amp;""'"", 0), 1, 1),""NO ENCONTRADO"")"),"D")</f>
        <v>D</v>
      </c>
      <c r="BI27" s="16">
        <v>1.0</v>
      </c>
      <c r="BJ27" s="16">
        <f t="shared" si="4"/>
        <v>900</v>
      </c>
      <c r="BK27" s="12"/>
      <c r="BR27" s="12"/>
      <c r="BY27" s="14"/>
      <c r="CC27" s="14"/>
      <c r="CD27" s="14"/>
      <c r="CE27" s="14"/>
      <c r="CF27" s="12"/>
      <c r="CG27" s="12"/>
      <c r="CH27" s="12"/>
      <c r="CI27" s="12"/>
      <c r="CJ27" s="12"/>
      <c r="CK27" s="12"/>
      <c r="CL27" s="12"/>
      <c r="CM27" s="12"/>
      <c r="CN27" s="12"/>
      <c r="CO27" s="12"/>
    </row>
    <row r="28">
      <c r="A28" s="92">
        <v>3.0</v>
      </c>
      <c r="B28" s="93" t="s">
        <v>18</v>
      </c>
      <c r="C28" s="94" t="s">
        <v>132</v>
      </c>
      <c r="D28" s="95" t="str">
        <f t="shared" si="1"/>
        <v>3-1-1B</v>
      </c>
      <c r="E28" s="103"/>
      <c r="F28" s="104"/>
      <c r="G28" s="105"/>
      <c r="H28" s="106"/>
      <c r="I28" s="107"/>
      <c r="J28" s="108"/>
      <c r="K28" s="27" t="str">
        <f t="shared" si="2"/>
        <v>DISPONIBLE</v>
      </c>
      <c r="L28" s="28">
        <f t="shared" si="3"/>
        <v>27</v>
      </c>
      <c r="M28" s="28" t="s">
        <v>23</v>
      </c>
      <c r="N28" s="109"/>
      <c r="O28" s="29"/>
      <c r="P28" s="12"/>
      <c r="Q28" s="12"/>
      <c r="R28" s="12"/>
      <c r="S28" s="12"/>
      <c r="T28" s="12"/>
      <c r="U28" s="12"/>
      <c r="V28" s="12"/>
      <c r="AB28" s="12"/>
      <c r="AC28" s="12" t="str">
        <f>IFERROR(__xludf.DUMMYFUNCTION("""COMPUTED_VALUE"""),"3-7-2B")</f>
        <v>3-7-2B</v>
      </c>
      <c r="AD28" s="12" t="str">
        <f>IFERROR(__xludf.DUMMYFUNCTION("""COMPUTED_VALUE"""),"600550")</f>
        <v>600550</v>
      </c>
      <c r="AE28" s="12" t="str">
        <f>IFERROR(__xludf.DUMMYFUNCTION("""COMPUTED_VALUE"""),"ROLLO PAPEL PANAL 0,50 X 25MTS")</f>
        <v>ROLLO PAPEL PANAL 0,50 X 25MTS</v>
      </c>
      <c r="AF28" s="30">
        <f>IFERROR(__xludf.DUMMYFUNCTION("""COMPUTED_VALUE"""),105.0)</f>
        <v>105</v>
      </c>
      <c r="AG28" s="12" t="str">
        <f>IFERROR(__xludf.DUMMYFUNCTION("""COMPUTED_VALUE"""),"PROVEEDOR")</f>
        <v>PROVEEDOR</v>
      </c>
      <c r="AH28" s="12">
        <f>IFERROR(__xludf.DUMMYFUNCTION("""COMPUTED_VALUE"""),3.0)</f>
        <v>3</v>
      </c>
      <c r="AI28" s="12" t="str">
        <f>IFERROR(__xludf.DUMMYFUNCTION("""COMPUTED_VALUE"""),"7")</f>
        <v>7</v>
      </c>
      <c r="AJ28" s="12" t="str">
        <f>IFERROR(__xludf.DUMMYFUNCTION("""COMPUTED_VALUE"""),"2B")</f>
        <v>2B</v>
      </c>
      <c r="AK28" s="12">
        <f>IFERROR(__xludf.DUMMYFUNCTION("""COMPUTED_VALUE"""),86.0)</f>
        <v>86</v>
      </c>
      <c r="AL28" s="12" t="str">
        <f>IFERROR(__xludf.DUMMYFUNCTION("""COMPUTED_VALUE"""),"SUMMIT")</f>
        <v>SUMMIT</v>
      </c>
      <c r="AP28" s="12"/>
      <c r="AQ28" s="12"/>
      <c r="BC28" s="12"/>
      <c r="BH28" s="12" t="str">
        <f>IFERROR(__xludf.DUMMYFUNCTION("IFERROR(INDEX(QUERY(IMPORTRANGE(""1T7HG8KEs-Ob7f3M5atEVN9Yn7IeORGp0QGvggB62ELw"",""Maestro!A:I""),""SELECT Col8 WHERE Col3 = '""&amp;BE28&amp;""'"", 0), 1, 1),""NO ENCONTRADO"")"),"D")</f>
        <v>D</v>
      </c>
      <c r="BI28" s="16">
        <v>1.0</v>
      </c>
      <c r="BJ28" s="16">
        <f t="shared" si="4"/>
        <v>500</v>
      </c>
      <c r="BK28" s="12"/>
      <c r="BR28" s="12"/>
      <c r="BY28" s="14"/>
      <c r="CC28" s="14"/>
      <c r="CD28" s="14"/>
      <c r="CE28" s="14"/>
      <c r="CF28" s="12"/>
      <c r="CG28" s="12"/>
      <c r="CH28" s="12"/>
      <c r="CI28" s="12"/>
      <c r="CJ28" s="12"/>
      <c r="CK28" s="12"/>
      <c r="CL28" s="12"/>
      <c r="CM28" s="12"/>
      <c r="CN28" s="12"/>
      <c r="CO28" s="12"/>
    </row>
    <row r="29">
      <c r="A29" s="92">
        <v>3.0</v>
      </c>
      <c r="B29" s="93" t="s">
        <v>18</v>
      </c>
      <c r="C29" s="94" t="s">
        <v>124</v>
      </c>
      <c r="D29" s="95" t="str">
        <f t="shared" si="1"/>
        <v>3-1-2A</v>
      </c>
      <c r="E29" s="96">
        <v>45733.0</v>
      </c>
      <c r="F29" s="97" t="s">
        <v>19</v>
      </c>
      <c r="G29" s="98" t="s">
        <v>114</v>
      </c>
      <c r="H29" s="99" t="s">
        <v>115</v>
      </c>
      <c r="I29" s="100">
        <v>525.0</v>
      </c>
      <c r="J29" s="101" t="s">
        <v>22</v>
      </c>
      <c r="K29" s="32" t="str">
        <f t="shared" si="2"/>
        <v>OCUPADO</v>
      </c>
      <c r="L29" s="33">
        <f t="shared" si="3"/>
        <v>28</v>
      </c>
      <c r="M29" s="33" t="s">
        <v>23</v>
      </c>
      <c r="N29" s="33"/>
      <c r="O29" s="34" t="s">
        <v>24</v>
      </c>
      <c r="P29" s="12"/>
      <c r="Q29" s="12"/>
      <c r="R29" s="12"/>
      <c r="S29" s="12"/>
      <c r="T29" s="12"/>
      <c r="U29" s="12"/>
      <c r="V29" s="12"/>
      <c r="AB29" s="12"/>
      <c r="AC29" s="12" t="str">
        <f>IFERROR(__xludf.DUMMYFUNCTION("""COMPUTED_VALUE"""),"3-7-3A")</f>
        <v>3-7-3A</v>
      </c>
      <c r="AD29" s="12" t="str">
        <f>IFERROR(__xludf.DUMMYFUNCTION("""COMPUTED_VALUE"""),"600512")</f>
        <v>600512</v>
      </c>
      <c r="AE29" s="12" t="str">
        <f>IFERROR(__xludf.DUMMYFUNCTION("""COMPUTED_VALUE"""),"ROLLO ESPUMA EMBALAJE 1 MM 0,70X5 MT")</f>
        <v>ROLLO ESPUMA EMBALAJE 1 MM 0,70X5 MT</v>
      </c>
      <c r="AF29" s="30">
        <f>IFERROR(__xludf.DUMMYFUNCTION("""COMPUTED_VALUE"""),10.0)</f>
        <v>10</v>
      </c>
      <c r="AG29" s="12" t="str">
        <f>IFERROR(__xludf.DUMMYFUNCTION("""COMPUTED_VALUE"""),"PROVEEDOR")</f>
        <v>PROVEEDOR</v>
      </c>
      <c r="AH29" s="12">
        <f>IFERROR(__xludf.DUMMYFUNCTION("""COMPUTED_VALUE"""),3.0)</f>
        <v>3</v>
      </c>
      <c r="AI29" s="12" t="str">
        <f>IFERROR(__xludf.DUMMYFUNCTION("""COMPUTED_VALUE"""),"7")</f>
        <v>7</v>
      </c>
      <c r="AJ29" s="12" t="str">
        <f>IFERROR(__xludf.DUMMYFUNCTION("""COMPUTED_VALUE"""),"3A")</f>
        <v>3A</v>
      </c>
      <c r="AK29" s="12">
        <f>IFERROR(__xludf.DUMMYFUNCTION("""COMPUTED_VALUE"""),87.0)</f>
        <v>87</v>
      </c>
      <c r="AL29" s="12" t="str">
        <f>IFERROR(__xludf.DUMMYFUNCTION("""COMPUTED_VALUE"""),"SUMMIT")</f>
        <v>SUMMIT</v>
      </c>
      <c r="AP29" s="12"/>
      <c r="AQ29" s="12"/>
      <c r="BC29" s="12"/>
      <c r="BH29" s="12" t="str">
        <f>IFERROR(__xludf.DUMMYFUNCTION("IFERROR(INDEX(QUERY(IMPORTRANGE(""1T7HG8KEs-Ob7f3M5atEVN9Yn7IeORGp0QGvggB62ELw"",""Maestro!A:I""),""SELECT Col8 WHERE Col3 = '""&amp;BE29&amp;""'"", 0), 1, 1),""NO ENCONTRADO"")"),"D")</f>
        <v>D</v>
      </c>
      <c r="BI29" s="16">
        <v>1.0</v>
      </c>
      <c r="BJ29" s="16">
        <f t="shared" si="4"/>
        <v>216</v>
      </c>
      <c r="BK29" s="12"/>
      <c r="BR29" s="12"/>
      <c r="BY29" s="14"/>
      <c r="CC29" s="14"/>
      <c r="CD29" s="14"/>
      <c r="CE29" s="14"/>
      <c r="CF29" s="12"/>
      <c r="CG29" s="12"/>
      <c r="CH29" s="12"/>
      <c r="CI29" s="12"/>
      <c r="CJ29" s="12"/>
      <c r="CK29" s="12"/>
      <c r="CL29" s="12"/>
      <c r="CM29" s="12"/>
      <c r="CN29" s="12"/>
      <c r="CO29" s="12"/>
    </row>
    <row r="30">
      <c r="A30" s="92">
        <v>3.0</v>
      </c>
      <c r="B30" s="93" t="s">
        <v>18</v>
      </c>
      <c r="C30" s="94" t="s">
        <v>140</v>
      </c>
      <c r="D30" s="95" t="str">
        <f t="shared" si="1"/>
        <v>3-1-2B</v>
      </c>
      <c r="E30" s="110"/>
      <c r="F30" s="111"/>
      <c r="G30" s="112"/>
      <c r="H30" s="113"/>
      <c r="I30" s="114"/>
      <c r="J30" s="115"/>
      <c r="K30" s="27" t="str">
        <f t="shared" si="2"/>
        <v>DISPONIBLE</v>
      </c>
      <c r="L30" s="28">
        <f t="shared" si="3"/>
        <v>29</v>
      </c>
      <c r="M30" s="28" t="s">
        <v>23</v>
      </c>
      <c r="N30" s="109"/>
      <c r="O30" s="29"/>
      <c r="P30" s="12"/>
      <c r="Q30" s="12"/>
      <c r="R30" s="12"/>
      <c r="S30" s="12"/>
      <c r="T30" s="12"/>
      <c r="U30" s="12"/>
      <c r="V30" s="12"/>
      <c r="AB30" s="12"/>
      <c r="AC30" s="12" t="str">
        <f>IFERROR(__xludf.DUMMYFUNCTION("""COMPUTED_VALUE"""),"3-7-4B")</f>
        <v>3-7-4B</v>
      </c>
      <c r="AD30" s="12" t="str">
        <f>IFERROR(__xludf.DUMMYFUNCTION("""COMPUTED_VALUE"""),"600772")</f>
        <v>600772</v>
      </c>
      <c r="AE30" s="12" t="str">
        <f>IFERROR(__xludf.DUMMYFUNCTION("""COMPUTED_VALUE"""),"ROLLO PAPEL KRAFT 35G 57X230MT")</f>
        <v>ROLLO PAPEL KRAFT 35G 57X230MT</v>
      </c>
      <c r="AF30" s="30">
        <f>IFERROR(__xludf.DUMMYFUNCTION("""COMPUTED_VALUE"""),55.0)</f>
        <v>55</v>
      </c>
      <c r="AG30" s="12" t="str">
        <f>IFERROR(__xludf.DUMMYFUNCTION("""COMPUTED_VALUE"""),"PROVEEDOR")</f>
        <v>PROVEEDOR</v>
      </c>
      <c r="AH30" s="12">
        <f>IFERROR(__xludf.DUMMYFUNCTION("""COMPUTED_VALUE"""),3.0)</f>
        <v>3</v>
      </c>
      <c r="AI30" s="12" t="str">
        <f>IFERROR(__xludf.DUMMYFUNCTION("""COMPUTED_VALUE"""),"7")</f>
        <v>7</v>
      </c>
      <c r="AJ30" s="12" t="str">
        <f>IFERROR(__xludf.DUMMYFUNCTION("""COMPUTED_VALUE"""),"4B")</f>
        <v>4B</v>
      </c>
      <c r="AK30" s="12">
        <f>IFERROR(__xludf.DUMMYFUNCTION("""COMPUTED_VALUE"""),90.0)</f>
        <v>90</v>
      </c>
      <c r="AL30" s="12" t="str">
        <f>IFERROR(__xludf.DUMMYFUNCTION("""COMPUTED_VALUE"""),"SUMMIT")</f>
        <v>SUMMIT</v>
      </c>
      <c r="AP30" s="12"/>
      <c r="AQ30" s="12"/>
      <c r="BC30" s="12"/>
      <c r="BH30" s="12" t="str">
        <f>IFERROR(__xludf.DUMMYFUNCTION("IFERROR(INDEX(QUERY(IMPORTRANGE(""1T7HG8KEs-Ob7f3M5atEVN9Yn7IeORGp0QGvggB62ELw"",""Maestro!A:I""),""SELECT Col8 WHERE Col3 = '""&amp;BE30&amp;""'"", 0), 1, 1),""NO ENCONTRADO"")"),"D")</f>
        <v>D</v>
      </c>
      <c r="BI30" s="16">
        <v>1.0</v>
      </c>
      <c r="BJ30" s="16">
        <f t="shared" si="4"/>
        <v>400</v>
      </c>
      <c r="BK30" s="12"/>
      <c r="BR30" s="12"/>
      <c r="BY30" s="14"/>
      <c r="CC30" s="14"/>
      <c r="CD30" s="14"/>
      <c r="CE30" s="14"/>
      <c r="CF30" s="12"/>
      <c r="CG30" s="12"/>
      <c r="CH30" s="12"/>
      <c r="CI30" s="12"/>
      <c r="CJ30" s="12"/>
      <c r="CK30" s="12"/>
      <c r="CL30" s="12"/>
      <c r="CM30" s="12"/>
      <c r="CN30" s="12"/>
      <c r="CO30" s="12"/>
    </row>
    <row r="31">
      <c r="A31" s="92">
        <v>3.0</v>
      </c>
      <c r="B31" s="93" t="s">
        <v>18</v>
      </c>
      <c r="C31" s="94" t="s">
        <v>130</v>
      </c>
      <c r="D31" s="95" t="str">
        <f t="shared" si="1"/>
        <v>3-1-3A</v>
      </c>
      <c r="E31" s="116">
        <v>45751.0</v>
      </c>
      <c r="F31" s="117" t="s">
        <v>19</v>
      </c>
      <c r="G31" s="118" t="s">
        <v>128</v>
      </c>
      <c r="H31" s="119" t="s">
        <v>129</v>
      </c>
      <c r="I31" s="120">
        <v>1500.0</v>
      </c>
      <c r="J31" s="121" t="s">
        <v>22</v>
      </c>
      <c r="K31" s="32" t="str">
        <f t="shared" si="2"/>
        <v>OCUPADO</v>
      </c>
      <c r="L31" s="33">
        <f t="shared" si="3"/>
        <v>30</v>
      </c>
      <c r="M31" s="33" t="s">
        <v>23</v>
      </c>
      <c r="N31" s="33" t="s">
        <v>165</v>
      </c>
      <c r="O31" s="34" t="s">
        <v>24</v>
      </c>
      <c r="P31" s="12"/>
      <c r="Q31" s="12"/>
      <c r="R31" s="12"/>
      <c r="S31" s="12"/>
      <c r="T31" s="12"/>
      <c r="U31" s="12"/>
      <c r="V31" s="12"/>
      <c r="AB31" s="12"/>
      <c r="AC31" s="12" t="str">
        <f>IFERROR(__xludf.DUMMYFUNCTION("""COMPUTED_VALUE"""),"3-NV-1")</f>
        <v>3-NV-1</v>
      </c>
      <c r="AD31" s="12" t="str">
        <f>IFERROR(__xludf.DUMMYFUNCTION("""COMPUTED_VALUE"""),"692265")</f>
        <v>692265</v>
      </c>
      <c r="AE31" s="12" t="str">
        <f>IFERROR(__xludf.DUMMYFUNCTION("""COMPUTED_VALUE"""),"ROLLO CARTON CORRUGADO 0.80X100 MT")</f>
        <v>ROLLO CARTON CORRUGADO 0.80X100 MT</v>
      </c>
      <c r="AF31" s="30">
        <f>IFERROR(__xludf.DUMMYFUNCTION("""COMPUTED_VALUE"""),68.0)</f>
        <v>68</v>
      </c>
      <c r="AG31" s="12" t="str">
        <f>IFERROR(__xludf.DUMMYFUNCTION("""COMPUTED_VALUE"""),"PROVEEDOR")</f>
        <v>PROVEEDOR</v>
      </c>
      <c r="AH31" s="12">
        <f>IFERROR(__xludf.DUMMYFUNCTION("""COMPUTED_VALUE"""),3.0)</f>
        <v>3</v>
      </c>
      <c r="AI31" s="12" t="str">
        <f>IFERROR(__xludf.DUMMYFUNCTION("""COMPUTED_VALUE"""),"NV")</f>
        <v>NV</v>
      </c>
      <c r="AJ31" s="12" t="str">
        <f>IFERROR(__xludf.DUMMYFUNCTION("""COMPUTED_VALUE"""),"1")</f>
        <v>1</v>
      </c>
      <c r="AK31" s="12">
        <f>IFERROR(__xludf.DUMMYFUNCTION("""COMPUTED_VALUE"""),93.0)</f>
        <v>93</v>
      </c>
      <c r="AL31" s="12" t="str">
        <f>IFERROR(__xludf.DUMMYFUNCTION("""COMPUTED_VALUE"""),"SUMMIT")</f>
        <v>SUMMIT</v>
      </c>
      <c r="AP31" s="12"/>
      <c r="AQ31" s="12"/>
      <c r="BC31" s="12"/>
      <c r="BH31" s="12" t="str">
        <f>IFERROR(__xludf.DUMMYFUNCTION("IFERROR(INDEX(QUERY(IMPORTRANGE(""1T7HG8KEs-Ob7f3M5atEVN9Yn7IeORGp0QGvggB62ELw"",""Maestro!A:I""),""SELECT Col8 WHERE Col3 = '""&amp;BE31&amp;""'"", 0), 1, 1),""NO ENCONTRADO"")"),"")</f>
        <v/>
      </c>
      <c r="BI31" s="16">
        <v>1.0</v>
      </c>
      <c r="BJ31" s="16">
        <f t="shared" si="4"/>
        <v>0</v>
      </c>
      <c r="BK31" s="12"/>
      <c r="BR31" s="12"/>
      <c r="BY31" s="14"/>
      <c r="CC31" s="14"/>
      <c r="CD31" s="14"/>
      <c r="CE31" s="14"/>
      <c r="CF31" s="12"/>
      <c r="CG31" s="12"/>
      <c r="CH31" s="12"/>
      <c r="CI31" s="12"/>
      <c r="CJ31" s="12"/>
      <c r="CK31" s="12"/>
      <c r="CL31" s="12"/>
      <c r="CM31" s="12"/>
      <c r="CN31" s="12"/>
      <c r="CO31" s="12"/>
    </row>
    <row r="32" ht="23.25" customHeight="1">
      <c r="A32" s="92">
        <v>3.0</v>
      </c>
      <c r="B32" s="93" t="s">
        <v>18</v>
      </c>
      <c r="C32" s="94" t="s">
        <v>148</v>
      </c>
      <c r="D32" s="95" t="str">
        <f t="shared" si="1"/>
        <v>3-1-3B</v>
      </c>
      <c r="E32" s="50"/>
      <c r="F32" s="51"/>
      <c r="G32" s="46"/>
      <c r="H32" s="47"/>
      <c r="I32" s="48"/>
      <c r="J32" s="52"/>
      <c r="K32" s="27" t="str">
        <f t="shared" si="2"/>
        <v>DISPONIBLE</v>
      </c>
      <c r="L32" s="28">
        <f t="shared" si="3"/>
        <v>31</v>
      </c>
      <c r="M32" s="28" t="s">
        <v>23</v>
      </c>
      <c r="N32" s="109"/>
      <c r="O32" s="29"/>
      <c r="P32" s="12"/>
      <c r="Q32" s="12"/>
      <c r="R32" s="12"/>
      <c r="S32" s="12"/>
      <c r="T32" s="12"/>
      <c r="U32" s="12"/>
      <c r="V32" s="12"/>
      <c r="AB32" s="12"/>
      <c r="AC32" s="12" t="str">
        <f>IFERROR(__xludf.DUMMYFUNCTION("""COMPUTED_VALUE"""),"3-NV-2")</f>
        <v>3-NV-2</v>
      </c>
      <c r="AD32" s="12" t="str">
        <f>IFERROR(__xludf.DUMMYFUNCTION("""COMPUTED_VALUE"""),"605678")</f>
        <v>605678</v>
      </c>
      <c r="AE32" s="12" t="str">
        <f>IFERROR(__xludf.DUMMYFUNCTION("""COMPUTED_VALUE"""),"ROLLO CARTON CORRUGADO 1.20X73Mt aprox. 25K")</f>
        <v>ROLLO CARTON CORRUGADO 1.20X73Mt aprox. 25K</v>
      </c>
      <c r="AF32" s="30">
        <f>IFERROR(__xludf.DUMMYFUNCTION("""COMPUTED_VALUE"""),54.0)</f>
        <v>54</v>
      </c>
      <c r="AG32" s="12" t="str">
        <f>IFERROR(__xludf.DUMMYFUNCTION("""COMPUTED_VALUE"""),"PROVEEDOR")</f>
        <v>PROVEEDOR</v>
      </c>
      <c r="AH32" s="12">
        <f>IFERROR(__xludf.DUMMYFUNCTION("""COMPUTED_VALUE"""),3.0)</f>
        <v>3</v>
      </c>
      <c r="AI32" s="12" t="str">
        <f>IFERROR(__xludf.DUMMYFUNCTION("""COMPUTED_VALUE"""),"NV")</f>
        <v>NV</v>
      </c>
      <c r="AJ32" s="12" t="str">
        <f>IFERROR(__xludf.DUMMYFUNCTION("""COMPUTED_VALUE"""),"2")</f>
        <v>2</v>
      </c>
      <c r="AK32" s="12">
        <f>IFERROR(__xludf.DUMMYFUNCTION("""COMPUTED_VALUE"""),94.0)</f>
        <v>94</v>
      </c>
      <c r="AL32" s="12" t="str">
        <f>IFERROR(__xludf.DUMMYFUNCTION("""COMPUTED_VALUE"""),"SUMMIT")</f>
        <v>SUMMIT</v>
      </c>
      <c r="AP32" s="12"/>
      <c r="AQ32" s="12"/>
      <c r="BC32" s="12"/>
      <c r="BH32" s="12" t="str">
        <f>IFERROR(__xludf.DUMMYFUNCTION("IFERROR(INDEX(QUERY(IMPORTRANGE(""1T7HG8KEs-Ob7f3M5atEVN9Yn7IeORGp0QGvggB62ELw"",""Maestro!A:I""),""SELECT Col8 WHERE Col3 = '""&amp;BE32&amp;""'"", 0), 1, 1),""NO ENCONTRADO"")"),"")</f>
        <v/>
      </c>
      <c r="BI32" s="16">
        <v>1.0</v>
      </c>
      <c r="BJ32" s="16">
        <f t="shared" si="4"/>
        <v>0</v>
      </c>
      <c r="BK32" s="12"/>
      <c r="BR32" s="12"/>
      <c r="BY32" s="14"/>
      <c r="CC32" s="14"/>
      <c r="CD32" s="14"/>
      <c r="CE32" s="14"/>
      <c r="CF32" s="12"/>
      <c r="CG32" s="12"/>
      <c r="CH32" s="12"/>
      <c r="CI32" s="12"/>
      <c r="CJ32" s="12"/>
      <c r="CK32" s="12"/>
      <c r="CL32" s="12"/>
      <c r="CM32" s="12"/>
      <c r="CN32" s="12"/>
      <c r="CO32" s="12"/>
    </row>
    <row r="33" ht="23.25" customHeight="1">
      <c r="A33" s="92">
        <v>3.0</v>
      </c>
      <c r="B33" s="93" t="s">
        <v>32</v>
      </c>
      <c r="C33" s="94" t="s">
        <v>119</v>
      </c>
      <c r="D33" s="95" t="str">
        <f t="shared" si="1"/>
        <v>3-2-1A</v>
      </c>
      <c r="E33" s="96">
        <v>45733.0</v>
      </c>
      <c r="F33" s="97" t="s">
        <v>19</v>
      </c>
      <c r="G33" s="98" t="s">
        <v>137</v>
      </c>
      <c r="H33" s="99" t="s">
        <v>138</v>
      </c>
      <c r="I33" s="100">
        <v>400.0</v>
      </c>
      <c r="J33" s="101" t="s">
        <v>22</v>
      </c>
      <c r="K33" s="32" t="str">
        <f t="shared" si="2"/>
        <v>OCUPADO</v>
      </c>
      <c r="L33" s="33">
        <f t="shared" si="3"/>
        <v>32</v>
      </c>
      <c r="M33" s="33" t="s">
        <v>23</v>
      </c>
      <c r="N33" s="33"/>
      <c r="O33" s="34" t="s">
        <v>24</v>
      </c>
      <c r="P33" s="12"/>
      <c r="Q33" s="12"/>
      <c r="R33" s="12"/>
      <c r="S33" s="12"/>
      <c r="T33" s="12"/>
      <c r="U33" s="12"/>
      <c r="V33" s="12"/>
      <c r="AB33" s="12"/>
      <c r="AC33" s="12" t="str">
        <f>IFERROR(__xludf.DUMMYFUNCTION("""COMPUTED_VALUE"""),"3-NV-3")</f>
        <v>3-NV-3</v>
      </c>
      <c r="AD33" s="12" t="str">
        <f>IFERROR(__xludf.DUMMYFUNCTION("""COMPUTED_VALUE"""),"682778")</f>
        <v>682778</v>
      </c>
      <c r="AE33" s="12" t="str">
        <f>IFERROR(__xludf.DUMMYFUNCTION("""COMPUTED_VALUE"""),"ROLLO CARTON CORRUGADO 1.20X25 MT")</f>
        <v>ROLLO CARTON CORRUGADO 1.20X25 MT</v>
      </c>
      <c r="AF33" s="30">
        <f>IFERROR(__xludf.DUMMYFUNCTION("""COMPUTED_VALUE"""),72.0)</f>
        <v>72</v>
      </c>
      <c r="AG33" s="12" t="str">
        <f>IFERROR(__xludf.DUMMYFUNCTION("""COMPUTED_VALUE"""),"PROVEEDOR")</f>
        <v>PROVEEDOR</v>
      </c>
      <c r="AH33" s="12">
        <f>IFERROR(__xludf.DUMMYFUNCTION("""COMPUTED_VALUE"""),3.0)</f>
        <v>3</v>
      </c>
      <c r="AI33" s="12" t="str">
        <f>IFERROR(__xludf.DUMMYFUNCTION("""COMPUTED_VALUE"""),"NV")</f>
        <v>NV</v>
      </c>
      <c r="AJ33" s="12" t="str">
        <f>IFERROR(__xludf.DUMMYFUNCTION("""COMPUTED_VALUE"""),"3")</f>
        <v>3</v>
      </c>
      <c r="AK33" s="12">
        <f>IFERROR(__xludf.DUMMYFUNCTION("""COMPUTED_VALUE"""),95.0)</f>
        <v>95</v>
      </c>
      <c r="AL33" s="12" t="str">
        <f>IFERROR(__xludf.DUMMYFUNCTION("""COMPUTED_VALUE"""),"SUMMIT")</f>
        <v>SUMMIT</v>
      </c>
      <c r="AP33" s="12"/>
      <c r="AQ33" s="12"/>
      <c r="BC33" s="12"/>
      <c r="BH33" s="12" t="str">
        <f>IFERROR(__xludf.DUMMYFUNCTION("IFERROR(INDEX(QUERY(IMPORTRANGE(""1T7HG8KEs-Ob7f3M5atEVN9Yn7IeORGp0QGvggB62ELw"",""Maestro!A:I""),""SELECT Col8 WHERE Col3 = '""&amp;BE33&amp;""'"", 0), 1, 1),""NO ENCONTRADO"")"),"D")</f>
        <v>D</v>
      </c>
      <c r="BI33" s="16">
        <v>1.0</v>
      </c>
      <c r="BJ33" s="16">
        <f t="shared" si="4"/>
        <v>60</v>
      </c>
      <c r="BK33" s="12"/>
      <c r="BR33" s="12"/>
      <c r="BY33" s="14"/>
      <c r="CC33" s="14"/>
      <c r="CD33" s="14"/>
      <c r="CE33" s="14"/>
      <c r="CF33" s="12"/>
      <c r="CG33" s="12"/>
      <c r="CH33" s="12"/>
      <c r="CI33" s="12"/>
      <c r="CJ33" s="12"/>
      <c r="CK33" s="12"/>
      <c r="CL33" s="12"/>
      <c r="CM33" s="12"/>
      <c r="CN33" s="12"/>
      <c r="CO33" s="12"/>
    </row>
    <row r="34" ht="23.25" customHeight="1">
      <c r="A34" s="92">
        <v>3.0</v>
      </c>
      <c r="B34" s="93" t="s">
        <v>32</v>
      </c>
      <c r="C34" s="94" t="s">
        <v>132</v>
      </c>
      <c r="D34" s="95" t="str">
        <f t="shared" si="1"/>
        <v>3-2-1B</v>
      </c>
      <c r="E34" s="50"/>
      <c r="F34" s="51"/>
      <c r="G34" s="105"/>
      <c r="H34" s="47"/>
      <c r="I34" s="48"/>
      <c r="J34" s="52"/>
      <c r="K34" s="27" t="str">
        <f t="shared" si="2"/>
        <v>DISPONIBLE</v>
      </c>
      <c r="L34" s="28">
        <f t="shared" si="3"/>
        <v>33</v>
      </c>
      <c r="M34" s="28" t="s">
        <v>23</v>
      </c>
      <c r="N34" s="109"/>
      <c r="O34" s="29"/>
      <c r="P34" s="12"/>
      <c r="Q34" s="12"/>
      <c r="R34" s="12"/>
      <c r="S34" s="12"/>
      <c r="T34" s="12"/>
      <c r="U34" s="12"/>
      <c r="V34" s="12"/>
      <c r="AB34" s="12"/>
      <c r="AC34" s="12" t="str">
        <f>IFERROR(__xludf.DUMMYFUNCTION("""COMPUTED_VALUE"""),"3-NV-4")</f>
        <v>3-NV-4</v>
      </c>
      <c r="AD34" s="12" t="str">
        <f>IFERROR(__xludf.DUMMYFUNCTION("""COMPUTED_VALUE"""),"692043")</f>
        <v>692043</v>
      </c>
      <c r="AE34" s="12" t="str">
        <f>IFERROR(__xludf.DUMMYFUNCTION("""COMPUTED_VALUE"""),"CAJA CARTON CORRUGADO 60x60x50 CM ")</f>
        <v>CAJA CARTON CORRUGADO 60x60x50 CM </v>
      </c>
      <c r="AF34" s="30">
        <f>IFERROR(__xludf.DUMMYFUNCTION("""COMPUTED_VALUE"""),1230.0)</f>
        <v>1230</v>
      </c>
      <c r="AG34" s="12" t="str">
        <f>IFERROR(__xludf.DUMMYFUNCTION("""COMPUTED_VALUE"""),"PROVEEDOR")</f>
        <v>PROVEEDOR</v>
      </c>
      <c r="AH34" s="12">
        <f>IFERROR(__xludf.DUMMYFUNCTION("""COMPUTED_VALUE"""),3.0)</f>
        <v>3</v>
      </c>
      <c r="AI34" s="12" t="str">
        <f>IFERROR(__xludf.DUMMYFUNCTION("""COMPUTED_VALUE"""),"NV")</f>
        <v>NV</v>
      </c>
      <c r="AJ34" s="12" t="str">
        <f>IFERROR(__xludf.DUMMYFUNCTION("""COMPUTED_VALUE"""),"4")</f>
        <v>4</v>
      </c>
      <c r="AK34" s="12">
        <f>IFERROR(__xludf.DUMMYFUNCTION("""COMPUTED_VALUE"""),96.0)</f>
        <v>96</v>
      </c>
      <c r="AL34" s="12" t="str">
        <f>IFERROR(__xludf.DUMMYFUNCTION("""COMPUTED_VALUE"""),"SUMMIT")</f>
        <v>SUMMIT</v>
      </c>
      <c r="AP34" s="12"/>
      <c r="AQ34" s="12"/>
      <c r="BC34" s="12"/>
      <c r="BH34" s="12" t="str">
        <f>IFERROR(__xludf.DUMMYFUNCTION("IFERROR(INDEX(QUERY(IMPORTRANGE(""1T7HG8KEs-Ob7f3M5atEVN9Yn7IeORGp0QGvggB62ELw"",""Maestro!A:I""),""SELECT Col8 WHERE Col3 = '""&amp;BE34&amp;""'"", 0), 1, 1),""NO ENCONTRADO"")"),"")</f>
        <v/>
      </c>
      <c r="BI34" s="16">
        <v>1.0</v>
      </c>
      <c r="BJ34" s="16">
        <f t="shared" si="4"/>
        <v>0</v>
      </c>
      <c r="BK34" s="12"/>
      <c r="BR34" s="12"/>
      <c r="BY34" s="14"/>
      <c r="CC34" s="14"/>
      <c r="CD34" s="14"/>
      <c r="CE34" s="14"/>
      <c r="CF34" s="12"/>
      <c r="CG34" s="12"/>
      <c r="CH34" s="12"/>
      <c r="CI34" s="12"/>
      <c r="CJ34" s="12"/>
      <c r="CK34" s="12"/>
      <c r="CL34" s="12"/>
      <c r="CM34" s="12"/>
      <c r="CN34" s="12"/>
      <c r="CO34" s="12"/>
    </row>
    <row r="35" ht="23.25" customHeight="1">
      <c r="A35" s="92">
        <v>3.0</v>
      </c>
      <c r="B35" s="93" t="s">
        <v>32</v>
      </c>
      <c r="C35" s="94" t="s">
        <v>124</v>
      </c>
      <c r="D35" s="95" t="str">
        <f t="shared" si="1"/>
        <v>3-2-2A</v>
      </c>
      <c r="E35" s="110"/>
      <c r="F35" s="111"/>
      <c r="G35" s="112"/>
      <c r="H35" s="113"/>
      <c r="I35" s="114"/>
      <c r="J35" s="115"/>
      <c r="K35" s="32" t="str">
        <f t="shared" si="2"/>
        <v>DISPONIBLE</v>
      </c>
      <c r="L35" s="33">
        <f t="shared" si="3"/>
        <v>34</v>
      </c>
      <c r="M35" s="33" t="s">
        <v>23</v>
      </c>
      <c r="N35" s="122"/>
      <c r="O35" s="34"/>
      <c r="P35" s="12"/>
      <c r="Q35" s="12"/>
      <c r="R35" s="12"/>
      <c r="S35" s="12"/>
      <c r="T35" s="12"/>
      <c r="U35" s="12"/>
      <c r="V35" s="12"/>
      <c r="AB35" s="12"/>
      <c r="AC35" s="12" t="str">
        <f>IFERROR(__xludf.DUMMYFUNCTION("""COMPUTED_VALUE"""),"3-R-2A1")</f>
        <v>3-R-2A1</v>
      </c>
      <c r="AD35" s="12" t="str">
        <f>IFERROR(__xludf.DUMMYFUNCTION("""COMPUTED_VALUE"""),"PENDIENTE")</f>
        <v>PENDIENTE</v>
      </c>
      <c r="AE35" s="12" t="str">
        <f>IFERROR(__xludf.DUMMYFUNCTION("""COMPUTED_VALUE"""),"SEPARADOR 2 RANURAS")</f>
        <v>SEPARADOR 2 RANURAS</v>
      </c>
      <c r="AF35" s="30">
        <f>IFERROR(__xludf.DUMMYFUNCTION("""COMPUTED_VALUE"""),666.0)</f>
        <v>666</v>
      </c>
      <c r="AG35" s="12" t="str">
        <f>IFERROR(__xludf.DUMMYFUNCTION("""COMPUTED_VALUE"""),"PROVEEDOR")</f>
        <v>PROVEEDOR</v>
      </c>
      <c r="AH35" s="12">
        <f>IFERROR(__xludf.DUMMYFUNCTION("""COMPUTED_VALUE"""),3.0)</f>
        <v>3</v>
      </c>
      <c r="AI35" s="12" t="str">
        <f>IFERROR(__xludf.DUMMYFUNCTION("""COMPUTED_VALUE"""),"R")</f>
        <v>R</v>
      </c>
      <c r="AJ35" s="12" t="str">
        <f>IFERROR(__xludf.DUMMYFUNCTION("""COMPUTED_VALUE"""),"2A1")</f>
        <v>2A1</v>
      </c>
      <c r="AK35" s="12">
        <f>IFERROR(__xludf.DUMMYFUNCTION("""COMPUTED_VALUE"""),98.0)</f>
        <v>98</v>
      </c>
      <c r="AL35" s="12" t="str">
        <f>IFERROR(__xludf.DUMMYFUNCTION("""COMPUTED_VALUE"""),"SUMMIT")</f>
        <v>SUMMIT</v>
      </c>
      <c r="AP35" s="12"/>
      <c r="AQ35" s="12"/>
      <c r="BC35" s="12"/>
      <c r="BH35" s="12" t="str">
        <f>IFERROR(__xludf.DUMMYFUNCTION("IFERROR(INDEX(QUERY(IMPORTRANGE(""1T7HG8KEs-Ob7f3M5atEVN9Yn7IeORGp0QGvggB62ELw"",""Maestro!A:I""),""SELECT Col8 WHERE Col3 = '""&amp;BE35&amp;""'"", 0), 1, 1),""NO ENCONTRADO"")"),"D")</f>
        <v>D</v>
      </c>
      <c r="BI35" s="16">
        <v>1.0</v>
      </c>
      <c r="BJ35" s="16">
        <f t="shared" si="4"/>
        <v>105</v>
      </c>
      <c r="BK35" s="12"/>
      <c r="BR35" s="12"/>
      <c r="BY35" s="14"/>
      <c r="CC35" s="14"/>
      <c r="CD35" s="14"/>
      <c r="CE35" s="14"/>
      <c r="CF35" s="12"/>
      <c r="CG35" s="12"/>
      <c r="CH35" s="12"/>
      <c r="CI35" s="12"/>
      <c r="CJ35" s="12"/>
      <c r="CK35" s="12"/>
      <c r="CL35" s="12"/>
      <c r="CM35" s="12"/>
      <c r="CN35" s="12"/>
      <c r="CO35" s="12"/>
    </row>
    <row r="36">
      <c r="A36" s="92">
        <v>3.0</v>
      </c>
      <c r="B36" s="93" t="s">
        <v>32</v>
      </c>
      <c r="C36" s="94" t="s">
        <v>140</v>
      </c>
      <c r="D36" s="95" t="str">
        <f t="shared" si="1"/>
        <v>3-2-2B</v>
      </c>
      <c r="E36" s="50"/>
      <c r="F36" s="51"/>
      <c r="G36" s="46"/>
      <c r="H36" s="47"/>
      <c r="I36" s="48"/>
      <c r="J36" s="52"/>
      <c r="K36" s="27" t="str">
        <f t="shared" si="2"/>
        <v>DISPONIBLE</v>
      </c>
      <c r="L36" s="28">
        <f t="shared" si="3"/>
        <v>35</v>
      </c>
      <c r="M36" s="28" t="s">
        <v>23</v>
      </c>
      <c r="N36" s="109"/>
      <c r="O36" s="29"/>
      <c r="P36" s="12"/>
      <c r="Q36" s="12"/>
      <c r="R36" s="12"/>
      <c r="S36" s="12"/>
      <c r="T36" s="12"/>
      <c r="U36" s="12"/>
      <c r="V36" s="12"/>
      <c r="AB36" s="12"/>
      <c r="AC36" s="12" t="str">
        <f>IFERROR(__xludf.DUMMYFUNCTION("""COMPUTED_VALUE"""),"3-R-2A2")</f>
        <v>3-R-2A2</v>
      </c>
      <c r="AD36" s="12" t="str">
        <f>IFERROR(__xludf.DUMMYFUNCTION("""COMPUTED_VALUE"""),"PENDIENTE")</f>
        <v>PENDIENTE</v>
      </c>
      <c r="AE36" s="12" t="str">
        <f>IFERROR(__xludf.DUMMYFUNCTION("""COMPUTED_VALUE"""),"SEPARADOR 2 RANURAS")</f>
        <v>SEPARADOR 2 RANURAS</v>
      </c>
      <c r="AF36" s="30">
        <f>IFERROR(__xludf.DUMMYFUNCTION("""COMPUTED_VALUE"""),666.0)</f>
        <v>666</v>
      </c>
      <c r="AG36" s="12" t="str">
        <f>IFERROR(__xludf.DUMMYFUNCTION("""COMPUTED_VALUE"""),"PROVEEDOR")</f>
        <v>PROVEEDOR</v>
      </c>
      <c r="AH36" s="12">
        <f>IFERROR(__xludf.DUMMYFUNCTION("""COMPUTED_VALUE"""),3.0)</f>
        <v>3</v>
      </c>
      <c r="AI36" s="12" t="str">
        <f>IFERROR(__xludf.DUMMYFUNCTION("""COMPUTED_VALUE"""),"R")</f>
        <v>R</v>
      </c>
      <c r="AJ36" s="12" t="str">
        <f>IFERROR(__xludf.DUMMYFUNCTION("""COMPUTED_VALUE"""),"2A2")</f>
        <v>2A2</v>
      </c>
      <c r="AK36" s="12">
        <f>IFERROR(__xludf.DUMMYFUNCTION("""COMPUTED_VALUE"""),99.0)</f>
        <v>99</v>
      </c>
      <c r="AL36" s="12" t="str">
        <f>IFERROR(__xludf.DUMMYFUNCTION("""COMPUTED_VALUE"""),"SUMMIT")</f>
        <v>SUMMIT</v>
      </c>
      <c r="AP36" s="12"/>
      <c r="AQ36" s="12"/>
      <c r="BC36" s="12"/>
      <c r="BH36" s="12" t="str">
        <f>IFERROR(__xludf.DUMMYFUNCTION("IFERROR(INDEX(QUERY(IMPORTRANGE(""1T7HG8KEs-Ob7f3M5atEVN9Yn7IeORGp0QGvggB62ELw"",""Maestro!A:I""),""SELECT Col8 WHERE Col3 = '""&amp;BE36&amp;""'"", 0), 1, 1),""NO ENCONTRADO"")"),"M")</f>
        <v>M</v>
      </c>
      <c r="BI36" s="16">
        <v>1.0</v>
      </c>
      <c r="BJ36" s="16">
        <f t="shared" si="4"/>
        <v>10</v>
      </c>
      <c r="BK36" s="12"/>
      <c r="BR36" s="12"/>
      <c r="BY36" s="14"/>
      <c r="CC36" s="14"/>
      <c r="CD36" s="14"/>
      <c r="CE36" s="14"/>
      <c r="CF36" s="12"/>
      <c r="CG36" s="12"/>
      <c r="CH36" s="12"/>
      <c r="CI36" s="12"/>
      <c r="CJ36" s="12"/>
      <c r="CK36" s="12"/>
      <c r="CL36" s="12"/>
      <c r="CM36" s="12"/>
      <c r="CN36" s="12"/>
      <c r="CO36" s="12"/>
    </row>
    <row r="37">
      <c r="A37" s="92">
        <v>3.0</v>
      </c>
      <c r="B37" s="93" t="s">
        <v>32</v>
      </c>
      <c r="C37" s="94" t="s">
        <v>130</v>
      </c>
      <c r="D37" s="95" t="str">
        <f t="shared" si="1"/>
        <v>3-2-3A</v>
      </c>
      <c r="E37" s="110"/>
      <c r="F37" s="111"/>
      <c r="G37" s="112"/>
      <c r="H37" s="113"/>
      <c r="I37" s="114"/>
      <c r="J37" s="115"/>
      <c r="K37" s="32" t="str">
        <f t="shared" si="2"/>
        <v>DISPONIBLE</v>
      </c>
      <c r="L37" s="33">
        <f t="shared" si="3"/>
        <v>36</v>
      </c>
      <c r="M37" s="33" t="s">
        <v>23</v>
      </c>
      <c r="N37" s="33"/>
      <c r="O37" s="34" t="s">
        <v>24</v>
      </c>
      <c r="P37" s="12"/>
      <c r="Q37" s="12"/>
      <c r="R37" s="12"/>
      <c r="S37" s="12"/>
      <c r="T37" s="12"/>
      <c r="U37" s="12"/>
      <c r="V37" s="12"/>
      <c r="AB37" s="12"/>
      <c r="AC37" s="12" t="str">
        <f>IFERROR(__xludf.DUMMYFUNCTION("""COMPUTED_VALUE"""),"3-R-2B")</f>
        <v>3-R-2B</v>
      </c>
      <c r="AD37" s="12" t="str">
        <f>IFERROR(__xludf.DUMMYFUNCTION("""COMPUTED_VALUE"""),"600900P")</f>
        <v>600900P</v>
      </c>
      <c r="AE37" s="12" t="str">
        <f>IFERROR(__xludf.DUMMYFUNCTION("""COMPUTED_VALUE"""),"ROLLO ESPUMA EMBALAJE 1 MM 1.40X220 MT")</f>
        <v>ROLLO ESPUMA EMBALAJE 1 MM 1.40X220 MT</v>
      </c>
      <c r="AF37" s="30">
        <f>IFERROR(__xludf.DUMMYFUNCTION("""COMPUTED_VALUE"""),5.0)</f>
        <v>5</v>
      </c>
      <c r="AG37" s="12" t="str">
        <f>IFERROR(__xludf.DUMMYFUNCTION("""COMPUTED_VALUE"""),"PROVEEDOR")</f>
        <v>PROVEEDOR</v>
      </c>
      <c r="AH37" s="12">
        <f>IFERROR(__xludf.DUMMYFUNCTION("""COMPUTED_VALUE"""),3.0)</f>
        <v>3</v>
      </c>
      <c r="AI37" s="12" t="str">
        <f>IFERROR(__xludf.DUMMYFUNCTION("""COMPUTED_VALUE"""),"R")</f>
        <v>R</v>
      </c>
      <c r="AJ37" s="12" t="str">
        <f>IFERROR(__xludf.DUMMYFUNCTION("""COMPUTED_VALUE"""),"2B")</f>
        <v>2B</v>
      </c>
      <c r="AK37" s="12">
        <f>IFERROR(__xludf.DUMMYFUNCTION("""COMPUTED_VALUE"""),99.0)</f>
        <v>99</v>
      </c>
      <c r="AL37" s="12" t="str">
        <f>IFERROR(__xludf.DUMMYFUNCTION("""COMPUTED_VALUE"""),"SUMMIT")</f>
        <v>SUMMIT</v>
      </c>
      <c r="AP37" s="12"/>
      <c r="AQ37" s="12"/>
      <c r="BC37" s="12"/>
      <c r="BH37" s="12" t="str">
        <f>IFERROR(__xludf.DUMMYFUNCTION("IFERROR(INDEX(QUERY(IMPORTRANGE(""1T7HG8KEs-Ob7f3M5atEVN9Yn7IeORGp0QGvggB62ELw"",""Maestro!A:I""),""SELECT Col8 WHERE Col3 = '""&amp;BE37&amp;""'"", 0), 1, 1),""NO ENCONTRADO"")"),"")</f>
        <v/>
      </c>
      <c r="BI37" s="16">
        <v>1.0</v>
      </c>
      <c r="BJ37" s="16">
        <f t="shared" si="4"/>
        <v>0</v>
      </c>
      <c r="BK37" s="12"/>
      <c r="BR37" s="12"/>
      <c r="BY37" s="14"/>
      <c r="CC37" s="14"/>
      <c r="CD37" s="14"/>
      <c r="CE37" s="14"/>
      <c r="CF37" s="12"/>
      <c r="CG37" s="12"/>
      <c r="CH37" s="12"/>
      <c r="CI37" s="12"/>
      <c r="CJ37" s="12"/>
      <c r="CK37" s="12"/>
      <c r="CL37" s="12"/>
      <c r="CM37" s="12"/>
      <c r="CN37" s="12"/>
      <c r="CO37" s="12"/>
    </row>
    <row r="38">
      <c r="A38" s="92">
        <v>3.0</v>
      </c>
      <c r="B38" s="93" t="s">
        <v>32</v>
      </c>
      <c r="C38" s="94" t="s">
        <v>148</v>
      </c>
      <c r="D38" s="95" t="str">
        <f t="shared" si="1"/>
        <v>3-2-3B</v>
      </c>
      <c r="E38" s="50"/>
      <c r="F38" s="51"/>
      <c r="G38" s="46"/>
      <c r="H38" s="47"/>
      <c r="I38" s="48"/>
      <c r="J38" s="52"/>
      <c r="K38" s="27" t="str">
        <f t="shared" si="2"/>
        <v>DISPONIBLE</v>
      </c>
      <c r="L38" s="28">
        <f t="shared" si="3"/>
        <v>37</v>
      </c>
      <c r="M38" s="28" t="s">
        <v>23</v>
      </c>
      <c r="N38" s="109"/>
      <c r="O38" s="29"/>
      <c r="P38" s="12"/>
      <c r="Q38" s="12"/>
      <c r="R38" s="12"/>
      <c r="S38" s="12"/>
      <c r="T38" s="12"/>
      <c r="U38" s="12"/>
      <c r="V38" s="12"/>
      <c r="AB38" s="12"/>
      <c r="AC38" s="12" t="str">
        <f>IFERROR(__xludf.DUMMYFUNCTION("""COMPUTED_VALUE"""),"3-PRD-F1-3")</f>
        <v>3-PRD-F1-3</v>
      </c>
      <c r="AD38" s="12" t="str">
        <f>IFERROR(__xludf.DUMMYFUNCTION("""COMPUTED_VALUE"""),"692029X")</f>
        <v>692029X</v>
      </c>
      <c r="AE38" s="12" t="str">
        <f>IFERROR(__xludf.DUMMYFUNCTION("""COMPUTED_VALUE"""),"CAJA CARTON CORRUGADO 60x40x40")</f>
        <v>CAJA CARTON CORRUGADO 60x40x40</v>
      </c>
      <c r="AF38" s="30">
        <f>IFERROR(__xludf.DUMMYFUNCTION("""COMPUTED_VALUE"""),15.0)</f>
        <v>15</v>
      </c>
      <c r="AG38" s="12" t="str">
        <f>IFERROR(__xludf.DUMMYFUNCTION("""COMPUTED_VALUE"""),"PROVEEDOR")</f>
        <v>PROVEEDOR</v>
      </c>
      <c r="AH38" s="12">
        <f>IFERROR(__xludf.DUMMYFUNCTION("""COMPUTED_VALUE"""),3.0)</f>
        <v>3</v>
      </c>
      <c r="AI38" s="12" t="str">
        <f>IFERROR(__xludf.DUMMYFUNCTION("""COMPUTED_VALUE"""),"PRD-F1")</f>
        <v>PRD-F1</v>
      </c>
      <c r="AJ38" s="12" t="str">
        <f>IFERROR(__xludf.DUMMYFUNCTION("""COMPUTED_VALUE"""),"3")</f>
        <v>3</v>
      </c>
      <c r="AK38" s="12">
        <f>IFERROR(__xludf.DUMMYFUNCTION("""COMPUTED_VALUE"""),103.0)</f>
        <v>103</v>
      </c>
      <c r="AL38" s="12" t="str">
        <f>IFERROR(__xludf.DUMMYFUNCTION("""COMPUTED_VALUE"""),"SUMMIT")</f>
        <v>SUMMIT</v>
      </c>
      <c r="AP38" s="12"/>
      <c r="AQ38" s="12"/>
      <c r="BC38" s="12"/>
      <c r="BH38" s="12" t="str">
        <f>IFERROR(__xludf.DUMMYFUNCTION("IFERROR(INDEX(QUERY(IMPORTRANGE(""1T7HG8KEs-Ob7f3M5atEVN9Yn7IeORGp0QGvggB62ELw"",""Maestro!A:I""),""SELECT Col8 WHERE Col3 = '""&amp;BE38&amp;""'"", 0), 1, 1),""NO ENCONTRADO"")"),"D")</f>
        <v>D</v>
      </c>
      <c r="BI38" s="16">
        <v>1.0</v>
      </c>
      <c r="BJ38" s="16">
        <f t="shared" si="4"/>
        <v>55</v>
      </c>
      <c r="BK38" s="12"/>
      <c r="BR38" s="12"/>
      <c r="BY38" s="14"/>
      <c r="CC38" s="14"/>
      <c r="CD38" s="14"/>
      <c r="CE38" s="14"/>
      <c r="CF38" s="12"/>
      <c r="CG38" s="12"/>
      <c r="CH38" s="12"/>
      <c r="CI38" s="12"/>
      <c r="CJ38" s="12"/>
      <c r="CK38" s="12"/>
      <c r="CL38" s="12"/>
      <c r="CM38" s="12"/>
      <c r="CN38" s="12"/>
      <c r="CO38" s="12"/>
    </row>
    <row r="39">
      <c r="A39" s="92">
        <v>3.0</v>
      </c>
      <c r="B39" s="93" t="s">
        <v>32</v>
      </c>
      <c r="C39" s="94" t="s">
        <v>145</v>
      </c>
      <c r="D39" s="95" t="str">
        <f t="shared" si="1"/>
        <v>3-2-4A</v>
      </c>
      <c r="E39" s="96">
        <v>45763.0</v>
      </c>
      <c r="F39" s="97" t="s">
        <v>258</v>
      </c>
      <c r="G39" s="98" t="s">
        <v>143</v>
      </c>
      <c r="H39" s="99" t="s">
        <v>144</v>
      </c>
      <c r="I39" s="100">
        <v>25.0</v>
      </c>
      <c r="J39" s="101" t="s">
        <v>22</v>
      </c>
      <c r="K39" s="32" t="str">
        <f t="shared" si="2"/>
        <v>OCUPADO</v>
      </c>
      <c r="L39" s="33">
        <f t="shared" si="3"/>
        <v>38</v>
      </c>
      <c r="M39" s="33" t="s">
        <v>23</v>
      </c>
      <c r="N39" s="33" t="s">
        <v>165</v>
      </c>
      <c r="O39" s="34" t="s">
        <v>24</v>
      </c>
      <c r="P39" s="12"/>
      <c r="Q39" s="12"/>
      <c r="R39" s="12"/>
      <c r="S39" s="12"/>
      <c r="T39" s="12"/>
      <c r="U39" s="12"/>
      <c r="V39" s="12"/>
      <c r="AB39" s="12"/>
      <c r="AC39" s="12" t="str">
        <f>IFERROR(__xludf.DUMMYFUNCTION("""COMPUTED_VALUE"""),"3-PRD-F1-4")</f>
        <v>3-PRD-F1-4</v>
      </c>
      <c r="AD39" s="12" t="str">
        <f>IFERROR(__xludf.DUMMYFUNCTION("""COMPUTED_VALUE"""),"692043")</f>
        <v>692043</v>
      </c>
      <c r="AE39" s="12" t="str">
        <f>IFERROR(__xludf.DUMMYFUNCTION("""COMPUTED_VALUE"""),"CAJA CARTON CORRUGADO 60x60x50 CM")</f>
        <v>CAJA CARTON CORRUGADO 60x60x50 CM</v>
      </c>
      <c r="AF39" s="30">
        <f>IFERROR(__xludf.DUMMYFUNCTION("""COMPUTED_VALUE"""),10.0)</f>
        <v>10</v>
      </c>
      <c r="AG39" s="12" t="str">
        <f>IFERROR(__xludf.DUMMYFUNCTION("""COMPUTED_VALUE"""),"PROVEEDOR")</f>
        <v>PROVEEDOR</v>
      </c>
      <c r="AH39" s="12">
        <f>IFERROR(__xludf.DUMMYFUNCTION("""COMPUTED_VALUE"""),3.0)</f>
        <v>3</v>
      </c>
      <c r="AI39" s="12" t="str">
        <f>IFERROR(__xludf.DUMMYFUNCTION("""COMPUTED_VALUE"""),"PRD-F1")</f>
        <v>PRD-F1</v>
      </c>
      <c r="AJ39" s="12" t="str">
        <f>IFERROR(__xludf.DUMMYFUNCTION("""COMPUTED_VALUE"""),"4")</f>
        <v>4</v>
      </c>
      <c r="AK39" s="12">
        <f>IFERROR(__xludf.DUMMYFUNCTION("""COMPUTED_VALUE"""),104.0)</f>
        <v>104</v>
      </c>
      <c r="AL39" s="12" t="str">
        <f>IFERROR(__xludf.DUMMYFUNCTION("""COMPUTED_VALUE"""),"SUMMIT")</f>
        <v>SUMMIT</v>
      </c>
      <c r="AP39" s="12"/>
      <c r="AQ39" s="12"/>
      <c r="BC39" s="12"/>
      <c r="BH39" s="12" t="str">
        <f>IFERROR(__xludf.DUMMYFUNCTION("IFERROR(INDEX(QUERY(IMPORTRANGE(""1T7HG8KEs-Ob7f3M5atEVN9Yn7IeORGp0QGvggB62ELw"",""Maestro!A:I""),""SELECT Col8 WHERE Col3 = '""&amp;BE39&amp;""'"", 0), 1, 1),""NO ENCONTRADO"")"),"D")</f>
        <v>D</v>
      </c>
      <c r="BI39" s="16">
        <v>1.0</v>
      </c>
      <c r="BJ39" s="16">
        <f t="shared" si="4"/>
        <v>68</v>
      </c>
      <c r="BK39" s="12"/>
      <c r="BR39" s="12"/>
      <c r="BY39" s="14"/>
      <c r="CC39" s="14"/>
      <c r="CD39" s="14"/>
      <c r="CE39" s="14"/>
      <c r="CF39" s="12"/>
      <c r="CG39" s="12"/>
      <c r="CH39" s="12"/>
      <c r="CI39" s="12"/>
      <c r="CJ39" s="12"/>
      <c r="CK39" s="12"/>
      <c r="CL39" s="12"/>
      <c r="CM39" s="12"/>
      <c r="CN39" s="12"/>
      <c r="CO39" s="12"/>
    </row>
    <row r="40">
      <c r="A40" s="92">
        <v>3.0</v>
      </c>
      <c r="B40" s="93" t="s">
        <v>32</v>
      </c>
      <c r="C40" s="94" t="s">
        <v>181</v>
      </c>
      <c r="D40" s="95" t="str">
        <f t="shared" si="1"/>
        <v>3-2-4B</v>
      </c>
      <c r="E40" s="103"/>
      <c r="F40" s="51"/>
      <c r="G40" s="46"/>
      <c r="H40" s="47"/>
      <c r="I40" s="48"/>
      <c r="J40" s="52"/>
      <c r="K40" s="27" t="str">
        <f t="shared" si="2"/>
        <v>DISPONIBLE</v>
      </c>
      <c r="L40" s="28">
        <f t="shared" si="3"/>
        <v>39</v>
      </c>
      <c r="M40" s="28" t="s">
        <v>23</v>
      </c>
      <c r="N40" s="109"/>
      <c r="O40" s="29"/>
      <c r="P40" s="12"/>
      <c r="Q40" s="12"/>
      <c r="R40" s="12"/>
      <c r="S40" s="12"/>
      <c r="T40" s="12"/>
      <c r="U40" s="12"/>
      <c r="V40" s="12"/>
      <c r="AB40" s="12"/>
      <c r="AC40" s="12" t="str">
        <f>IFERROR(__xludf.DUMMYFUNCTION("""COMPUTED_VALUE"""),"3-PRD-F2-1")</f>
        <v>3-PRD-F2-1</v>
      </c>
      <c r="AD40" s="12" t="str">
        <f>IFERROR(__xludf.DUMMYFUNCTION("""COMPUTED_VALUE"""),"692425")</f>
        <v>692425</v>
      </c>
      <c r="AE40" s="12" t="str">
        <f>IFERROR(__xludf.DUMMYFUNCTION("""COMPUTED_VALUE"""),"CAJA CARTON PISQUERA 31x23x31 CM")</f>
        <v>CAJA CARTON PISQUERA 31x23x31 CM</v>
      </c>
      <c r="AF40" s="30">
        <f>IFERROR(__xludf.DUMMYFUNCTION("""COMPUTED_VALUE"""),11.0)</f>
        <v>11</v>
      </c>
      <c r="AG40" s="12" t="str">
        <f>IFERROR(__xludf.DUMMYFUNCTION("""COMPUTED_VALUE"""),"PROVEEDOR")</f>
        <v>PROVEEDOR</v>
      </c>
      <c r="AH40" s="12">
        <f>IFERROR(__xludf.DUMMYFUNCTION("""COMPUTED_VALUE"""),3.0)</f>
        <v>3</v>
      </c>
      <c r="AI40" s="12" t="str">
        <f>IFERROR(__xludf.DUMMYFUNCTION("""COMPUTED_VALUE"""),"PRD-F2")</f>
        <v>PRD-F2</v>
      </c>
      <c r="AJ40" s="12" t="str">
        <f>IFERROR(__xludf.DUMMYFUNCTION("""COMPUTED_VALUE"""),"1")</f>
        <v>1</v>
      </c>
      <c r="AK40" s="12">
        <f>IFERROR(__xludf.DUMMYFUNCTION("""COMPUTED_VALUE"""),106.0)</f>
        <v>106</v>
      </c>
      <c r="AL40" s="12" t="str">
        <f>IFERROR(__xludf.DUMMYFUNCTION("""COMPUTED_VALUE"""),"SUMMIT")</f>
        <v>SUMMIT</v>
      </c>
      <c r="AP40" s="12"/>
      <c r="AQ40" s="12"/>
      <c r="BC40" s="12"/>
      <c r="BH40" s="12" t="str">
        <f>IFERROR(__xludf.DUMMYFUNCTION("IFERROR(INDEX(QUERY(IMPORTRANGE(""1T7HG8KEs-Ob7f3M5atEVN9Yn7IeORGp0QGvggB62ELw"",""Maestro!A:I""),""SELECT Col8 WHERE Col3 = '""&amp;BE40&amp;""'"", 0), 1, 1),""NO ENCONTRADO"")"),"D")</f>
        <v>D</v>
      </c>
      <c r="BI40" s="16">
        <v>1.0</v>
      </c>
      <c r="BJ40" s="16">
        <f t="shared" si="4"/>
        <v>54</v>
      </c>
      <c r="BK40" s="12"/>
      <c r="BR40" s="12"/>
      <c r="BY40" s="14"/>
      <c r="BZ40" s="14"/>
      <c r="CA40" s="14"/>
      <c r="CB40" s="14"/>
      <c r="CC40" s="14"/>
      <c r="CD40" s="14"/>
      <c r="CE40" s="14"/>
      <c r="CF40" s="12"/>
      <c r="CG40" s="12"/>
      <c r="CH40" s="12"/>
      <c r="CI40" s="12"/>
      <c r="CJ40" s="12"/>
      <c r="CK40" s="12"/>
      <c r="CL40" s="12"/>
      <c r="CM40" s="12"/>
      <c r="CN40" s="12"/>
      <c r="CO40" s="12"/>
    </row>
    <row r="41">
      <c r="A41" s="123">
        <v>3.0</v>
      </c>
      <c r="B41" s="94" t="s">
        <v>32</v>
      </c>
      <c r="C41" s="94" t="s">
        <v>188</v>
      </c>
      <c r="D41" s="95" t="str">
        <f t="shared" si="1"/>
        <v>3-2-5A</v>
      </c>
      <c r="E41" s="110"/>
      <c r="F41" s="124"/>
      <c r="G41" s="112"/>
      <c r="H41" s="113"/>
      <c r="I41" s="114"/>
      <c r="J41" s="115"/>
      <c r="K41" s="32" t="str">
        <f t="shared" si="2"/>
        <v>DISPONIBLE</v>
      </c>
      <c r="L41" s="33">
        <f t="shared" si="3"/>
        <v>40</v>
      </c>
      <c r="M41" s="33" t="s">
        <v>23</v>
      </c>
      <c r="N41" s="53"/>
      <c r="O41" s="34"/>
      <c r="P41" s="12"/>
      <c r="Q41" s="12"/>
      <c r="R41" s="12"/>
      <c r="S41" s="12"/>
      <c r="T41" s="12"/>
      <c r="U41" s="12"/>
      <c r="V41" s="12"/>
      <c r="AB41" s="12"/>
      <c r="AC41" s="12" t="str">
        <f>IFERROR(__xludf.DUMMYFUNCTION("""COMPUTED_VALUE"""),"4-1-A")</f>
        <v>4-1-A</v>
      </c>
      <c r="AD41" s="12" t="str">
        <f>IFERROR(__xludf.DUMMYFUNCTION("""COMPUTED_VALUE"""),"HF25L")</f>
        <v>HF25L</v>
      </c>
      <c r="AE41" s="12" t="str">
        <f>IFERROR(__xludf.DUMMYFUNCTION("""COMPUTED_VALUE"""),"Horno Freidora Smart Edition 25L")</f>
        <v>Horno Freidora Smart Edition 25L</v>
      </c>
      <c r="AF41" s="30">
        <f>IFERROR(__xludf.DUMMYFUNCTION("""COMPUTED_VALUE"""),28.0)</f>
        <v>28</v>
      </c>
      <c r="AG41" s="12" t="str">
        <f>IFERROR(__xludf.DUMMYFUNCTION("""COMPUTED_VALUE"""),"Contenedor")</f>
        <v>Contenedor</v>
      </c>
      <c r="AH41" s="12">
        <f>IFERROR(__xludf.DUMMYFUNCTION("""COMPUTED_VALUE"""),4.0)</f>
        <v>4</v>
      </c>
      <c r="AI41" s="12" t="str">
        <f>IFERROR(__xludf.DUMMYFUNCTION("""COMPUTED_VALUE"""),"1")</f>
        <v>1</v>
      </c>
      <c r="AJ41" s="12" t="str">
        <f>IFERROR(__xludf.DUMMYFUNCTION("""COMPUTED_VALUE"""),"A")</f>
        <v>A</v>
      </c>
      <c r="AK41" s="12">
        <f>IFERROR(__xludf.DUMMYFUNCTION("""COMPUTED_VALUE"""),121.0)</f>
        <v>121</v>
      </c>
      <c r="AL41" s="12" t="str">
        <f>IFERROR(__xludf.DUMMYFUNCTION("""COMPUTED_VALUE"""),"KITCHEN-IT")</f>
        <v>KITCHEN-IT</v>
      </c>
      <c r="AP41" s="12"/>
      <c r="AQ41" s="12"/>
      <c r="BC41" s="12"/>
      <c r="BH41" s="12" t="str">
        <f>IFERROR(__xludf.DUMMYFUNCTION("IFERROR(INDEX(QUERY(IMPORTRANGE(""1T7HG8KEs-Ob7f3M5atEVN9Yn7IeORGp0QGvggB62ELw"",""Maestro!A:I""),""SELECT Col8 WHERE Col3 = '""&amp;BE41&amp;""'"", 0), 1, 1),""NO ENCONTRADO"")"),"M")</f>
        <v>M</v>
      </c>
      <c r="BI41" s="16">
        <v>1.0</v>
      </c>
      <c r="BJ41" s="16">
        <f t="shared" si="4"/>
        <v>72</v>
      </c>
      <c r="BK41" s="12"/>
      <c r="BR41" s="12"/>
      <c r="BY41" s="14"/>
      <c r="BZ41" s="14"/>
      <c r="CA41" s="14"/>
      <c r="CB41" s="14"/>
      <c r="CC41" s="14"/>
      <c r="CD41" s="14"/>
      <c r="CE41" s="14"/>
      <c r="CF41" s="12"/>
      <c r="CG41" s="12"/>
      <c r="CH41" s="12"/>
      <c r="CI41" s="12"/>
      <c r="CJ41" s="12"/>
      <c r="CK41" s="12"/>
      <c r="CL41" s="12"/>
      <c r="CM41" s="12"/>
      <c r="CN41" s="12"/>
      <c r="CO41" s="12"/>
    </row>
    <row r="42">
      <c r="A42" s="123">
        <v>3.0</v>
      </c>
      <c r="B42" s="94" t="s">
        <v>32</v>
      </c>
      <c r="C42" s="94" t="s">
        <v>192</v>
      </c>
      <c r="D42" s="95" t="str">
        <f t="shared" si="1"/>
        <v>3-2-5B</v>
      </c>
      <c r="E42" s="110"/>
      <c r="F42" s="124"/>
      <c r="G42" s="112"/>
      <c r="H42" s="113"/>
      <c r="I42" s="114"/>
      <c r="J42" s="115"/>
      <c r="K42" s="27" t="str">
        <f t="shared" si="2"/>
        <v>DISPONIBLE</v>
      </c>
      <c r="L42" s="28">
        <f t="shared" si="3"/>
        <v>41</v>
      </c>
      <c r="M42" s="28" t="s">
        <v>23</v>
      </c>
      <c r="N42" s="70"/>
      <c r="O42" s="29"/>
      <c r="P42" s="12"/>
      <c r="Q42" s="12"/>
      <c r="R42" s="12"/>
      <c r="S42" s="12"/>
      <c r="T42" s="12"/>
      <c r="U42" s="12"/>
      <c r="V42" s="12"/>
      <c r="AB42" s="12"/>
      <c r="AC42" s="12" t="str">
        <f>IFERROR(__xludf.DUMMYFUNCTION("""COMPUTED_VALUE"""),"4-1-B")</f>
        <v>4-1-B</v>
      </c>
      <c r="AD42" s="12" t="str">
        <f>IFERROR(__xludf.DUMMYFUNCTION("""COMPUTED_VALUE"""),"HF25L")</f>
        <v>HF25L</v>
      </c>
      <c r="AE42" s="12" t="str">
        <f>IFERROR(__xludf.DUMMYFUNCTION("""COMPUTED_VALUE"""),"Horno Freidora Smart Edition 25L")</f>
        <v>Horno Freidora Smart Edition 25L</v>
      </c>
      <c r="AF42" s="30">
        <f>IFERROR(__xludf.DUMMYFUNCTION("""COMPUTED_VALUE"""),28.0)</f>
        <v>28</v>
      </c>
      <c r="AG42" s="12" t="str">
        <f>IFERROR(__xludf.DUMMYFUNCTION("""COMPUTED_VALUE"""),"Contenedor")</f>
        <v>Contenedor</v>
      </c>
      <c r="AH42" s="12">
        <f>IFERROR(__xludf.DUMMYFUNCTION("""COMPUTED_VALUE"""),4.0)</f>
        <v>4</v>
      </c>
      <c r="AI42" s="12" t="str">
        <f>IFERROR(__xludf.DUMMYFUNCTION("""COMPUTED_VALUE"""),"1")</f>
        <v>1</v>
      </c>
      <c r="AJ42" s="12" t="str">
        <f>IFERROR(__xludf.DUMMYFUNCTION("""COMPUTED_VALUE"""),"B")</f>
        <v>B</v>
      </c>
      <c r="AK42" s="12">
        <f>IFERROR(__xludf.DUMMYFUNCTION("""COMPUTED_VALUE"""),122.0)</f>
        <v>122</v>
      </c>
      <c r="AL42" s="12" t="str">
        <f>IFERROR(__xludf.DUMMYFUNCTION("""COMPUTED_VALUE"""),"KITCHEN-IT")</f>
        <v>KITCHEN-IT</v>
      </c>
      <c r="AP42" s="12"/>
      <c r="AQ42" s="12"/>
      <c r="BC42" s="12"/>
      <c r="BH42" s="12" t="str">
        <f>IFERROR(__xludf.DUMMYFUNCTION("IFERROR(INDEX(QUERY(IMPORTRANGE(""1T7HG8KEs-Ob7f3M5atEVN9Yn7IeORGp0QGvggB62ELw"",""Maestro!A:I""),""SELECT Col8 WHERE Col3 = '""&amp;BE42&amp;""'"", 0), 1, 1),""NO ENCONTRADO"")"),"D")</f>
        <v>D</v>
      </c>
      <c r="BI42" s="16">
        <v>1.0</v>
      </c>
      <c r="BJ42" s="16">
        <f t="shared" si="4"/>
        <v>1230</v>
      </c>
      <c r="BK42" s="12"/>
      <c r="BR42" s="12"/>
      <c r="BY42" s="14"/>
      <c r="BZ42" s="14"/>
      <c r="CA42" s="14"/>
      <c r="CB42" s="14"/>
      <c r="CC42" s="14"/>
      <c r="CD42" s="14"/>
      <c r="CE42" s="14"/>
      <c r="CF42" s="12"/>
      <c r="CG42" s="12"/>
      <c r="CH42" s="12"/>
      <c r="CI42" s="12"/>
      <c r="CJ42" s="12"/>
      <c r="CK42" s="12"/>
      <c r="CL42" s="12"/>
      <c r="CM42" s="12"/>
      <c r="CN42" s="12"/>
      <c r="CO42" s="12"/>
    </row>
    <row r="43">
      <c r="A43" s="92">
        <v>3.0</v>
      </c>
      <c r="B43" s="93" t="s">
        <v>44</v>
      </c>
      <c r="C43" s="94" t="s">
        <v>119</v>
      </c>
      <c r="D43" s="95" t="str">
        <f t="shared" si="1"/>
        <v>3-3-1A</v>
      </c>
      <c r="E43" s="35">
        <v>45817.0</v>
      </c>
      <c r="F43" s="36" t="s">
        <v>280</v>
      </c>
      <c r="G43" s="37" t="s">
        <v>151</v>
      </c>
      <c r="H43" s="38" t="s">
        <v>152</v>
      </c>
      <c r="I43" s="39">
        <v>400.0</v>
      </c>
      <c r="J43" s="38" t="s">
        <v>22</v>
      </c>
      <c r="K43" s="32" t="str">
        <f t="shared" si="2"/>
        <v>OCUPADO</v>
      </c>
      <c r="L43" s="33">
        <f t="shared" si="3"/>
        <v>42</v>
      </c>
      <c r="M43" s="33" t="s">
        <v>23</v>
      </c>
      <c r="N43" s="33"/>
      <c r="O43" s="34" t="s">
        <v>24</v>
      </c>
      <c r="P43" s="12"/>
      <c r="Q43" s="12"/>
      <c r="R43" s="12"/>
      <c r="S43" s="12"/>
      <c r="T43" s="12"/>
      <c r="U43" s="12"/>
      <c r="V43" s="12"/>
      <c r="AB43" s="12"/>
      <c r="AC43" s="12" t="str">
        <f>IFERROR(__xludf.DUMMYFUNCTION("""COMPUTED_VALUE"""),"4-1-C")</f>
        <v>4-1-C</v>
      </c>
      <c r="AD43" s="12" t="str">
        <f>IFERROR(__xludf.DUMMYFUNCTION("""COMPUTED_VALUE"""),"HF25L")</f>
        <v>HF25L</v>
      </c>
      <c r="AE43" s="12" t="str">
        <f>IFERROR(__xludf.DUMMYFUNCTION("""COMPUTED_VALUE"""),"Horno Freidora Smart Edition 25L")</f>
        <v>Horno Freidora Smart Edition 25L</v>
      </c>
      <c r="AF43" s="30">
        <f>IFERROR(__xludf.DUMMYFUNCTION("""COMPUTED_VALUE"""),28.0)</f>
        <v>28</v>
      </c>
      <c r="AG43" s="12" t="str">
        <f>IFERROR(__xludf.DUMMYFUNCTION("""COMPUTED_VALUE"""),"Contenedor")</f>
        <v>Contenedor</v>
      </c>
      <c r="AH43" s="12">
        <f>IFERROR(__xludf.DUMMYFUNCTION("""COMPUTED_VALUE"""),4.0)</f>
        <v>4</v>
      </c>
      <c r="AI43" s="12" t="str">
        <f>IFERROR(__xludf.DUMMYFUNCTION("""COMPUTED_VALUE"""),"1")</f>
        <v>1</v>
      </c>
      <c r="AJ43" s="12" t="str">
        <f>IFERROR(__xludf.DUMMYFUNCTION("""COMPUTED_VALUE"""),"C")</f>
        <v>C</v>
      </c>
      <c r="AK43" s="12">
        <f>IFERROR(__xludf.DUMMYFUNCTION("""COMPUTED_VALUE"""),123.0)</f>
        <v>123</v>
      </c>
      <c r="AL43" s="12" t="str">
        <f>IFERROR(__xludf.DUMMYFUNCTION("""COMPUTED_VALUE"""),"KITCHEN-IT")</f>
        <v>KITCHEN-IT</v>
      </c>
      <c r="AP43" s="12"/>
      <c r="AQ43" s="12"/>
      <c r="BC43" s="12"/>
      <c r="BH43" s="12" t="str">
        <f>IFERROR(__xludf.DUMMYFUNCTION("IFERROR(INDEX(QUERY(IMPORTRANGE(""1T7HG8KEs-Ob7f3M5atEVN9Yn7IeORGp0QGvggB62ELw"",""Maestro!A:I""),""SELECT Col8 WHERE Col3 = '""&amp;BE43&amp;""'"", 0), 1, 1),""NO ENCONTRADO"")"),"D")</f>
        <v>D</v>
      </c>
      <c r="BI43" s="16">
        <v>1.0</v>
      </c>
      <c r="BJ43" s="16">
        <f t="shared" si="4"/>
        <v>15</v>
      </c>
      <c r="BK43" s="12"/>
      <c r="BR43" s="12"/>
      <c r="BY43" s="14"/>
      <c r="BZ43" s="14"/>
      <c r="CA43" s="14"/>
      <c r="CB43" s="14"/>
      <c r="CC43" s="14"/>
      <c r="CD43" s="14"/>
      <c r="CE43" s="14"/>
      <c r="CF43" s="12"/>
      <c r="CG43" s="12"/>
      <c r="CH43" s="12"/>
      <c r="CI43" s="12"/>
      <c r="CJ43" s="12"/>
      <c r="CK43" s="12"/>
      <c r="CL43" s="12"/>
      <c r="CM43" s="12"/>
      <c r="CN43" s="12"/>
      <c r="CO43" s="12"/>
    </row>
    <row r="44">
      <c r="A44" s="92">
        <v>3.0</v>
      </c>
      <c r="B44" s="93" t="s">
        <v>44</v>
      </c>
      <c r="C44" s="94" t="s">
        <v>132</v>
      </c>
      <c r="D44" s="95" t="str">
        <f t="shared" si="1"/>
        <v>3-3-1B</v>
      </c>
      <c r="E44" s="50"/>
      <c r="F44" s="51"/>
      <c r="G44" s="46"/>
      <c r="H44" s="47"/>
      <c r="I44" s="48"/>
      <c r="J44" s="52"/>
      <c r="K44" s="27" t="str">
        <f t="shared" si="2"/>
        <v>DISPONIBLE</v>
      </c>
      <c r="L44" s="28">
        <f t="shared" si="3"/>
        <v>43</v>
      </c>
      <c r="M44" s="28" t="s">
        <v>23</v>
      </c>
      <c r="N44" s="70"/>
      <c r="P44" s="12"/>
      <c r="Q44" s="12"/>
      <c r="R44" s="12"/>
      <c r="S44" s="12"/>
      <c r="T44" s="12"/>
      <c r="U44" s="12"/>
      <c r="V44" s="12"/>
      <c r="AB44" s="12"/>
      <c r="AC44" s="12" t="str">
        <f>IFERROR(__xludf.DUMMYFUNCTION("""COMPUTED_VALUE"""),"4-1-D")</f>
        <v>4-1-D</v>
      </c>
      <c r="AD44" s="12" t="str">
        <f>IFERROR(__xludf.DUMMYFUNCTION("""COMPUTED_VALUE"""),"HF25L")</f>
        <v>HF25L</v>
      </c>
      <c r="AE44" s="12" t="str">
        <f>IFERROR(__xludf.DUMMYFUNCTION("""COMPUTED_VALUE"""),"Horno Freidora Smart Edition 25L")</f>
        <v>Horno Freidora Smart Edition 25L</v>
      </c>
      <c r="AF44" s="30">
        <f>IFERROR(__xludf.DUMMYFUNCTION("""COMPUTED_VALUE"""),28.0)</f>
        <v>28</v>
      </c>
      <c r="AG44" s="12" t="str">
        <f>IFERROR(__xludf.DUMMYFUNCTION("""COMPUTED_VALUE"""),"Contenedor")</f>
        <v>Contenedor</v>
      </c>
      <c r="AH44" s="12">
        <f>IFERROR(__xludf.DUMMYFUNCTION("""COMPUTED_VALUE"""),4.0)</f>
        <v>4</v>
      </c>
      <c r="AI44" s="12" t="str">
        <f>IFERROR(__xludf.DUMMYFUNCTION("""COMPUTED_VALUE"""),"1")</f>
        <v>1</v>
      </c>
      <c r="AJ44" s="12" t="str">
        <f>IFERROR(__xludf.DUMMYFUNCTION("""COMPUTED_VALUE"""),"D")</f>
        <v>D</v>
      </c>
      <c r="AK44" s="12">
        <f>IFERROR(__xludf.DUMMYFUNCTION("""COMPUTED_VALUE"""),124.0)</f>
        <v>124</v>
      </c>
      <c r="AL44" s="12" t="str">
        <f>IFERROR(__xludf.DUMMYFUNCTION("""COMPUTED_VALUE"""),"KITCHEN-IT")</f>
        <v>KITCHEN-IT</v>
      </c>
      <c r="AP44" s="12"/>
      <c r="AQ44" s="12"/>
      <c r="BC44" s="12"/>
      <c r="BH44" s="12" t="str">
        <f>IFERROR(__xludf.DUMMYFUNCTION("IFERROR(INDEX(QUERY(IMPORTRANGE(""1T7HG8KEs-Ob7f3M5atEVN9Yn7IeORGp0QGvggB62ELw"",""Maestro!A:I""),""SELECT Col8 WHERE Col3 = '""&amp;BE44&amp;""'"", 0), 1, 1),""NO ENCONTRADO"")"),"D")</f>
        <v>D</v>
      </c>
      <c r="BI44" s="16">
        <v>1.0</v>
      </c>
      <c r="BJ44" s="16">
        <f t="shared" si="4"/>
        <v>10</v>
      </c>
      <c r="BK44" s="12"/>
      <c r="BR44" s="12"/>
      <c r="BY44" s="14"/>
      <c r="BZ44" s="14"/>
      <c r="CA44" s="14"/>
      <c r="CB44" s="14"/>
      <c r="CC44" s="14"/>
      <c r="CD44" s="14"/>
      <c r="CE44" s="14"/>
      <c r="CF44" s="12"/>
      <c r="CG44" s="12"/>
      <c r="CH44" s="12"/>
      <c r="CI44" s="12"/>
      <c r="CJ44" s="12"/>
      <c r="CK44" s="12"/>
      <c r="CL44" s="12"/>
      <c r="CM44" s="12"/>
      <c r="CN44" s="12"/>
      <c r="CO44" s="12"/>
    </row>
    <row r="45">
      <c r="A45" s="92">
        <v>3.0</v>
      </c>
      <c r="B45" s="93" t="s">
        <v>44</v>
      </c>
      <c r="C45" s="94" t="s">
        <v>124</v>
      </c>
      <c r="D45" s="95" t="str">
        <f t="shared" si="1"/>
        <v>3-3-2A</v>
      </c>
      <c r="E45" s="35">
        <v>45817.0</v>
      </c>
      <c r="F45" s="36" t="s">
        <v>280</v>
      </c>
      <c r="G45" s="37" t="s">
        <v>151</v>
      </c>
      <c r="H45" s="38" t="s">
        <v>152</v>
      </c>
      <c r="I45" s="39">
        <v>400.0</v>
      </c>
      <c r="J45" s="38" t="s">
        <v>22</v>
      </c>
      <c r="K45" s="32" t="str">
        <f t="shared" si="2"/>
        <v>OCUPADO</v>
      </c>
      <c r="L45" s="33">
        <f t="shared" si="3"/>
        <v>44</v>
      </c>
      <c r="M45" s="33" t="s">
        <v>23</v>
      </c>
      <c r="N45" s="53"/>
      <c r="O45" s="34" t="s">
        <v>24</v>
      </c>
      <c r="P45" s="12"/>
      <c r="Q45" s="12"/>
      <c r="R45" s="12"/>
      <c r="S45" s="12"/>
      <c r="T45" s="12"/>
      <c r="U45" s="12"/>
      <c r="V45" s="12"/>
      <c r="AB45" s="12"/>
      <c r="AC45" s="12" t="str">
        <f>IFERROR(__xludf.DUMMYFUNCTION("""COMPUTED_VALUE"""),"4-1-E")</f>
        <v>4-1-E</v>
      </c>
      <c r="AD45" s="12" t="str">
        <f>IFERROR(__xludf.DUMMYFUNCTION("""COMPUTED_VALUE"""),"HF25L")</f>
        <v>HF25L</v>
      </c>
      <c r="AE45" s="12" t="str">
        <f>IFERROR(__xludf.DUMMYFUNCTION("""COMPUTED_VALUE"""),"Horno Freidora Smart Edition 25L")</f>
        <v>Horno Freidora Smart Edition 25L</v>
      </c>
      <c r="AF45" s="30">
        <f>IFERROR(__xludf.DUMMYFUNCTION("""COMPUTED_VALUE"""),28.0)</f>
        <v>28</v>
      </c>
      <c r="AG45" s="12" t="str">
        <f>IFERROR(__xludf.DUMMYFUNCTION("""COMPUTED_VALUE"""),"Contenedor")</f>
        <v>Contenedor</v>
      </c>
      <c r="AH45" s="12">
        <f>IFERROR(__xludf.DUMMYFUNCTION("""COMPUTED_VALUE"""),4.0)</f>
        <v>4</v>
      </c>
      <c r="AI45" s="12" t="str">
        <f>IFERROR(__xludf.DUMMYFUNCTION("""COMPUTED_VALUE"""),"1")</f>
        <v>1</v>
      </c>
      <c r="AJ45" s="12" t="str">
        <f>IFERROR(__xludf.DUMMYFUNCTION("""COMPUTED_VALUE"""),"E")</f>
        <v>E</v>
      </c>
      <c r="AK45" s="12">
        <f>IFERROR(__xludf.DUMMYFUNCTION("""COMPUTED_VALUE"""),125.0)</f>
        <v>125</v>
      </c>
      <c r="AL45" s="12" t="str">
        <f>IFERROR(__xludf.DUMMYFUNCTION("""COMPUTED_VALUE"""),"KITCHEN-IT")</f>
        <v>KITCHEN-IT</v>
      </c>
      <c r="AP45" s="12"/>
      <c r="AQ45" s="12"/>
      <c r="BC45" s="12"/>
      <c r="BH45" s="12" t="str">
        <f>IFERROR(__xludf.DUMMYFUNCTION("IFERROR(INDEX(QUERY(IMPORTRANGE(""1T7HG8KEs-Ob7f3M5atEVN9Yn7IeORGp0QGvggB62ELw"",""Maestro!A:I""),""SELECT Col8 WHERE Col3 = '""&amp;BE45&amp;""'"", 0), 1, 1),""NO ENCONTRADO"")"),"D")</f>
        <v>D</v>
      </c>
      <c r="BI45" s="16">
        <v>1.0</v>
      </c>
      <c r="BJ45" s="16">
        <f t="shared" si="4"/>
        <v>11</v>
      </c>
      <c r="BK45" s="12"/>
      <c r="BR45" s="12"/>
      <c r="BY45" s="14"/>
      <c r="BZ45" s="14"/>
      <c r="CA45" s="14"/>
      <c r="CB45" s="14"/>
      <c r="CC45" s="14"/>
      <c r="CD45" s="14"/>
      <c r="CE45" s="14"/>
      <c r="CF45" s="12"/>
      <c r="CG45" s="12"/>
      <c r="CH45" s="12"/>
      <c r="CI45" s="12"/>
      <c r="CJ45" s="12"/>
      <c r="CK45" s="12"/>
      <c r="CL45" s="12"/>
      <c r="CM45" s="12"/>
      <c r="CN45" s="12"/>
      <c r="CO45" s="12"/>
    </row>
    <row r="46">
      <c r="A46" s="92">
        <v>3.0</v>
      </c>
      <c r="B46" s="93" t="s">
        <v>44</v>
      </c>
      <c r="C46" s="94" t="s">
        <v>140</v>
      </c>
      <c r="D46" s="95" t="str">
        <f t="shared" si="1"/>
        <v>3-3-2B</v>
      </c>
      <c r="E46" s="50"/>
      <c r="F46" s="51"/>
      <c r="G46" s="46"/>
      <c r="H46" s="47"/>
      <c r="I46" s="48"/>
      <c r="J46" s="52"/>
      <c r="K46" s="27" t="str">
        <f t="shared" si="2"/>
        <v>DISPONIBLE</v>
      </c>
      <c r="L46" s="28">
        <f t="shared" si="3"/>
        <v>45</v>
      </c>
      <c r="M46" s="28" t="s">
        <v>23</v>
      </c>
      <c r="N46" s="70"/>
      <c r="O46" s="29"/>
      <c r="P46" s="12"/>
      <c r="Q46" s="12"/>
      <c r="R46" s="12"/>
      <c r="S46" s="12"/>
      <c r="T46" s="12"/>
      <c r="U46" s="12"/>
      <c r="V46" s="12"/>
      <c r="AB46" s="12"/>
      <c r="AC46" s="12" t="str">
        <f>IFERROR(__xludf.DUMMYFUNCTION("""COMPUTED_VALUE"""),"4-2-A")</f>
        <v>4-2-A</v>
      </c>
      <c r="AD46" s="12" t="str">
        <f>IFERROR(__xludf.DUMMYFUNCTION("""COMPUTED_VALUE"""),"PPPMXL")</f>
        <v>PPPMXL</v>
      </c>
      <c r="AE46" s="12" t="str">
        <f>IFERROR(__xludf.DUMMYFUNCTION("""COMPUTED_VALUE"""),"Plancha Panini Pro Max XL")</f>
        <v>Plancha Panini Pro Max XL</v>
      </c>
      <c r="AF46" s="30">
        <f>IFERROR(__xludf.DUMMYFUNCTION("""COMPUTED_VALUE"""),160.0)</f>
        <v>160</v>
      </c>
      <c r="AG46" s="12" t="str">
        <f>IFERROR(__xludf.DUMMYFUNCTION("""COMPUTED_VALUE"""),"Contenedor")</f>
        <v>Contenedor</v>
      </c>
      <c r="AH46" s="12">
        <f>IFERROR(__xludf.DUMMYFUNCTION("""COMPUTED_VALUE"""),4.0)</f>
        <v>4</v>
      </c>
      <c r="AI46" s="12" t="str">
        <f>IFERROR(__xludf.DUMMYFUNCTION("""COMPUTED_VALUE"""),"2")</f>
        <v>2</v>
      </c>
      <c r="AJ46" s="12" t="str">
        <f>IFERROR(__xludf.DUMMYFUNCTION("""COMPUTED_VALUE"""),"A")</f>
        <v>A</v>
      </c>
      <c r="AK46" s="12">
        <f>IFERROR(__xludf.DUMMYFUNCTION("""COMPUTED_VALUE"""),126.0)</f>
        <v>126</v>
      </c>
      <c r="AL46" s="12" t="str">
        <f>IFERROR(__xludf.DUMMYFUNCTION("""COMPUTED_VALUE"""),"KITCHEN-IT")</f>
        <v>KITCHEN-IT</v>
      </c>
      <c r="AP46" s="12"/>
      <c r="AQ46" s="12"/>
      <c r="BC46" s="12"/>
      <c r="BH46" s="12" t="str">
        <f>IFERROR(__xludf.DUMMYFUNCTION("IFERROR(INDEX(QUERY(IMPORTRANGE(""1T7HG8KEs-Ob7f3M5atEVN9Yn7IeORGp0QGvggB62ELw"",""Maestro!A:I""),""SELECT Col8 WHERE Col3 = '""&amp;BE46&amp;""'"", 0), 1, 1),""NO ENCONTRADO"")"),"")</f>
        <v/>
      </c>
      <c r="BI46" s="16">
        <v>1.0</v>
      </c>
      <c r="BJ46" s="16">
        <f t="shared" si="4"/>
        <v>0</v>
      </c>
      <c r="BK46" s="12"/>
      <c r="BR46" s="12"/>
      <c r="BY46" s="14"/>
      <c r="BZ46" s="14"/>
      <c r="CA46" s="14"/>
      <c r="CB46" s="14"/>
      <c r="CC46" s="14"/>
      <c r="CD46" s="14"/>
      <c r="CE46" s="14"/>
      <c r="CF46" s="12"/>
      <c r="CG46" s="12"/>
      <c r="CH46" s="12"/>
      <c r="CI46" s="12"/>
      <c r="CJ46" s="12"/>
      <c r="CK46" s="12"/>
      <c r="CL46" s="12"/>
      <c r="CM46" s="12"/>
      <c r="CN46" s="12"/>
      <c r="CO46" s="12"/>
    </row>
    <row r="47">
      <c r="A47" s="92">
        <v>3.0</v>
      </c>
      <c r="B47" s="93" t="s">
        <v>44</v>
      </c>
      <c r="C47" s="94" t="s">
        <v>130</v>
      </c>
      <c r="D47" s="95" t="str">
        <f t="shared" si="1"/>
        <v>3-3-3A</v>
      </c>
      <c r="E47" s="125">
        <v>45817.0</v>
      </c>
      <c r="F47" s="126" t="s">
        <v>280</v>
      </c>
      <c r="G47" s="126" t="s">
        <v>151</v>
      </c>
      <c r="H47" s="127" t="s">
        <v>152</v>
      </c>
      <c r="I47" s="128">
        <v>225.0</v>
      </c>
      <c r="J47" s="127" t="s">
        <v>22</v>
      </c>
      <c r="K47" s="32" t="str">
        <f t="shared" si="2"/>
        <v>OCUPADO</v>
      </c>
      <c r="L47" s="33">
        <f t="shared" si="3"/>
        <v>46</v>
      </c>
      <c r="M47" s="33" t="s">
        <v>23</v>
      </c>
      <c r="N47" s="53"/>
      <c r="O47" s="34"/>
      <c r="P47" s="12"/>
      <c r="Q47" s="12"/>
      <c r="R47" s="12"/>
      <c r="S47" s="12"/>
      <c r="T47" s="12"/>
      <c r="U47" s="12"/>
      <c r="V47" s="12"/>
      <c r="AB47" s="12"/>
      <c r="AC47" s="12" t="str">
        <f>IFERROR(__xludf.DUMMYFUNCTION("""COMPUTED_VALUE"""),"4-2-B")</f>
        <v>4-2-B</v>
      </c>
      <c r="AD47" s="12" t="str">
        <f>IFERROR(__xludf.DUMMYFUNCTION("""COMPUTED_VALUE"""),"PPPMXL")</f>
        <v>PPPMXL</v>
      </c>
      <c r="AE47" s="12" t="str">
        <f>IFERROR(__xludf.DUMMYFUNCTION("""COMPUTED_VALUE"""),"Plancha Panini Pro Max XL")</f>
        <v>Plancha Panini Pro Max XL</v>
      </c>
      <c r="AF47" s="30">
        <f>IFERROR(__xludf.DUMMYFUNCTION("""COMPUTED_VALUE"""),160.0)</f>
        <v>160</v>
      </c>
      <c r="AG47" s="12" t="str">
        <f>IFERROR(__xludf.DUMMYFUNCTION("""COMPUTED_VALUE"""),"Contenedor")</f>
        <v>Contenedor</v>
      </c>
      <c r="AH47" s="12">
        <f>IFERROR(__xludf.DUMMYFUNCTION("""COMPUTED_VALUE"""),4.0)</f>
        <v>4</v>
      </c>
      <c r="AI47" s="12" t="str">
        <f>IFERROR(__xludf.DUMMYFUNCTION("""COMPUTED_VALUE"""),"2")</f>
        <v>2</v>
      </c>
      <c r="AJ47" s="12" t="str">
        <f>IFERROR(__xludf.DUMMYFUNCTION("""COMPUTED_VALUE"""),"B")</f>
        <v>B</v>
      </c>
      <c r="AK47" s="12">
        <f>IFERROR(__xludf.DUMMYFUNCTION("""COMPUTED_VALUE"""),127.0)</f>
        <v>127</v>
      </c>
      <c r="AL47" s="12" t="str">
        <f>IFERROR(__xludf.DUMMYFUNCTION("""COMPUTED_VALUE"""),"KITCHEN-IT")</f>
        <v>KITCHEN-IT</v>
      </c>
      <c r="AP47" s="12"/>
      <c r="AQ47" s="12"/>
      <c r="BC47" s="12"/>
      <c r="BH47" s="12" t="str">
        <f>IFERROR(__xludf.DUMMYFUNCTION("IFERROR(INDEX(QUERY(IMPORTRANGE(""1T7HG8KEs-Ob7f3M5atEVN9Yn7IeORGp0QGvggB62ELw"",""Maestro!A:I""),""SELECT Col8 WHERE Col3 = '""&amp;BE47&amp;""'"", 0), 1, 1),""NO ENCONTRADO"")"),"NO ENCONTRADO")</f>
        <v>NO ENCONTRADO</v>
      </c>
      <c r="BI47" s="16">
        <v>1.0</v>
      </c>
      <c r="BJ47" s="16">
        <f t="shared" si="4"/>
        <v>666</v>
      </c>
      <c r="BK47" s="12"/>
      <c r="BR47" s="12"/>
      <c r="BY47" s="14"/>
      <c r="BZ47" s="14"/>
      <c r="CA47" s="14"/>
      <c r="CB47" s="14"/>
      <c r="CC47" s="14"/>
      <c r="CD47" s="14"/>
      <c r="CE47" s="14"/>
      <c r="CF47" s="12"/>
      <c r="CG47" s="12"/>
      <c r="CH47" s="12"/>
      <c r="CI47" s="12"/>
      <c r="CJ47" s="12"/>
      <c r="CK47" s="12"/>
      <c r="CL47" s="12"/>
      <c r="CM47" s="12"/>
      <c r="CN47" s="12"/>
      <c r="CO47" s="12"/>
    </row>
    <row r="48">
      <c r="A48" s="92">
        <v>3.0</v>
      </c>
      <c r="B48" s="93" t="s">
        <v>44</v>
      </c>
      <c r="C48" s="94" t="s">
        <v>148</v>
      </c>
      <c r="D48" s="95" t="str">
        <f t="shared" si="1"/>
        <v>3-3-3B</v>
      </c>
      <c r="E48" s="50"/>
      <c r="F48" s="51"/>
      <c r="G48" s="46"/>
      <c r="H48" s="47"/>
      <c r="I48" s="48"/>
      <c r="J48" s="52"/>
      <c r="K48" s="27" t="str">
        <f t="shared" si="2"/>
        <v>DISPONIBLE</v>
      </c>
      <c r="L48" s="28">
        <f t="shared" si="3"/>
        <v>47</v>
      </c>
      <c r="M48" s="28" t="s">
        <v>23</v>
      </c>
      <c r="N48" s="70"/>
      <c r="O48" s="29"/>
      <c r="P48" s="12"/>
      <c r="Q48" s="12"/>
      <c r="R48" s="12"/>
      <c r="S48" s="12"/>
      <c r="T48" s="12"/>
      <c r="U48" s="12"/>
      <c r="V48" s="12"/>
      <c r="AB48" s="12"/>
      <c r="AC48" s="12" t="str">
        <f>IFERROR(__xludf.DUMMYFUNCTION("""COMPUTED_VALUE"""),"4-2-C")</f>
        <v>4-2-C</v>
      </c>
      <c r="AD48" s="12" t="str">
        <f>IFERROR(__xludf.DUMMYFUNCTION("""COMPUTED_VALUE"""),"PPPMXL")</f>
        <v>PPPMXL</v>
      </c>
      <c r="AE48" s="12" t="str">
        <f>IFERROR(__xludf.DUMMYFUNCTION("""COMPUTED_VALUE"""),"Plancha Panini Pro Max XL")</f>
        <v>Plancha Panini Pro Max XL</v>
      </c>
      <c r="AF48" s="30">
        <f>IFERROR(__xludf.DUMMYFUNCTION("""COMPUTED_VALUE"""),78.0)</f>
        <v>78</v>
      </c>
      <c r="AG48" s="12" t="str">
        <f>IFERROR(__xludf.DUMMYFUNCTION("""COMPUTED_VALUE"""),"Contenedor")</f>
        <v>Contenedor</v>
      </c>
      <c r="AH48" s="12">
        <f>IFERROR(__xludf.DUMMYFUNCTION("""COMPUTED_VALUE"""),4.0)</f>
        <v>4</v>
      </c>
      <c r="AI48" s="12" t="str">
        <f>IFERROR(__xludf.DUMMYFUNCTION("""COMPUTED_VALUE"""),"2")</f>
        <v>2</v>
      </c>
      <c r="AJ48" s="12" t="str">
        <f>IFERROR(__xludf.DUMMYFUNCTION("""COMPUTED_VALUE"""),"C")</f>
        <v>C</v>
      </c>
      <c r="AK48" s="12">
        <f>IFERROR(__xludf.DUMMYFUNCTION("""COMPUTED_VALUE"""),128.0)</f>
        <v>128</v>
      </c>
      <c r="AL48" s="12" t="str">
        <f>IFERROR(__xludf.DUMMYFUNCTION("""COMPUTED_VALUE"""),"KITCHEN-IT")</f>
        <v>KITCHEN-IT</v>
      </c>
      <c r="AP48" s="12"/>
      <c r="AQ48" s="12"/>
      <c r="BC48" s="12"/>
      <c r="BH48" s="12" t="str">
        <f>IFERROR(__xludf.DUMMYFUNCTION("IFERROR(INDEX(QUERY(IMPORTRANGE(""1T7HG8KEs-Ob7f3M5atEVN9Yn7IeORGp0QGvggB62ELw"",""Maestro!A:I""),""SELECT Col8 WHERE Col3 = '""&amp;BE48&amp;""'"", 0), 1, 1),""NO ENCONTRADO"")"),"NO ENCONTRADO")</f>
        <v>NO ENCONTRADO</v>
      </c>
      <c r="BI48" s="16">
        <v>1.0</v>
      </c>
      <c r="BJ48" s="16">
        <f t="shared" si="4"/>
        <v>666</v>
      </c>
      <c r="BK48" s="12"/>
      <c r="BR48" s="12"/>
      <c r="BY48" s="14"/>
      <c r="BZ48" s="14"/>
      <c r="CA48" s="14"/>
      <c r="CB48" s="14"/>
      <c r="CC48" s="14"/>
      <c r="CD48" s="14"/>
      <c r="CE48" s="14"/>
      <c r="CF48" s="12"/>
      <c r="CG48" s="12"/>
      <c r="CH48" s="12"/>
      <c r="CI48" s="12"/>
      <c r="CJ48" s="12"/>
      <c r="CK48" s="12"/>
      <c r="CL48" s="12"/>
      <c r="CM48" s="12"/>
      <c r="CN48" s="12"/>
      <c r="CO48" s="12"/>
    </row>
    <row r="49">
      <c r="A49" s="92">
        <v>3.0</v>
      </c>
      <c r="B49" s="93" t="s">
        <v>44</v>
      </c>
      <c r="C49" s="94" t="s">
        <v>145</v>
      </c>
      <c r="D49" s="95" t="str">
        <f t="shared" si="1"/>
        <v>3-3-4A</v>
      </c>
      <c r="E49" s="110"/>
      <c r="F49" s="111"/>
      <c r="G49" s="112"/>
      <c r="H49" s="113"/>
      <c r="I49" s="114"/>
      <c r="J49" s="115"/>
      <c r="K49" s="32" t="str">
        <f t="shared" si="2"/>
        <v>DISPONIBLE</v>
      </c>
      <c r="L49" s="33">
        <f t="shared" si="3"/>
        <v>48</v>
      </c>
      <c r="M49" s="33" t="s">
        <v>23</v>
      </c>
      <c r="N49" s="53"/>
      <c r="O49" s="34"/>
      <c r="P49" s="12"/>
      <c r="Q49" s="12"/>
      <c r="R49" s="12"/>
      <c r="S49" s="12"/>
      <c r="T49" s="12"/>
      <c r="U49" s="12"/>
      <c r="V49" s="12"/>
      <c r="AB49" s="12"/>
      <c r="AC49" s="12" t="str">
        <f>IFERROR(__xludf.DUMMYFUNCTION("""COMPUTED_VALUE"""),"4-3-A")</f>
        <v>4-3-A</v>
      </c>
      <c r="AD49" s="12" t="str">
        <f>IFERROR(__xludf.DUMMYFUNCTION("""COMPUTED_VALUE"""),"FADCXL10L")</f>
        <v>FADCXL10L</v>
      </c>
      <c r="AE49" s="12" t="str">
        <f>IFERROR(__xludf.DUMMYFUNCTION("""COMPUTED_VALUE"""),"Freidora de Aire Dual Crisp XL 10L")</f>
        <v>Freidora de Aire Dual Crisp XL 10L</v>
      </c>
      <c r="AF49" s="30">
        <f>IFERROR(__xludf.DUMMYFUNCTION("""COMPUTED_VALUE"""),42.0)</f>
        <v>42</v>
      </c>
      <c r="AG49" s="12" t="str">
        <f>IFERROR(__xludf.DUMMYFUNCTION("""COMPUTED_VALUE"""),"Contenedor")</f>
        <v>Contenedor</v>
      </c>
      <c r="AH49" s="12">
        <f>IFERROR(__xludf.DUMMYFUNCTION("""COMPUTED_VALUE"""),4.0)</f>
        <v>4</v>
      </c>
      <c r="AI49" s="12" t="str">
        <f>IFERROR(__xludf.DUMMYFUNCTION("""COMPUTED_VALUE"""),"3")</f>
        <v>3</v>
      </c>
      <c r="AJ49" s="12" t="str">
        <f>IFERROR(__xludf.DUMMYFUNCTION("""COMPUTED_VALUE"""),"A")</f>
        <v>A</v>
      </c>
      <c r="AK49" s="12">
        <f>IFERROR(__xludf.DUMMYFUNCTION("""COMPUTED_VALUE"""),130.0)</f>
        <v>130</v>
      </c>
      <c r="AL49" s="12" t="str">
        <f>IFERROR(__xludf.DUMMYFUNCTION("""COMPUTED_VALUE"""),"KITCHEN-IT")</f>
        <v>KITCHEN-IT</v>
      </c>
      <c r="AP49" s="12"/>
      <c r="AQ49" s="12"/>
      <c r="BC49" s="12"/>
      <c r="BH49" s="12" t="str">
        <f>IFERROR(__xludf.DUMMYFUNCTION("IFERROR(INDEX(QUERY(IMPORTRANGE(""1T7HG8KEs-Ob7f3M5atEVN9Yn7IeORGp0QGvggB62ELw"",""Maestro!A:I""),""SELECT Col8 WHERE Col3 = '""&amp;BE49&amp;""'"", 0), 1, 1),""NO ENCONTRADO"")"),"D")</f>
        <v>D</v>
      </c>
      <c r="BI49" s="16">
        <v>1.0</v>
      </c>
      <c r="BJ49" s="16">
        <f t="shared" si="4"/>
        <v>5</v>
      </c>
      <c r="BK49" s="12"/>
      <c r="BR49" s="12"/>
      <c r="BY49" s="14"/>
      <c r="BZ49" s="14"/>
      <c r="CA49" s="14"/>
      <c r="CB49" s="14"/>
      <c r="CC49" s="14"/>
      <c r="CD49" s="14"/>
      <c r="CE49" s="14"/>
      <c r="CF49" s="12"/>
      <c r="CG49" s="12"/>
      <c r="CH49" s="12"/>
      <c r="CI49" s="12"/>
      <c r="CJ49" s="12"/>
      <c r="CK49" s="12"/>
      <c r="CL49" s="12"/>
      <c r="CM49" s="12"/>
      <c r="CN49" s="12"/>
      <c r="CO49" s="12"/>
    </row>
    <row r="50">
      <c r="A50" s="92">
        <v>3.0</v>
      </c>
      <c r="B50" s="93" t="s">
        <v>44</v>
      </c>
      <c r="C50" s="94" t="s">
        <v>181</v>
      </c>
      <c r="D50" s="95" t="str">
        <f t="shared" si="1"/>
        <v>3-3-4B</v>
      </c>
      <c r="E50" s="50"/>
      <c r="F50" s="51"/>
      <c r="G50" s="46"/>
      <c r="H50" s="47"/>
      <c r="I50" s="48"/>
      <c r="J50" s="52"/>
      <c r="K50" s="27" t="str">
        <f t="shared" si="2"/>
        <v>DISPONIBLE</v>
      </c>
      <c r="L50" s="28">
        <f t="shared" si="3"/>
        <v>49</v>
      </c>
      <c r="M50" s="28" t="s">
        <v>23</v>
      </c>
      <c r="N50" s="70"/>
      <c r="O50" s="29"/>
      <c r="P50" s="12"/>
      <c r="Q50" s="12"/>
      <c r="R50" s="12"/>
      <c r="S50" s="12"/>
      <c r="T50" s="12"/>
      <c r="U50" s="12"/>
      <c r="V50" s="12"/>
      <c r="AB50" s="12"/>
      <c r="AC50" s="12" t="str">
        <f>IFERROR(__xludf.DUMMYFUNCTION("""COMPUTED_VALUE"""),"4-3-B")</f>
        <v>4-3-B</v>
      </c>
      <c r="AD50" s="12" t="str">
        <f>IFERROR(__xludf.DUMMYFUNCTION("""COMPUTED_VALUE"""),"FADCXL10L")</f>
        <v>FADCXL10L</v>
      </c>
      <c r="AE50" s="12" t="str">
        <f>IFERROR(__xludf.DUMMYFUNCTION("""COMPUTED_VALUE"""),"Freidora de Aire Dual Crisp XL 10L")</f>
        <v>Freidora de Aire Dual Crisp XL 10L</v>
      </c>
      <c r="AF50" s="30">
        <f>IFERROR(__xludf.DUMMYFUNCTION("""COMPUTED_VALUE"""),42.0)</f>
        <v>42</v>
      </c>
      <c r="AG50" s="12" t="str">
        <f>IFERROR(__xludf.DUMMYFUNCTION("""COMPUTED_VALUE"""),"Contenedor")</f>
        <v>Contenedor</v>
      </c>
      <c r="AH50" s="12">
        <f>IFERROR(__xludf.DUMMYFUNCTION("""COMPUTED_VALUE"""),4.0)</f>
        <v>4</v>
      </c>
      <c r="AI50" s="12" t="str">
        <f>IFERROR(__xludf.DUMMYFUNCTION("""COMPUTED_VALUE"""),"3")</f>
        <v>3</v>
      </c>
      <c r="AJ50" s="12" t="str">
        <f>IFERROR(__xludf.DUMMYFUNCTION("""COMPUTED_VALUE"""),"B")</f>
        <v>B</v>
      </c>
      <c r="AK50" s="12">
        <f>IFERROR(__xludf.DUMMYFUNCTION("""COMPUTED_VALUE"""),131.0)</f>
        <v>131</v>
      </c>
      <c r="AL50" s="12" t="str">
        <f>IFERROR(__xludf.DUMMYFUNCTION("""COMPUTED_VALUE"""),"KITCHEN-IT")</f>
        <v>KITCHEN-IT</v>
      </c>
      <c r="AP50" s="12"/>
      <c r="AQ50" s="12"/>
      <c r="BC50" s="12"/>
      <c r="BH50" s="12" t="str">
        <f>IFERROR(__xludf.DUMMYFUNCTION("IFERROR(INDEX(QUERY(IMPORTRANGE(""1T7HG8KEs-Ob7f3M5atEVN9Yn7IeORGp0QGvggB62ELw"",""Maestro!A:I""),""SELECT Col8 WHERE Col3 = '""&amp;BE50&amp;""'"", 0), 1, 1),""NO ENCONTRADO"")"),"NO ENCONTRADO")</f>
        <v>NO ENCONTRADO</v>
      </c>
      <c r="BI50" s="16">
        <v>1.0</v>
      </c>
      <c r="BJ50" s="16">
        <f t="shared" si="4"/>
        <v>667</v>
      </c>
      <c r="BK50" s="12"/>
      <c r="BR50" s="12"/>
      <c r="BY50" s="14"/>
      <c r="BZ50" s="14"/>
      <c r="CA50" s="14"/>
      <c r="CB50" s="14"/>
      <c r="CC50" s="14"/>
      <c r="CD50" s="14"/>
      <c r="CE50" s="14"/>
      <c r="CF50" s="12"/>
      <c r="CG50" s="12"/>
      <c r="CH50" s="12"/>
      <c r="CI50" s="12"/>
      <c r="CJ50" s="12"/>
      <c r="CK50" s="12"/>
      <c r="CL50" s="12"/>
      <c r="CM50" s="12"/>
      <c r="CN50" s="12"/>
      <c r="CO50" s="12"/>
    </row>
    <row r="51">
      <c r="A51" s="92">
        <v>3.0</v>
      </c>
      <c r="B51" s="93" t="s">
        <v>44</v>
      </c>
      <c r="C51" s="94" t="s">
        <v>188</v>
      </c>
      <c r="D51" s="95" t="str">
        <f t="shared" si="1"/>
        <v>3-3-5A</v>
      </c>
      <c r="E51" s="110"/>
      <c r="F51" s="111"/>
      <c r="G51" s="112"/>
      <c r="H51" s="113"/>
      <c r="I51" s="114"/>
      <c r="J51" s="115"/>
      <c r="K51" s="32" t="str">
        <f t="shared" si="2"/>
        <v>DISPONIBLE</v>
      </c>
      <c r="L51" s="33">
        <f t="shared" si="3"/>
        <v>50</v>
      </c>
      <c r="M51" s="33" t="s">
        <v>23</v>
      </c>
      <c r="N51" s="53"/>
      <c r="O51" s="34"/>
      <c r="P51" s="12"/>
      <c r="Q51" s="12"/>
      <c r="R51" s="12"/>
      <c r="S51" s="12"/>
      <c r="T51" s="12"/>
      <c r="U51" s="12"/>
      <c r="V51" s="12"/>
      <c r="AB51" s="12"/>
      <c r="AC51" s="12" t="str">
        <f>IFERROR(__xludf.DUMMYFUNCTION("""COMPUTED_VALUE"""),"4-3-C")</f>
        <v>4-3-C</v>
      </c>
      <c r="AD51" s="12" t="str">
        <f>IFERROR(__xludf.DUMMYFUNCTION("""COMPUTED_VALUE"""),"FADCXL10L")</f>
        <v>FADCXL10L</v>
      </c>
      <c r="AE51" s="12" t="str">
        <f>IFERROR(__xludf.DUMMYFUNCTION("""COMPUTED_VALUE"""),"Freidora de Aire Dual Crisp XL 10L")</f>
        <v>Freidora de Aire Dual Crisp XL 10L</v>
      </c>
      <c r="AF51" s="30">
        <f>IFERROR(__xludf.DUMMYFUNCTION("""COMPUTED_VALUE"""),42.0)</f>
        <v>42</v>
      </c>
      <c r="AG51" s="12" t="str">
        <f>IFERROR(__xludf.DUMMYFUNCTION("""COMPUTED_VALUE"""),"Contenedor")</f>
        <v>Contenedor</v>
      </c>
      <c r="AH51" s="12">
        <f>IFERROR(__xludf.DUMMYFUNCTION("""COMPUTED_VALUE"""),4.0)</f>
        <v>4</v>
      </c>
      <c r="AI51" s="12" t="str">
        <f>IFERROR(__xludf.DUMMYFUNCTION("""COMPUTED_VALUE"""),"3")</f>
        <v>3</v>
      </c>
      <c r="AJ51" s="12" t="str">
        <f>IFERROR(__xludf.DUMMYFUNCTION("""COMPUTED_VALUE"""),"C")</f>
        <v>C</v>
      </c>
      <c r="AK51" s="12">
        <f>IFERROR(__xludf.DUMMYFUNCTION("""COMPUTED_VALUE"""),132.0)</f>
        <v>132</v>
      </c>
      <c r="AL51" s="12" t="str">
        <f>IFERROR(__xludf.DUMMYFUNCTION("""COMPUTED_VALUE"""),"KITCHEN-IT")</f>
        <v>KITCHEN-IT</v>
      </c>
      <c r="AP51" s="12"/>
      <c r="AQ51" s="12"/>
      <c r="BC51" s="12"/>
      <c r="BH51" s="12" t="str">
        <f>IFERROR(__xludf.DUMMYFUNCTION("IFERROR(INDEX(QUERY(IMPORTRANGE(""1T7HG8KEs-Ob7f3M5atEVN9Yn7IeORGp0QGvggB62ELw"",""Maestro!A:I""),""SELECT Col8 WHERE Col3 = '""&amp;BE51&amp;""'"", 0), 1, 1),""NO ENCONTRADO"")"),"D")</f>
        <v>D</v>
      </c>
      <c r="BI51" s="16">
        <v>1.0</v>
      </c>
      <c r="BJ51" s="16">
        <f t="shared" si="4"/>
        <v>600</v>
      </c>
      <c r="BK51" s="12"/>
      <c r="BR51" s="12"/>
      <c r="BY51" s="14"/>
      <c r="BZ51" s="14"/>
      <c r="CA51" s="14"/>
      <c r="CB51" s="14"/>
      <c r="CC51" s="14"/>
      <c r="CD51" s="14"/>
      <c r="CE51" s="14"/>
      <c r="CF51" s="12"/>
      <c r="CG51" s="12"/>
      <c r="CH51" s="12"/>
      <c r="CI51" s="12"/>
      <c r="CJ51" s="12"/>
      <c r="CK51" s="12"/>
      <c r="CL51" s="12"/>
      <c r="CM51" s="12"/>
      <c r="CN51" s="12"/>
      <c r="CO51" s="12"/>
    </row>
    <row r="52">
      <c r="A52" s="92">
        <v>3.0</v>
      </c>
      <c r="B52" s="93" t="s">
        <v>44</v>
      </c>
      <c r="C52" s="94" t="s">
        <v>192</v>
      </c>
      <c r="D52" s="95" t="str">
        <f t="shared" si="1"/>
        <v>3-3-5B</v>
      </c>
      <c r="E52" s="50"/>
      <c r="F52" s="51"/>
      <c r="G52" s="46"/>
      <c r="H52" s="47"/>
      <c r="I52" s="48"/>
      <c r="J52" s="52"/>
      <c r="K52" s="27" t="str">
        <f t="shared" si="2"/>
        <v>DISPONIBLE</v>
      </c>
      <c r="L52" s="28">
        <f t="shared" si="3"/>
        <v>51</v>
      </c>
      <c r="M52" s="28" t="s">
        <v>23</v>
      </c>
      <c r="N52" s="70"/>
      <c r="O52" s="29"/>
      <c r="P52" s="12"/>
      <c r="Q52" s="12"/>
      <c r="R52" s="12"/>
      <c r="S52" s="12"/>
      <c r="T52" s="12"/>
      <c r="U52" s="12"/>
      <c r="V52" s="12"/>
      <c r="AB52" s="12"/>
      <c r="AC52" s="12" t="str">
        <f>IFERROR(__xludf.DUMMYFUNCTION("""COMPUTED_VALUE"""),"4-3-D")</f>
        <v>4-3-D</v>
      </c>
      <c r="AD52" s="12" t="str">
        <f>IFERROR(__xludf.DUMMYFUNCTION("""COMPUTED_VALUE"""),"FADCXL10L")</f>
        <v>FADCXL10L</v>
      </c>
      <c r="AE52" s="12" t="str">
        <f>IFERROR(__xludf.DUMMYFUNCTION("""COMPUTED_VALUE"""),"Freidora de Aire Dual Crisp XL 10L")</f>
        <v>Freidora de Aire Dual Crisp XL 10L</v>
      </c>
      <c r="AF52" s="30">
        <f>IFERROR(__xludf.DUMMYFUNCTION("""COMPUTED_VALUE"""),42.0)</f>
        <v>42</v>
      </c>
      <c r="AG52" s="12" t="str">
        <f>IFERROR(__xludf.DUMMYFUNCTION("""COMPUTED_VALUE"""),"Contenedor")</f>
        <v>Contenedor</v>
      </c>
      <c r="AH52" s="12">
        <f>IFERROR(__xludf.DUMMYFUNCTION("""COMPUTED_VALUE"""),4.0)</f>
        <v>4</v>
      </c>
      <c r="AI52" s="12" t="str">
        <f>IFERROR(__xludf.DUMMYFUNCTION("""COMPUTED_VALUE"""),"3")</f>
        <v>3</v>
      </c>
      <c r="AJ52" s="12" t="str">
        <f>IFERROR(__xludf.DUMMYFUNCTION("""COMPUTED_VALUE"""),"D")</f>
        <v>D</v>
      </c>
      <c r="AK52" s="12">
        <f>IFERROR(__xludf.DUMMYFUNCTION("""COMPUTED_VALUE"""),133.0)</f>
        <v>133</v>
      </c>
      <c r="AL52" s="12" t="str">
        <f>IFERROR(__xludf.DUMMYFUNCTION("""COMPUTED_VALUE"""),"KITCHEN-IT")</f>
        <v>KITCHEN-IT</v>
      </c>
      <c r="AP52" s="12"/>
      <c r="AQ52" s="12"/>
      <c r="BC52" s="12"/>
      <c r="BH52" s="12" t="str">
        <f>IFERROR(__xludf.DUMMYFUNCTION("IFERROR(INDEX(QUERY(IMPORTRANGE(""1T7HG8KEs-Ob7f3M5atEVN9Yn7IeORGp0QGvggB62ELw"",""Maestro!A:I""),""SELECT Col8 WHERE Col3 = '""&amp;BE52&amp;""'"", 0), 1, 1),""NO ENCONTRADO"")"),"D")</f>
        <v>D</v>
      </c>
      <c r="BI52" s="16">
        <v>1.0</v>
      </c>
      <c r="BJ52" s="16">
        <f t="shared" si="4"/>
        <v>718</v>
      </c>
      <c r="BK52" s="12"/>
      <c r="BR52" s="12"/>
      <c r="BY52" s="14"/>
      <c r="BZ52" s="14"/>
      <c r="CA52" s="14"/>
      <c r="CB52" s="14"/>
      <c r="CC52" s="14"/>
      <c r="CD52" s="14"/>
      <c r="CE52" s="14"/>
      <c r="CF52" s="12"/>
      <c r="CG52" s="12"/>
      <c r="CH52" s="12"/>
      <c r="CI52" s="12"/>
      <c r="CJ52" s="12"/>
      <c r="CK52" s="12"/>
      <c r="CL52" s="12"/>
      <c r="CM52" s="12"/>
      <c r="CN52" s="12"/>
      <c r="CO52" s="12"/>
    </row>
    <row r="53">
      <c r="A53" s="92">
        <v>3.0</v>
      </c>
      <c r="B53" s="93" t="s">
        <v>53</v>
      </c>
      <c r="C53" s="94" t="s">
        <v>119</v>
      </c>
      <c r="D53" s="95" t="str">
        <f t="shared" si="1"/>
        <v>3-4-1A</v>
      </c>
      <c r="E53" s="96">
        <v>45733.0</v>
      </c>
      <c r="F53" s="97" t="s">
        <v>19</v>
      </c>
      <c r="G53" s="98" t="s">
        <v>137</v>
      </c>
      <c r="H53" s="99" t="s">
        <v>138</v>
      </c>
      <c r="I53" s="100">
        <v>450.0</v>
      </c>
      <c r="J53" s="101" t="s">
        <v>22</v>
      </c>
      <c r="K53" s="32" t="str">
        <f t="shared" si="2"/>
        <v>OCUPADO</v>
      </c>
      <c r="L53" s="33">
        <f t="shared" si="3"/>
        <v>52</v>
      </c>
      <c r="M53" s="33" t="s">
        <v>23</v>
      </c>
      <c r="N53" s="33" t="s">
        <v>165</v>
      </c>
      <c r="O53" s="34" t="s">
        <v>24</v>
      </c>
      <c r="P53" s="12"/>
      <c r="Q53" s="12"/>
      <c r="R53" s="12"/>
      <c r="S53" s="12"/>
      <c r="T53" s="12"/>
      <c r="U53" s="12"/>
      <c r="V53" s="12"/>
      <c r="AB53" s="12"/>
      <c r="AC53" s="12" t="str">
        <f>IFERROR(__xludf.DUMMYFUNCTION("""COMPUTED_VALUE"""),"4-4-A")</f>
        <v>4-4-A</v>
      </c>
      <c r="AD53" s="12" t="str">
        <f>IFERROR(__xludf.DUMMYFUNCTION("""COMPUTED_VALUE"""),"FADCXL10L")</f>
        <v>FADCXL10L</v>
      </c>
      <c r="AE53" s="12" t="str">
        <f>IFERROR(__xludf.DUMMYFUNCTION("""COMPUTED_VALUE"""),"Freidora de Aire Dual Crisp XL 10L")</f>
        <v>Freidora de Aire Dual Crisp XL 10L</v>
      </c>
      <c r="AF53" s="30">
        <f>IFERROR(__xludf.DUMMYFUNCTION("""COMPUTED_VALUE"""),42.0)</f>
        <v>42</v>
      </c>
      <c r="AG53" s="12" t="str">
        <f>IFERROR(__xludf.DUMMYFUNCTION("""COMPUTED_VALUE"""),"Contenedor")</f>
        <v>Contenedor</v>
      </c>
      <c r="AH53" s="12">
        <f>IFERROR(__xludf.DUMMYFUNCTION("""COMPUTED_VALUE"""),4.0)</f>
        <v>4</v>
      </c>
      <c r="AI53" s="12" t="str">
        <f>IFERROR(__xludf.DUMMYFUNCTION("""COMPUTED_VALUE"""),"4")</f>
        <v>4</v>
      </c>
      <c r="AJ53" s="12" t="str">
        <f>IFERROR(__xludf.DUMMYFUNCTION("""COMPUTED_VALUE"""),"A")</f>
        <v>A</v>
      </c>
      <c r="AK53" s="12">
        <f>IFERROR(__xludf.DUMMYFUNCTION("""COMPUTED_VALUE"""),134.0)</f>
        <v>134</v>
      </c>
      <c r="AL53" s="12" t="str">
        <f>IFERROR(__xludf.DUMMYFUNCTION("""COMPUTED_VALUE"""),"KITCHEN-IT")</f>
        <v>KITCHEN-IT</v>
      </c>
      <c r="AP53" s="12"/>
      <c r="AQ53" s="12"/>
      <c r="BC53" s="12"/>
      <c r="BH53" s="12" t="str">
        <f>IFERROR(__xludf.DUMMYFUNCTION("IFERROR(INDEX(QUERY(IMPORTRANGE(""1T7HG8KEs-Ob7f3M5atEVN9Yn7IeORGp0QGvggB62ELw"",""Maestro!A:I""),""SELECT Col8 WHERE Col3 = '""&amp;BE53&amp;""'"", 0), 1, 1),""NO ENCONTRADO"")"),"D")</f>
        <v>D</v>
      </c>
      <c r="BI53" s="16">
        <v>1.0</v>
      </c>
      <c r="BJ53" s="16">
        <f t="shared" si="4"/>
        <v>996</v>
      </c>
      <c r="BK53" s="12"/>
      <c r="BR53" s="12"/>
      <c r="BY53" s="14"/>
      <c r="BZ53" s="14"/>
      <c r="CA53" s="14"/>
      <c r="CB53" s="14"/>
      <c r="CC53" s="14"/>
      <c r="CD53" s="14"/>
      <c r="CE53" s="14"/>
      <c r="CF53" s="12"/>
      <c r="CG53" s="12"/>
      <c r="CH53" s="12"/>
      <c r="CI53" s="12"/>
      <c r="CJ53" s="12"/>
      <c r="CK53" s="12"/>
      <c r="CL53" s="12"/>
      <c r="CM53" s="12"/>
      <c r="CN53" s="12"/>
      <c r="CO53" s="12"/>
    </row>
    <row r="54">
      <c r="A54" s="92">
        <v>3.0</v>
      </c>
      <c r="B54" s="93" t="s">
        <v>53</v>
      </c>
      <c r="C54" s="94" t="s">
        <v>119</v>
      </c>
      <c r="D54" s="95" t="str">
        <f t="shared" si="1"/>
        <v>3-4-1A</v>
      </c>
      <c r="E54" s="96">
        <v>45754.0</v>
      </c>
      <c r="F54" s="97" t="s">
        <v>19</v>
      </c>
      <c r="G54" s="98" t="s">
        <v>137</v>
      </c>
      <c r="H54" s="99" t="s">
        <v>138</v>
      </c>
      <c r="I54" s="100">
        <v>450.0</v>
      </c>
      <c r="J54" s="101" t="s">
        <v>22</v>
      </c>
      <c r="K54" s="27" t="str">
        <f t="shared" si="2"/>
        <v>OCUPADO</v>
      </c>
      <c r="L54" s="28">
        <f t="shared" ref="L54:L55" si="5">IF(B52&lt;&gt;"", ROW(A52), "")
</f>
        <v>52</v>
      </c>
      <c r="M54" s="28"/>
      <c r="N54" s="28" t="s">
        <v>334</v>
      </c>
      <c r="O54" s="29" t="s">
        <v>24</v>
      </c>
      <c r="P54" s="12"/>
      <c r="Q54" s="12"/>
      <c r="R54" s="12"/>
      <c r="S54" s="12"/>
      <c r="T54" s="12"/>
      <c r="U54" s="12"/>
      <c r="V54" s="12"/>
      <c r="AB54" s="12"/>
      <c r="AC54" s="12" t="str">
        <f>IFERROR(__xludf.DUMMYFUNCTION("""COMPUTED_VALUE"""),"4-4-B")</f>
        <v>4-4-B</v>
      </c>
      <c r="AD54" s="12" t="str">
        <f>IFERROR(__xludf.DUMMYFUNCTION("""COMPUTED_VALUE"""),"FADCXL10L")</f>
        <v>FADCXL10L</v>
      </c>
      <c r="AE54" s="12" t="str">
        <f>IFERROR(__xludf.DUMMYFUNCTION("""COMPUTED_VALUE"""),"Freidora de Aire Dual Crisp XL 10L")</f>
        <v>Freidora de Aire Dual Crisp XL 10L</v>
      </c>
      <c r="AF54" s="30">
        <f>IFERROR(__xludf.DUMMYFUNCTION("""COMPUTED_VALUE"""),42.0)</f>
        <v>42</v>
      </c>
      <c r="AG54" s="12" t="str">
        <f>IFERROR(__xludf.DUMMYFUNCTION("""COMPUTED_VALUE"""),"Contenedor")</f>
        <v>Contenedor</v>
      </c>
      <c r="AH54" s="12">
        <f>IFERROR(__xludf.DUMMYFUNCTION("""COMPUTED_VALUE"""),4.0)</f>
        <v>4</v>
      </c>
      <c r="AI54" s="12" t="str">
        <f>IFERROR(__xludf.DUMMYFUNCTION("""COMPUTED_VALUE"""),"4")</f>
        <v>4</v>
      </c>
      <c r="AJ54" s="12" t="str">
        <f>IFERROR(__xludf.DUMMYFUNCTION("""COMPUTED_VALUE"""),"B")</f>
        <v>B</v>
      </c>
      <c r="AK54" s="12">
        <f>IFERROR(__xludf.DUMMYFUNCTION("""COMPUTED_VALUE"""),135.0)</f>
        <v>135</v>
      </c>
      <c r="AL54" s="12" t="str">
        <f>IFERROR(__xludf.DUMMYFUNCTION("""COMPUTED_VALUE"""),"KITCHEN-IT")</f>
        <v>KITCHEN-IT</v>
      </c>
      <c r="AP54" s="12"/>
      <c r="AQ54" s="12"/>
      <c r="BC54" s="12"/>
      <c r="BH54" s="12"/>
      <c r="BI54" s="16"/>
      <c r="BJ54" s="16"/>
      <c r="BK54" s="12"/>
      <c r="BR54" s="12"/>
      <c r="BY54" s="14"/>
      <c r="BZ54" s="14"/>
      <c r="CA54" s="14"/>
      <c r="CB54" s="14"/>
      <c r="CC54" s="14"/>
      <c r="CD54" s="14"/>
      <c r="CE54" s="14"/>
      <c r="CF54" s="12"/>
      <c r="CG54" s="12"/>
      <c r="CH54" s="12"/>
      <c r="CI54" s="12"/>
      <c r="CJ54" s="12"/>
      <c r="CK54" s="12"/>
      <c r="CL54" s="12"/>
      <c r="CM54" s="12"/>
      <c r="CN54" s="12"/>
      <c r="CO54" s="12"/>
    </row>
    <row r="55">
      <c r="A55" s="92">
        <v>3.0</v>
      </c>
      <c r="B55" s="93" t="s">
        <v>53</v>
      </c>
      <c r="C55" s="94" t="s">
        <v>132</v>
      </c>
      <c r="D55" s="95" t="str">
        <f t="shared" si="1"/>
        <v>3-4-1B</v>
      </c>
      <c r="E55" s="50"/>
      <c r="F55" s="51"/>
      <c r="G55" s="46"/>
      <c r="H55" s="47"/>
      <c r="I55" s="48"/>
      <c r="J55" s="52"/>
      <c r="K55" s="32" t="str">
        <f t="shared" si="2"/>
        <v>DISPONIBLE</v>
      </c>
      <c r="L55" s="33">
        <f t="shared" si="5"/>
        <v>53</v>
      </c>
      <c r="M55" s="33" t="s">
        <v>23</v>
      </c>
      <c r="N55" s="53"/>
      <c r="O55" s="34"/>
      <c r="P55" s="12"/>
      <c r="Q55" s="12"/>
      <c r="R55" s="12"/>
      <c r="S55" s="12"/>
      <c r="T55" s="12"/>
      <c r="U55" s="12"/>
      <c r="V55" s="12"/>
      <c r="AB55" s="12"/>
      <c r="AC55" s="12" t="str">
        <f>IFERROR(__xludf.DUMMYFUNCTION("""COMPUTED_VALUE"""),"4-4-C")</f>
        <v>4-4-C</v>
      </c>
      <c r="AD55" s="12" t="str">
        <f>IFERROR(__xludf.DUMMYFUNCTION("""COMPUTED_VALUE"""),"FADCXL10L")</f>
        <v>FADCXL10L</v>
      </c>
      <c r="AE55" s="12" t="str">
        <f>IFERROR(__xludf.DUMMYFUNCTION("""COMPUTED_VALUE"""),"Freidora de Aire Dual Crisp XL 10L")</f>
        <v>Freidora de Aire Dual Crisp XL 10L</v>
      </c>
      <c r="AF55" s="30">
        <f>IFERROR(__xludf.DUMMYFUNCTION("""COMPUTED_VALUE"""),42.0)</f>
        <v>42</v>
      </c>
      <c r="AG55" s="12" t="str">
        <f>IFERROR(__xludf.DUMMYFUNCTION("""COMPUTED_VALUE"""),"Contenedor")</f>
        <v>Contenedor</v>
      </c>
      <c r="AH55" s="12">
        <f>IFERROR(__xludf.DUMMYFUNCTION("""COMPUTED_VALUE"""),4.0)</f>
        <v>4</v>
      </c>
      <c r="AI55" s="12" t="str">
        <f>IFERROR(__xludf.DUMMYFUNCTION("""COMPUTED_VALUE"""),"4")</f>
        <v>4</v>
      </c>
      <c r="AJ55" s="12" t="str">
        <f>IFERROR(__xludf.DUMMYFUNCTION("""COMPUTED_VALUE"""),"C")</f>
        <v>C</v>
      </c>
      <c r="AK55" s="12">
        <f>IFERROR(__xludf.DUMMYFUNCTION("""COMPUTED_VALUE"""),136.0)</f>
        <v>136</v>
      </c>
      <c r="AL55" s="12" t="str">
        <f>IFERROR(__xludf.DUMMYFUNCTION("""COMPUTED_VALUE"""),"KITCHEN-IT")</f>
        <v>KITCHEN-IT</v>
      </c>
      <c r="AP55" s="12"/>
      <c r="AQ55" s="12"/>
      <c r="BC55" s="12"/>
      <c r="BH55" s="12" t="str">
        <f>IFERROR(__xludf.DUMMYFUNCTION("IFERROR(INDEX(QUERY(IMPORTRANGE(""1T7HG8KEs-Ob7f3M5atEVN9Yn7IeORGp0QGvggB62ELw"",""Maestro!A:I""),""SELECT Col8 WHERE Col3 = '""&amp;BE55&amp;""'"", 0), 1, 1),""NO ENCONTRADO"")"),"D")</f>
        <v>D</v>
      </c>
      <c r="BI55" s="16">
        <v>1.0</v>
      </c>
      <c r="BJ55" s="16">
        <f t="shared" ref="BJ55:BJ99" si="6">IFERROR(ROUND(IF(BH55="D",BG55/BI55,BG55*BI55),0),1)</f>
        <v>700</v>
      </c>
      <c r="BK55" s="12"/>
      <c r="BR55" s="12"/>
      <c r="BY55" s="14"/>
      <c r="BZ55" s="14"/>
      <c r="CA55" s="14"/>
      <c r="CB55" s="14"/>
      <c r="CC55" s="14"/>
      <c r="CD55" s="14"/>
      <c r="CE55" s="14"/>
      <c r="CF55" s="12"/>
      <c r="CG55" s="12"/>
      <c r="CH55" s="12"/>
      <c r="CI55" s="12"/>
      <c r="CJ55" s="12"/>
      <c r="CK55" s="12"/>
      <c r="CL55" s="12"/>
      <c r="CM55" s="12"/>
      <c r="CN55" s="12"/>
      <c r="CO55" s="12"/>
    </row>
    <row r="56">
      <c r="A56" s="92">
        <v>3.0</v>
      </c>
      <c r="B56" s="93" t="s">
        <v>53</v>
      </c>
      <c r="C56" s="94" t="s">
        <v>124</v>
      </c>
      <c r="D56" s="95" t="str">
        <f t="shared" si="1"/>
        <v>3-4-2A</v>
      </c>
      <c r="E56" s="96">
        <v>45754.0</v>
      </c>
      <c r="F56" s="97" t="s">
        <v>19</v>
      </c>
      <c r="G56" s="98" t="s">
        <v>137</v>
      </c>
      <c r="H56" s="99" t="s">
        <v>138</v>
      </c>
      <c r="I56" s="100">
        <v>500.0</v>
      </c>
      <c r="J56" s="101" t="s">
        <v>22</v>
      </c>
      <c r="K56" s="27" t="str">
        <f t="shared" si="2"/>
        <v>OCUPADO</v>
      </c>
      <c r="L56" s="28">
        <f t="shared" ref="L56:L100" si="7">IF(B55&lt;&gt;"", ROW(A55), "")
</f>
        <v>55</v>
      </c>
      <c r="M56" s="28" t="s">
        <v>23</v>
      </c>
      <c r="N56" s="28"/>
      <c r="O56" s="29" t="s">
        <v>24</v>
      </c>
      <c r="P56" s="12"/>
      <c r="Q56" s="12"/>
      <c r="R56" s="12"/>
      <c r="S56" s="12"/>
      <c r="T56" s="12"/>
      <c r="U56" s="12"/>
      <c r="V56" s="12"/>
      <c r="AB56" s="12"/>
      <c r="AC56" s="12" t="str">
        <f>IFERROR(__xludf.DUMMYFUNCTION("""COMPUTED_VALUE"""),"4-5-A")</f>
        <v>4-5-A</v>
      </c>
      <c r="AD56" s="12" t="str">
        <f>IFERROR(__xludf.DUMMYFUNCTION("""COMPUTED_VALUE"""),"HF25L")</f>
        <v>HF25L</v>
      </c>
      <c r="AE56" s="12" t="str">
        <f>IFERROR(__xludf.DUMMYFUNCTION("""COMPUTED_VALUE"""),"Horno Freidora Smart Edition 25L")</f>
        <v>Horno Freidora Smart Edition 25L</v>
      </c>
      <c r="AF56" s="30">
        <f>IFERROR(__xludf.DUMMYFUNCTION("""COMPUTED_VALUE"""),28.0)</f>
        <v>28</v>
      </c>
      <c r="AG56" s="12" t="str">
        <f>IFERROR(__xludf.DUMMYFUNCTION("""COMPUTED_VALUE"""),"Contenedor")</f>
        <v>Contenedor</v>
      </c>
      <c r="AH56" s="12">
        <f>IFERROR(__xludf.DUMMYFUNCTION("""COMPUTED_VALUE"""),4.0)</f>
        <v>4</v>
      </c>
      <c r="AI56" s="12" t="str">
        <f>IFERROR(__xludf.DUMMYFUNCTION("""COMPUTED_VALUE"""),"5")</f>
        <v>5</v>
      </c>
      <c r="AJ56" s="12" t="str">
        <f>IFERROR(__xludf.DUMMYFUNCTION("""COMPUTED_VALUE"""),"A")</f>
        <v>A</v>
      </c>
      <c r="AK56" s="12">
        <f>IFERROR(__xludf.DUMMYFUNCTION("""COMPUTED_VALUE"""),138.0)</f>
        <v>138</v>
      </c>
      <c r="AL56" s="12" t="str">
        <f>IFERROR(__xludf.DUMMYFUNCTION("""COMPUTED_VALUE"""),"KITCHEN-IT")</f>
        <v>KITCHEN-IT</v>
      </c>
      <c r="AP56" s="12"/>
      <c r="AQ56" s="12"/>
      <c r="BC56" s="12"/>
      <c r="BH56" s="12" t="str">
        <f>IFERROR(__xludf.DUMMYFUNCTION("IFERROR(INDEX(QUERY(IMPORTRANGE(""1T7HG8KEs-Ob7f3M5atEVN9Yn7IeORGp0QGvggB62ELw"",""Maestro!A:I""),""SELECT Col8 WHERE Col3 = '""&amp;BE56&amp;""'"", 0), 1, 1),""NO ENCONTRADO"")"),"D")</f>
        <v>D</v>
      </c>
      <c r="BI56" s="16">
        <v>1.0</v>
      </c>
      <c r="BJ56" s="16">
        <f t="shared" si="6"/>
        <v>510</v>
      </c>
      <c r="BK56" s="12"/>
      <c r="BR56" s="12"/>
      <c r="BY56" s="14"/>
      <c r="BZ56" s="14"/>
      <c r="CA56" s="14"/>
      <c r="CB56" s="14"/>
      <c r="CC56" s="14"/>
      <c r="CD56" s="14"/>
      <c r="CE56" s="14"/>
      <c r="CF56" s="12"/>
      <c r="CG56" s="12"/>
      <c r="CH56" s="12"/>
      <c r="CI56" s="12"/>
      <c r="CJ56" s="12"/>
      <c r="CK56" s="12"/>
      <c r="CL56" s="12"/>
      <c r="CM56" s="12"/>
      <c r="CN56" s="12"/>
      <c r="CO56" s="12"/>
    </row>
    <row r="57">
      <c r="A57" s="92">
        <v>3.0</v>
      </c>
      <c r="B57" s="93" t="s">
        <v>53</v>
      </c>
      <c r="C57" s="94" t="s">
        <v>140</v>
      </c>
      <c r="D57" s="95" t="str">
        <f t="shared" si="1"/>
        <v>3-4-2B</v>
      </c>
      <c r="E57" s="50"/>
      <c r="F57" s="51"/>
      <c r="G57" s="46"/>
      <c r="H57" s="47"/>
      <c r="I57" s="48"/>
      <c r="J57" s="52"/>
      <c r="K57" s="32" t="str">
        <f t="shared" si="2"/>
        <v>DISPONIBLE</v>
      </c>
      <c r="L57" s="33">
        <f t="shared" si="7"/>
        <v>56</v>
      </c>
      <c r="M57" s="33" t="s">
        <v>23</v>
      </c>
      <c r="N57" s="53"/>
      <c r="O57" s="34"/>
      <c r="P57" s="12"/>
      <c r="Q57" s="12"/>
      <c r="R57" s="12"/>
      <c r="S57" s="12"/>
      <c r="T57" s="12"/>
      <c r="U57" s="12"/>
      <c r="V57" s="12"/>
      <c r="AB57" s="12"/>
      <c r="AC57" s="12" t="str">
        <f>IFERROR(__xludf.DUMMYFUNCTION("""COMPUTED_VALUE"""),"4-5-B")</f>
        <v>4-5-B</v>
      </c>
      <c r="AD57" s="12" t="str">
        <f>IFERROR(__xludf.DUMMYFUNCTION("""COMPUTED_VALUE"""),"HF25L")</f>
        <v>HF25L</v>
      </c>
      <c r="AE57" s="12" t="str">
        <f>IFERROR(__xludf.DUMMYFUNCTION("""COMPUTED_VALUE"""),"Horno Freidora Smart Edition 25L")</f>
        <v>Horno Freidora Smart Edition 25L</v>
      </c>
      <c r="AF57" s="30">
        <f>IFERROR(__xludf.DUMMYFUNCTION("""COMPUTED_VALUE"""),28.0)</f>
        <v>28</v>
      </c>
      <c r="AG57" s="12" t="str">
        <f>IFERROR(__xludf.DUMMYFUNCTION("""COMPUTED_VALUE"""),"Contenedor")</f>
        <v>Contenedor</v>
      </c>
      <c r="AH57" s="12">
        <f>IFERROR(__xludf.DUMMYFUNCTION("""COMPUTED_VALUE"""),4.0)</f>
        <v>4</v>
      </c>
      <c r="AI57" s="12" t="str">
        <f>IFERROR(__xludf.DUMMYFUNCTION("""COMPUTED_VALUE"""),"5")</f>
        <v>5</v>
      </c>
      <c r="AJ57" s="12" t="str">
        <f>IFERROR(__xludf.DUMMYFUNCTION("""COMPUTED_VALUE"""),"B")</f>
        <v>B</v>
      </c>
      <c r="AK57" s="12">
        <f>IFERROR(__xludf.DUMMYFUNCTION("""COMPUTED_VALUE"""),139.0)</f>
        <v>139</v>
      </c>
      <c r="AL57" s="12" t="str">
        <f>IFERROR(__xludf.DUMMYFUNCTION("""COMPUTED_VALUE"""),"KITCHEN-IT")</f>
        <v>KITCHEN-IT</v>
      </c>
      <c r="AP57" s="12"/>
      <c r="AQ57" s="12"/>
      <c r="BC57" s="12"/>
      <c r="BH57" s="12" t="str">
        <f>IFERROR(__xludf.DUMMYFUNCTION("IFERROR(INDEX(QUERY(IMPORTRANGE(""1T7HG8KEs-Ob7f3M5atEVN9Yn7IeORGp0QGvggB62ELw"",""Maestro!A:I""),""SELECT Col8 WHERE Col3 = '""&amp;BE57&amp;""'"", 0), 1, 1),""NO ENCONTRADO"")"),"D")</f>
        <v>D</v>
      </c>
      <c r="BI57" s="16">
        <v>1.0</v>
      </c>
      <c r="BJ57" s="16">
        <f t="shared" si="6"/>
        <v>790</v>
      </c>
      <c r="BK57" s="12"/>
      <c r="BR57" s="12"/>
      <c r="BY57" s="14"/>
      <c r="BZ57" s="14"/>
      <c r="CA57" s="14"/>
      <c r="CB57" s="14"/>
      <c r="CC57" s="14"/>
      <c r="CD57" s="14"/>
      <c r="CE57" s="14"/>
      <c r="CF57" s="12"/>
      <c r="CG57" s="12"/>
      <c r="CH57" s="12"/>
      <c r="CI57" s="12"/>
      <c r="CJ57" s="12"/>
      <c r="CK57" s="12"/>
      <c r="CL57" s="12"/>
      <c r="CM57" s="12"/>
      <c r="CN57" s="12"/>
      <c r="CO57" s="12"/>
    </row>
    <row r="58">
      <c r="A58" s="92">
        <v>3.0</v>
      </c>
      <c r="B58" s="93" t="s">
        <v>53</v>
      </c>
      <c r="C58" s="94" t="s">
        <v>130</v>
      </c>
      <c r="D58" s="95" t="str">
        <f t="shared" si="1"/>
        <v>3-4-3A</v>
      </c>
      <c r="E58" s="110"/>
      <c r="F58" s="111"/>
      <c r="G58" s="112"/>
      <c r="H58" s="113"/>
      <c r="I58" s="114"/>
      <c r="J58" s="115"/>
      <c r="K58" s="27" t="str">
        <f t="shared" si="2"/>
        <v>DISPONIBLE</v>
      </c>
      <c r="L58" s="28">
        <f t="shared" si="7"/>
        <v>57</v>
      </c>
      <c r="M58" s="28" t="s">
        <v>23</v>
      </c>
      <c r="N58" s="70"/>
      <c r="O58" s="29"/>
      <c r="P58" s="12"/>
      <c r="Q58" s="12"/>
      <c r="R58" s="12"/>
      <c r="S58" s="12"/>
      <c r="T58" s="12"/>
      <c r="U58" s="12"/>
      <c r="V58" s="12"/>
      <c r="AB58" s="12"/>
      <c r="AC58" s="12" t="str">
        <f>IFERROR(__xludf.DUMMYFUNCTION("""COMPUTED_VALUE"""),"4-5-C")</f>
        <v>4-5-C</v>
      </c>
      <c r="AD58" s="12" t="str">
        <f>IFERROR(__xludf.DUMMYFUNCTION("""COMPUTED_VALUE"""),"HF25L")</f>
        <v>HF25L</v>
      </c>
      <c r="AE58" s="12" t="str">
        <f>IFERROR(__xludf.DUMMYFUNCTION("""COMPUTED_VALUE"""),"Horno Freidora Smart Edition 25L")</f>
        <v>Horno Freidora Smart Edition 25L</v>
      </c>
      <c r="AF58" s="30">
        <f>IFERROR(__xludf.DUMMYFUNCTION("""COMPUTED_VALUE"""),28.0)</f>
        <v>28</v>
      </c>
      <c r="AG58" s="12" t="str">
        <f>IFERROR(__xludf.DUMMYFUNCTION("""COMPUTED_VALUE"""),"Contenedor")</f>
        <v>Contenedor</v>
      </c>
      <c r="AH58" s="12">
        <f>IFERROR(__xludf.DUMMYFUNCTION("""COMPUTED_VALUE"""),4.0)</f>
        <v>4</v>
      </c>
      <c r="AI58" s="12" t="str">
        <f>IFERROR(__xludf.DUMMYFUNCTION("""COMPUTED_VALUE"""),"5")</f>
        <v>5</v>
      </c>
      <c r="AJ58" s="12" t="str">
        <f>IFERROR(__xludf.DUMMYFUNCTION("""COMPUTED_VALUE"""),"C")</f>
        <v>C</v>
      </c>
      <c r="AK58" s="12">
        <f>IFERROR(__xludf.DUMMYFUNCTION("""COMPUTED_VALUE"""),140.0)</f>
        <v>140</v>
      </c>
      <c r="AL58" s="12" t="str">
        <f>IFERROR(__xludf.DUMMYFUNCTION("""COMPUTED_VALUE"""),"KITCHEN-IT")</f>
        <v>KITCHEN-IT</v>
      </c>
      <c r="AP58" s="12"/>
      <c r="AQ58" s="12"/>
      <c r="BC58" s="12"/>
      <c r="BH58" s="12" t="str">
        <f>IFERROR(__xludf.DUMMYFUNCTION("IFERROR(INDEX(QUERY(IMPORTRANGE(""1T7HG8KEs-Ob7f3M5atEVN9Yn7IeORGp0QGvggB62ELw"",""Maestro!A:I""),""SELECT Col8 WHERE Col3 = '""&amp;BE58&amp;""'"", 0), 1, 1),""NO ENCONTRADO"")"),"D")</f>
        <v>D</v>
      </c>
      <c r="BI58" s="16">
        <v>1.0</v>
      </c>
      <c r="BJ58" s="16">
        <f t="shared" si="6"/>
        <v>600</v>
      </c>
      <c r="BK58" s="12"/>
      <c r="BR58" s="12"/>
      <c r="BY58" s="14"/>
      <c r="BZ58" s="14"/>
      <c r="CA58" s="14"/>
      <c r="CB58" s="14"/>
      <c r="CC58" s="14"/>
      <c r="CD58" s="14"/>
      <c r="CE58" s="14"/>
      <c r="CF58" s="12"/>
      <c r="CG58" s="12"/>
      <c r="CH58" s="12"/>
      <c r="CI58" s="12"/>
      <c r="CJ58" s="12"/>
      <c r="CK58" s="12"/>
      <c r="CL58" s="12"/>
      <c r="CM58" s="12"/>
      <c r="CN58" s="12"/>
      <c r="CO58" s="12"/>
    </row>
    <row r="59">
      <c r="A59" s="92">
        <v>3.0</v>
      </c>
      <c r="B59" s="93" t="s">
        <v>53</v>
      </c>
      <c r="C59" s="94" t="s">
        <v>148</v>
      </c>
      <c r="D59" s="95" t="str">
        <f t="shared" si="1"/>
        <v>3-4-3B</v>
      </c>
      <c r="E59" s="50"/>
      <c r="F59" s="51"/>
      <c r="G59" s="46"/>
      <c r="H59" s="47"/>
      <c r="I59" s="48"/>
      <c r="J59" s="52"/>
      <c r="K59" s="32" t="str">
        <f t="shared" si="2"/>
        <v>DISPONIBLE</v>
      </c>
      <c r="L59" s="33">
        <f t="shared" si="7"/>
        <v>58</v>
      </c>
      <c r="M59" s="33" t="s">
        <v>23</v>
      </c>
      <c r="N59" s="53"/>
      <c r="O59" s="129"/>
      <c r="P59" s="12"/>
      <c r="Q59" s="12"/>
      <c r="R59" s="12"/>
      <c r="S59" s="12"/>
      <c r="T59" s="12"/>
      <c r="U59" s="12"/>
      <c r="V59" s="12"/>
      <c r="AB59" s="12"/>
      <c r="AC59" s="12" t="str">
        <f>IFERROR(__xludf.DUMMYFUNCTION("""COMPUTED_VALUE"""),"4-5-D")</f>
        <v>4-5-D</v>
      </c>
      <c r="AD59" s="12" t="str">
        <f>IFERROR(__xludf.DUMMYFUNCTION("""COMPUTED_VALUE"""),"HF25L")</f>
        <v>HF25L</v>
      </c>
      <c r="AE59" s="12" t="str">
        <f>IFERROR(__xludf.DUMMYFUNCTION("""COMPUTED_VALUE"""),"Horno Freidora Smart Edition 25L")</f>
        <v>Horno Freidora Smart Edition 25L</v>
      </c>
      <c r="AF59" s="30">
        <f>IFERROR(__xludf.DUMMYFUNCTION("""COMPUTED_VALUE"""),28.0)</f>
        <v>28</v>
      </c>
      <c r="AG59" s="12" t="str">
        <f>IFERROR(__xludf.DUMMYFUNCTION("""COMPUTED_VALUE"""),"Contenedor")</f>
        <v>Contenedor</v>
      </c>
      <c r="AH59" s="12">
        <f>IFERROR(__xludf.DUMMYFUNCTION("""COMPUTED_VALUE"""),4.0)</f>
        <v>4</v>
      </c>
      <c r="AI59" s="12" t="str">
        <f>IFERROR(__xludf.DUMMYFUNCTION("""COMPUTED_VALUE"""),"5")</f>
        <v>5</v>
      </c>
      <c r="AJ59" s="12" t="str">
        <f>IFERROR(__xludf.DUMMYFUNCTION("""COMPUTED_VALUE"""),"D")</f>
        <v>D</v>
      </c>
      <c r="AK59" s="12">
        <f>IFERROR(__xludf.DUMMYFUNCTION("""COMPUTED_VALUE"""),141.0)</f>
        <v>141</v>
      </c>
      <c r="AL59" s="12" t="str">
        <f>IFERROR(__xludf.DUMMYFUNCTION("""COMPUTED_VALUE"""),"KITCHEN-IT")</f>
        <v>KITCHEN-IT</v>
      </c>
      <c r="AP59" s="12"/>
      <c r="AQ59" s="12"/>
      <c r="BC59" s="12"/>
      <c r="BH59" s="12" t="str">
        <f>IFERROR(__xludf.DUMMYFUNCTION("IFERROR(INDEX(QUERY(IMPORTRANGE(""1T7HG8KEs-Ob7f3M5atEVN9Yn7IeORGp0QGvggB62ELw"",""Maestro!A:I""),""SELECT Col8 WHERE Col3 = '""&amp;BE59&amp;""'"", 0), 1, 1),""NO ENCONTRADO"")"),"D")</f>
        <v>D</v>
      </c>
      <c r="BI59" s="16">
        <v>1.0</v>
      </c>
      <c r="BJ59" s="16">
        <f t="shared" si="6"/>
        <v>195</v>
      </c>
      <c r="BK59" s="12"/>
      <c r="BR59" s="12"/>
      <c r="BY59" s="14"/>
      <c r="BZ59" s="14"/>
      <c r="CA59" s="14"/>
      <c r="CB59" s="14"/>
      <c r="CC59" s="14"/>
      <c r="CD59" s="14"/>
      <c r="CE59" s="14"/>
      <c r="CF59" s="12"/>
      <c r="CG59" s="12"/>
      <c r="CH59" s="12"/>
      <c r="CI59" s="12"/>
      <c r="CJ59" s="12"/>
      <c r="CK59" s="12"/>
      <c r="CL59" s="12"/>
      <c r="CM59" s="12"/>
      <c r="CN59" s="12"/>
      <c r="CO59" s="12"/>
    </row>
    <row r="60">
      <c r="A60" s="92">
        <v>3.0</v>
      </c>
      <c r="B60" s="93" t="s">
        <v>53</v>
      </c>
      <c r="C60" s="94" t="s">
        <v>145</v>
      </c>
      <c r="D60" s="95" t="str">
        <f t="shared" si="1"/>
        <v>3-4-4A</v>
      </c>
      <c r="E60" s="96">
        <v>45784.0</v>
      </c>
      <c r="F60" s="97" t="s">
        <v>358</v>
      </c>
      <c r="G60" s="98" t="s">
        <v>137</v>
      </c>
      <c r="H60" s="99" t="s">
        <v>138</v>
      </c>
      <c r="I60" s="100">
        <v>216.0</v>
      </c>
      <c r="J60" s="101" t="s">
        <v>22</v>
      </c>
      <c r="K60" s="27" t="str">
        <f t="shared" si="2"/>
        <v>OCUPADO</v>
      </c>
      <c r="L60" s="28">
        <f t="shared" si="7"/>
        <v>59</v>
      </c>
      <c r="M60" s="28" t="s">
        <v>23</v>
      </c>
      <c r="N60" s="28"/>
      <c r="O60" s="29" t="s">
        <v>24</v>
      </c>
      <c r="P60" s="12"/>
      <c r="Q60" s="12"/>
      <c r="R60" s="12"/>
      <c r="S60" s="12"/>
      <c r="T60" s="12"/>
      <c r="U60" s="12"/>
      <c r="V60" s="12"/>
      <c r="AB60" s="12"/>
      <c r="AC60" s="12" t="str">
        <f>IFERROR(__xludf.DUMMYFUNCTION("""COMPUTED_VALUE"""),"4-6-A")</f>
        <v>4-6-A</v>
      </c>
      <c r="AD60" s="12" t="str">
        <f>IFERROR(__xludf.DUMMYFUNCTION("""COMPUTED_VALUE"""),"LPP800W")</f>
        <v>LPP800W</v>
      </c>
      <c r="AE60" s="12" t="str">
        <f>IFERROR(__xludf.DUMMYFUNCTION("""COMPUTED_VALUE"""),"Licuadora Power Pro 800W")</f>
        <v>Licuadora Power Pro 800W</v>
      </c>
      <c r="AF60" s="30">
        <f>IFERROR(__xludf.DUMMYFUNCTION("""COMPUTED_VALUE"""),168.0)</f>
        <v>168</v>
      </c>
      <c r="AG60" s="12" t="str">
        <f>IFERROR(__xludf.DUMMYFUNCTION("""COMPUTED_VALUE"""),"Contenedor")</f>
        <v>Contenedor</v>
      </c>
      <c r="AH60" s="12">
        <f>IFERROR(__xludf.DUMMYFUNCTION("""COMPUTED_VALUE"""),4.0)</f>
        <v>4</v>
      </c>
      <c r="AI60" s="12" t="str">
        <f>IFERROR(__xludf.DUMMYFUNCTION("""COMPUTED_VALUE"""),"6")</f>
        <v>6</v>
      </c>
      <c r="AJ60" s="12" t="str">
        <f>IFERROR(__xludf.DUMMYFUNCTION("""COMPUTED_VALUE"""),"A")</f>
        <v>A</v>
      </c>
      <c r="AK60" s="12">
        <f>IFERROR(__xludf.DUMMYFUNCTION("""COMPUTED_VALUE"""),142.0)</f>
        <v>142</v>
      </c>
      <c r="AL60" s="12" t="str">
        <f>IFERROR(__xludf.DUMMYFUNCTION("""COMPUTED_VALUE"""),"KITCHEN-IT")</f>
        <v>KITCHEN-IT</v>
      </c>
      <c r="AP60" s="12"/>
      <c r="AQ60" s="12"/>
      <c r="BC60" s="12"/>
      <c r="BH60" s="12" t="str">
        <f>IFERROR(__xludf.DUMMYFUNCTION("IFERROR(INDEX(QUERY(IMPORTRANGE(""1T7HG8KEs-Ob7f3M5atEVN9Yn7IeORGp0QGvggB62ELw"",""Maestro!A:I""),""SELECT Col8 WHERE Col3 = '""&amp;BE60&amp;""'"", 0), 1, 1),""NO ENCONTRADO"")"),"D")</f>
        <v>D</v>
      </c>
      <c r="BI60" s="16">
        <v>1.0</v>
      </c>
      <c r="BJ60" s="16">
        <f t="shared" si="6"/>
        <v>350</v>
      </c>
      <c r="BK60" s="12"/>
      <c r="BR60" s="12"/>
      <c r="BY60" s="14"/>
      <c r="BZ60" s="14"/>
      <c r="CA60" s="14"/>
      <c r="CB60" s="14"/>
      <c r="CC60" s="14"/>
      <c r="CD60" s="14"/>
      <c r="CE60" s="14"/>
      <c r="CF60" s="12"/>
      <c r="CG60" s="12"/>
      <c r="CH60" s="12"/>
      <c r="CI60" s="12"/>
      <c r="CJ60" s="12"/>
      <c r="CK60" s="12"/>
      <c r="CL60" s="12"/>
      <c r="CM60" s="12"/>
      <c r="CN60" s="12"/>
      <c r="CO60" s="12"/>
    </row>
    <row r="61">
      <c r="A61" s="92">
        <v>3.0</v>
      </c>
      <c r="B61" s="93" t="s">
        <v>53</v>
      </c>
      <c r="C61" s="94" t="s">
        <v>181</v>
      </c>
      <c r="D61" s="95" t="str">
        <f t="shared" si="1"/>
        <v>3-4-4B</v>
      </c>
      <c r="E61" s="130"/>
      <c r="F61" s="131"/>
      <c r="G61" s="132"/>
      <c r="H61" s="133"/>
      <c r="I61" s="134"/>
      <c r="J61" s="135"/>
      <c r="K61" s="32" t="str">
        <f t="shared" si="2"/>
        <v>DISPONIBLE</v>
      </c>
      <c r="L61" s="33">
        <f t="shared" si="7"/>
        <v>60</v>
      </c>
      <c r="M61" s="33" t="s">
        <v>23</v>
      </c>
      <c r="N61" s="53"/>
      <c r="O61" s="129"/>
      <c r="P61" s="12"/>
      <c r="Q61" s="12"/>
      <c r="R61" s="12"/>
      <c r="S61" s="12"/>
      <c r="T61" s="12"/>
      <c r="U61" s="12"/>
      <c r="V61" s="12"/>
      <c r="AB61" s="12"/>
      <c r="AC61" s="12" t="str">
        <f>IFERROR(__xludf.DUMMYFUNCTION("""COMPUTED_VALUE"""),"4-6-B")</f>
        <v>4-6-B</v>
      </c>
      <c r="AD61" s="12" t="str">
        <f>IFERROR(__xludf.DUMMYFUNCTION("""COMPUTED_VALUE"""),"LPP800W")</f>
        <v>LPP800W</v>
      </c>
      <c r="AE61" s="12" t="str">
        <f>IFERROR(__xludf.DUMMYFUNCTION("""COMPUTED_VALUE"""),"Licuadora Power Pro 800W")</f>
        <v>Licuadora Power Pro 800W</v>
      </c>
      <c r="AF61" s="30">
        <f>IFERROR(__xludf.DUMMYFUNCTION("""COMPUTED_VALUE"""),168.0)</f>
        <v>168</v>
      </c>
      <c r="AG61" s="12" t="str">
        <f>IFERROR(__xludf.DUMMYFUNCTION("""COMPUTED_VALUE"""),"Contenedor")</f>
        <v>Contenedor</v>
      </c>
      <c r="AH61" s="12">
        <f>IFERROR(__xludf.DUMMYFUNCTION("""COMPUTED_VALUE"""),4.0)</f>
        <v>4</v>
      </c>
      <c r="AI61" s="12" t="str">
        <f>IFERROR(__xludf.DUMMYFUNCTION("""COMPUTED_VALUE"""),"6")</f>
        <v>6</v>
      </c>
      <c r="AJ61" s="12" t="str">
        <f>IFERROR(__xludf.DUMMYFUNCTION("""COMPUTED_VALUE"""),"B")</f>
        <v>B</v>
      </c>
      <c r="AK61" s="12">
        <f>IFERROR(__xludf.DUMMYFUNCTION("""COMPUTED_VALUE"""),143.0)</f>
        <v>143</v>
      </c>
      <c r="AL61" s="12" t="str">
        <f>IFERROR(__xludf.DUMMYFUNCTION("""COMPUTED_VALUE"""),"KITCHEN-IT")</f>
        <v>KITCHEN-IT</v>
      </c>
      <c r="AM61" s="12"/>
      <c r="AN61" s="12"/>
      <c r="AO61" s="12"/>
      <c r="AP61" s="12"/>
      <c r="AQ61" s="12"/>
      <c r="BC61" s="12"/>
      <c r="BH61" s="12" t="str">
        <f>IFERROR(__xludf.DUMMYFUNCTION("IFERROR(INDEX(QUERY(IMPORTRANGE(""1T7HG8KEs-Ob7f3M5atEVN9Yn7IeORGp0QGvggB62ELw"",""Maestro!A:I""),""SELECT Col8 WHERE Col3 = '""&amp;BE61&amp;""'"", 0), 1, 1),""NO ENCONTRADO"")"),"D")</f>
        <v>D</v>
      </c>
      <c r="BI61" s="16">
        <v>1.0</v>
      </c>
      <c r="BJ61" s="16">
        <f t="shared" si="6"/>
        <v>350</v>
      </c>
      <c r="BK61" s="12"/>
      <c r="BR61" s="12"/>
      <c r="BY61" s="14"/>
      <c r="BZ61" s="14"/>
      <c r="CA61" s="14"/>
      <c r="CB61" s="14"/>
      <c r="CC61" s="14"/>
      <c r="CD61" s="14"/>
      <c r="CE61" s="14"/>
      <c r="CF61" s="12"/>
      <c r="CG61" s="12"/>
      <c r="CH61" s="12"/>
      <c r="CI61" s="12"/>
      <c r="CJ61" s="12"/>
      <c r="CK61" s="12"/>
      <c r="CL61" s="12"/>
      <c r="CM61" s="12"/>
      <c r="CN61" s="12"/>
      <c r="CO61" s="12"/>
    </row>
    <row r="62">
      <c r="A62" s="123">
        <v>3.0</v>
      </c>
      <c r="B62" s="94" t="s">
        <v>53</v>
      </c>
      <c r="C62" s="94" t="s">
        <v>188</v>
      </c>
      <c r="D62" s="95" t="str">
        <f t="shared" si="1"/>
        <v>3-4-5A</v>
      </c>
      <c r="E62" s="110"/>
      <c r="F62" s="111"/>
      <c r="G62" s="112"/>
      <c r="H62" s="113"/>
      <c r="I62" s="114"/>
      <c r="J62" s="115"/>
      <c r="K62" s="27" t="str">
        <f t="shared" si="2"/>
        <v>DISPONIBLE</v>
      </c>
      <c r="L62" s="28">
        <f t="shared" si="7"/>
        <v>61</v>
      </c>
      <c r="M62" s="28" t="s">
        <v>23</v>
      </c>
      <c r="N62" s="70"/>
      <c r="O62" s="29"/>
      <c r="P62" s="12"/>
      <c r="Q62" s="12"/>
      <c r="R62" s="12"/>
      <c r="S62" s="12"/>
      <c r="T62" s="12"/>
      <c r="U62" s="12"/>
      <c r="V62" s="12"/>
      <c r="AB62" s="12"/>
      <c r="AC62" s="12" t="str">
        <f>IFERROR(__xludf.DUMMYFUNCTION("""COMPUTED_VALUE"""),"4-6-C")</f>
        <v>4-6-C</v>
      </c>
      <c r="AD62" s="12" t="str">
        <f>IFERROR(__xludf.DUMMYFUNCTION("""COMPUTED_VALUE"""),"LPP800W")</f>
        <v>LPP800W</v>
      </c>
      <c r="AE62" s="12" t="str">
        <f>IFERROR(__xludf.DUMMYFUNCTION("""COMPUTED_VALUE"""),"Licuadora Power Pro 800W")</f>
        <v>Licuadora Power Pro 800W</v>
      </c>
      <c r="AF62" s="30">
        <f>IFERROR(__xludf.DUMMYFUNCTION("""COMPUTED_VALUE"""),90.0)</f>
        <v>90</v>
      </c>
      <c r="AG62" s="12" t="str">
        <f>IFERROR(__xludf.DUMMYFUNCTION("""COMPUTED_VALUE"""),"Contenedor")</f>
        <v>Contenedor</v>
      </c>
      <c r="AH62" s="12">
        <f>IFERROR(__xludf.DUMMYFUNCTION("""COMPUTED_VALUE"""),4.0)</f>
        <v>4</v>
      </c>
      <c r="AI62" s="12" t="str">
        <f>IFERROR(__xludf.DUMMYFUNCTION("""COMPUTED_VALUE"""),"6")</f>
        <v>6</v>
      </c>
      <c r="AJ62" s="12" t="str">
        <f>IFERROR(__xludf.DUMMYFUNCTION("""COMPUTED_VALUE"""),"C")</f>
        <v>C</v>
      </c>
      <c r="AK62" s="12">
        <f>IFERROR(__xludf.DUMMYFUNCTION("""COMPUTED_VALUE"""),144.0)</f>
        <v>144</v>
      </c>
      <c r="AL62" s="12" t="str">
        <f>IFERROR(__xludf.DUMMYFUNCTION("""COMPUTED_VALUE"""),"KITCHEN-IT")</f>
        <v>KITCHEN-IT</v>
      </c>
      <c r="AM62" s="12"/>
      <c r="AN62" s="12"/>
      <c r="AO62" s="12"/>
      <c r="AP62" s="12"/>
      <c r="AQ62" s="12"/>
      <c r="BC62" s="12"/>
      <c r="BH62" s="12" t="str">
        <f>IFERROR(__xludf.DUMMYFUNCTION("IFERROR(INDEX(QUERY(IMPORTRANGE(""1T7HG8KEs-Ob7f3M5atEVN9Yn7IeORGp0QGvggB62ELw"",""Maestro!A:I""),""SELECT Col8 WHERE Col3 = '""&amp;BE62&amp;""'"", 0), 1, 1),""NO ENCONTRADO"")"),"D")</f>
        <v>D</v>
      </c>
      <c r="BI62" s="16">
        <v>1.0</v>
      </c>
      <c r="BJ62" s="16">
        <f t="shared" si="6"/>
        <v>350</v>
      </c>
      <c r="BK62" s="12"/>
      <c r="BR62" s="12"/>
      <c r="BY62" s="14"/>
      <c r="BZ62" s="14"/>
      <c r="CA62" s="14"/>
      <c r="CB62" s="14"/>
      <c r="CC62" s="14"/>
      <c r="CD62" s="14"/>
      <c r="CE62" s="14"/>
      <c r="CF62" s="12"/>
      <c r="CG62" s="12"/>
      <c r="CH62" s="12"/>
      <c r="CI62" s="12"/>
      <c r="CJ62" s="12"/>
      <c r="CK62" s="12"/>
      <c r="CL62" s="12"/>
      <c r="CM62" s="12"/>
      <c r="CN62" s="12"/>
      <c r="CO62" s="12"/>
    </row>
    <row r="63">
      <c r="A63" s="123">
        <v>3.0</v>
      </c>
      <c r="B63" s="94" t="s">
        <v>53</v>
      </c>
      <c r="C63" s="94" t="s">
        <v>192</v>
      </c>
      <c r="D63" s="95" t="str">
        <f t="shared" si="1"/>
        <v>3-4-5B</v>
      </c>
      <c r="E63" s="50"/>
      <c r="F63" s="51"/>
      <c r="G63" s="46"/>
      <c r="H63" s="47"/>
      <c r="I63" s="48"/>
      <c r="J63" s="52"/>
      <c r="K63" s="32" t="str">
        <f t="shared" si="2"/>
        <v>DISPONIBLE</v>
      </c>
      <c r="L63" s="33">
        <f t="shared" si="7"/>
        <v>62</v>
      </c>
      <c r="M63" s="33" t="s">
        <v>23</v>
      </c>
      <c r="N63" s="53"/>
      <c r="O63" s="129"/>
      <c r="P63" s="12"/>
      <c r="Q63" s="12"/>
      <c r="R63" s="12"/>
      <c r="S63" s="12"/>
      <c r="T63" s="12"/>
      <c r="U63" s="12"/>
      <c r="V63" s="12"/>
      <c r="AB63" s="12"/>
      <c r="AC63" s="12" t="str">
        <f>IFERROR(__xludf.DUMMYFUNCTION("""COMPUTED_VALUE"""),"4-7-A")</f>
        <v>4-7-A</v>
      </c>
      <c r="AD63" s="12" t="str">
        <f>IFERROR(__xludf.DUMMYFUNCTION("""COMPUTED_VALUE"""),"FAPE5L")</f>
        <v>FAPE5L</v>
      </c>
      <c r="AE63" s="12" t="str">
        <f>IFERROR(__xludf.DUMMYFUNCTION("""COMPUTED_VALUE"""),"Freidora de Aire Plus Edition 5L")</f>
        <v>Freidora de Aire Plus Edition 5L</v>
      </c>
      <c r="AF63" s="30">
        <f>IFERROR(__xludf.DUMMYFUNCTION("""COMPUTED_VALUE"""),72.0)</f>
        <v>72</v>
      </c>
      <c r="AG63" s="12" t="str">
        <f>IFERROR(__xludf.DUMMYFUNCTION("""COMPUTED_VALUE"""),"Contenedor")</f>
        <v>Contenedor</v>
      </c>
      <c r="AH63" s="12">
        <f>IFERROR(__xludf.DUMMYFUNCTION("""COMPUTED_VALUE"""),4.0)</f>
        <v>4</v>
      </c>
      <c r="AI63" s="12" t="str">
        <f>IFERROR(__xludf.DUMMYFUNCTION("""COMPUTED_VALUE"""),"7")</f>
        <v>7</v>
      </c>
      <c r="AJ63" s="12" t="str">
        <f>IFERROR(__xludf.DUMMYFUNCTION("""COMPUTED_VALUE"""),"A")</f>
        <v>A</v>
      </c>
      <c r="AK63" s="12">
        <f>IFERROR(__xludf.DUMMYFUNCTION("""COMPUTED_VALUE"""),146.0)</f>
        <v>146</v>
      </c>
      <c r="AL63" s="12" t="str">
        <f>IFERROR(__xludf.DUMMYFUNCTION("""COMPUTED_VALUE"""),"KITCHEN-IT")</f>
        <v>KITCHEN-IT</v>
      </c>
      <c r="AM63" s="12"/>
      <c r="AN63" s="12"/>
      <c r="AO63" s="12"/>
      <c r="AP63" s="12"/>
      <c r="AQ63" s="12"/>
      <c r="BC63" s="12"/>
      <c r="BH63" s="12" t="str">
        <f>IFERROR(__xludf.DUMMYFUNCTION("IFERROR(INDEX(QUERY(IMPORTRANGE(""1T7HG8KEs-Ob7f3M5atEVN9Yn7IeORGp0QGvggB62ELw"",""Maestro!A:I""),""SELECT Col8 WHERE Col3 = '""&amp;BE63&amp;""'"", 0), 1, 1),""NO ENCONTRADO"")"),"D")</f>
        <v>D</v>
      </c>
      <c r="BI63" s="16">
        <v>1.0</v>
      </c>
      <c r="BJ63" s="16">
        <f t="shared" si="6"/>
        <v>350</v>
      </c>
      <c r="BK63" s="12"/>
      <c r="BR63" s="12"/>
      <c r="BY63" s="14"/>
      <c r="BZ63" s="14"/>
      <c r="CA63" s="14"/>
      <c r="CB63" s="14"/>
      <c r="CC63" s="14"/>
      <c r="CD63" s="14"/>
      <c r="CE63" s="14"/>
      <c r="CF63" s="12"/>
      <c r="CG63" s="12"/>
      <c r="CH63" s="12"/>
      <c r="CI63" s="12"/>
      <c r="CJ63" s="12"/>
      <c r="CK63" s="12"/>
      <c r="CL63" s="12"/>
      <c r="CM63" s="12"/>
      <c r="CN63" s="12"/>
      <c r="CO63" s="12"/>
    </row>
    <row r="64">
      <c r="A64" s="92">
        <v>3.0</v>
      </c>
      <c r="B64" s="93" t="s">
        <v>25</v>
      </c>
      <c r="C64" s="94" t="s">
        <v>119</v>
      </c>
      <c r="D64" s="95" t="str">
        <f t="shared" si="1"/>
        <v>3-5-1A</v>
      </c>
      <c r="E64" s="125">
        <v>45817.0</v>
      </c>
      <c r="F64" s="126" t="s">
        <v>280</v>
      </c>
      <c r="G64" s="126" t="s">
        <v>151</v>
      </c>
      <c r="H64" s="127" t="s">
        <v>152</v>
      </c>
      <c r="I64" s="128">
        <v>400.0</v>
      </c>
      <c r="J64" s="127" t="s">
        <v>22</v>
      </c>
      <c r="K64" s="27" t="str">
        <f t="shared" si="2"/>
        <v>OCUPADO</v>
      </c>
      <c r="L64" s="28">
        <f t="shared" si="7"/>
        <v>63</v>
      </c>
      <c r="M64" s="28" t="s">
        <v>23</v>
      </c>
      <c r="N64" s="70"/>
      <c r="O64" s="29"/>
      <c r="P64" s="12"/>
      <c r="Q64" s="12"/>
      <c r="R64" s="12"/>
      <c r="S64" s="12"/>
      <c r="T64" s="12"/>
      <c r="U64" s="12"/>
      <c r="V64" s="12"/>
      <c r="AB64" s="12"/>
      <c r="AC64" s="12" t="str">
        <f>IFERROR(__xludf.DUMMYFUNCTION("""COMPUTED_VALUE"""),"4-7-B")</f>
        <v>4-7-B</v>
      </c>
      <c r="AD64" s="12" t="str">
        <f>IFERROR(__xludf.DUMMYFUNCTION("""COMPUTED_VALUE"""),"FAPE5L")</f>
        <v>FAPE5L</v>
      </c>
      <c r="AE64" s="12" t="str">
        <f>IFERROR(__xludf.DUMMYFUNCTION("""COMPUTED_VALUE"""),"Freidora de Aire Plus Edition 5L")</f>
        <v>Freidora de Aire Plus Edition 5L</v>
      </c>
      <c r="AF64" s="30">
        <f>IFERROR(__xludf.DUMMYFUNCTION("""COMPUTED_VALUE"""),72.0)</f>
        <v>72</v>
      </c>
      <c r="AG64" s="12" t="str">
        <f>IFERROR(__xludf.DUMMYFUNCTION("""COMPUTED_VALUE"""),"Contenedor")</f>
        <v>Contenedor</v>
      </c>
      <c r="AH64" s="12">
        <f>IFERROR(__xludf.DUMMYFUNCTION("""COMPUTED_VALUE"""),4.0)</f>
        <v>4</v>
      </c>
      <c r="AI64" s="12" t="str">
        <f>IFERROR(__xludf.DUMMYFUNCTION("""COMPUTED_VALUE"""),"7")</f>
        <v>7</v>
      </c>
      <c r="AJ64" s="12" t="str">
        <f>IFERROR(__xludf.DUMMYFUNCTION("""COMPUTED_VALUE"""),"B")</f>
        <v>B</v>
      </c>
      <c r="AK64" s="12">
        <f>IFERROR(__xludf.DUMMYFUNCTION("""COMPUTED_VALUE"""),147.0)</f>
        <v>147</v>
      </c>
      <c r="AL64" s="12" t="str">
        <f>IFERROR(__xludf.DUMMYFUNCTION("""COMPUTED_VALUE"""),"KITCHEN-IT")</f>
        <v>KITCHEN-IT</v>
      </c>
      <c r="AM64" s="12"/>
      <c r="AN64" s="12"/>
      <c r="AO64" s="12"/>
      <c r="AP64" s="12"/>
      <c r="AQ64" s="12"/>
      <c r="BC64" s="12"/>
      <c r="BH64" s="12" t="str">
        <f>IFERROR(__xludf.DUMMYFUNCTION("IFERROR(INDEX(QUERY(IMPORTRANGE(""1T7HG8KEs-Ob7f3M5atEVN9Yn7IeORGp0QGvggB62ELw"",""Maestro!A:I""),""SELECT Col8 WHERE Col3 = '""&amp;BE64&amp;""'"", 0), 1, 1),""NO ENCONTRADO"")"),"D")</f>
        <v>D</v>
      </c>
      <c r="BI64" s="16">
        <v>1.0</v>
      </c>
      <c r="BJ64" s="16">
        <f t="shared" si="6"/>
        <v>716</v>
      </c>
      <c r="BK64" s="12"/>
      <c r="BR64" s="12"/>
      <c r="BY64" s="14"/>
      <c r="BZ64" s="14"/>
      <c r="CA64" s="14"/>
      <c r="CB64" s="14"/>
      <c r="CC64" s="14"/>
      <c r="CD64" s="14"/>
      <c r="CE64" s="14"/>
      <c r="CF64" s="12"/>
      <c r="CG64" s="12"/>
      <c r="CH64" s="12"/>
      <c r="CI64" s="12"/>
      <c r="CJ64" s="12"/>
      <c r="CK64" s="12"/>
      <c r="CL64" s="12"/>
      <c r="CM64" s="12"/>
      <c r="CN64" s="12"/>
      <c r="CO64" s="12"/>
    </row>
    <row r="65">
      <c r="A65" s="92">
        <v>3.0</v>
      </c>
      <c r="B65" s="93" t="s">
        <v>25</v>
      </c>
      <c r="C65" s="94" t="s">
        <v>132</v>
      </c>
      <c r="D65" s="95" t="str">
        <f t="shared" si="1"/>
        <v>3-5-1B</v>
      </c>
      <c r="E65" s="50"/>
      <c r="F65" s="51"/>
      <c r="G65" s="46"/>
      <c r="H65" s="47"/>
      <c r="I65" s="48"/>
      <c r="J65" s="52"/>
      <c r="K65" s="32" t="str">
        <f t="shared" si="2"/>
        <v>DISPONIBLE</v>
      </c>
      <c r="L65" s="33">
        <f t="shared" si="7"/>
        <v>64</v>
      </c>
      <c r="M65" s="33" t="s">
        <v>23</v>
      </c>
      <c r="N65" s="53"/>
      <c r="O65" s="34"/>
      <c r="P65" s="12"/>
      <c r="Q65" s="12"/>
      <c r="R65" s="12"/>
      <c r="S65" s="12"/>
      <c r="T65" s="12"/>
      <c r="U65" s="12"/>
      <c r="V65" s="12"/>
      <c r="AB65" s="12"/>
      <c r="AC65" s="12" t="str">
        <f>IFERROR(__xludf.DUMMYFUNCTION("""COMPUTED_VALUE"""),"4-7-C")</f>
        <v>4-7-C</v>
      </c>
      <c r="AD65" s="12" t="str">
        <f>IFERROR(__xludf.DUMMYFUNCTION("""COMPUTED_VALUE"""),"FAPE5L")</f>
        <v>FAPE5L</v>
      </c>
      <c r="AE65" s="12" t="str">
        <f>IFERROR(__xludf.DUMMYFUNCTION("""COMPUTED_VALUE"""),"Freidora de Aire Plus Edition 5L")</f>
        <v>Freidora de Aire Plus Edition 5L</v>
      </c>
      <c r="AF65" s="30">
        <f>IFERROR(__xludf.DUMMYFUNCTION("""COMPUTED_VALUE"""),72.0)</f>
        <v>72</v>
      </c>
      <c r="AG65" s="12" t="str">
        <f>IFERROR(__xludf.DUMMYFUNCTION("""COMPUTED_VALUE"""),"Contenedor")</f>
        <v>Contenedor</v>
      </c>
      <c r="AH65" s="12">
        <f>IFERROR(__xludf.DUMMYFUNCTION("""COMPUTED_VALUE"""),4.0)</f>
        <v>4</v>
      </c>
      <c r="AI65" s="12" t="str">
        <f>IFERROR(__xludf.DUMMYFUNCTION("""COMPUTED_VALUE"""),"7")</f>
        <v>7</v>
      </c>
      <c r="AJ65" s="12" t="str">
        <f>IFERROR(__xludf.DUMMYFUNCTION("""COMPUTED_VALUE"""),"C")</f>
        <v>C</v>
      </c>
      <c r="AK65" s="12">
        <f>IFERROR(__xludf.DUMMYFUNCTION("""COMPUTED_VALUE"""),148.0)</f>
        <v>148</v>
      </c>
      <c r="AL65" s="12" t="str">
        <f>IFERROR(__xludf.DUMMYFUNCTION("""COMPUTED_VALUE"""),"KITCHEN-IT")</f>
        <v>KITCHEN-IT</v>
      </c>
      <c r="AM65" s="12"/>
      <c r="AN65" s="12"/>
      <c r="AO65" s="12"/>
      <c r="AP65" s="12"/>
      <c r="AQ65" s="12"/>
      <c r="BC65" s="12"/>
      <c r="BH65" s="12" t="str">
        <f>IFERROR(__xludf.DUMMYFUNCTION("IFERROR(INDEX(QUERY(IMPORTRANGE(""1T7HG8KEs-Ob7f3M5atEVN9Yn7IeORGp0QGvggB62ELw"",""Maestro!A:I""),""SELECT Col8 WHERE Col3 = '""&amp;BE65&amp;""'"", 0), 1, 1),""NO ENCONTRADO"")"),"D")</f>
        <v>D</v>
      </c>
      <c r="BI65" s="16">
        <v>1.0</v>
      </c>
      <c r="BJ65" s="16">
        <f t="shared" si="6"/>
        <v>350</v>
      </c>
      <c r="BK65" s="12"/>
      <c r="BR65" s="12"/>
      <c r="BY65" s="14"/>
      <c r="BZ65" s="14"/>
      <c r="CA65" s="14"/>
      <c r="CB65" s="14"/>
      <c r="CC65" s="14"/>
      <c r="CD65" s="14"/>
      <c r="CE65" s="14"/>
      <c r="CF65" s="12"/>
      <c r="CG65" s="12"/>
      <c r="CH65" s="12"/>
      <c r="CI65" s="12"/>
      <c r="CJ65" s="12"/>
      <c r="CK65" s="12"/>
      <c r="CL65" s="12"/>
      <c r="CM65" s="12"/>
      <c r="CN65" s="12"/>
      <c r="CO65" s="12"/>
    </row>
    <row r="66">
      <c r="A66" s="92">
        <v>3.0</v>
      </c>
      <c r="B66" s="93" t="s">
        <v>25</v>
      </c>
      <c r="C66" s="94" t="s">
        <v>124</v>
      </c>
      <c r="D66" s="95" t="str">
        <f t="shared" si="1"/>
        <v>3-5-2A</v>
      </c>
      <c r="E66" s="125">
        <v>45817.0</v>
      </c>
      <c r="F66" s="126" t="s">
        <v>280</v>
      </c>
      <c r="G66" s="126" t="s">
        <v>151</v>
      </c>
      <c r="H66" s="127" t="s">
        <v>152</v>
      </c>
      <c r="I66" s="128">
        <v>400.0</v>
      </c>
      <c r="J66" s="127" t="s">
        <v>22</v>
      </c>
      <c r="K66" s="27" t="str">
        <f t="shared" si="2"/>
        <v>OCUPADO</v>
      </c>
      <c r="L66" s="28">
        <f t="shared" si="7"/>
        <v>65</v>
      </c>
      <c r="M66" s="28" t="s">
        <v>23</v>
      </c>
      <c r="N66" s="28"/>
      <c r="O66" s="29" t="s">
        <v>24</v>
      </c>
      <c r="P66" s="12"/>
      <c r="Q66" s="12"/>
      <c r="R66" s="12"/>
      <c r="S66" s="12"/>
      <c r="T66" s="12"/>
      <c r="U66" s="12"/>
      <c r="V66" s="12"/>
      <c r="AB66" s="12"/>
      <c r="AC66" s="12" t="str">
        <f>IFERROR(__xludf.DUMMYFUNCTION("""COMPUTED_VALUE"""),"4-7-D")</f>
        <v>4-7-D</v>
      </c>
      <c r="AD66" s="12" t="str">
        <f>IFERROR(__xludf.DUMMYFUNCTION("""COMPUTED_VALUE"""),"FAPE5L")</f>
        <v>FAPE5L</v>
      </c>
      <c r="AE66" s="12" t="str">
        <f>IFERROR(__xludf.DUMMYFUNCTION("""COMPUTED_VALUE"""),"Freidora de Aire Plus Edition 5L")</f>
        <v>Freidora de Aire Plus Edition 5L</v>
      </c>
      <c r="AF66" s="30">
        <f>IFERROR(__xludf.DUMMYFUNCTION("""COMPUTED_VALUE"""),72.0)</f>
        <v>72</v>
      </c>
      <c r="AG66" s="12" t="str">
        <f>IFERROR(__xludf.DUMMYFUNCTION("""COMPUTED_VALUE"""),"Contenedor")</f>
        <v>Contenedor</v>
      </c>
      <c r="AH66" s="12">
        <f>IFERROR(__xludf.DUMMYFUNCTION("""COMPUTED_VALUE"""),4.0)</f>
        <v>4</v>
      </c>
      <c r="AI66" s="12" t="str">
        <f>IFERROR(__xludf.DUMMYFUNCTION("""COMPUTED_VALUE"""),"7")</f>
        <v>7</v>
      </c>
      <c r="AJ66" s="12" t="str">
        <f>IFERROR(__xludf.DUMMYFUNCTION("""COMPUTED_VALUE"""),"D")</f>
        <v>D</v>
      </c>
      <c r="AK66" s="12">
        <f>IFERROR(__xludf.DUMMYFUNCTION("""COMPUTED_VALUE"""),149.0)</f>
        <v>149</v>
      </c>
      <c r="AL66" s="12" t="str">
        <f>IFERROR(__xludf.DUMMYFUNCTION("""COMPUTED_VALUE"""),"KITCHEN-IT")</f>
        <v>KITCHEN-IT</v>
      </c>
      <c r="AM66" s="12"/>
      <c r="AN66" s="12"/>
      <c r="AO66" s="12"/>
      <c r="AP66" s="12"/>
      <c r="AQ66" s="12"/>
      <c r="BC66" s="12"/>
      <c r="BH66" s="12" t="str">
        <f>IFERROR(__xludf.DUMMYFUNCTION("IFERROR(INDEX(QUERY(IMPORTRANGE(""1T7HG8KEs-Ob7f3M5atEVN9Yn7IeORGp0QGvggB62ELw"",""Maestro!A:I""),""SELECT Col8 WHERE Col3 = '""&amp;BE66&amp;""'"", 0), 1, 1),""NO ENCONTRADO"")"),"D")</f>
        <v>D</v>
      </c>
      <c r="BI66" s="16">
        <v>1.0</v>
      </c>
      <c r="BJ66" s="16">
        <f t="shared" si="6"/>
        <v>20</v>
      </c>
      <c r="BK66" s="12"/>
      <c r="BR66" s="12"/>
      <c r="BY66" s="14"/>
      <c r="BZ66" s="14"/>
      <c r="CA66" s="14"/>
      <c r="CB66" s="14"/>
      <c r="CC66" s="14"/>
      <c r="CD66" s="14"/>
      <c r="CE66" s="14"/>
      <c r="CF66" s="12"/>
      <c r="CG66" s="12"/>
      <c r="CH66" s="12"/>
      <c r="CI66" s="12"/>
      <c r="CJ66" s="12"/>
      <c r="CK66" s="12"/>
      <c r="CL66" s="12"/>
      <c r="CM66" s="12"/>
      <c r="CN66" s="12"/>
      <c r="CO66" s="12"/>
    </row>
    <row r="67">
      <c r="A67" s="92">
        <v>3.0</v>
      </c>
      <c r="B67" s="93" t="s">
        <v>25</v>
      </c>
      <c r="C67" s="94" t="s">
        <v>140</v>
      </c>
      <c r="D67" s="95" t="str">
        <f t="shared" si="1"/>
        <v>3-5-2B</v>
      </c>
      <c r="E67" s="125"/>
      <c r="F67" s="126"/>
      <c r="G67" s="126"/>
      <c r="H67" s="127"/>
      <c r="I67" s="136"/>
      <c r="J67" s="127"/>
      <c r="K67" s="32" t="str">
        <f t="shared" si="2"/>
        <v>DISPONIBLE</v>
      </c>
      <c r="L67" s="33">
        <f t="shared" si="7"/>
        <v>66</v>
      </c>
      <c r="M67" s="33" t="s">
        <v>23</v>
      </c>
      <c r="N67" s="53"/>
      <c r="O67" s="34"/>
      <c r="P67" s="12"/>
      <c r="Q67" s="12"/>
      <c r="R67" s="12"/>
      <c r="S67" s="12"/>
      <c r="T67" s="12"/>
      <c r="U67" s="12"/>
      <c r="V67" s="12"/>
      <c r="AB67" s="12"/>
      <c r="AC67" s="12" t="str">
        <f>IFERROR(__xludf.DUMMYFUNCTION("""COMPUTED_VALUE"""),"4-8-A")</f>
        <v>4-8-A</v>
      </c>
      <c r="AD67" s="12" t="str">
        <f>IFERROR(__xludf.DUMMYFUNCTION("""COMPUTED_VALUE"""),"FAPE5L")</f>
        <v>FAPE5L</v>
      </c>
      <c r="AE67" s="12" t="str">
        <f>IFERROR(__xludf.DUMMYFUNCTION("""COMPUTED_VALUE"""),"Freidora de Aire Plus Edition 5L")</f>
        <v>Freidora de Aire Plus Edition 5L</v>
      </c>
      <c r="AF67" s="30">
        <f>IFERROR(__xludf.DUMMYFUNCTION("""COMPUTED_VALUE"""),72.0)</f>
        <v>72</v>
      </c>
      <c r="AG67" s="12" t="str">
        <f>IFERROR(__xludf.DUMMYFUNCTION("""COMPUTED_VALUE"""),"Contenedor")</f>
        <v>Contenedor</v>
      </c>
      <c r="AH67" s="12">
        <f>IFERROR(__xludf.DUMMYFUNCTION("""COMPUTED_VALUE"""),4.0)</f>
        <v>4</v>
      </c>
      <c r="AI67" s="12" t="str">
        <f>IFERROR(__xludf.DUMMYFUNCTION("""COMPUTED_VALUE"""),"8")</f>
        <v>8</v>
      </c>
      <c r="AJ67" s="12" t="str">
        <f>IFERROR(__xludf.DUMMYFUNCTION("""COMPUTED_VALUE"""),"A")</f>
        <v>A</v>
      </c>
      <c r="AK67" s="12">
        <f>IFERROR(__xludf.DUMMYFUNCTION("""COMPUTED_VALUE"""),150.0)</f>
        <v>150</v>
      </c>
      <c r="AL67" s="12" t="str">
        <f>IFERROR(__xludf.DUMMYFUNCTION("""COMPUTED_VALUE"""),"KITCHEN-IT")</f>
        <v>KITCHEN-IT</v>
      </c>
      <c r="AM67" s="12"/>
      <c r="AN67" s="12"/>
      <c r="AO67" s="12"/>
      <c r="AP67" s="12"/>
      <c r="AQ67" s="12"/>
      <c r="BC67" s="12"/>
      <c r="BH67" s="12" t="str">
        <f>IFERROR(__xludf.DUMMYFUNCTION("IFERROR(INDEX(QUERY(IMPORTRANGE(""1T7HG8KEs-Ob7f3M5atEVN9Yn7IeORGp0QGvggB62ELw"",""Maestro!A:I""),""SELECT Col8 WHERE Col3 = '""&amp;BE67&amp;""'"", 0), 1, 1),""NO ENCONTRADO"")"),"D")</f>
        <v>D</v>
      </c>
      <c r="BI67" s="16">
        <v>1.0</v>
      </c>
      <c r="BJ67" s="16">
        <f t="shared" si="6"/>
        <v>200</v>
      </c>
      <c r="BK67" s="12"/>
      <c r="BR67" s="12"/>
      <c r="BY67" s="14"/>
      <c r="BZ67" s="14"/>
      <c r="CA67" s="14"/>
      <c r="CB67" s="14"/>
      <c r="CC67" s="14"/>
      <c r="CD67" s="14"/>
      <c r="CE67" s="14"/>
      <c r="CF67" s="12"/>
      <c r="CG67" s="12"/>
      <c r="CH67" s="12"/>
      <c r="CI67" s="12"/>
      <c r="CJ67" s="12"/>
      <c r="CK67" s="12"/>
      <c r="CL67" s="12"/>
      <c r="CM67" s="12"/>
      <c r="CN67" s="12"/>
      <c r="CO67" s="12"/>
    </row>
    <row r="68">
      <c r="A68" s="92">
        <v>3.0</v>
      </c>
      <c r="B68" s="93" t="s">
        <v>25</v>
      </c>
      <c r="C68" s="94" t="s">
        <v>130</v>
      </c>
      <c r="D68" s="95" t="str">
        <f t="shared" si="1"/>
        <v>3-5-3A</v>
      </c>
      <c r="E68" s="125">
        <v>45817.0</v>
      </c>
      <c r="F68" s="126" t="s">
        <v>280</v>
      </c>
      <c r="G68" s="126" t="s">
        <v>151</v>
      </c>
      <c r="H68" s="127" t="s">
        <v>152</v>
      </c>
      <c r="I68" s="128">
        <v>400.0</v>
      </c>
      <c r="J68" s="127" t="s">
        <v>22</v>
      </c>
      <c r="K68" s="27" t="str">
        <f t="shared" si="2"/>
        <v>OCUPADO</v>
      </c>
      <c r="L68" s="28">
        <f t="shared" si="7"/>
        <v>67</v>
      </c>
      <c r="M68" s="28" t="s">
        <v>23</v>
      </c>
      <c r="N68" s="70"/>
      <c r="O68" s="29"/>
      <c r="P68" s="12"/>
      <c r="Q68" s="12"/>
      <c r="R68" s="12"/>
      <c r="S68" s="12"/>
      <c r="T68" s="12"/>
      <c r="U68" s="12"/>
      <c r="V68" s="12"/>
      <c r="AB68" s="12"/>
      <c r="AC68" s="12" t="str">
        <f>IFERROR(__xludf.DUMMYFUNCTION("""COMPUTED_VALUE"""),"4-8-B")</f>
        <v>4-8-B</v>
      </c>
      <c r="AD68" s="12" t="str">
        <f>IFERROR(__xludf.DUMMYFUNCTION("""COMPUTED_VALUE"""),"FAPE5L")</f>
        <v>FAPE5L</v>
      </c>
      <c r="AE68" s="12" t="str">
        <f>IFERROR(__xludf.DUMMYFUNCTION("""COMPUTED_VALUE"""),"Freidora de Aire Plus Edition 5L")</f>
        <v>Freidora de Aire Plus Edition 5L</v>
      </c>
      <c r="AF68" s="30">
        <f>IFERROR(__xludf.DUMMYFUNCTION("""COMPUTED_VALUE"""),72.0)</f>
        <v>72</v>
      </c>
      <c r="AG68" s="12" t="str">
        <f>IFERROR(__xludf.DUMMYFUNCTION("""COMPUTED_VALUE"""),"Contenedor")</f>
        <v>Contenedor</v>
      </c>
      <c r="AH68" s="12">
        <f>IFERROR(__xludf.DUMMYFUNCTION("""COMPUTED_VALUE"""),4.0)</f>
        <v>4</v>
      </c>
      <c r="AI68" s="12" t="str">
        <f>IFERROR(__xludf.DUMMYFUNCTION("""COMPUTED_VALUE"""),"8")</f>
        <v>8</v>
      </c>
      <c r="AJ68" s="12" t="str">
        <f>IFERROR(__xludf.DUMMYFUNCTION("""COMPUTED_VALUE"""),"B")</f>
        <v>B</v>
      </c>
      <c r="AK68" s="12">
        <f>IFERROR(__xludf.DUMMYFUNCTION("""COMPUTED_VALUE"""),151.0)</f>
        <v>151</v>
      </c>
      <c r="AL68" s="12" t="str">
        <f>IFERROR(__xludf.DUMMYFUNCTION("""COMPUTED_VALUE"""),"KITCHEN-IT")</f>
        <v>KITCHEN-IT</v>
      </c>
      <c r="AM68" s="12"/>
      <c r="AN68" s="12"/>
      <c r="AO68" s="12"/>
      <c r="AP68" s="12"/>
      <c r="AQ68" s="12"/>
      <c r="BC68" s="12"/>
      <c r="BH68" s="12" t="str">
        <f>IFERROR(__xludf.DUMMYFUNCTION("IFERROR(INDEX(QUERY(IMPORTRANGE(""1T7HG8KEs-Ob7f3M5atEVN9Yn7IeORGp0QGvggB62ELw"",""Maestro!A:I""),""SELECT Col8 WHERE Col3 = '""&amp;BE68&amp;""'"", 0), 1, 1),""NO ENCONTRADO"")"),"D")</f>
        <v>D</v>
      </c>
      <c r="BI68" s="16">
        <v>1.0</v>
      </c>
      <c r="BJ68" s="16">
        <f t="shared" si="6"/>
        <v>200</v>
      </c>
      <c r="BK68" s="12"/>
      <c r="BR68" s="12"/>
      <c r="BY68" s="14"/>
      <c r="BZ68" s="14"/>
      <c r="CA68" s="14"/>
      <c r="CB68" s="14"/>
      <c r="CC68" s="14"/>
      <c r="CD68" s="14"/>
      <c r="CE68" s="14"/>
      <c r="CF68" s="12"/>
      <c r="CG68" s="12"/>
      <c r="CH68" s="12"/>
      <c r="CI68" s="12"/>
      <c r="CJ68" s="12"/>
      <c r="CK68" s="12"/>
      <c r="CL68" s="12"/>
      <c r="CM68" s="12"/>
      <c r="CN68" s="12"/>
      <c r="CO68" s="12"/>
    </row>
    <row r="69">
      <c r="A69" s="92">
        <v>3.0</v>
      </c>
      <c r="B69" s="93" t="s">
        <v>25</v>
      </c>
      <c r="C69" s="94" t="s">
        <v>148</v>
      </c>
      <c r="D69" s="95" t="str">
        <f t="shared" si="1"/>
        <v>3-5-3B</v>
      </c>
      <c r="E69" s="50"/>
      <c r="F69" s="51"/>
      <c r="G69" s="46"/>
      <c r="H69" s="47"/>
      <c r="I69" s="48"/>
      <c r="J69" s="52"/>
      <c r="K69" s="32" t="str">
        <f t="shared" si="2"/>
        <v>DISPONIBLE</v>
      </c>
      <c r="L69" s="33">
        <f t="shared" si="7"/>
        <v>68</v>
      </c>
      <c r="M69" s="33" t="s">
        <v>23</v>
      </c>
      <c r="N69" s="53"/>
      <c r="O69" s="34"/>
      <c r="P69" s="12"/>
      <c r="Q69" s="12"/>
      <c r="R69" s="12"/>
      <c r="S69" s="12"/>
      <c r="T69" s="12"/>
      <c r="U69" s="12"/>
      <c r="V69" s="12"/>
      <c r="AB69" s="12"/>
      <c r="AC69" s="12" t="str">
        <f>IFERROR(__xludf.DUMMYFUNCTION("""COMPUTED_VALUE"""),"4-8-C")</f>
        <v>4-8-C</v>
      </c>
      <c r="AD69" s="12" t="str">
        <f>IFERROR(__xludf.DUMMYFUNCTION("""COMPUTED_VALUE"""),"FAPE5L")</f>
        <v>FAPE5L</v>
      </c>
      <c r="AE69" s="12" t="str">
        <f>IFERROR(__xludf.DUMMYFUNCTION("""COMPUTED_VALUE"""),"Freidora de Aire Plus Edition 5L")</f>
        <v>Freidora de Aire Plus Edition 5L</v>
      </c>
      <c r="AF69" s="30">
        <f>IFERROR(__xludf.DUMMYFUNCTION("""COMPUTED_VALUE"""),59.0)</f>
        <v>59</v>
      </c>
      <c r="AG69" s="12" t="str">
        <f>IFERROR(__xludf.DUMMYFUNCTION("""COMPUTED_VALUE"""),"Contenedor")</f>
        <v>Contenedor</v>
      </c>
      <c r="AH69" s="12">
        <f>IFERROR(__xludf.DUMMYFUNCTION("""COMPUTED_VALUE"""),4.0)</f>
        <v>4</v>
      </c>
      <c r="AI69" s="12" t="str">
        <f>IFERROR(__xludf.DUMMYFUNCTION("""COMPUTED_VALUE"""),"8")</f>
        <v>8</v>
      </c>
      <c r="AJ69" s="12" t="str">
        <f>IFERROR(__xludf.DUMMYFUNCTION("""COMPUTED_VALUE"""),"C")</f>
        <v>C</v>
      </c>
      <c r="AK69" s="12">
        <f>IFERROR(__xludf.DUMMYFUNCTION("""COMPUTED_VALUE"""),152.0)</f>
        <v>152</v>
      </c>
      <c r="AL69" s="12" t="str">
        <f>IFERROR(__xludf.DUMMYFUNCTION("""COMPUTED_VALUE"""),"KITCHEN-IT")</f>
        <v>KITCHEN-IT</v>
      </c>
      <c r="AM69" s="12"/>
      <c r="AN69" s="12"/>
      <c r="AO69" s="12"/>
      <c r="AP69" s="12"/>
      <c r="AQ69" s="12"/>
      <c r="BC69" s="12"/>
      <c r="BH69" s="12" t="str">
        <f>IFERROR(__xludf.DUMMYFUNCTION("IFERROR(INDEX(QUERY(IMPORTRANGE(""1T7HG8KEs-Ob7f3M5atEVN9Yn7IeORGp0QGvggB62ELw"",""Maestro!A:I""),""SELECT Col8 WHERE Col3 = '""&amp;BE69&amp;""'"", 0), 1, 1),""NO ENCONTRADO"")"),"D")</f>
        <v>D</v>
      </c>
      <c r="BI69" s="16">
        <v>1.0</v>
      </c>
      <c r="BJ69" s="16">
        <f t="shared" si="6"/>
        <v>200</v>
      </c>
      <c r="BK69" s="12"/>
      <c r="BR69" s="12"/>
      <c r="BY69" s="14"/>
      <c r="BZ69" s="14"/>
      <c r="CA69" s="14"/>
      <c r="CB69" s="14"/>
      <c r="CC69" s="14"/>
      <c r="CD69" s="14"/>
      <c r="CE69" s="14"/>
      <c r="CF69" s="12"/>
      <c r="CG69" s="12"/>
      <c r="CH69" s="12"/>
      <c r="CI69" s="12"/>
      <c r="CJ69" s="12"/>
      <c r="CK69" s="12"/>
      <c r="CL69" s="12"/>
      <c r="CM69" s="12"/>
      <c r="CN69" s="12"/>
      <c r="CO69" s="12"/>
    </row>
    <row r="70">
      <c r="A70" s="92">
        <v>3.0</v>
      </c>
      <c r="B70" s="93" t="s">
        <v>25</v>
      </c>
      <c r="C70" s="94" t="s">
        <v>145</v>
      </c>
      <c r="D70" s="95" t="str">
        <f t="shared" si="1"/>
        <v>3-5-4A</v>
      </c>
      <c r="E70" s="110"/>
      <c r="F70" s="111"/>
      <c r="G70" s="112"/>
      <c r="H70" s="113"/>
      <c r="I70" s="114"/>
      <c r="J70" s="115"/>
      <c r="K70" s="27" t="str">
        <f t="shared" si="2"/>
        <v>DISPONIBLE</v>
      </c>
      <c r="L70" s="28">
        <f t="shared" si="7"/>
        <v>69</v>
      </c>
      <c r="M70" s="28" t="s">
        <v>23</v>
      </c>
      <c r="N70" s="28">
        <v>0.0</v>
      </c>
      <c r="O70" s="29" t="s">
        <v>24</v>
      </c>
      <c r="P70" s="12"/>
      <c r="Q70" s="12"/>
      <c r="R70" s="12"/>
      <c r="S70" s="12"/>
      <c r="T70" s="12"/>
      <c r="U70" s="12"/>
      <c r="V70" s="12"/>
      <c r="AB70" s="12"/>
      <c r="AC70" s="12" t="str">
        <f>IFERROR(__xludf.DUMMYFUNCTION("""COMPUTED_VALUE"""),"4-9-A")</f>
        <v>4-9-A</v>
      </c>
      <c r="AD70" s="12" t="str">
        <f>IFERROR(__xludf.DUMMYFUNCTION("""COMPUTED_VALUE"""),"FACE4L")</f>
        <v>FACE4L</v>
      </c>
      <c r="AE70" s="12" t="str">
        <f>IFERROR(__xludf.DUMMYFUNCTION("""COMPUTED_VALUE"""),"Freidora de Aire Chef Edition 4L")</f>
        <v>Freidora de Aire Chef Edition 4L</v>
      </c>
      <c r="AF70" s="30">
        <f>IFERROR(__xludf.DUMMYFUNCTION("""COMPUTED_VALUE"""),90.0)</f>
        <v>90</v>
      </c>
      <c r="AG70" s="12" t="str">
        <f>IFERROR(__xludf.DUMMYFUNCTION("""COMPUTED_VALUE"""),"Contenedor")</f>
        <v>Contenedor</v>
      </c>
      <c r="AH70" s="12">
        <f>IFERROR(__xludf.DUMMYFUNCTION("""COMPUTED_VALUE"""),4.0)</f>
        <v>4</v>
      </c>
      <c r="AI70" s="12" t="str">
        <f>IFERROR(__xludf.DUMMYFUNCTION("""COMPUTED_VALUE"""),"9")</f>
        <v>9</v>
      </c>
      <c r="AJ70" s="12" t="str">
        <f>IFERROR(__xludf.DUMMYFUNCTION("""COMPUTED_VALUE"""),"A")</f>
        <v>A</v>
      </c>
      <c r="AK70" s="12">
        <f>IFERROR(__xludf.DUMMYFUNCTION("""COMPUTED_VALUE"""),154.0)</f>
        <v>154</v>
      </c>
      <c r="AL70" s="12" t="str">
        <f>IFERROR(__xludf.DUMMYFUNCTION("""COMPUTED_VALUE"""),"KITCHEN-IT")</f>
        <v>KITCHEN-IT</v>
      </c>
      <c r="AM70" s="12"/>
      <c r="AN70" s="12"/>
      <c r="AO70" s="12"/>
      <c r="AP70" s="12"/>
      <c r="AQ70" s="12"/>
      <c r="BC70" s="12"/>
      <c r="BH70" s="12" t="str">
        <f>IFERROR(__xludf.DUMMYFUNCTION("IFERROR(INDEX(QUERY(IMPORTRANGE(""1T7HG8KEs-Ob7f3M5atEVN9Yn7IeORGp0QGvggB62ELw"",""Maestro!A:I""),""SELECT Col8 WHERE Col3 = '""&amp;BE70&amp;""'"", 0), 1, 1),""NO ENCONTRADO"")"),"D")</f>
        <v>D</v>
      </c>
      <c r="BI70" s="16">
        <v>1.0</v>
      </c>
      <c r="BJ70" s="16">
        <f t="shared" si="6"/>
        <v>200</v>
      </c>
      <c r="BK70" s="12"/>
      <c r="BR70" s="12"/>
      <c r="BY70" s="14"/>
      <c r="BZ70" s="14"/>
      <c r="CA70" s="14"/>
      <c r="CB70" s="14"/>
      <c r="CC70" s="14"/>
      <c r="CD70" s="14"/>
      <c r="CE70" s="14"/>
      <c r="CF70" s="12"/>
      <c r="CG70" s="12"/>
      <c r="CH70" s="12"/>
      <c r="CI70" s="12"/>
      <c r="CJ70" s="12"/>
      <c r="CK70" s="12"/>
      <c r="CL70" s="12"/>
      <c r="CM70" s="12"/>
      <c r="CN70" s="12"/>
      <c r="CO70" s="12"/>
    </row>
    <row r="71">
      <c r="A71" s="92">
        <v>3.0</v>
      </c>
      <c r="B71" s="93" t="s">
        <v>25</v>
      </c>
      <c r="C71" s="94" t="s">
        <v>181</v>
      </c>
      <c r="D71" s="95" t="str">
        <f t="shared" si="1"/>
        <v>3-5-4B</v>
      </c>
      <c r="E71" s="50"/>
      <c r="F71" s="51"/>
      <c r="G71" s="46"/>
      <c r="H71" s="47"/>
      <c r="I71" s="48"/>
      <c r="J71" s="52"/>
      <c r="K71" s="32" t="str">
        <f t="shared" si="2"/>
        <v>DISPONIBLE</v>
      </c>
      <c r="L71" s="33">
        <f t="shared" si="7"/>
        <v>70</v>
      </c>
      <c r="M71" s="33" t="s">
        <v>23</v>
      </c>
      <c r="N71" s="53"/>
      <c r="O71" s="34"/>
      <c r="P71" s="12"/>
      <c r="Q71" s="12"/>
      <c r="R71" s="12"/>
      <c r="S71" s="12"/>
      <c r="T71" s="12"/>
      <c r="U71" s="12"/>
      <c r="V71" s="12"/>
      <c r="AB71" s="12"/>
      <c r="AC71" s="12" t="str">
        <f>IFERROR(__xludf.DUMMYFUNCTION("""COMPUTED_VALUE"""),"4-9-B")</f>
        <v>4-9-B</v>
      </c>
      <c r="AD71" s="12" t="str">
        <f>IFERROR(__xludf.DUMMYFUNCTION("""COMPUTED_VALUE"""),"FACE4L")</f>
        <v>FACE4L</v>
      </c>
      <c r="AE71" s="12" t="str">
        <f>IFERROR(__xludf.DUMMYFUNCTION("""COMPUTED_VALUE"""),"Freidora de Aire Chef Edition 4L")</f>
        <v>Freidora de Aire Chef Edition 4L</v>
      </c>
      <c r="AF71" s="30">
        <f>IFERROR(__xludf.DUMMYFUNCTION("""COMPUTED_VALUE"""),90.0)</f>
        <v>90</v>
      </c>
      <c r="AG71" s="12" t="str">
        <f>IFERROR(__xludf.DUMMYFUNCTION("""COMPUTED_VALUE"""),"Contenedor")</f>
        <v>Contenedor</v>
      </c>
      <c r="AH71" s="12">
        <f>IFERROR(__xludf.DUMMYFUNCTION("""COMPUTED_VALUE"""),4.0)</f>
        <v>4</v>
      </c>
      <c r="AI71" s="12" t="str">
        <f>IFERROR(__xludf.DUMMYFUNCTION("""COMPUTED_VALUE"""),"9")</f>
        <v>9</v>
      </c>
      <c r="AJ71" s="12" t="str">
        <f>IFERROR(__xludf.DUMMYFUNCTION("""COMPUTED_VALUE"""),"B")</f>
        <v>B</v>
      </c>
      <c r="AK71" s="12">
        <f>IFERROR(__xludf.DUMMYFUNCTION("""COMPUTED_VALUE"""),155.0)</f>
        <v>155</v>
      </c>
      <c r="AL71" s="12" t="str">
        <f>IFERROR(__xludf.DUMMYFUNCTION("""COMPUTED_VALUE"""),"KITCHEN-IT")</f>
        <v>KITCHEN-IT</v>
      </c>
      <c r="AM71" s="12"/>
      <c r="AN71" s="12"/>
      <c r="AO71" s="12"/>
      <c r="AP71" s="12"/>
      <c r="AQ71" s="12"/>
      <c r="BC71" s="12"/>
      <c r="BH71" s="12" t="str">
        <f>IFERROR(__xludf.DUMMYFUNCTION("IFERROR(INDEX(QUERY(IMPORTRANGE(""1T7HG8KEs-Ob7f3M5atEVN9Yn7IeORGp0QGvggB62ELw"",""Maestro!A:I""),""SELECT Col8 WHERE Col3 = '""&amp;BE71&amp;""'"", 0), 1, 1),""NO ENCONTRADO"")"),"D")</f>
        <v>D</v>
      </c>
      <c r="BI71" s="16">
        <v>1.0</v>
      </c>
      <c r="BJ71" s="16">
        <f t="shared" si="6"/>
        <v>200</v>
      </c>
      <c r="BK71" s="12"/>
      <c r="BR71" s="12"/>
      <c r="BY71" s="14"/>
      <c r="BZ71" s="14"/>
      <c r="CA71" s="14"/>
      <c r="CB71" s="14"/>
      <c r="CC71" s="14"/>
      <c r="CD71" s="14"/>
      <c r="CE71" s="14"/>
      <c r="CF71" s="12"/>
      <c r="CG71" s="12"/>
      <c r="CH71" s="12"/>
      <c r="CI71" s="12"/>
      <c r="CJ71" s="12"/>
      <c r="CK71" s="12"/>
      <c r="CL71" s="12"/>
      <c r="CM71" s="12"/>
      <c r="CN71" s="12"/>
      <c r="CO71" s="12"/>
    </row>
    <row r="72">
      <c r="A72" s="123">
        <v>3.0</v>
      </c>
      <c r="B72" s="94" t="s">
        <v>25</v>
      </c>
      <c r="C72" s="94" t="s">
        <v>188</v>
      </c>
      <c r="D72" s="95" t="str">
        <f t="shared" si="1"/>
        <v>3-5-5A</v>
      </c>
      <c r="E72" s="72"/>
      <c r="F72" s="77"/>
      <c r="G72" s="75"/>
      <c r="H72" s="75"/>
      <c r="I72" s="76"/>
      <c r="J72" s="75"/>
      <c r="K72" s="27" t="str">
        <f t="shared" si="2"/>
        <v>DISPONIBLE</v>
      </c>
      <c r="L72" s="28">
        <f t="shared" si="7"/>
        <v>71</v>
      </c>
      <c r="M72" s="28" t="s">
        <v>23</v>
      </c>
      <c r="N72" s="28">
        <v>0.0</v>
      </c>
      <c r="O72" s="29" t="s">
        <v>24</v>
      </c>
      <c r="P72" s="12"/>
      <c r="Q72" s="12"/>
      <c r="R72" s="12"/>
      <c r="S72" s="12"/>
      <c r="T72" s="12"/>
      <c r="U72" s="12"/>
      <c r="V72" s="12"/>
      <c r="AB72" s="12"/>
      <c r="AC72" s="12" t="str">
        <f>IFERROR(__xludf.DUMMYFUNCTION("""COMPUTED_VALUE"""),"4-9-C")</f>
        <v>4-9-C</v>
      </c>
      <c r="AD72" s="12" t="str">
        <f>IFERROR(__xludf.DUMMYFUNCTION("""COMPUTED_VALUE"""),"FACE4L")</f>
        <v>FACE4L</v>
      </c>
      <c r="AE72" s="12" t="str">
        <f>IFERROR(__xludf.DUMMYFUNCTION("""COMPUTED_VALUE"""),"Freidora de Aire Chef Edition 4L")</f>
        <v>Freidora de Aire Chef Edition 4L</v>
      </c>
      <c r="AF72" s="30">
        <f>IFERROR(__xludf.DUMMYFUNCTION("""COMPUTED_VALUE"""),90.0)</f>
        <v>90</v>
      </c>
      <c r="AG72" s="12" t="str">
        <f>IFERROR(__xludf.DUMMYFUNCTION("""COMPUTED_VALUE"""),"Contenedor")</f>
        <v>Contenedor</v>
      </c>
      <c r="AH72" s="12">
        <f>IFERROR(__xludf.DUMMYFUNCTION("""COMPUTED_VALUE"""),4.0)</f>
        <v>4</v>
      </c>
      <c r="AI72" s="12" t="str">
        <f>IFERROR(__xludf.DUMMYFUNCTION("""COMPUTED_VALUE"""),"9")</f>
        <v>9</v>
      </c>
      <c r="AJ72" s="12" t="str">
        <f>IFERROR(__xludf.DUMMYFUNCTION("""COMPUTED_VALUE"""),"C")</f>
        <v>C</v>
      </c>
      <c r="AK72" s="12">
        <f>IFERROR(__xludf.DUMMYFUNCTION("""COMPUTED_VALUE"""),156.0)</f>
        <v>156</v>
      </c>
      <c r="AL72" s="12" t="str">
        <f>IFERROR(__xludf.DUMMYFUNCTION("""COMPUTED_VALUE"""),"KITCHEN-IT")</f>
        <v>KITCHEN-IT</v>
      </c>
      <c r="AM72" s="12"/>
      <c r="AN72" s="12"/>
      <c r="AO72" s="12"/>
      <c r="AP72" s="12"/>
      <c r="AQ72" s="12"/>
      <c r="BC72" s="12"/>
      <c r="BH72" s="12" t="str">
        <f>IFERROR(__xludf.DUMMYFUNCTION("IFERROR(INDEX(QUERY(IMPORTRANGE(""1T7HG8KEs-Ob7f3M5atEVN9Yn7IeORGp0QGvggB62ELw"",""Maestro!A:I""),""SELECT Col8 WHERE Col3 = '""&amp;BE72&amp;""'"", 0), 1, 1),""NO ENCONTRADO"")"),"D")</f>
        <v>D</v>
      </c>
      <c r="BI72" s="16">
        <v>1.0</v>
      </c>
      <c r="BJ72" s="16">
        <f t="shared" si="6"/>
        <v>200</v>
      </c>
      <c r="BK72" s="12"/>
      <c r="BR72" s="12"/>
      <c r="BY72" s="14"/>
      <c r="BZ72" s="14"/>
      <c r="CA72" s="14"/>
      <c r="CB72" s="14"/>
      <c r="CC72" s="14"/>
      <c r="CD72" s="14"/>
      <c r="CE72" s="14"/>
      <c r="CF72" s="12"/>
      <c r="CG72" s="12"/>
      <c r="CH72" s="12"/>
      <c r="CI72" s="12"/>
      <c r="CJ72" s="12"/>
      <c r="CK72" s="12"/>
      <c r="CL72" s="12"/>
      <c r="CM72" s="12"/>
      <c r="CN72" s="12"/>
      <c r="CO72" s="12"/>
    </row>
    <row r="73">
      <c r="A73" s="123">
        <v>3.0</v>
      </c>
      <c r="B73" s="94" t="s">
        <v>25</v>
      </c>
      <c r="C73" s="94" t="s">
        <v>192</v>
      </c>
      <c r="D73" s="95" t="str">
        <f t="shared" si="1"/>
        <v>3-5-5B</v>
      </c>
      <c r="E73" s="50"/>
      <c r="F73" s="51"/>
      <c r="G73" s="46"/>
      <c r="H73" s="47"/>
      <c r="I73" s="48"/>
      <c r="J73" s="52"/>
      <c r="K73" s="32" t="str">
        <f t="shared" si="2"/>
        <v>DISPONIBLE</v>
      </c>
      <c r="L73" s="33">
        <f t="shared" si="7"/>
        <v>72</v>
      </c>
      <c r="M73" s="33" t="s">
        <v>23</v>
      </c>
      <c r="N73" s="53"/>
      <c r="O73" s="34"/>
      <c r="P73" s="12"/>
      <c r="Q73" s="12"/>
      <c r="R73" s="12"/>
      <c r="S73" s="12"/>
      <c r="T73" s="12"/>
      <c r="U73" s="12"/>
      <c r="V73" s="12"/>
      <c r="AB73" s="12"/>
      <c r="AC73" s="12" t="str">
        <f>IFERROR(__xludf.DUMMYFUNCTION("""COMPUTED_VALUE"""),"4-9-D")</f>
        <v>4-9-D</v>
      </c>
      <c r="AD73" s="12" t="str">
        <f>IFERROR(__xludf.DUMMYFUNCTION("""COMPUTED_VALUE"""),"FACE4L")</f>
        <v>FACE4L</v>
      </c>
      <c r="AE73" s="12" t="str">
        <f>IFERROR(__xludf.DUMMYFUNCTION("""COMPUTED_VALUE"""),"Freidora de Aire Chef Edition 4L")</f>
        <v>Freidora de Aire Chef Edition 4L</v>
      </c>
      <c r="AF73" s="30">
        <f>IFERROR(__xludf.DUMMYFUNCTION("""COMPUTED_VALUE"""),26.0)</f>
        <v>26</v>
      </c>
      <c r="AG73" s="12" t="str">
        <f>IFERROR(__xludf.DUMMYFUNCTION("""COMPUTED_VALUE"""),"Contenedor")</f>
        <v>Contenedor</v>
      </c>
      <c r="AH73" s="12">
        <f>IFERROR(__xludf.DUMMYFUNCTION("""COMPUTED_VALUE"""),4.0)</f>
        <v>4</v>
      </c>
      <c r="AI73" s="12" t="str">
        <f>IFERROR(__xludf.DUMMYFUNCTION("""COMPUTED_VALUE"""),"9")</f>
        <v>9</v>
      </c>
      <c r="AJ73" s="12" t="str">
        <f>IFERROR(__xludf.DUMMYFUNCTION("""COMPUTED_VALUE"""),"D")</f>
        <v>D</v>
      </c>
      <c r="AK73" s="12">
        <f>IFERROR(__xludf.DUMMYFUNCTION("""COMPUTED_VALUE"""),157.0)</f>
        <v>157</v>
      </c>
      <c r="AL73" s="12" t="str">
        <f>IFERROR(__xludf.DUMMYFUNCTION("""COMPUTED_VALUE"""),"KITCHEN-IT")</f>
        <v>KITCHEN-IT</v>
      </c>
      <c r="AM73" s="12"/>
      <c r="AN73" s="12"/>
      <c r="AO73" s="12"/>
      <c r="AP73" s="12"/>
      <c r="AQ73" s="12"/>
      <c r="BC73" s="12"/>
      <c r="BH73" s="12" t="str">
        <f>IFERROR(__xludf.DUMMYFUNCTION("IFERROR(INDEX(QUERY(IMPORTRANGE(""1T7HG8KEs-Ob7f3M5atEVN9Yn7IeORGp0QGvggB62ELw"",""Maestro!A:I""),""SELECT Col8 WHERE Col3 = '""&amp;BE73&amp;""'"", 0), 1, 1),""NO ENCONTRADO"")"),"D")</f>
        <v>D</v>
      </c>
      <c r="BI73" s="16">
        <v>1.0</v>
      </c>
      <c r="BJ73" s="16">
        <f t="shared" si="6"/>
        <v>200</v>
      </c>
      <c r="BK73" s="12"/>
      <c r="BR73" s="12"/>
      <c r="BY73" s="14"/>
      <c r="BZ73" s="14"/>
      <c r="CA73" s="14"/>
      <c r="CB73" s="14"/>
      <c r="CC73" s="14"/>
      <c r="CD73" s="14"/>
      <c r="CE73" s="14"/>
      <c r="CF73" s="12"/>
      <c r="CG73" s="12"/>
      <c r="CH73" s="12"/>
      <c r="CI73" s="12"/>
      <c r="CJ73" s="12"/>
      <c r="CK73" s="12"/>
      <c r="CL73" s="12"/>
      <c r="CM73" s="12"/>
      <c r="CN73" s="12"/>
      <c r="CO73" s="12"/>
    </row>
    <row r="74">
      <c r="A74" s="92">
        <v>3.0</v>
      </c>
      <c r="B74" s="93" t="s">
        <v>36</v>
      </c>
      <c r="C74" s="94" t="s">
        <v>119</v>
      </c>
      <c r="D74" s="95" t="str">
        <f t="shared" si="1"/>
        <v>3-6-1A</v>
      </c>
      <c r="E74" s="110"/>
      <c r="F74" s="111"/>
      <c r="G74" s="112"/>
      <c r="H74" s="113"/>
      <c r="I74" s="114"/>
      <c r="J74" s="115"/>
      <c r="K74" s="27" t="str">
        <f t="shared" si="2"/>
        <v>DISPONIBLE</v>
      </c>
      <c r="L74" s="28">
        <f t="shared" si="7"/>
        <v>73</v>
      </c>
      <c r="M74" s="28" t="s">
        <v>23</v>
      </c>
      <c r="N74" s="28" t="s">
        <v>405</v>
      </c>
      <c r="O74" s="29"/>
      <c r="P74" s="12"/>
      <c r="Q74" s="12"/>
      <c r="R74" s="12"/>
      <c r="S74" s="12"/>
      <c r="T74" s="12"/>
      <c r="U74" s="12"/>
      <c r="V74" s="12"/>
      <c r="AB74" s="12"/>
      <c r="AC74" s="12" t="str">
        <f>IFERROR(__xludf.DUMMYFUNCTION("""COMPUTED_VALUE"""),"4-10-A")</f>
        <v>4-10-A</v>
      </c>
      <c r="AD74" s="12" t="str">
        <f>IFERROR(__xludf.DUMMYFUNCTION("""COMPUTED_VALUE"""),"FACE4L")</f>
        <v>FACE4L</v>
      </c>
      <c r="AE74" s="12" t="str">
        <f>IFERROR(__xludf.DUMMYFUNCTION("""COMPUTED_VALUE"""),"Freidora de Aire Chef Edition 4L")</f>
        <v>Freidora de Aire Chef Edition 4L</v>
      </c>
      <c r="AF74" s="30">
        <f>IFERROR(__xludf.DUMMYFUNCTION("""COMPUTED_VALUE"""),80.0)</f>
        <v>80</v>
      </c>
      <c r="AG74" s="12" t="str">
        <f>IFERROR(__xludf.DUMMYFUNCTION("""COMPUTED_VALUE"""),"Contenedor")</f>
        <v>Contenedor</v>
      </c>
      <c r="AH74" s="12">
        <f>IFERROR(__xludf.DUMMYFUNCTION("""COMPUTED_VALUE"""),4.0)</f>
        <v>4</v>
      </c>
      <c r="AI74" s="12" t="str">
        <f>IFERROR(__xludf.DUMMYFUNCTION("""COMPUTED_VALUE"""),"10")</f>
        <v>10</v>
      </c>
      <c r="AJ74" s="12" t="str">
        <f>IFERROR(__xludf.DUMMYFUNCTION("""COMPUTED_VALUE"""),"A")</f>
        <v>A</v>
      </c>
      <c r="AK74" s="12">
        <f>IFERROR(__xludf.DUMMYFUNCTION("""COMPUTED_VALUE"""),158.0)</f>
        <v>158</v>
      </c>
      <c r="AL74" s="12" t="str">
        <f>IFERROR(__xludf.DUMMYFUNCTION("""COMPUTED_VALUE"""),"KITCHEN-IT")</f>
        <v>KITCHEN-IT</v>
      </c>
      <c r="AM74" s="12"/>
      <c r="AN74" s="12"/>
      <c r="AO74" s="12"/>
      <c r="AP74" s="12"/>
      <c r="AQ74" s="12"/>
      <c r="BC74" s="12"/>
      <c r="BH74" s="12" t="str">
        <f>IFERROR(__xludf.DUMMYFUNCTION("IFERROR(INDEX(QUERY(IMPORTRANGE(""1T7HG8KEs-Ob7f3M5atEVN9Yn7IeORGp0QGvggB62ELw"",""Maestro!A:I""),""SELECT Col8 WHERE Col3 = '""&amp;BE74&amp;""'"", 0), 1, 1),""NO ENCONTRADO"")"),"")</f>
        <v/>
      </c>
      <c r="BI74" s="16">
        <v>1.0</v>
      </c>
      <c r="BJ74" s="16">
        <f t="shared" si="6"/>
        <v>0</v>
      </c>
      <c r="BK74" s="12"/>
      <c r="BR74" s="12"/>
      <c r="BY74" s="14"/>
      <c r="BZ74" s="14"/>
      <c r="CA74" s="14"/>
      <c r="CB74" s="14"/>
      <c r="CC74" s="14"/>
      <c r="CD74" s="14"/>
      <c r="CE74" s="14"/>
      <c r="CF74" s="12"/>
      <c r="CG74" s="12"/>
      <c r="CH74" s="12"/>
      <c r="CI74" s="12"/>
      <c r="CJ74" s="12"/>
      <c r="CK74" s="12"/>
      <c r="CL74" s="12"/>
      <c r="CM74" s="12"/>
      <c r="CN74" s="12"/>
      <c r="CO74" s="12"/>
    </row>
    <row r="75">
      <c r="A75" s="92">
        <v>3.0</v>
      </c>
      <c r="B75" s="93" t="s">
        <v>36</v>
      </c>
      <c r="C75" s="94" t="s">
        <v>132</v>
      </c>
      <c r="D75" s="95" t="str">
        <f t="shared" si="1"/>
        <v>3-6-1B</v>
      </c>
      <c r="E75" s="50"/>
      <c r="F75" s="51"/>
      <c r="G75" s="74"/>
      <c r="H75" s="47"/>
      <c r="I75" s="48"/>
      <c r="J75" s="52"/>
      <c r="K75" s="32" t="str">
        <f t="shared" si="2"/>
        <v>DISPONIBLE</v>
      </c>
      <c r="L75" s="33">
        <f t="shared" si="7"/>
        <v>74</v>
      </c>
      <c r="M75" s="33" t="s">
        <v>23</v>
      </c>
      <c r="N75" s="53"/>
      <c r="O75" s="34"/>
      <c r="P75" s="12"/>
      <c r="Q75" s="12"/>
      <c r="R75" s="12"/>
      <c r="S75" s="12"/>
      <c r="T75" s="12"/>
      <c r="U75" s="12"/>
      <c r="V75" s="12"/>
      <c r="AB75" s="12"/>
      <c r="AC75" s="12" t="str">
        <f>IFERROR(__xludf.DUMMYFUNCTION("""COMPUTED_VALUE"""),"4-10-B")</f>
        <v>4-10-B</v>
      </c>
      <c r="AD75" s="12" t="str">
        <f>IFERROR(__xludf.DUMMYFUNCTION("""COMPUTED_VALUE"""),"FAPE5L")</f>
        <v>FAPE5L</v>
      </c>
      <c r="AE75" s="12" t="str">
        <f>IFERROR(__xludf.DUMMYFUNCTION("""COMPUTED_VALUE"""),"Freidora de Aire Plus Edition 5L")</f>
        <v>Freidora de Aire Plus Edition 5L</v>
      </c>
      <c r="AF75" s="30">
        <f>IFERROR(__xludf.DUMMYFUNCTION("""COMPUTED_VALUE"""),71.0)</f>
        <v>71</v>
      </c>
      <c r="AG75" s="12" t="str">
        <f>IFERROR(__xludf.DUMMYFUNCTION("""COMPUTED_VALUE"""),"Contenedor")</f>
        <v>Contenedor</v>
      </c>
      <c r="AH75" s="12">
        <f>IFERROR(__xludf.DUMMYFUNCTION("""COMPUTED_VALUE"""),4.0)</f>
        <v>4</v>
      </c>
      <c r="AI75" s="12" t="str">
        <f>IFERROR(__xludf.DUMMYFUNCTION("""COMPUTED_VALUE"""),"10")</f>
        <v>10</v>
      </c>
      <c r="AJ75" s="12" t="str">
        <f>IFERROR(__xludf.DUMMYFUNCTION("""COMPUTED_VALUE"""),"B")</f>
        <v>B</v>
      </c>
      <c r="AK75" s="12">
        <f>IFERROR(__xludf.DUMMYFUNCTION("""COMPUTED_VALUE"""),159.0)</f>
        <v>159</v>
      </c>
      <c r="AL75" s="12" t="str">
        <f>IFERROR(__xludf.DUMMYFUNCTION("""COMPUTED_VALUE"""),"KITCHEN-IT")</f>
        <v>KITCHEN-IT</v>
      </c>
      <c r="AM75" s="12"/>
      <c r="AN75" s="12"/>
      <c r="AO75" s="12"/>
      <c r="AP75" s="12"/>
      <c r="AQ75" s="12"/>
      <c r="BC75" s="12"/>
      <c r="BH75" s="12" t="str">
        <f>IFERROR(__xludf.DUMMYFUNCTION("IFERROR(INDEX(QUERY(IMPORTRANGE(""1T7HG8KEs-Ob7f3M5atEVN9Yn7IeORGp0QGvggB62ELw"",""Maestro!A:I""),""SELECT Col8 WHERE Col3 = '""&amp;BE75&amp;""'"", 0), 1, 1),""NO ENCONTRADO"")"),"D")</f>
        <v>D</v>
      </c>
      <c r="BI75" s="16">
        <v>1.0</v>
      </c>
      <c r="BJ75" s="16">
        <f t="shared" si="6"/>
        <v>200</v>
      </c>
      <c r="BK75" s="12"/>
      <c r="BR75" s="12"/>
      <c r="BY75" s="14"/>
      <c r="BZ75" s="14"/>
      <c r="CA75" s="14"/>
      <c r="CB75" s="14"/>
      <c r="CC75" s="14"/>
      <c r="CD75" s="14"/>
      <c r="CE75" s="14"/>
      <c r="CF75" s="12"/>
      <c r="CG75" s="12"/>
      <c r="CH75" s="12"/>
      <c r="CI75" s="12"/>
      <c r="CJ75" s="12"/>
      <c r="CK75" s="12"/>
      <c r="CL75" s="12"/>
      <c r="CM75" s="12"/>
      <c r="CN75" s="12"/>
      <c r="CO75" s="12"/>
    </row>
    <row r="76">
      <c r="A76" s="92">
        <v>3.0</v>
      </c>
      <c r="B76" s="93" t="s">
        <v>36</v>
      </c>
      <c r="C76" s="94" t="s">
        <v>124</v>
      </c>
      <c r="D76" s="95" t="str">
        <f t="shared" si="1"/>
        <v>3-6-2A</v>
      </c>
      <c r="E76" s="110"/>
      <c r="F76" s="111"/>
      <c r="G76" s="112"/>
      <c r="H76" s="113"/>
      <c r="I76" s="114"/>
      <c r="J76" s="115"/>
      <c r="K76" s="27" t="str">
        <f t="shared" si="2"/>
        <v>DISPONIBLE</v>
      </c>
      <c r="L76" s="28">
        <f t="shared" si="7"/>
        <v>75</v>
      </c>
      <c r="M76" s="28" t="s">
        <v>23</v>
      </c>
      <c r="N76" s="28" t="s">
        <v>414</v>
      </c>
      <c r="O76" s="29"/>
      <c r="P76" s="12"/>
      <c r="Q76" s="12"/>
      <c r="R76" s="12"/>
      <c r="S76" s="12"/>
      <c r="T76" s="12"/>
      <c r="U76" s="12"/>
      <c r="V76" s="12"/>
      <c r="AB76" s="12"/>
      <c r="AC76" s="12" t="str">
        <f>IFERROR(__xludf.DUMMYFUNCTION("""COMPUTED_VALUE"""),"4-10-C")</f>
        <v>4-10-C</v>
      </c>
      <c r="AD76" s="12" t="str">
        <f>IFERROR(__xludf.DUMMYFUNCTION("""COMPUTED_VALUE"""),"FADE9L")</f>
        <v>FADE9L</v>
      </c>
      <c r="AE76" s="12" t="str">
        <f>IFERROR(__xludf.DUMMYFUNCTION("""COMPUTED_VALUE"""),"Freidora de Aire Dual Edition 9L")</f>
        <v>Freidora de Aire Dual Edition 9L</v>
      </c>
      <c r="AF76" s="30">
        <f>IFERROR(__xludf.DUMMYFUNCTION("""COMPUTED_VALUE"""),32.0)</f>
        <v>32</v>
      </c>
      <c r="AG76" s="12" t="str">
        <f>IFERROR(__xludf.DUMMYFUNCTION("""COMPUTED_VALUE"""),"Contenedor")</f>
        <v>Contenedor</v>
      </c>
      <c r="AH76" s="12">
        <f>IFERROR(__xludf.DUMMYFUNCTION("""COMPUTED_VALUE"""),4.0)</f>
        <v>4</v>
      </c>
      <c r="AI76" s="12" t="str">
        <f>IFERROR(__xludf.DUMMYFUNCTION("""COMPUTED_VALUE"""),"10")</f>
        <v>10</v>
      </c>
      <c r="AJ76" s="12" t="str">
        <f>IFERROR(__xludf.DUMMYFUNCTION("""COMPUTED_VALUE"""),"C")</f>
        <v>C</v>
      </c>
      <c r="AK76" s="12">
        <f>IFERROR(__xludf.DUMMYFUNCTION("""COMPUTED_VALUE"""),160.0)</f>
        <v>160</v>
      </c>
      <c r="AL76" s="12" t="str">
        <f>IFERROR(__xludf.DUMMYFUNCTION("""COMPUTED_VALUE"""),"KITCHEN-IT")</f>
        <v>KITCHEN-IT</v>
      </c>
      <c r="AM76" s="12"/>
      <c r="AN76" s="12"/>
      <c r="AO76" s="12"/>
      <c r="AP76" s="12"/>
      <c r="AQ76" s="12"/>
      <c r="BC76" s="12"/>
      <c r="BH76" s="12" t="str">
        <f>IFERROR(__xludf.DUMMYFUNCTION("IFERROR(INDEX(QUERY(IMPORTRANGE(""1T7HG8KEs-Ob7f3M5atEVN9Yn7IeORGp0QGvggB62ELw"",""Maestro!A:I""),""SELECT Col8 WHERE Col3 = '""&amp;BE76&amp;""'"", 0), 1, 1),""NO ENCONTRADO"")"),"D")</f>
        <v>D</v>
      </c>
      <c r="BI76" s="16">
        <v>1.0</v>
      </c>
      <c r="BJ76" s="16">
        <f t="shared" si="6"/>
        <v>200</v>
      </c>
      <c r="BK76" s="12"/>
      <c r="BR76" s="12"/>
      <c r="BY76" s="14"/>
      <c r="BZ76" s="14"/>
      <c r="CA76" s="14"/>
      <c r="CB76" s="14"/>
      <c r="CC76" s="14"/>
      <c r="CD76" s="14"/>
      <c r="CE76" s="14"/>
      <c r="CF76" s="12"/>
      <c r="CG76" s="12"/>
      <c r="CH76" s="12"/>
      <c r="CI76" s="12"/>
      <c r="CJ76" s="12"/>
      <c r="CK76" s="12"/>
      <c r="CL76" s="12"/>
      <c r="CM76" s="12"/>
      <c r="CN76" s="12"/>
      <c r="CO76" s="12"/>
    </row>
    <row r="77">
      <c r="A77" s="92">
        <v>3.0</v>
      </c>
      <c r="B77" s="93" t="s">
        <v>36</v>
      </c>
      <c r="C77" s="94" t="s">
        <v>140</v>
      </c>
      <c r="D77" s="95" t="str">
        <f t="shared" si="1"/>
        <v>3-6-2B</v>
      </c>
      <c r="E77" s="110"/>
      <c r="F77" s="111"/>
      <c r="G77" s="112"/>
      <c r="H77" s="113"/>
      <c r="I77" s="114"/>
      <c r="J77" s="115"/>
      <c r="K77" s="32" t="str">
        <f t="shared" si="2"/>
        <v>DISPONIBLE</v>
      </c>
      <c r="L77" s="33">
        <f t="shared" si="7"/>
        <v>76</v>
      </c>
      <c r="M77" s="33" t="s">
        <v>23</v>
      </c>
      <c r="N77" s="53"/>
      <c r="O77" s="34"/>
      <c r="P77" s="12"/>
      <c r="Q77" s="12"/>
      <c r="R77" s="12"/>
      <c r="S77" s="12"/>
      <c r="T77" s="12"/>
      <c r="U77" s="12"/>
      <c r="V77" s="12"/>
      <c r="AB77" s="12"/>
      <c r="AC77" s="12" t="str">
        <f>IFERROR(__xludf.DUMMYFUNCTION("""COMPUTED_VALUE"""),"4-10-D")</f>
        <v>4-10-D</v>
      </c>
      <c r="AD77" s="12" t="str">
        <f>IFERROR(__xludf.DUMMYFUNCTION("""COMPUTED_VALUE"""),"FADE9L")</f>
        <v>FADE9L</v>
      </c>
      <c r="AE77" s="12" t="str">
        <f>IFERROR(__xludf.DUMMYFUNCTION("""COMPUTED_VALUE"""),"Freidora de Aire Dual Edition 9L")</f>
        <v>Freidora de Aire Dual Edition 9L</v>
      </c>
      <c r="AF77" s="30">
        <f>IFERROR(__xludf.DUMMYFUNCTION("""COMPUTED_VALUE"""),14.0)</f>
        <v>14</v>
      </c>
      <c r="AG77" s="12" t="str">
        <f>IFERROR(__xludf.DUMMYFUNCTION("""COMPUTED_VALUE"""),"Contenedor")</f>
        <v>Contenedor</v>
      </c>
      <c r="AH77" s="12">
        <f>IFERROR(__xludf.DUMMYFUNCTION("""COMPUTED_VALUE"""),4.0)</f>
        <v>4</v>
      </c>
      <c r="AI77" s="12" t="str">
        <f>IFERROR(__xludf.DUMMYFUNCTION("""COMPUTED_VALUE"""),"10")</f>
        <v>10</v>
      </c>
      <c r="AJ77" s="12" t="str">
        <f>IFERROR(__xludf.DUMMYFUNCTION("""COMPUTED_VALUE"""),"D")</f>
        <v>D</v>
      </c>
      <c r="AK77" s="12">
        <f>IFERROR(__xludf.DUMMYFUNCTION("""COMPUTED_VALUE"""),161.0)</f>
        <v>161</v>
      </c>
      <c r="AL77" s="12" t="str">
        <f>IFERROR(__xludf.DUMMYFUNCTION("""COMPUTED_VALUE"""),"KITCHEN-IT")</f>
        <v>KITCHEN-IT</v>
      </c>
      <c r="AM77" s="12"/>
      <c r="AN77" s="12"/>
      <c r="AO77" s="12"/>
      <c r="AP77" s="12"/>
      <c r="AQ77" s="12"/>
      <c r="BC77" s="12"/>
      <c r="BH77" s="12" t="str">
        <f>IFERROR(__xludf.DUMMYFUNCTION("IFERROR(INDEX(QUERY(IMPORTRANGE(""1T7HG8KEs-Ob7f3M5atEVN9Yn7IeORGp0QGvggB62ELw"",""Maestro!A:I""),""SELECT Col8 WHERE Col3 = '""&amp;BE77&amp;""'"", 0), 1, 1),""NO ENCONTRADO"")"),"D")</f>
        <v>D</v>
      </c>
      <c r="BI77" s="16">
        <v>1.0</v>
      </c>
      <c r="BJ77" s="16">
        <f t="shared" si="6"/>
        <v>200</v>
      </c>
      <c r="BK77" s="12"/>
      <c r="BR77" s="12"/>
      <c r="BY77" s="14"/>
      <c r="BZ77" s="14"/>
      <c r="CA77" s="14"/>
      <c r="CB77" s="14"/>
      <c r="CC77" s="14"/>
      <c r="CD77" s="14"/>
      <c r="CE77" s="14"/>
      <c r="CF77" s="12"/>
      <c r="CG77" s="12"/>
      <c r="CH77" s="12"/>
      <c r="CI77" s="12"/>
      <c r="CJ77" s="12"/>
      <c r="CK77" s="12"/>
      <c r="CL77" s="12"/>
      <c r="CM77" s="12"/>
      <c r="CN77" s="12"/>
      <c r="CO77" s="12"/>
    </row>
    <row r="78">
      <c r="A78" s="92">
        <v>3.0</v>
      </c>
      <c r="B78" s="93" t="s">
        <v>36</v>
      </c>
      <c r="C78" s="94" t="s">
        <v>130</v>
      </c>
      <c r="D78" s="95" t="str">
        <f t="shared" si="1"/>
        <v>3-6-3A</v>
      </c>
      <c r="E78" s="110"/>
      <c r="F78" s="111"/>
      <c r="G78" s="112"/>
      <c r="H78" s="113"/>
      <c r="I78" s="114"/>
      <c r="J78" s="115"/>
      <c r="K78" s="27" t="str">
        <f t="shared" si="2"/>
        <v>DISPONIBLE</v>
      </c>
      <c r="L78" s="28">
        <f t="shared" si="7"/>
        <v>77</v>
      </c>
      <c r="M78" s="28" t="s">
        <v>23</v>
      </c>
      <c r="N78" s="70"/>
      <c r="O78" s="29"/>
      <c r="P78" s="12"/>
      <c r="Q78" s="12"/>
      <c r="R78" s="12"/>
      <c r="S78" s="12"/>
      <c r="T78" s="12"/>
      <c r="U78" s="12"/>
      <c r="V78" s="12"/>
      <c r="AB78" s="12"/>
      <c r="AC78" s="12" t="str">
        <f>IFERROR(__xludf.DUMMYFUNCTION("""COMPUTED_VALUE"""),"4-11-A")</f>
        <v>4-11-A</v>
      </c>
      <c r="AD78" s="12" t="str">
        <f>IFERROR(__xludf.DUMMYFUNCTION("""COMPUTED_VALUE"""),"FAFE7L")</f>
        <v>FAFE7L</v>
      </c>
      <c r="AE78" s="12" t="str">
        <f>IFERROR(__xludf.DUMMYFUNCTION("""COMPUTED_VALUE"""),"Freidora de Aire Family Edition 7L")</f>
        <v>Freidora de Aire Family Edition 7L</v>
      </c>
      <c r="AF78" s="30">
        <f>IFERROR(__xludf.DUMMYFUNCTION("""COMPUTED_VALUE"""),72.0)</f>
        <v>72</v>
      </c>
      <c r="AG78" s="12" t="str">
        <f>IFERROR(__xludf.DUMMYFUNCTION("""COMPUTED_VALUE"""),"Contenedor")</f>
        <v>Contenedor</v>
      </c>
      <c r="AH78" s="12">
        <f>IFERROR(__xludf.DUMMYFUNCTION("""COMPUTED_VALUE"""),4.0)</f>
        <v>4</v>
      </c>
      <c r="AI78" s="12" t="str">
        <f>IFERROR(__xludf.DUMMYFUNCTION("""COMPUTED_VALUE"""),"11")</f>
        <v>11</v>
      </c>
      <c r="AJ78" s="12" t="str">
        <f>IFERROR(__xludf.DUMMYFUNCTION("""COMPUTED_VALUE"""),"A")</f>
        <v>A</v>
      </c>
      <c r="AK78" s="12">
        <f>IFERROR(__xludf.DUMMYFUNCTION("""COMPUTED_VALUE"""),162.0)</f>
        <v>162</v>
      </c>
      <c r="AL78" s="12" t="str">
        <f>IFERROR(__xludf.DUMMYFUNCTION("""COMPUTED_VALUE"""),"KITCHEN-IT")</f>
        <v>KITCHEN-IT</v>
      </c>
      <c r="AM78" s="12"/>
      <c r="AN78" s="12"/>
      <c r="AO78" s="12"/>
      <c r="AP78" s="12"/>
      <c r="AQ78" s="12"/>
      <c r="BC78" s="12"/>
      <c r="BH78" s="12" t="str">
        <f>IFERROR(__xludf.DUMMYFUNCTION("IFERROR(INDEX(QUERY(IMPORTRANGE(""1T7HG8KEs-Ob7f3M5atEVN9Yn7IeORGp0QGvggB62ELw"",""Maestro!A:I""),""SELECT Col8 WHERE Col3 = '""&amp;BE78&amp;""'"", 0), 1, 1),""NO ENCONTRADO"")"),"D")</f>
        <v>D</v>
      </c>
      <c r="BI78" s="16">
        <v>1.0</v>
      </c>
      <c r="BJ78" s="16">
        <f t="shared" si="6"/>
        <v>200</v>
      </c>
      <c r="BK78" s="12"/>
      <c r="BR78" s="12"/>
      <c r="BY78" s="14"/>
      <c r="BZ78" s="14"/>
      <c r="CA78" s="14"/>
      <c r="CB78" s="14"/>
      <c r="CC78" s="14"/>
      <c r="CD78" s="14"/>
      <c r="CE78" s="14"/>
      <c r="CF78" s="12"/>
      <c r="CG78" s="12"/>
      <c r="CH78" s="12"/>
      <c r="CI78" s="12"/>
      <c r="CJ78" s="12"/>
      <c r="CK78" s="12"/>
      <c r="CL78" s="12"/>
      <c r="CM78" s="12"/>
      <c r="CN78" s="12"/>
      <c r="CO78" s="12"/>
    </row>
    <row r="79">
      <c r="A79" s="92">
        <v>3.0</v>
      </c>
      <c r="B79" s="93" t="s">
        <v>36</v>
      </c>
      <c r="C79" s="94" t="s">
        <v>148</v>
      </c>
      <c r="D79" s="95" t="str">
        <f t="shared" si="1"/>
        <v>3-6-3B</v>
      </c>
      <c r="E79" s="50"/>
      <c r="F79" s="51"/>
      <c r="G79" s="46"/>
      <c r="H79" s="47"/>
      <c r="I79" s="48"/>
      <c r="J79" s="52"/>
      <c r="K79" s="32" t="str">
        <f t="shared" si="2"/>
        <v>DISPONIBLE</v>
      </c>
      <c r="L79" s="33">
        <f t="shared" si="7"/>
        <v>78</v>
      </c>
      <c r="M79" s="33" t="s">
        <v>23</v>
      </c>
      <c r="N79" s="53"/>
      <c r="O79" s="129"/>
      <c r="P79" s="12"/>
      <c r="Q79" s="12"/>
      <c r="R79" s="12"/>
      <c r="S79" s="12"/>
      <c r="T79" s="12"/>
      <c r="U79" s="12"/>
      <c r="V79" s="12"/>
      <c r="AB79" s="12"/>
      <c r="AC79" s="12" t="str">
        <f>IFERROR(__xludf.DUMMYFUNCTION("""COMPUTED_VALUE"""),"4-11-B")</f>
        <v>4-11-B</v>
      </c>
      <c r="AD79" s="12" t="str">
        <f>IFERROR(__xludf.DUMMYFUNCTION("""COMPUTED_VALUE"""),"FAFE7L")</f>
        <v>FAFE7L</v>
      </c>
      <c r="AE79" s="12" t="str">
        <f>IFERROR(__xludf.DUMMYFUNCTION("""COMPUTED_VALUE"""),"Freidora de Aire Family Edition 7L")</f>
        <v>Freidora de Aire Family Edition 7L</v>
      </c>
      <c r="AF79" s="30">
        <f>IFERROR(__xludf.DUMMYFUNCTION("""COMPUTED_VALUE"""),72.0)</f>
        <v>72</v>
      </c>
      <c r="AG79" s="12" t="str">
        <f>IFERROR(__xludf.DUMMYFUNCTION("""COMPUTED_VALUE"""),"Contenedor")</f>
        <v>Contenedor</v>
      </c>
      <c r="AH79" s="12">
        <f>IFERROR(__xludf.DUMMYFUNCTION("""COMPUTED_VALUE"""),4.0)</f>
        <v>4</v>
      </c>
      <c r="AI79" s="12" t="str">
        <f>IFERROR(__xludf.DUMMYFUNCTION("""COMPUTED_VALUE"""),"11")</f>
        <v>11</v>
      </c>
      <c r="AJ79" s="12" t="str">
        <f>IFERROR(__xludf.DUMMYFUNCTION("""COMPUTED_VALUE"""),"B")</f>
        <v>B</v>
      </c>
      <c r="AK79" s="12">
        <f>IFERROR(__xludf.DUMMYFUNCTION("""COMPUTED_VALUE"""),163.0)</f>
        <v>163</v>
      </c>
      <c r="AL79" s="12" t="str">
        <f>IFERROR(__xludf.DUMMYFUNCTION("""COMPUTED_VALUE"""),"KITCHEN-IT")</f>
        <v>KITCHEN-IT</v>
      </c>
      <c r="AM79" s="12"/>
      <c r="AN79" s="12"/>
      <c r="AO79" s="12"/>
      <c r="AP79" s="12"/>
      <c r="AQ79" s="12"/>
      <c r="BC79" s="12"/>
      <c r="BH79" s="12" t="str">
        <f>IFERROR(__xludf.DUMMYFUNCTION("IFERROR(INDEX(QUERY(IMPORTRANGE(""1T7HG8KEs-Ob7f3M5atEVN9Yn7IeORGp0QGvggB62ELw"",""Maestro!A:I""),""SELECT Col8 WHERE Col3 = '""&amp;BE79&amp;""'"", 0), 1, 1),""NO ENCONTRADO"")"),"")</f>
        <v/>
      </c>
      <c r="BI79" s="16">
        <v>1.0</v>
      </c>
      <c r="BJ79" s="16">
        <f t="shared" si="6"/>
        <v>0</v>
      </c>
      <c r="BK79" s="12"/>
      <c r="BR79" s="12"/>
      <c r="BY79" s="14"/>
      <c r="BZ79" s="14"/>
      <c r="CA79" s="14"/>
      <c r="CB79" s="14"/>
      <c r="CC79" s="14"/>
      <c r="CD79" s="14"/>
      <c r="CE79" s="14"/>
      <c r="CF79" s="12"/>
      <c r="CG79" s="12"/>
      <c r="CH79" s="12"/>
      <c r="CI79" s="12"/>
      <c r="CJ79" s="12"/>
      <c r="CK79" s="12"/>
      <c r="CL79" s="12"/>
      <c r="CM79" s="12"/>
      <c r="CN79" s="12"/>
      <c r="CO79" s="12"/>
    </row>
    <row r="80">
      <c r="A80" s="92">
        <v>3.0</v>
      </c>
      <c r="B80" s="93" t="s">
        <v>36</v>
      </c>
      <c r="C80" s="94" t="s">
        <v>145</v>
      </c>
      <c r="D80" s="95" t="str">
        <f t="shared" si="1"/>
        <v>3-6-4A</v>
      </c>
      <c r="E80" s="96">
        <v>45792.0</v>
      </c>
      <c r="F80" s="97" t="s">
        <v>429</v>
      </c>
      <c r="G80" s="98" t="s">
        <v>156</v>
      </c>
      <c r="H80" s="99" t="s">
        <v>157</v>
      </c>
      <c r="I80" s="100">
        <v>60.0</v>
      </c>
      <c r="J80" s="101" t="s">
        <v>22</v>
      </c>
      <c r="K80" s="27" t="str">
        <f t="shared" si="2"/>
        <v>OCUPADO</v>
      </c>
      <c r="L80" s="28">
        <f t="shared" si="7"/>
        <v>79</v>
      </c>
      <c r="M80" s="28" t="s">
        <v>23</v>
      </c>
      <c r="N80" s="28" t="s">
        <v>165</v>
      </c>
      <c r="O80" s="29" t="s">
        <v>24</v>
      </c>
      <c r="P80" s="12"/>
      <c r="Q80" s="12"/>
      <c r="R80" s="12"/>
      <c r="S80" s="12"/>
      <c r="T80" s="12"/>
      <c r="U80" s="12"/>
      <c r="V80" s="12"/>
      <c r="AB80" s="12"/>
      <c r="AC80" s="12" t="str">
        <f>IFERROR(__xludf.DUMMYFUNCTION("""COMPUTED_VALUE"""),"4-11-C")</f>
        <v>4-11-C</v>
      </c>
      <c r="AD80" s="12" t="str">
        <f>IFERROR(__xludf.DUMMYFUNCTION("""COMPUTED_VALUE"""),"FAFE7L")</f>
        <v>FAFE7L</v>
      </c>
      <c r="AE80" s="12" t="str">
        <f>IFERROR(__xludf.DUMMYFUNCTION("""COMPUTED_VALUE"""),"Freidora de Aire Family Edition 7L")</f>
        <v>Freidora de Aire Family Edition 7L</v>
      </c>
      <c r="AF80" s="30">
        <f>IFERROR(__xludf.DUMMYFUNCTION("""COMPUTED_VALUE"""),72.0)</f>
        <v>72</v>
      </c>
      <c r="AG80" s="12" t="str">
        <f>IFERROR(__xludf.DUMMYFUNCTION("""COMPUTED_VALUE"""),"Contenedor")</f>
        <v>Contenedor</v>
      </c>
      <c r="AH80" s="12">
        <f>IFERROR(__xludf.DUMMYFUNCTION("""COMPUTED_VALUE"""),4.0)</f>
        <v>4</v>
      </c>
      <c r="AI80" s="12" t="str">
        <f>IFERROR(__xludf.DUMMYFUNCTION("""COMPUTED_VALUE"""),"11")</f>
        <v>11</v>
      </c>
      <c r="AJ80" s="12" t="str">
        <f>IFERROR(__xludf.DUMMYFUNCTION("""COMPUTED_VALUE"""),"C")</f>
        <v>C</v>
      </c>
      <c r="AK80" s="12">
        <f>IFERROR(__xludf.DUMMYFUNCTION("""COMPUTED_VALUE"""),164.0)</f>
        <v>164</v>
      </c>
      <c r="AL80" s="12" t="str">
        <f>IFERROR(__xludf.DUMMYFUNCTION("""COMPUTED_VALUE"""),"KITCHEN-IT")</f>
        <v>KITCHEN-IT</v>
      </c>
      <c r="AM80" s="12"/>
      <c r="AN80" s="12"/>
      <c r="AO80" s="12"/>
      <c r="AP80" s="12"/>
      <c r="AQ80" s="12"/>
      <c r="BC80" s="12"/>
      <c r="BH80" s="12" t="str">
        <f>IFERROR(__xludf.DUMMYFUNCTION("IFERROR(INDEX(QUERY(IMPORTRANGE(""1T7HG8KEs-Ob7f3M5atEVN9Yn7IeORGp0QGvggB62ELw"",""Maestro!A:I""),""SELECT Col8 WHERE Col3 = '""&amp;BE80&amp;""'"", 0), 1, 1),""NO ENCONTRADO"")"),"D")</f>
        <v>D</v>
      </c>
      <c r="BI80" s="16">
        <v>1.0</v>
      </c>
      <c r="BJ80" s="16">
        <f t="shared" si="6"/>
        <v>200</v>
      </c>
      <c r="BK80" s="12"/>
      <c r="BR80" s="12"/>
      <c r="BY80" s="14"/>
      <c r="BZ80" s="14"/>
      <c r="CA80" s="14"/>
      <c r="CB80" s="14"/>
      <c r="CC80" s="14"/>
      <c r="CD80" s="14"/>
      <c r="CE80" s="14"/>
      <c r="CF80" s="12"/>
      <c r="CG80" s="12"/>
      <c r="CH80" s="12"/>
      <c r="CI80" s="12"/>
      <c r="CJ80" s="12"/>
      <c r="CK80" s="12"/>
      <c r="CL80" s="12"/>
      <c r="CM80" s="12"/>
      <c r="CN80" s="12"/>
      <c r="CO80" s="12"/>
    </row>
    <row r="81">
      <c r="A81" s="92">
        <v>3.0</v>
      </c>
      <c r="B81" s="93" t="s">
        <v>36</v>
      </c>
      <c r="C81" s="94" t="s">
        <v>181</v>
      </c>
      <c r="D81" s="95" t="str">
        <f t="shared" si="1"/>
        <v>3-6-4B</v>
      </c>
      <c r="E81" s="50"/>
      <c r="F81" s="51"/>
      <c r="G81" s="46"/>
      <c r="H81" s="47"/>
      <c r="I81" s="48"/>
      <c r="J81" s="52"/>
      <c r="K81" s="32" t="str">
        <f t="shared" si="2"/>
        <v>DISPONIBLE</v>
      </c>
      <c r="L81" s="33">
        <f t="shared" si="7"/>
        <v>80</v>
      </c>
      <c r="M81" s="33" t="s">
        <v>23</v>
      </c>
      <c r="N81" s="53"/>
      <c r="O81" s="129"/>
      <c r="P81" s="12"/>
      <c r="Q81" s="12"/>
      <c r="R81" s="12"/>
      <c r="S81" s="12"/>
      <c r="T81" s="12"/>
      <c r="U81" s="12"/>
      <c r="V81" s="12"/>
      <c r="AB81" s="12"/>
      <c r="AC81" s="12" t="str">
        <f>IFERROR(__xludf.DUMMYFUNCTION("""COMPUTED_VALUE"""),"4-11-D")</f>
        <v>4-11-D</v>
      </c>
      <c r="AD81" s="12" t="str">
        <f>IFERROR(__xludf.DUMMYFUNCTION("""COMPUTED_VALUE"""),"FAFE7L")</f>
        <v>FAFE7L</v>
      </c>
      <c r="AE81" s="12" t="str">
        <f>IFERROR(__xludf.DUMMYFUNCTION("""COMPUTED_VALUE"""),"Freidora de Aire Family Edition 7L")</f>
        <v>Freidora de Aire Family Edition 7L</v>
      </c>
      <c r="AF81" s="30">
        <f>IFERROR(__xludf.DUMMYFUNCTION("""COMPUTED_VALUE"""),72.0)</f>
        <v>72</v>
      </c>
      <c r="AG81" s="12" t="str">
        <f>IFERROR(__xludf.DUMMYFUNCTION("""COMPUTED_VALUE"""),"Contenedor")</f>
        <v>Contenedor</v>
      </c>
      <c r="AH81" s="12">
        <f>IFERROR(__xludf.DUMMYFUNCTION("""COMPUTED_VALUE"""),4.0)</f>
        <v>4</v>
      </c>
      <c r="AI81" s="12" t="str">
        <f>IFERROR(__xludf.DUMMYFUNCTION("""COMPUTED_VALUE"""),"11")</f>
        <v>11</v>
      </c>
      <c r="AJ81" s="12" t="str">
        <f>IFERROR(__xludf.DUMMYFUNCTION("""COMPUTED_VALUE"""),"D")</f>
        <v>D</v>
      </c>
      <c r="AK81" s="12">
        <f>IFERROR(__xludf.DUMMYFUNCTION("""COMPUTED_VALUE"""),165.0)</f>
        <v>165</v>
      </c>
      <c r="AL81" s="12" t="str">
        <f>IFERROR(__xludf.DUMMYFUNCTION("""COMPUTED_VALUE"""),"KITCHEN-IT")</f>
        <v>KITCHEN-IT</v>
      </c>
      <c r="AM81" s="12"/>
      <c r="AN81" s="12"/>
      <c r="AO81" s="12"/>
      <c r="AP81" s="12"/>
      <c r="AQ81" s="12"/>
      <c r="BC81" s="12"/>
      <c r="BH81" s="12" t="str">
        <f>IFERROR(__xludf.DUMMYFUNCTION("IFERROR(INDEX(QUERY(IMPORTRANGE(""1T7HG8KEs-Ob7f3M5atEVN9Yn7IeORGp0QGvggB62ELw"",""Maestro!A:I""),""SELECT Col8 WHERE Col3 = '""&amp;BE81&amp;""'"", 0), 1, 1),""NO ENCONTRADO"")"),"D")</f>
        <v>D</v>
      </c>
      <c r="BI81" s="16">
        <v>1.0</v>
      </c>
      <c r="BJ81" s="16">
        <f t="shared" si="6"/>
        <v>200</v>
      </c>
      <c r="BK81" s="12"/>
      <c r="BR81" s="12"/>
      <c r="BY81" s="14"/>
      <c r="BZ81" s="14"/>
      <c r="CA81" s="14"/>
      <c r="CB81" s="14"/>
      <c r="CC81" s="14"/>
      <c r="CD81" s="14"/>
      <c r="CE81" s="14"/>
      <c r="CF81" s="12"/>
      <c r="CG81" s="12"/>
      <c r="CH81" s="12"/>
      <c r="CI81" s="12"/>
      <c r="CJ81" s="12"/>
      <c r="CK81" s="12"/>
      <c r="CL81" s="12"/>
      <c r="CM81" s="12"/>
      <c r="CN81" s="12"/>
      <c r="CO81" s="12"/>
    </row>
    <row r="82">
      <c r="A82" s="92">
        <v>3.0</v>
      </c>
      <c r="B82" s="93" t="s">
        <v>36</v>
      </c>
      <c r="C82" s="94" t="s">
        <v>188</v>
      </c>
      <c r="D82" s="95" t="str">
        <f t="shared" si="1"/>
        <v>3-6-5A</v>
      </c>
      <c r="E82" s="72"/>
      <c r="F82" s="137"/>
      <c r="G82" s="138"/>
      <c r="H82" s="138"/>
      <c r="I82" s="76"/>
      <c r="J82" s="138"/>
      <c r="K82" s="27" t="str">
        <f t="shared" si="2"/>
        <v>DISPONIBLE</v>
      </c>
      <c r="L82" s="28">
        <f t="shared" si="7"/>
        <v>81</v>
      </c>
      <c r="M82" s="28" t="s">
        <v>23</v>
      </c>
      <c r="N82" s="70"/>
      <c r="O82" s="139"/>
      <c r="P82" s="12"/>
      <c r="Q82" s="12"/>
      <c r="R82" s="12"/>
      <c r="S82" s="12"/>
      <c r="T82" s="12"/>
      <c r="U82" s="12"/>
      <c r="V82" s="12"/>
      <c r="AB82" s="12"/>
      <c r="AC82" s="12" t="str">
        <f>IFERROR(__xludf.DUMMYFUNCTION("""COMPUTED_VALUE"""),"4-12-A")</f>
        <v>4-12-A</v>
      </c>
      <c r="AD82" s="12" t="str">
        <f>IFERROR(__xludf.DUMMYFUNCTION("""COMPUTED_VALUE"""),"FAFE7L")</f>
        <v>FAFE7L</v>
      </c>
      <c r="AE82" s="12" t="str">
        <f>IFERROR(__xludf.DUMMYFUNCTION("""COMPUTED_VALUE"""),"Freidora de Aire Family Edition 7L")</f>
        <v>Freidora de Aire Family Edition 7L</v>
      </c>
      <c r="AF82" s="30">
        <f>IFERROR(__xludf.DUMMYFUNCTION("""COMPUTED_VALUE"""),72.0)</f>
        <v>72</v>
      </c>
      <c r="AG82" s="12" t="str">
        <f>IFERROR(__xludf.DUMMYFUNCTION("""COMPUTED_VALUE"""),"Contenedor")</f>
        <v>Contenedor</v>
      </c>
      <c r="AH82" s="12">
        <f>IFERROR(__xludf.DUMMYFUNCTION("""COMPUTED_VALUE"""),4.0)</f>
        <v>4</v>
      </c>
      <c r="AI82" s="12" t="str">
        <f>IFERROR(__xludf.DUMMYFUNCTION("""COMPUTED_VALUE"""),"12")</f>
        <v>12</v>
      </c>
      <c r="AJ82" s="12" t="str">
        <f>IFERROR(__xludf.DUMMYFUNCTION("""COMPUTED_VALUE"""),"A")</f>
        <v>A</v>
      </c>
      <c r="AK82" s="12">
        <f>IFERROR(__xludf.DUMMYFUNCTION("""COMPUTED_VALUE"""),166.0)</f>
        <v>166</v>
      </c>
      <c r="AL82" s="12" t="str">
        <f>IFERROR(__xludf.DUMMYFUNCTION("""COMPUTED_VALUE"""),"KITCHEN-IT")</f>
        <v>KITCHEN-IT</v>
      </c>
      <c r="AM82" s="12"/>
      <c r="AN82" s="12"/>
      <c r="AO82" s="12"/>
      <c r="AP82" s="12"/>
      <c r="AQ82" s="12"/>
      <c r="BC82" s="12"/>
      <c r="BH82" s="12" t="str">
        <f>IFERROR(__xludf.DUMMYFUNCTION("IFERROR(INDEX(QUERY(IMPORTRANGE(""1T7HG8KEs-Ob7f3M5atEVN9Yn7IeORGp0QGvggB62ELw"",""Maestro!A:I""),""SELECT Col8 WHERE Col3 = '""&amp;BE82&amp;""'"", 0), 1, 1),""NO ENCONTRADO"")"),"D")</f>
        <v>D</v>
      </c>
      <c r="BI82" s="16">
        <v>1.0</v>
      </c>
      <c r="BJ82" s="16">
        <f t="shared" si="6"/>
        <v>50</v>
      </c>
      <c r="BK82" s="12"/>
      <c r="BR82" s="12"/>
      <c r="BY82" s="14"/>
      <c r="BZ82" s="14"/>
      <c r="CA82" s="14"/>
      <c r="CB82" s="14"/>
      <c r="CC82" s="14"/>
      <c r="CD82" s="14"/>
      <c r="CE82" s="14"/>
      <c r="CF82" s="12"/>
      <c r="CG82" s="12"/>
      <c r="CH82" s="12"/>
      <c r="CI82" s="12"/>
      <c r="CJ82" s="12"/>
      <c r="CK82" s="12"/>
      <c r="CL82" s="12"/>
      <c r="CM82" s="12"/>
      <c r="CN82" s="12"/>
      <c r="CO82" s="12"/>
    </row>
    <row r="83">
      <c r="A83" s="92">
        <v>3.0</v>
      </c>
      <c r="B83" s="93" t="s">
        <v>36</v>
      </c>
      <c r="C83" s="94" t="s">
        <v>192</v>
      </c>
      <c r="D83" s="95" t="str">
        <f t="shared" si="1"/>
        <v>3-6-5B</v>
      </c>
      <c r="E83" s="50"/>
      <c r="F83" s="51"/>
      <c r="G83" s="46"/>
      <c r="H83" s="47"/>
      <c r="I83" s="48"/>
      <c r="J83" s="52"/>
      <c r="K83" s="32" t="str">
        <f t="shared" si="2"/>
        <v>DISPONIBLE</v>
      </c>
      <c r="L83" s="33">
        <f t="shared" si="7"/>
        <v>82</v>
      </c>
      <c r="M83" s="33" t="s">
        <v>23</v>
      </c>
      <c r="N83" s="53"/>
      <c r="O83" s="129"/>
      <c r="P83" s="12"/>
      <c r="Q83" s="12"/>
      <c r="R83" s="12"/>
      <c r="S83" s="12"/>
      <c r="T83" s="12"/>
      <c r="U83" s="12"/>
      <c r="V83" s="12"/>
      <c r="AB83" s="12"/>
      <c r="AC83" s="12" t="str">
        <f>IFERROR(__xludf.DUMMYFUNCTION("""COMPUTED_VALUE"""),"4-12-B")</f>
        <v>4-12-B</v>
      </c>
      <c r="AD83" s="12" t="str">
        <f>IFERROR(__xludf.DUMMYFUNCTION("""COMPUTED_VALUE"""),"FAFE7L")</f>
        <v>FAFE7L</v>
      </c>
      <c r="AE83" s="12" t="str">
        <f>IFERROR(__xludf.DUMMYFUNCTION("""COMPUTED_VALUE"""),"Freidora de Aire Family Edition 7L")</f>
        <v>Freidora de Aire Family Edition 7L</v>
      </c>
      <c r="AF83" s="30">
        <f>IFERROR(__xludf.DUMMYFUNCTION("""COMPUTED_VALUE"""),72.0)</f>
        <v>72</v>
      </c>
      <c r="AG83" s="12" t="str">
        <f>IFERROR(__xludf.DUMMYFUNCTION("""COMPUTED_VALUE"""),"Contenedor")</f>
        <v>Contenedor</v>
      </c>
      <c r="AH83" s="12">
        <f>IFERROR(__xludf.DUMMYFUNCTION("""COMPUTED_VALUE"""),4.0)</f>
        <v>4</v>
      </c>
      <c r="AI83" s="12" t="str">
        <f>IFERROR(__xludf.DUMMYFUNCTION("""COMPUTED_VALUE"""),"12")</f>
        <v>12</v>
      </c>
      <c r="AJ83" s="12" t="str">
        <f>IFERROR(__xludf.DUMMYFUNCTION("""COMPUTED_VALUE"""),"B")</f>
        <v>B</v>
      </c>
      <c r="AK83" s="12">
        <f>IFERROR(__xludf.DUMMYFUNCTION("""COMPUTED_VALUE"""),167.0)</f>
        <v>167</v>
      </c>
      <c r="AL83" s="12" t="str">
        <f>IFERROR(__xludf.DUMMYFUNCTION("""COMPUTED_VALUE"""),"KITCHEN-IT")</f>
        <v>KITCHEN-IT</v>
      </c>
      <c r="AM83" s="12"/>
      <c r="AN83" s="12"/>
      <c r="AO83" s="12"/>
      <c r="AP83" s="12"/>
      <c r="AQ83" s="12"/>
      <c r="BC83" s="12"/>
      <c r="BH83" s="12" t="str">
        <f>IFERROR(__xludf.DUMMYFUNCTION("IFERROR(INDEX(QUERY(IMPORTRANGE(""1T7HG8KEs-Ob7f3M5atEVN9Yn7IeORGp0QGvggB62ELw"",""Maestro!A:I""),""SELECT Col8 WHERE Col3 = '""&amp;BE83&amp;""'"", 0), 1, 1),""NO ENCONTRADO"")"),"D")</f>
        <v>D</v>
      </c>
      <c r="BI83" s="16">
        <v>1.0</v>
      </c>
      <c r="BJ83" s="16">
        <f t="shared" si="6"/>
        <v>200</v>
      </c>
      <c r="BK83" s="12"/>
      <c r="BR83" s="12"/>
      <c r="BY83" s="14"/>
      <c r="BZ83" s="14"/>
      <c r="CA83" s="14"/>
      <c r="CB83" s="14"/>
      <c r="CC83" s="14"/>
      <c r="CD83" s="14"/>
      <c r="CE83" s="14"/>
      <c r="CF83" s="12"/>
      <c r="CG83" s="12"/>
      <c r="CH83" s="12"/>
      <c r="CI83" s="12"/>
      <c r="CJ83" s="12"/>
      <c r="CK83" s="12"/>
      <c r="CL83" s="12"/>
      <c r="CM83" s="12"/>
      <c r="CN83" s="12"/>
      <c r="CO83" s="12"/>
    </row>
    <row r="84">
      <c r="A84" s="92">
        <v>3.0</v>
      </c>
      <c r="B84" s="93" t="s">
        <v>48</v>
      </c>
      <c r="C84" s="94" t="s">
        <v>119</v>
      </c>
      <c r="D84" s="95" t="str">
        <f t="shared" si="1"/>
        <v>3-7-1A</v>
      </c>
      <c r="E84" s="50"/>
      <c r="F84" s="51"/>
      <c r="G84" s="46"/>
      <c r="H84" s="47"/>
      <c r="I84" s="48"/>
      <c r="J84" s="115"/>
      <c r="K84" s="27" t="str">
        <f t="shared" si="2"/>
        <v>DISPONIBLE</v>
      </c>
      <c r="L84" s="28">
        <f t="shared" si="7"/>
        <v>83</v>
      </c>
      <c r="M84" s="28" t="s">
        <v>442</v>
      </c>
      <c r="N84" s="70"/>
      <c r="O84" s="29"/>
      <c r="P84" s="12"/>
      <c r="Q84" s="12"/>
      <c r="R84" s="12"/>
      <c r="S84" s="12"/>
      <c r="T84" s="12"/>
      <c r="U84" s="12"/>
      <c r="V84" s="12"/>
      <c r="AB84" s="12"/>
      <c r="AC84" s="12" t="str">
        <f>IFERROR(__xludf.DUMMYFUNCTION("""COMPUTED_VALUE"""),"4-12-C")</f>
        <v>4-12-C</v>
      </c>
      <c r="AD84" s="12" t="str">
        <f>IFERROR(__xludf.DUMMYFUNCTION("""COMPUTED_VALUE"""),"FAFE7L")</f>
        <v>FAFE7L</v>
      </c>
      <c r="AE84" s="12" t="str">
        <f>IFERROR(__xludf.DUMMYFUNCTION("""COMPUTED_VALUE"""),"Freidora de Aire Family Edition 7L")</f>
        <v>Freidora de Aire Family Edition 7L</v>
      </c>
      <c r="AF84" s="30">
        <f>IFERROR(__xludf.DUMMYFUNCTION("""COMPUTED_VALUE"""),72.0)</f>
        <v>72</v>
      </c>
      <c r="AG84" s="12" t="str">
        <f>IFERROR(__xludf.DUMMYFUNCTION("""COMPUTED_VALUE"""),"Contenedor")</f>
        <v>Contenedor</v>
      </c>
      <c r="AH84" s="12">
        <f>IFERROR(__xludf.DUMMYFUNCTION("""COMPUTED_VALUE"""),4.0)</f>
        <v>4</v>
      </c>
      <c r="AI84" s="12" t="str">
        <f>IFERROR(__xludf.DUMMYFUNCTION("""COMPUTED_VALUE"""),"12")</f>
        <v>12</v>
      </c>
      <c r="AJ84" s="12" t="str">
        <f>IFERROR(__xludf.DUMMYFUNCTION("""COMPUTED_VALUE"""),"C")</f>
        <v>C</v>
      </c>
      <c r="AK84" s="12">
        <f>IFERROR(__xludf.DUMMYFUNCTION("""COMPUTED_VALUE"""),168.0)</f>
        <v>168</v>
      </c>
      <c r="AL84" s="12" t="str">
        <f>IFERROR(__xludf.DUMMYFUNCTION("""COMPUTED_VALUE"""),"KITCHEN-IT")</f>
        <v>KITCHEN-IT</v>
      </c>
      <c r="AM84" s="12"/>
      <c r="AN84" s="12"/>
      <c r="AO84" s="12"/>
      <c r="AP84" s="12"/>
      <c r="AQ84" s="12"/>
      <c r="BC84" s="12"/>
      <c r="BH84" s="12" t="str">
        <f>IFERROR(__xludf.DUMMYFUNCTION("IFERROR(INDEX(QUERY(IMPORTRANGE(""1T7HG8KEs-Ob7f3M5atEVN9Yn7IeORGp0QGvggB62ELw"",""Maestro!A:I""),""SELECT Col8 WHERE Col3 = '""&amp;BE84&amp;""'"", 0), 1, 1),""NO ENCONTRADO"")"),"D")</f>
        <v>D</v>
      </c>
      <c r="BI84" s="16">
        <v>1.0</v>
      </c>
      <c r="BJ84" s="16">
        <f t="shared" si="6"/>
        <v>200</v>
      </c>
      <c r="BK84" s="12"/>
      <c r="BR84" s="12"/>
      <c r="BY84" s="14"/>
      <c r="BZ84" s="14"/>
      <c r="CA84" s="14"/>
      <c r="CB84" s="14"/>
      <c r="CC84" s="14"/>
      <c r="CD84" s="14"/>
      <c r="CE84" s="14"/>
      <c r="CF84" s="12"/>
      <c r="CG84" s="12"/>
      <c r="CH84" s="12"/>
      <c r="CI84" s="12"/>
      <c r="CJ84" s="12"/>
      <c r="CK84" s="12"/>
      <c r="CL84" s="12"/>
      <c r="CM84" s="12"/>
      <c r="CN84" s="12"/>
      <c r="CO84" s="12"/>
    </row>
    <row r="85">
      <c r="A85" s="92">
        <v>3.0</v>
      </c>
      <c r="B85" s="93" t="s">
        <v>48</v>
      </c>
      <c r="C85" s="94" t="s">
        <v>132</v>
      </c>
      <c r="D85" s="95" t="str">
        <f t="shared" si="1"/>
        <v>3-7-1B</v>
      </c>
      <c r="E85" s="50"/>
      <c r="F85" s="51"/>
      <c r="G85" s="46"/>
      <c r="H85" s="47"/>
      <c r="I85" s="48"/>
      <c r="J85" s="115"/>
      <c r="K85" s="32" t="str">
        <f t="shared" si="2"/>
        <v>DISPONIBLE</v>
      </c>
      <c r="L85" s="33">
        <f t="shared" si="7"/>
        <v>84</v>
      </c>
      <c r="M85" s="33" t="s">
        <v>442</v>
      </c>
      <c r="N85" s="33" t="s">
        <v>446</v>
      </c>
      <c r="O85" s="34" t="s">
        <v>24</v>
      </c>
      <c r="P85" s="12"/>
      <c r="Q85" s="12"/>
      <c r="R85" s="12"/>
      <c r="S85" s="12"/>
      <c r="T85" s="12"/>
      <c r="U85" s="12"/>
      <c r="V85" s="12"/>
      <c r="AB85" s="12"/>
      <c r="AC85" s="12" t="str">
        <f>IFERROR(__xludf.DUMMYFUNCTION("""COMPUTED_VALUE"""),"4-12-D")</f>
        <v>4-12-D</v>
      </c>
      <c r="AD85" s="12" t="str">
        <f>IFERROR(__xludf.DUMMYFUNCTION("""COMPUTED_VALUE"""),"FAFE7L")</f>
        <v>FAFE7L</v>
      </c>
      <c r="AE85" s="12" t="str">
        <f>IFERROR(__xludf.DUMMYFUNCTION("""COMPUTED_VALUE"""),"Freidora de Aire Family Edition 7L")</f>
        <v>Freidora de Aire Family Edition 7L</v>
      </c>
      <c r="AF85" s="30">
        <f>IFERROR(__xludf.DUMMYFUNCTION("""COMPUTED_VALUE"""),72.0)</f>
        <v>72</v>
      </c>
      <c r="AG85" s="12" t="str">
        <f>IFERROR(__xludf.DUMMYFUNCTION("""COMPUTED_VALUE"""),"Contenedor")</f>
        <v>Contenedor</v>
      </c>
      <c r="AH85" s="12">
        <f>IFERROR(__xludf.DUMMYFUNCTION("""COMPUTED_VALUE"""),4.0)</f>
        <v>4</v>
      </c>
      <c r="AI85" s="12" t="str">
        <f>IFERROR(__xludf.DUMMYFUNCTION("""COMPUTED_VALUE"""),"12")</f>
        <v>12</v>
      </c>
      <c r="AJ85" s="12" t="str">
        <f>IFERROR(__xludf.DUMMYFUNCTION("""COMPUTED_VALUE"""),"D")</f>
        <v>D</v>
      </c>
      <c r="AK85" s="12">
        <f>IFERROR(__xludf.DUMMYFUNCTION("""COMPUTED_VALUE"""),169.0)</f>
        <v>169</v>
      </c>
      <c r="AL85" s="12" t="str">
        <f>IFERROR(__xludf.DUMMYFUNCTION("""COMPUTED_VALUE"""),"KITCHEN-IT")</f>
        <v>KITCHEN-IT</v>
      </c>
      <c r="AM85" s="12"/>
      <c r="AN85" s="12"/>
      <c r="AO85" s="12"/>
      <c r="AP85" s="12"/>
      <c r="AQ85" s="12"/>
      <c r="BC85" s="12"/>
      <c r="BH85" s="12" t="str">
        <f>IFERROR(__xludf.DUMMYFUNCTION("IFERROR(INDEX(QUERY(IMPORTRANGE(""1T7HG8KEs-Ob7f3M5atEVN9Yn7IeORGp0QGvggB62ELw"",""Maestro!A:I""),""SELECT Col8 WHERE Col3 = '""&amp;BE85&amp;""'"", 0), 1, 1),""NO ENCONTRADO"")"),"D")</f>
        <v>D</v>
      </c>
      <c r="BI85" s="16">
        <v>1.0</v>
      </c>
      <c r="BJ85" s="16">
        <f t="shared" si="6"/>
        <v>200</v>
      </c>
      <c r="BK85" s="12"/>
      <c r="BR85" s="12"/>
      <c r="BY85" s="14"/>
      <c r="BZ85" s="14"/>
      <c r="CA85" s="14"/>
      <c r="CB85" s="14"/>
      <c r="CC85" s="14"/>
      <c r="CD85" s="14"/>
      <c r="CE85" s="14"/>
      <c r="CF85" s="12"/>
      <c r="CG85" s="12"/>
      <c r="CH85" s="12"/>
      <c r="CI85" s="12"/>
      <c r="CJ85" s="12"/>
      <c r="CK85" s="12"/>
      <c r="CL85" s="12"/>
      <c r="CM85" s="12"/>
      <c r="CN85" s="12"/>
      <c r="CO85" s="12"/>
    </row>
    <row r="86">
      <c r="A86" s="92">
        <v>3.0</v>
      </c>
      <c r="B86" s="93" t="s">
        <v>48</v>
      </c>
      <c r="C86" s="94" t="s">
        <v>124</v>
      </c>
      <c r="D86" s="95" t="str">
        <f t="shared" si="1"/>
        <v>3-7-2A</v>
      </c>
      <c r="E86" s="110"/>
      <c r="F86" s="111"/>
      <c r="G86" s="112"/>
      <c r="H86" s="113"/>
      <c r="I86" s="114"/>
      <c r="J86" s="115"/>
      <c r="K86" s="27" t="str">
        <f t="shared" si="2"/>
        <v>DISPONIBLE</v>
      </c>
      <c r="L86" s="28">
        <f t="shared" si="7"/>
        <v>85</v>
      </c>
      <c r="M86" s="28" t="s">
        <v>442</v>
      </c>
      <c r="N86" s="28" t="s">
        <v>450</v>
      </c>
      <c r="O86" s="29"/>
      <c r="P86" s="12"/>
      <c r="Q86" s="12"/>
      <c r="R86" s="12"/>
      <c r="S86" s="12"/>
      <c r="T86" s="12"/>
      <c r="U86" s="12"/>
      <c r="V86" s="12"/>
      <c r="AB86" s="12"/>
      <c r="AC86" s="12" t="str">
        <f>IFERROR(__xludf.DUMMYFUNCTION("""COMPUTED_VALUE"""),"4-13-A")</f>
        <v>4-13-A</v>
      </c>
      <c r="AD86" s="12" t="str">
        <f>IFERROR(__xludf.DUMMYFUNCTION("""COMPUTED_VALUE"""),"FAFE7L")</f>
        <v>FAFE7L</v>
      </c>
      <c r="AE86" s="12" t="str">
        <f>IFERROR(__xludf.DUMMYFUNCTION("""COMPUTED_VALUE"""),"Freidora de Aire Family Edition 7L")</f>
        <v>Freidora de Aire Family Edition 7L</v>
      </c>
      <c r="AF86" s="30">
        <f>IFERROR(__xludf.DUMMYFUNCTION("""COMPUTED_VALUE"""),72.0)</f>
        <v>72</v>
      </c>
      <c r="AG86" s="12" t="str">
        <f>IFERROR(__xludf.DUMMYFUNCTION("""COMPUTED_VALUE"""),"Contenedor")</f>
        <v>Contenedor</v>
      </c>
      <c r="AH86" s="12">
        <f>IFERROR(__xludf.DUMMYFUNCTION("""COMPUTED_VALUE"""),4.0)</f>
        <v>4</v>
      </c>
      <c r="AI86" s="12" t="str">
        <f>IFERROR(__xludf.DUMMYFUNCTION("""COMPUTED_VALUE"""),"13")</f>
        <v>13</v>
      </c>
      <c r="AJ86" s="12" t="str">
        <f>IFERROR(__xludf.DUMMYFUNCTION("""COMPUTED_VALUE"""),"A")</f>
        <v>A</v>
      </c>
      <c r="AK86" s="12">
        <f>IFERROR(__xludf.DUMMYFUNCTION("""COMPUTED_VALUE"""),170.0)</f>
        <v>170</v>
      </c>
      <c r="AL86" s="12" t="str">
        <f>IFERROR(__xludf.DUMMYFUNCTION("""COMPUTED_VALUE"""),"KITCHEN-IT")</f>
        <v>KITCHEN-IT</v>
      </c>
      <c r="AM86" s="12"/>
      <c r="AN86" s="12"/>
      <c r="AO86" s="12"/>
      <c r="AP86" s="12"/>
      <c r="AQ86" s="12"/>
      <c r="BC86" s="12"/>
      <c r="BH86" s="12" t="str">
        <f>IFERROR(__xludf.DUMMYFUNCTION("IFERROR(INDEX(QUERY(IMPORTRANGE(""1T7HG8KEs-Ob7f3M5atEVN9Yn7IeORGp0QGvggB62ELw"",""Maestro!A:I""),""SELECT Col8 WHERE Col3 = '""&amp;BE86&amp;""'"", 0), 1, 1),""NO ENCONTRADO"")"),"")</f>
        <v/>
      </c>
      <c r="BI86" s="16">
        <v>1.0</v>
      </c>
      <c r="BJ86" s="16">
        <f t="shared" si="6"/>
        <v>0</v>
      </c>
      <c r="BK86" s="12"/>
      <c r="BR86" s="12"/>
      <c r="BY86" s="14"/>
      <c r="BZ86" s="14"/>
      <c r="CA86" s="14"/>
      <c r="CB86" s="14"/>
      <c r="CC86" s="14"/>
      <c r="CD86" s="14"/>
      <c r="CE86" s="14"/>
      <c r="CF86" s="12"/>
      <c r="CG86" s="12"/>
      <c r="CH86" s="12"/>
      <c r="CI86" s="12"/>
      <c r="CJ86" s="12"/>
      <c r="CK86" s="12"/>
      <c r="CL86" s="12"/>
      <c r="CM86" s="12"/>
      <c r="CN86" s="12"/>
      <c r="CO86" s="12"/>
    </row>
    <row r="87">
      <c r="A87" s="92">
        <v>3.0</v>
      </c>
      <c r="B87" s="93" t="s">
        <v>48</v>
      </c>
      <c r="C87" s="94" t="s">
        <v>140</v>
      </c>
      <c r="D87" s="95" t="str">
        <f t="shared" si="1"/>
        <v>3-7-2B</v>
      </c>
      <c r="E87" s="96">
        <v>45790.0</v>
      </c>
      <c r="F87" s="97" t="s">
        <v>456</v>
      </c>
      <c r="G87" s="98">
        <v>600550.0</v>
      </c>
      <c r="H87" s="99" t="s">
        <v>38</v>
      </c>
      <c r="I87" s="100">
        <v>105.0</v>
      </c>
      <c r="J87" s="101" t="s">
        <v>22</v>
      </c>
      <c r="K87" s="32" t="str">
        <f t="shared" si="2"/>
        <v>OCUPADO</v>
      </c>
      <c r="L87" s="33">
        <f t="shared" si="7"/>
        <v>86</v>
      </c>
      <c r="M87" s="33" t="s">
        <v>442</v>
      </c>
      <c r="N87" s="53"/>
      <c r="O87" s="34" t="s">
        <v>24</v>
      </c>
      <c r="P87" s="12"/>
      <c r="Q87" s="12"/>
      <c r="R87" s="12"/>
      <c r="S87" s="12"/>
      <c r="T87" s="12"/>
      <c r="U87" s="12"/>
      <c r="V87" s="12"/>
      <c r="AB87" s="12"/>
      <c r="AC87" s="12" t="str">
        <f>IFERROR(__xludf.DUMMYFUNCTION("""COMPUTED_VALUE"""),"4-13-B")</f>
        <v>4-13-B</v>
      </c>
      <c r="AD87" s="12" t="str">
        <f>IFERROR(__xludf.DUMMYFUNCTION("""COMPUTED_VALUE"""),"FAFE7L")</f>
        <v>FAFE7L</v>
      </c>
      <c r="AE87" s="12" t="str">
        <f>IFERROR(__xludf.DUMMYFUNCTION("""COMPUTED_VALUE"""),"Freidora de Aire Family Edition 7L")</f>
        <v>Freidora de Aire Family Edition 7L</v>
      </c>
      <c r="AF87" s="30">
        <f>IFERROR(__xludf.DUMMYFUNCTION("""COMPUTED_VALUE"""),72.0)</f>
        <v>72</v>
      </c>
      <c r="AG87" s="12" t="str">
        <f>IFERROR(__xludf.DUMMYFUNCTION("""COMPUTED_VALUE"""),"Contenedor")</f>
        <v>Contenedor</v>
      </c>
      <c r="AH87" s="12">
        <f>IFERROR(__xludf.DUMMYFUNCTION("""COMPUTED_VALUE"""),4.0)</f>
        <v>4</v>
      </c>
      <c r="AI87" s="12" t="str">
        <f>IFERROR(__xludf.DUMMYFUNCTION("""COMPUTED_VALUE"""),"13")</f>
        <v>13</v>
      </c>
      <c r="AJ87" s="12" t="str">
        <f>IFERROR(__xludf.DUMMYFUNCTION("""COMPUTED_VALUE"""),"B")</f>
        <v>B</v>
      </c>
      <c r="AK87" s="12">
        <f>IFERROR(__xludf.DUMMYFUNCTION("""COMPUTED_VALUE"""),171.0)</f>
        <v>171</v>
      </c>
      <c r="AL87" s="12" t="str">
        <f>IFERROR(__xludf.DUMMYFUNCTION("""COMPUTED_VALUE"""),"KITCHEN-IT")</f>
        <v>KITCHEN-IT</v>
      </c>
      <c r="AM87" s="12"/>
      <c r="AN87" s="12"/>
      <c r="AO87" s="12"/>
      <c r="AP87" s="12"/>
      <c r="AQ87" s="12"/>
      <c r="BC87" s="12"/>
      <c r="BH87" s="12" t="str">
        <f>IFERROR(__xludf.DUMMYFUNCTION("IFERROR(INDEX(QUERY(IMPORTRANGE(""1T7HG8KEs-Ob7f3M5atEVN9Yn7IeORGp0QGvggB62ELw"",""Maestro!A:I""),""SELECT Col8 WHERE Col3 = '""&amp;BE87&amp;""'"", 0), 1, 1),""NO ENCONTRADO"")"),"D")</f>
        <v>D</v>
      </c>
      <c r="BI87" s="16">
        <v>1.0</v>
      </c>
      <c r="BJ87" s="16">
        <f t="shared" si="6"/>
        <v>200</v>
      </c>
      <c r="BK87" s="12"/>
      <c r="BR87" s="12"/>
      <c r="BY87" s="14"/>
      <c r="BZ87" s="14"/>
      <c r="CA87" s="14"/>
      <c r="CB87" s="14"/>
      <c r="CC87" s="14"/>
      <c r="CD87" s="14"/>
      <c r="CE87" s="14"/>
      <c r="CF87" s="12"/>
      <c r="CG87" s="12"/>
      <c r="CH87" s="12"/>
      <c r="CI87" s="12"/>
      <c r="CJ87" s="12"/>
      <c r="CK87" s="12"/>
      <c r="CL87" s="12"/>
      <c r="CM87" s="12"/>
      <c r="CN87" s="12"/>
      <c r="CO87" s="12"/>
    </row>
    <row r="88">
      <c r="A88" s="92">
        <v>3.0</v>
      </c>
      <c r="B88" s="93" t="s">
        <v>48</v>
      </c>
      <c r="C88" s="94" t="s">
        <v>130</v>
      </c>
      <c r="D88" s="95" t="str">
        <f t="shared" si="1"/>
        <v>3-7-3A</v>
      </c>
      <c r="E88" s="96">
        <v>45786.0</v>
      </c>
      <c r="F88" s="97" t="s">
        <v>460</v>
      </c>
      <c r="G88" s="98" t="s">
        <v>90</v>
      </c>
      <c r="H88" s="99" t="s">
        <v>91</v>
      </c>
      <c r="I88" s="100">
        <v>10.0</v>
      </c>
      <c r="J88" s="101" t="s">
        <v>22</v>
      </c>
      <c r="K88" s="27" t="str">
        <f t="shared" si="2"/>
        <v>OCUPADO</v>
      </c>
      <c r="L88" s="28">
        <f t="shared" si="7"/>
        <v>87</v>
      </c>
      <c r="M88" s="28" t="s">
        <v>442</v>
      </c>
      <c r="N88" s="28"/>
      <c r="O88" s="29" t="s">
        <v>24</v>
      </c>
      <c r="P88" s="12"/>
      <c r="Q88" s="12"/>
      <c r="R88" s="12"/>
      <c r="S88" s="12"/>
      <c r="T88" s="12"/>
      <c r="U88" s="12"/>
      <c r="V88" s="12"/>
      <c r="AB88" s="12"/>
      <c r="AC88" s="12" t="str">
        <f>IFERROR(__xludf.DUMMYFUNCTION("""COMPUTED_VALUE"""),"4-13-C")</f>
        <v>4-13-C</v>
      </c>
      <c r="AD88" s="12" t="str">
        <f>IFERROR(__xludf.DUMMYFUNCTION("""COMPUTED_VALUE"""),"FAFE7L")</f>
        <v>FAFE7L</v>
      </c>
      <c r="AE88" s="12" t="str">
        <f>IFERROR(__xludf.DUMMYFUNCTION("""COMPUTED_VALUE"""),"Freidora de Aire Family Edition 7L")</f>
        <v>Freidora de Aire Family Edition 7L</v>
      </c>
      <c r="AF88" s="30">
        <f>IFERROR(__xludf.DUMMYFUNCTION("""COMPUTED_VALUE"""),29.0)</f>
        <v>29</v>
      </c>
      <c r="AG88" s="12" t="str">
        <f>IFERROR(__xludf.DUMMYFUNCTION("""COMPUTED_VALUE"""),"Contenedor")</f>
        <v>Contenedor</v>
      </c>
      <c r="AH88" s="12">
        <f>IFERROR(__xludf.DUMMYFUNCTION("""COMPUTED_VALUE"""),4.0)</f>
        <v>4</v>
      </c>
      <c r="AI88" s="12" t="str">
        <f>IFERROR(__xludf.DUMMYFUNCTION("""COMPUTED_VALUE"""),"13")</f>
        <v>13</v>
      </c>
      <c r="AJ88" s="12" t="str">
        <f>IFERROR(__xludf.DUMMYFUNCTION("""COMPUTED_VALUE"""),"C")</f>
        <v>C</v>
      </c>
      <c r="AK88" s="12">
        <f>IFERROR(__xludf.DUMMYFUNCTION("""COMPUTED_VALUE"""),172.0)</f>
        <v>172</v>
      </c>
      <c r="AL88" s="12" t="str">
        <f>IFERROR(__xludf.DUMMYFUNCTION("""COMPUTED_VALUE"""),"KITCHEN-IT")</f>
        <v>KITCHEN-IT</v>
      </c>
      <c r="AM88" s="12"/>
      <c r="AN88" s="12"/>
      <c r="AO88" s="12"/>
      <c r="AP88" s="12"/>
      <c r="AQ88" s="12"/>
      <c r="BC88" s="12"/>
      <c r="BH88" s="12" t="str">
        <f>IFERROR(__xludf.DUMMYFUNCTION("IFERROR(INDEX(QUERY(IMPORTRANGE(""1T7HG8KEs-Ob7f3M5atEVN9Yn7IeORGp0QGvggB62ELw"",""Maestro!A:I""),""SELECT Col8 WHERE Col3 = '""&amp;BE88&amp;""'"", 0), 1, 1),""NO ENCONTRADO"")"),"D")</f>
        <v>D</v>
      </c>
      <c r="BI88" s="16">
        <v>1.0</v>
      </c>
      <c r="BJ88" s="16">
        <f t="shared" si="6"/>
        <v>225</v>
      </c>
      <c r="BK88" s="12"/>
      <c r="BR88" s="12"/>
      <c r="BY88" s="14"/>
      <c r="BZ88" s="14"/>
      <c r="CA88" s="14"/>
      <c r="CB88" s="14"/>
      <c r="CC88" s="14"/>
      <c r="CD88" s="14"/>
      <c r="CE88" s="14"/>
      <c r="CF88" s="12"/>
      <c r="CG88" s="12"/>
      <c r="CH88" s="12"/>
      <c r="CI88" s="12"/>
      <c r="CJ88" s="12"/>
      <c r="CK88" s="12"/>
      <c r="CL88" s="12"/>
      <c r="CM88" s="12"/>
      <c r="CN88" s="12"/>
      <c r="CO88" s="12"/>
    </row>
    <row r="89">
      <c r="A89" s="92">
        <v>3.0</v>
      </c>
      <c r="B89" s="93" t="s">
        <v>48</v>
      </c>
      <c r="C89" s="94" t="s">
        <v>148</v>
      </c>
      <c r="D89" s="95" t="str">
        <f t="shared" si="1"/>
        <v>3-7-3B</v>
      </c>
      <c r="E89" s="110"/>
      <c r="F89" s="111"/>
      <c r="G89" s="112"/>
      <c r="H89" s="113"/>
      <c r="I89" s="114"/>
      <c r="J89" s="115"/>
      <c r="K89" s="32" t="str">
        <f t="shared" si="2"/>
        <v>DISPONIBLE</v>
      </c>
      <c r="L89" s="33">
        <f t="shared" si="7"/>
        <v>88</v>
      </c>
      <c r="M89" s="33" t="s">
        <v>442</v>
      </c>
      <c r="N89" s="53"/>
      <c r="O89" s="34" t="s">
        <v>24</v>
      </c>
      <c r="P89" s="12"/>
      <c r="Q89" s="12"/>
      <c r="R89" s="12"/>
      <c r="S89" s="12"/>
      <c r="T89" s="12"/>
      <c r="U89" s="12"/>
      <c r="V89" s="12"/>
      <c r="AB89" s="12"/>
      <c r="AC89" s="12" t="str">
        <f>IFERROR(__xludf.DUMMYFUNCTION("""COMPUTED_VALUE"""),"4-14-A")</f>
        <v>4-14-A</v>
      </c>
      <c r="AD89" s="12" t="str">
        <f>IFERROR(__xludf.DUMMYFUNCTION("""COMPUTED_VALUE"""),"TV4PKI")</f>
        <v>TV4PKI</v>
      </c>
      <c r="AE89" s="12" t="str">
        <f>IFERROR(__xludf.DUMMYFUNCTION("""COMPUTED_VALUE"""),"Tostador Vienna Kitchen-It")</f>
        <v>Tostador Vienna Kitchen-It</v>
      </c>
      <c r="AF89" s="30">
        <f>IFERROR(__xludf.DUMMYFUNCTION("""COMPUTED_VALUE"""),110.0)</f>
        <v>110</v>
      </c>
      <c r="AG89" s="12" t="str">
        <f>IFERROR(__xludf.DUMMYFUNCTION("""COMPUTED_VALUE"""),"Contenedor")</f>
        <v>Contenedor</v>
      </c>
      <c r="AH89" s="12">
        <f>IFERROR(__xludf.DUMMYFUNCTION("""COMPUTED_VALUE"""),4.0)</f>
        <v>4</v>
      </c>
      <c r="AI89" s="12" t="str">
        <f>IFERROR(__xludf.DUMMYFUNCTION("""COMPUTED_VALUE"""),"14")</f>
        <v>14</v>
      </c>
      <c r="AJ89" s="12" t="str">
        <f>IFERROR(__xludf.DUMMYFUNCTION("""COMPUTED_VALUE"""),"A")</f>
        <v>A</v>
      </c>
      <c r="AK89" s="12">
        <f>IFERROR(__xludf.DUMMYFUNCTION("""COMPUTED_VALUE"""),174.0)</f>
        <v>174</v>
      </c>
      <c r="AL89" s="12" t="str">
        <f>IFERROR(__xludf.DUMMYFUNCTION("""COMPUTED_VALUE"""),"KITCHEN-IT")</f>
        <v>KITCHEN-IT</v>
      </c>
      <c r="AM89" s="12"/>
      <c r="AN89" s="12"/>
      <c r="AO89" s="12"/>
      <c r="AP89" s="12"/>
      <c r="AQ89" s="12"/>
      <c r="BC89" s="12"/>
      <c r="BH89" s="12" t="str">
        <f>IFERROR(__xludf.DUMMYFUNCTION("IFERROR(INDEX(QUERY(IMPORTRANGE(""1T7HG8KEs-Ob7f3M5atEVN9Yn7IeORGp0QGvggB62ELw"",""Maestro!A:I""),""SELECT Col8 WHERE Col3 = '""&amp;BE89&amp;""'"", 0), 1, 1),""NO ENCONTRADO"")"),"D")</f>
        <v>D</v>
      </c>
      <c r="BI89" s="16">
        <v>1.0</v>
      </c>
      <c r="BJ89" s="16">
        <f t="shared" si="6"/>
        <v>200</v>
      </c>
      <c r="BK89" s="12"/>
      <c r="BR89" s="12"/>
      <c r="BY89" s="14"/>
      <c r="BZ89" s="14"/>
      <c r="CA89" s="14"/>
      <c r="CB89" s="14"/>
      <c r="CC89" s="14"/>
      <c r="CD89" s="14"/>
      <c r="CE89" s="14"/>
      <c r="CF89" s="12"/>
      <c r="CG89" s="12"/>
      <c r="CH89" s="12"/>
      <c r="CI89" s="12"/>
      <c r="CJ89" s="12"/>
      <c r="CK89" s="12"/>
      <c r="CL89" s="12"/>
      <c r="CM89" s="12"/>
      <c r="CN89" s="12"/>
      <c r="CO89" s="12"/>
    </row>
    <row r="90">
      <c r="A90" s="92">
        <v>3.0</v>
      </c>
      <c r="B90" s="93" t="s">
        <v>48</v>
      </c>
      <c r="C90" s="94" t="s">
        <v>145</v>
      </c>
      <c r="D90" s="95" t="str">
        <f t="shared" si="1"/>
        <v>3-7-4A</v>
      </c>
      <c r="E90" s="50"/>
      <c r="F90" s="51"/>
      <c r="G90" s="46"/>
      <c r="H90" s="47"/>
      <c r="I90" s="48"/>
      <c r="J90" s="115"/>
      <c r="K90" s="27" t="str">
        <f t="shared" si="2"/>
        <v>DISPONIBLE</v>
      </c>
      <c r="L90" s="28">
        <f t="shared" si="7"/>
        <v>89</v>
      </c>
      <c r="M90" s="28" t="s">
        <v>23</v>
      </c>
      <c r="N90" s="70"/>
      <c r="O90" s="29"/>
      <c r="P90" s="12"/>
      <c r="Q90" s="12"/>
      <c r="R90" s="12"/>
      <c r="S90" s="12"/>
      <c r="T90" s="12"/>
      <c r="U90" s="12"/>
      <c r="V90" s="12"/>
      <c r="AB90" s="12"/>
      <c r="AC90" s="12" t="str">
        <f>IFERROR(__xludf.DUMMYFUNCTION("""COMPUTED_VALUE"""),"4-14-B")</f>
        <v>4-14-B</v>
      </c>
      <c r="AD90" s="12" t="str">
        <f>IFERROR(__xludf.DUMMYFUNCTION("""COMPUTED_VALUE"""),"TV4PKI")</f>
        <v>TV4PKI</v>
      </c>
      <c r="AE90" s="12" t="str">
        <f>IFERROR(__xludf.DUMMYFUNCTION("""COMPUTED_VALUE"""),"Tostador Vienna Kitchen-It")</f>
        <v>Tostador Vienna Kitchen-It</v>
      </c>
      <c r="AF90" s="30">
        <f>IFERROR(__xludf.DUMMYFUNCTION("""COMPUTED_VALUE"""),110.0)</f>
        <v>110</v>
      </c>
      <c r="AG90" s="12" t="str">
        <f>IFERROR(__xludf.DUMMYFUNCTION("""COMPUTED_VALUE"""),"Contenedor")</f>
        <v>Contenedor</v>
      </c>
      <c r="AH90" s="12">
        <f>IFERROR(__xludf.DUMMYFUNCTION("""COMPUTED_VALUE"""),4.0)</f>
        <v>4</v>
      </c>
      <c r="AI90" s="12" t="str">
        <f>IFERROR(__xludf.DUMMYFUNCTION("""COMPUTED_VALUE"""),"14")</f>
        <v>14</v>
      </c>
      <c r="AJ90" s="12" t="str">
        <f>IFERROR(__xludf.DUMMYFUNCTION("""COMPUTED_VALUE"""),"B")</f>
        <v>B</v>
      </c>
      <c r="AK90" s="12">
        <f>IFERROR(__xludf.DUMMYFUNCTION("""COMPUTED_VALUE"""),175.0)</f>
        <v>175</v>
      </c>
      <c r="AL90" s="12" t="str">
        <f>IFERROR(__xludf.DUMMYFUNCTION("""COMPUTED_VALUE"""),"KITCHEN-IT")</f>
        <v>KITCHEN-IT</v>
      </c>
      <c r="AM90" s="12"/>
      <c r="AN90" s="12"/>
      <c r="AO90" s="12"/>
      <c r="AP90" s="12"/>
      <c r="AQ90" s="12"/>
      <c r="BC90" s="12"/>
      <c r="BH90" s="12" t="str">
        <f>IFERROR(__xludf.DUMMYFUNCTION("IFERROR(INDEX(QUERY(IMPORTRANGE(""1T7HG8KEs-Ob7f3M5atEVN9Yn7IeORGp0QGvggB62ELw"",""Maestro!A:I""),""SELECT Col8 WHERE Col3 = '""&amp;BE90&amp;""'"", 0), 1, 1),""NO ENCONTRADO"")"),"D")</f>
        <v>D</v>
      </c>
      <c r="BI90" s="16">
        <v>1.0</v>
      </c>
      <c r="BJ90" s="16">
        <f t="shared" si="6"/>
        <v>200</v>
      </c>
      <c r="BK90" s="12"/>
      <c r="BR90" s="12"/>
      <c r="BY90" s="14"/>
      <c r="BZ90" s="14"/>
      <c r="CA90" s="14"/>
      <c r="CB90" s="14"/>
      <c r="CC90" s="14"/>
      <c r="CD90" s="14"/>
      <c r="CE90" s="14"/>
      <c r="CF90" s="12"/>
      <c r="CG90" s="12"/>
      <c r="CH90" s="12"/>
      <c r="CI90" s="12"/>
      <c r="CJ90" s="12"/>
      <c r="CK90" s="12"/>
      <c r="CL90" s="12"/>
      <c r="CM90" s="12"/>
      <c r="CN90" s="12"/>
      <c r="CO90" s="12"/>
    </row>
    <row r="91">
      <c r="A91" s="92">
        <v>3.0</v>
      </c>
      <c r="B91" s="93" t="s">
        <v>48</v>
      </c>
      <c r="C91" s="94" t="s">
        <v>181</v>
      </c>
      <c r="D91" s="95" t="str">
        <f t="shared" si="1"/>
        <v>3-7-4B</v>
      </c>
      <c r="E91" s="96">
        <v>45733.0</v>
      </c>
      <c r="F91" s="97" t="s">
        <v>19</v>
      </c>
      <c r="G91" s="98" t="s">
        <v>161</v>
      </c>
      <c r="H91" s="99" t="s">
        <v>162</v>
      </c>
      <c r="I91" s="100">
        <v>55.0</v>
      </c>
      <c r="J91" s="101" t="s">
        <v>22</v>
      </c>
      <c r="K91" s="32" t="str">
        <f t="shared" si="2"/>
        <v>OCUPADO</v>
      </c>
      <c r="L91" s="33">
        <f t="shared" si="7"/>
        <v>90</v>
      </c>
      <c r="M91" s="33" t="s">
        <v>23</v>
      </c>
      <c r="N91" s="53"/>
      <c r="O91" s="34" t="s">
        <v>24</v>
      </c>
      <c r="P91" s="12"/>
      <c r="Q91" s="12"/>
      <c r="R91" s="12"/>
      <c r="S91" s="12"/>
      <c r="T91" s="12"/>
      <c r="U91" s="12"/>
      <c r="V91" s="12"/>
      <c r="AB91" s="12"/>
      <c r="AC91" s="12" t="str">
        <f>IFERROR(__xludf.DUMMYFUNCTION("""COMPUTED_VALUE"""),"4-14-C")</f>
        <v>4-14-C</v>
      </c>
      <c r="AD91" s="12" t="str">
        <f>IFERROR(__xludf.DUMMYFUNCTION("""COMPUTED_VALUE"""),"TV4PKI")</f>
        <v>TV4PKI</v>
      </c>
      <c r="AE91" s="12" t="str">
        <f>IFERROR(__xludf.DUMMYFUNCTION("""COMPUTED_VALUE"""),"Tostador Vienna Kitchen-It")</f>
        <v>Tostador Vienna Kitchen-It</v>
      </c>
      <c r="AF91" s="30">
        <f>IFERROR(__xludf.DUMMYFUNCTION("""COMPUTED_VALUE"""),82.0)</f>
        <v>82</v>
      </c>
      <c r="AG91" s="12" t="str">
        <f>IFERROR(__xludf.DUMMYFUNCTION("""COMPUTED_VALUE"""),"Contenedor")</f>
        <v>Contenedor</v>
      </c>
      <c r="AH91" s="12">
        <f>IFERROR(__xludf.DUMMYFUNCTION("""COMPUTED_VALUE"""),4.0)</f>
        <v>4</v>
      </c>
      <c r="AI91" s="12" t="str">
        <f>IFERROR(__xludf.DUMMYFUNCTION("""COMPUTED_VALUE"""),"14")</f>
        <v>14</v>
      </c>
      <c r="AJ91" s="12" t="str">
        <f>IFERROR(__xludf.DUMMYFUNCTION("""COMPUTED_VALUE"""),"C")</f>
        <v>C</v>
      </c>
      <c r="AK91" s="12">
        <f>IFERROR(__xludf.DUMMYFUNCTION("""COMPUTED_VALUE"""),176.0)</f>
        <v>176</v>
      </c>
      <c r="AL91" s="12" t="str">
        <f>IFERROR(__xludf.DUMMYFUNCTION("""COMPUTED_VALUE"""),"KITCHEN-IT")</f>
        <v>KITCHEN-IT</v>
      </c>
      <c r="AM91" s="12"/>
      <c r="AN91" s="12"/>
      <c r="AO91" s="12"/>
      <c r="AP91" s="12"/>
      <c r="AQ91" s="12"/>
      <c r="BC91" s="12"/>
      <c r="BH91" s="12" t="str">
        <f>IFERROR(__xludf.DUMMYFUNCTION("IFERROR(INDEX(QUERY(IMPORTRANGE(""1T7HG8KEs-Ob7f3M5atEVN9Yn7IeORGp0QGvggB62ELw"",""Maestro!A:I""),""SELECT Col8 WHERE Col3 = '""&amp;BE91&amp;""'"", 0), 1, 1),""NO ENCONTRADO"")"),"D")</f>
        <v>D</v>
      </c>
      <c r="BI91" s="16">
        <v>1.0</v>
      </c>
      <c r="BJ91" s="16">
        <f t="shared" si="6"/>
        <v>150</v>
      </c>
      <c r="BK91" s="12"/>
      <c r="BR91" s="12"/>
      <c r="BY91" s="14"/>
      <c r="BZ91" s="14"/>
      <c r="CA91" s="14"/>
      <c r="CB91" s="14"/>
      <c r="CC91" s="14"/>
      <c r="CD91" s="14"/>
      <c r="CE91" s="14"/>
      <c r="CF91" s="12"/>
      <c r="CG91" s="12"/>
      <c r="CH91" s="12"/>
      <c r="CI91" s="12"/>
      <c r="CJ91" s="12"/>
      <c r="CK91" s="12"/>
      <c r="CL91" s="12"/>
      <c r="CM91" s="12"/>
      <c r="CN91" s="12"/>
      <c r="CO91" s="12"/>
    </row>
    <row r="92">
      <c r="A92" s="92">
        <v>3.0</v>
      </c>
      <c r="B92" s="93" t="s">
        <v>48</v>
      </c>
      <c r="C92" s="94" t="s">
        <v>192</v>
      </c>
      <c r="D92" s="95" t="str">
        <f t="shared" si="1"/>
        <v>3-7-5B</v>
      </c>
      <c r="E92" s="50"/>
      <c r="F92" s="51"/>
      <c r="G92" s="46"/>
      <c r="H92" s="47"/>
      <c r="I92" s="48"/>
      <c r="J92" s="52"/>
      <c r="K92" s="27" t="str">
        <f t="shared" si="2"/>
        <v>DISPONIBLE</v>
      </c>
      <c r="L92" s="28">
        <f t="shared" si="7"/>
        <v>91</v>
      </c>
      <c r="M92" s="28" t="s">
        <v>23</v>
      </c>
      <c r="N92" s="70"/>
      <c r="O92" s="140"/>
      <c r="P92" s="12"/>
      <c r="Q92" s="12"/>
      <c r="R92" s="12"/>
      <c r="S92" s="12"/>
      <c r="T92" s="12"/>
      <c r="U92" s="12"/>
      <c r="V92" s="12"/>
      <c r="AB92" s="12"/>
      <c r="AC92" s="12" t="str">
        <f>IFERROR(__xludf.DUMMYFUNCTION("""COMPUTED_VALUE"""),"4-15-A")</f>
        <v>4-15-A</v>
      </c>
      <c r="AD92" s="12" t="str">
        <f>IFERROR(__xludf.DUMMYFUNCTION("""COMPUTED_VALUE"""),"FAME12L")</f>
        <v>FAME12L</v>
      </c>
      <c r="AE92" s="12" t="str">
        <f>IFERROR(__xludf.DUMMYFUNCTION("""COMPUTED_VALUE"""),"Freidora de Aire Max Edition 12L")</f>
        <v>Freidora de Aire Max Edition 12L</v>
      </c>
      <c r="AF92" s="30">
        <f>IFERROR(__xludf.DUMMYFUNCTION("""COMPUTED_VALUE"""),63.0)</f>
        <v>63</v>
      </c>
      <c r="AG92" s="12" t="str">
        <f>IFERROR(__xludf.DUMMYFUNCTION("""COMPUTED_VALUE"""),"Contenedor")</f>
        <v>Contenedor</v>
      </c>
      <c r="AH92" s="12">
        <f>IFERROR(__xludf.DUMMYFUNCTION("""COMPUTED_VALUE"""),4.0)</f>
        <v>4</v>
      </c>
      <c r="AI92" s="12" t="str">
        <f>IFERROR(__xludf.DUMMYFUNCTION("""COMPUTED_VALUE"""),"15")</f>
        <v>15</v>
      </c>
      <c r="AJ92" s="12" t="str">
        <f>IFERROR(__xludf.DUMMYFUNCTION("""COMPUTED_VALUE"""),"A")</f>
        <v>A</v>
      </c>
      <c r="AK92" s="12">
        <f>IFERROR(__xludf.DUMMYFUNCTION("""COMPUTED_VALUE"""),178.0)</f>
        <v>178</v>
      </c>
      <c r="AL92" s="12" t="str">
        <f>IFERROR(__xludf.DUMMYFUNCTION("""COMPUTED_VALUE"""),"KITCHEN-IT")</f>
        <v>KITCHEN-IT</v>
      </c>
      <c r="AM92" s="12"/>
      <c r="AN92" s="12"/>
      <c r="AO92" s="12"/>
      <c r="AP92" s="12"/>
      <c r="AQ92" s="12"/>
      <c r="BC92" s="12"/>
      <c r="BH92" s="12" t="str">
        <f>IFERROR(__xludf.DUMMYFUNCTION("IFERROR(INDEX(QUERY(IMPORTRANGE(""1T7HG8KEs-Ob7f3M5atEVN9Yn7IeORGp0QGvggB62ELw"",""Maestro!A:I""),""SELECT Col8 WHERE Col3 = '""&amp;BE92&amp;""'"", 0), 1, 1),""NO ENCONTRADO"")"),"D")</f>
        <v>D</v>
      </c>
      <c r="BI92" s="16">
        <v>1.0</v>
      </c>
      <c r="BJ92" s="16">
        <f t="shared" si="6"/>
        <v>225</v>
      </c>
      <c r="BK92" s="12"/>
      <c r="BR92" s="12"/>
      <c r="BY92" s="14"/>
      <c r="BZ92" s="14"/>
      <c r="CA92" s="14"/>
      <c r="CB92" s="14"/>
      <c r="CC92" s="14"/>
      <c r="CD92" s="14"/>
      <c r="CE92" s="14"/>
      <c r="CF92" s="12"/>
      <c r="CG92" s="12"/>
      <c r="CH92" s="12"/>
      <c r="CI92" s="12"/>
      <c r="CJ92" s="12"/>
      <c r="CK92" s="12"/>
      <c r="CL92" s="12"/>
      <c r="CM92" s="12"/>
      <c r="CN92" s="12"/>
      <c r="CO92" s="12"/>
    </row>
    <row r="93">
      <c r="A93" s="123">
        <v>3.0</v>
      </c>
      <c r="B93" s="94" t="s">
        <v>48</v>
      </c>
      <c r="C93" s="94" t="s">
        <v>188</v>
      </c>
      <c r="D93" s="95" t="str">
        <f t="shared" si="1"/>
        <v>3-7-5A</v>
      </c>
      <c r="E93" s="141"/>
      <c r="F93" s="137"/>
      <c r="G93" s="138"/>
      <c r="H93" s="138"/>
      <c r="I93" s="142"/>
      <c r="J93" s="138"/>
      <c r="K93" s="32" t="str">
        <f t="shared" si="2"/>
        <v>DISPONIBLE</v>
      </c>
      <c r="L93" s="33">
        <f t="shared" si="7"/>
        <v>92</v>
      </c>
      <c r="M93" s="33" t="s">
        <v>23</v>
      </c>
      <c r="N93" s="143"/>
      <c r="O93" s="34"/>
      <c r="P93" s="12"/>
      <c r="Q93" s="12"/>
      <c r="R93" s="12"/>
      <c r="S93" s="12"/>
      <c r="T93" s="12"/>
      <c r="U93" s="12"/>
      <c r="V93" s="12"/>
      <c r="AB93" s="12"/>
      <c r="AC93" s="12" t="str">
        <f>IFERROR(__xludf.DUMMYFUNCTION("""COMPUTED_VALUE"""),"4-15-B")</f>
        <v>4-15-B</v>
      </c>
      <c r="AD93" s="12" t="str">
        <f>IFERROR(__xludf.DUMMYFUNCTION("""COMPUTED_VALUE"""),"FAME12L")</f>
        <v>FAME12L</v>
      </c>
      <c r="AE93" s="12" t="str">
        <f>IFERROR(__xludf.DUMMYFUNCTION("""COMPUTED_VALUE"""),"Freidora de Aire Max Edition 12L")</f>
        <v>Freidora de Aire Max Edition 12L</v>
      </c>
      <c r="AF93" s="30">
        <f>IFERROR(__xludf.DUMMYFUNCTION("""COMPUTED_VALUE"""),63.0)</f>
        <v>63</v>
      </c>
      <c r="AG93" s="12" t="str">
        <f>IFERROR(__xludf.DUMMYFUNCTION("""COMPUTED_VALUE"""),"Contenedor")</f>
        <v>Contenedor</v>
      </c>
      <c r="AH93" s="12">
        <f>IFERROR(__xludf.DUMMYFUNCTION("""COMPUTED_VALUE"""),4.0)</f>
        <v>4</v>
      </c>
      <c r="AI93" s="12" t="str">
        <f>IFERROR(__xludf.DUMMYFUNCTION("""COMPUTED_VALUE"""),"15")</f>
        <v>15</v>
      </c>
      <c r="AJ93" s="12" t="str">
        <f>IFERROR(__xludf.DUMMYFUNCTION("""COMPUTED_VALUE"""),"B")</f>
        <v>B</v>
      </c>
      <c r="AK93" s="12">
        <f>IFERROR(__xludf.DUMMYFUNCTION("""COMPUTED_VALUE"""),179.0)</f>
        <v>179</v>
      </c>
      <c r="AL93" s="12" t="str">
        <f>IFERROR(__xludf.DUMMYFUNCTION("""COMPUTED_VALUE"""),"KITCHEN-IT")</f>
        <v>KITCHEN-IT</v>
      </c>
      <c r="AM93" s="12"/>
      <c r="AN93" s="12"/>
      <c r="AO93" s="12"/>
      <c r="AP93" s="12"/>
      <c r="AQ93" s="12"/>
      <c r="BC93" s="12"/>
      <c r="BH93" s="12" t="str">
        <f>IFERROR(__xludf.DUMMYFUNCTION("IFERROR(INDEX(QUERY(IMPORTRANGE(""1T7HG8KEs-Ob7f3M5atEVN9Yn7IeORGp0QGvggB62ELw"",""Maestro!A:I""),""SELECT Col8 WHERE Col3 = '""&amp;BE93&amp;""'"", 0), 1, 1),""NO ENCONTRADO"")"),"D")</f>
        <v>D</v>
      </c>
      <c r="BI93" s="16">
        <v>1.0</v>
      </c>
      <c r="BJ93" s="16">
        <f t="shared" si="6"/>
        <v>225</v>
      </c>
      <c r="BK93" s="12"/>
      <c r="BR93" s="12"/>
      <c r="BY93" s="14"/>
      <c r="BZ93" s="14"/>
      <c r="CA93" s="14"/>
      <c r="CB93" s="14"/>
      <c r="CC93" s="14"/>
      <c r="CD93" s="14"/>
      <c r="CE93" s="14"/>
      <c r="CF93" s="12"/>
      <c r="CG93" s="12"/>
      <c r="CH93" s="12"/>
      <c r="CI93" s="12"/>
      <c r="CJ93" s="12"/>
      <c r="CK93" s="12"/>
      <c r="CL93" s="12"/>
      <c r="CM93" s="12"/>
      <c r="CN93" s="12"/>
      <c r="CO93" s="12"/>
    </row>
    <row r="94">
      <c r="A94" s="92">
        <v>3.0</v>
      </c>
      <c r="B94" s="93" t="s">
        <v>216</v>
      </c>
      <c r="C94" s="94" t="s">
        <v>18</v>
      </c>
      <c r="D94" s="95" t="str">
        <f t="shared" si="1"/>
        <v>3-NV-1</v>
      </c>
      <c r="E94" s="96">
        <v>45818.0</v>
      </c>
      <c r="F94" s="97" t="s">
        <v>484</v>
      </c>
      <c r="G94" s="98" t="s">
        <v>210</v>
      </c>
      <c r="H94" s="99" t="s">
        <v>211</v>
      </c>
      <c r="I94" s="100">
        <v>68.0</v>
      </c>
      <c r="J94" s="101" t="s">
        <v>22</v>
      </c>
      <c r="K94" s="27" t="str">
        <f t="shared" si="2"/>
        <v>OCUPADO</v>
      </c>
      <c r="L94" s="28">
        <f t="shared" si="7"/>
        <v>93</v>
      </c>
      <c r="M94" s="28" t="s">
        <v>485</v>
      </c>
      <c r="N94" s="70"/>
      <c r="O94" s="29" t="s">
        <v>24</v>
      </c>
      <c r="P94" s="12"/>
      <c r="Q94" s="12"/>
      <c r="R94" s="12"/>
      <c r="S94" s="12"/>
      <c r="T94" s="12"/>
      <c r="U94" s="12"/>
      <c r="V94" s="12"/>
      <c r="AB94" s="12"/>
      <c r="AC94" s="12" t="str">
        <f>IFERROR(__xludf.DUMMYFUNCTION("""COMPUTED_VALUE"""),"4-15-C")</f>
        <v>4-15-C</v>
      </c>
      <c r="AD94" s="12" t="str">
        <f>IFERROR(__xludf.DUMMYFUNCTION("""COMPUTED_VALUE"""),"FAME12L")</f>
        <v>FAME12L</v>
      </c>
      <c r="AE94" s="12" t="str">
        <f>IFERROR(__xludf.DUMMYFUNCTION("""COMPUTED_VALUE"""),"Freidora de Aire Max Edition 12L")</f>
        <v>Freidora de Aire Max Edition 12L</v>
      </c>
      <c r="AF94" s="30">
        <f>IFERROR(__xludf.DUMMYFUNCTION("""COMPUTED_VALUE"""),61.0)</f>
        <v>61</v>
      </c>
      <c r="AG94" s="12" t="str">
        <f>IFERROR(__xludf.DUMMYFUNCTION("""COMPUTED_VALUE"""),"Contenedor")</f>
        <v>Contenedor</v>
      </c>
      <c r="AH94" s="12">
        <f>IFERROR(__xludf.DUMMYFUNCTION("""COMPUTED_VALUE"""),4.0)</f>
        <v>4</v>
      </c>
      <c r="AI94" s="12" t="str">
        <f>IFERROR(__xludf.DUMMYFUNCTION("""COMPUTED_VALUE"""),"15")</f>
        <v>15</v>
      </c>
      <c r="AJ94" s="12" t="str">
        <f>IFERROR(__xludf.DUMMYFUNCTION("""COMPUTED_VALUE"""),"C")</f>
        <v>C</v>
      </c>
      <c r="AK94" s="12">
        <f>IFERROR(__xludf.DUMMYFUNCTION("""COMPUTED_VALUE"""),180.0)</f>
        <v>180</v>
      </c>
      <c r="AL94" s="12" t="str">
        <f>IFERROR(__xludf.DUMMYFUNCTION("""COMPUTED_VALUE"""),"KITCHEN-IT")</f>
        <v>KITCHEN-IT</v>
      </c>
      <c r="AM94" s="12"/>
      <c r="AN94" s="12"/>
      <c r="AO94" s="12"/>
      <c r="AP94" s="12"/>
      <c r="AQ94" s="12"/>
      <c r="BC94" s="12"/>
      <c r="BH94" s="12" t="str">
        <f>IFERROR(__xludf.DUMMYFUNCTION("IFERROR(INDEX(QUERY(IMPORTRANGE(""1T7HG8KEs-Ob7f3M5atEVN9Yn7IeORGp0QGvggB62ELw"",""Maestro!A:I""),""SELECT Col8 WHERE Col3 = '""&amp;BE94&amp;""'"", 0), 1, 1),""NO ENCONTRADO"")"),"D")</f>
        <v>D</v>
      </c>
      <c r="BI94" s="16">
        <v>1.0</v>
      </c>
      <c r="BJ94" s="16">
        <f t="shared" si="6"/>
        <v>225</v>
      </c>
      <c r="BK94" s="12"/>
      <c r="BR94" s="12"/>
      <c r="BY94" s="14"/>
      <c r="BZ94" s="14"/>
      <c r="CA94" s="14"/>
      <c r="CB94" s="14"/>
      <c r="CC94" s="14"/>
      <c r="CD94" s="14"/>
      <c r="CE94" s="14"/>
      <c r="CF94" s="12"/>
      <c r="CG94" s="12"/>
      <c r="CH94" s="12"/>
      <c r="CI94" s="12"/>
      <c r="CJ94" s="12"/>
      <c r="CK94" s="12"/>
      <c r="CL94" s="12"/>
      <c r="CM94" s="12"/>
      <c r="CN94" s="12"/>
      <c r="CO94" s="12"/>
    </row>
    <row r="95">
      <c r="A95" s="92">
        <v>3.0</v>
      </c>
      <c r="B95" s="93" t="s">
        <v>216</v>
      </c>
      <c r="C95" s="94" t="s">
        <v>32</v>
      </c>
      <c r="D95" s="95" t="str">
        <f t="shared" si="1"/>
        <v>3-NV-2</v>
      </c>
      <c r="E95" s="96">
        <v>45818.0</v>
      </c>
      <c r="F95" s="97" t="s">
        <v>489</v>
      </c>
      <c r="G95" s="98" t="s">
        <v>172</v>
      </c>
      <c r="H95" s="99" t="s">
        <v>50</v>
      </c>
      <c r="I95" s="100">
        <v>54.0</v>
      </c>
      <c r="J95" s="101" t="s">
        <v>22</v>
      </c>
      <c r="K95" s="32" t="str">
        <f t="shared" si="2"/>
        <v>OCUPADO</v>
      </c>
      <c r="L95" s="33">
        <f t="shared" si="7"/>
        <v>94</v>
      </c>
      <c r="M95" s="33" t="s">
        <v>485</v>
      </c>
      <c r="N95" s="53"/>
      <c r="O95" s="34" t="s">
        <v>24</v>
      </c>
      <c r="P95" s="12"/>
      <c r="Q95" s="12"/>
      <c r="R95" s="12"/>
      <c r="S95" s="12"/>
      <c r="T95" s="12"/>
      <c r="U95" s="12"/>
      <c r="V95" s="12"/>
      <c r="AB95" s="12"/>
      <c r="AC95" s="12" t="str">
        <f>IFERROR(__xludf.DUMMYFUNCTION("""COMPUTED_VALUE"""),"4-16-A")</f>
        <v>4-16-A</v>
      </c>
      <c r="AD95" s="12" t="str">
        <f>IFERROR(__xludf.DUMMYFUNCTION("""COMPUTED_VALUE"""),"FAME12L")</f>
        <v>FAME12L</v>
      </c>
      <c r="AE95" s="12" t="str">
        <f>IFERROR(__xludf.DUMMYFUNCTION("""COMPUTED_VALUE"""),"Freidora de Aire Max Edition 12L")</f>
        <v>Freidora de Aire Max Edition 12L</v>
      </c>
      <c r="AF95" s="30">
        <f>IFERROR(__xludf.DUMMYFUNCTION("""COMPUTED_VALUE"""),63.0)</f>
        <v>63</v>
      </c>
      <c r="AG95" s="12" t="str">
        <f>IFERROR(__xludf.DUMMYFUNCTION("""COMPUTED_VALUE"""),"Contenedor")</f>
        <v>Contenedor</v>
      </c>
      <c r="AH95" s="12">
        <f>IFERROR(__xludf.DUMMYFUNCTION("""COMPUTED_VALUE"""),4.0)</f>
        <v>4</v>
      </c>
      <c r="AI95" s="12" t="str">
        <f>IFERROR(__xludf.DUMMYFUNCTION("""COMPUTED_VALUE"""),"16")</f>
        <v>16</v>
      </c>
      <c r="AJ95" s="12" t="str">
        <f>IFERROR(__xludf.DUMMYFUNCTION("""COMPUTED_VALUE"""),"A")</f>
        <v>A</v>
      </c>
      <c r="AK95" s="12">
        <f>IFERROR(__xludf.DUMMYFUNCTION("""COMPUTED_VALUE"""),182.0)</f>
        <v>182</v>
      </c>
      <c r="AL95" s="12" t="str">
        <f>IFERROR(__xludf.DUMMYFUNCTION("""COMPUTED_VALUE"""),"KITCHEN-IT")</f>
        <v>KITCHEN-IT</v>
      </c>
      <c r="AM95" s="12"/>
      <c r="AN95" s="12"/>
      <c r="AO95" s="12"/>
      <c r="AP95" s="12"/>
      <c r="AQ95" s="12"/>
      <c r="BC95" s="12"/>
      <c r="BH95" s="12" t="str">
        <f>IFERROR(__xludf.DUMMYFUNCTION("IFERROR(INDEX(QUERY(IMPORTRANGE(""1T7HG8KEs-Ob7f3M5atEVN9Yn7IeORGp0QGvggB62ELw"",""Maestro!A:I""),""SELECT Col8 WHERE Col3 = '""&amp;BE95&amp;""'"", 0), 1, 1),""NO ENCONTRADO"")"),"D")</f>
        <v>D</v>
      </c>
      <c r="BI95" s="16">
        <v>1.0</v>
      </c>
      <c r="BJ95" s="16">
        <f t="shared" si="6"/>
        <v>225</v>
      </c>
      <c r="BK95" s="12"/>
      <c r="BR95" s="12"/>
      <c r="BY95" s="14"/>
      <c r="BZ95" s="14"/>
      <c r="CA95" s="14"/>
      <c r="CB95" s="14"/>
      <c r="CC95" s="14"/>
      <c r="CD95" s="14"/>
      <c r="CE95" s="14"/>
      <c r="CF95" s="12"/>
      <c r="CG95" s="12"/>
      <c r="CH95" s="12"/>
      <c r="CI95" s="12"/>
      <c r="CJ95" s="12"/>
      <c r="CK95" s="12"/>
      <c r="CL95" s="12"/>
      <c r="CM95" s="12"/>
      <c r="CN95" s="12"/>
      <c r="CO95" s="12"/>
    </row>
    <row r="96">
      <c r="A96" s="92">
        <v>3.0</v>
      </c>
      <c r="B96" s="94" t="s">
        <v>216</v>
      </c>
      <c r="C96" s="94" t="s">
        <v>44</v>
      </c>
      <c r="D96" s="95" t="str">
        <f t="shared" si="1"/>
        <v>3-NV-3</v>
      </c>
      <c r="E96" s="96">
        <v>45818.0</v>
      </c>
      <c r="F96" s="97" t="s">
        <v>493</v>
      </c>
      <c r="G96" s="98" t="s">
        <v>183</v>
      </c>
      <c r="H96" s="99" t="s">
        <v>184</v>
      </c>
      <c r="I96" s="100">
        <v>72.0</v>
      </c>
      <c r="J96" s="101" t="s">
        <v>22</v>
      </c>
      <c r="K96" s="27" t="str">
        <f t="shared" si="2"/>
        <v>OCUPADO</v>
      </c>
      <c r="L96" s="28">
        <f t="shared" si="7"/>
        <v>95</v>
      </c>
      <c r="M96" s="28" t="s">
        <v>485</v>
      </c>
      <c r="N96" s="70"/>
      <c r="O96" s="29" t="s">
        <v>24</v>
      </c>
      <c r="P96" s="12"/>
      <c r="Q96" s="12"/>
      <c r="R96" s="12"/>
      <c r="S96" s="12"/>
      <c r="T96" s="12"/>
      <c r="U96" s="12"/>
      <c r="V96" s="12"/>
      <c r="AB96" s="12"/>
      <c r="AC96" s="12" t="str">
        <f>IFERROR(__xludf.DUMMYFUNCTION("""COMPUTED_VALUE"""),"4-16-B")</f>
        <v>4-16-B</v>
      </c>
      <c r="AD96" s="12" t="str">
        <f>IFERROR(__xludf.DUMMYFUNCTION("""COMPUTED_VALUE"""),"FAME12L")</f>
        <v>FAME12L</v>
      </c>
      <c r="AE96" s="12" t="str">
        <f>IFERROR(__xludf.DUMMYFUNCTION("""COMPUTED_VALUE"""),"Freidora de Aire Max Edition 12L")</f>
        <v>Freidora de Aire Max Edition 12L</v>
      </c>
      <c r="AF96" s="30">
        <f>IFERROR(__xludf.DUMMYFUNCTION("""COMPUTED_VALUE"""),63.0)</f>
        <v>63</v>
      </c>
      <c r="AG96" s="12" t="str">
        <f>IFERROR(__xludf.DUMMYFUNCTION("""COMPUTED_VALUE"""),"Contenedor")</f>
        <v>Contenedor</v>
      </c>
      <c r="AH96" s="12">
        <f>IFERROR(__xludf.DUMMYFUNCTION("""COMPUTED_VALUE"""),4.0)</f>
        <v>4</v>
      </c>
      <c r="AI96" s="12" t="str">
        <f>IFERROR(__xludf.DUMMYFUNCTION("""COMPUTED_VALUE"""),"16")</f>
        <v>16</v>
      </c>
      <c r="AJ96" s="12" t="str">
        <f>IFERROR(__xludf.DUMMYFUNCTION("""COMPUTED_VALUE"""),"B")</f>
        <v>B</v>
      </c>
      <c r="AK96" s="12">
        <f>IFERROR(__xludf.DUMMYFUNCTION("""COMPUTED_VALUE"""),183.0)</f>
        <v>183</v>
      </c>
      <c r="AL96" s="12" t="str">
        <f>IFERROR(__xludf.DUMMYFUNCTION("""COMPUTED_VALUE"""),"KITCHEN-IT")</f>
        <v>KITCHEN-IT</v>
      </c>
      <c r="AM96" s="12"/>
      <c r="AN96" s="12"/>
      <c r="AO96" s="12"/>
      <c r="AP96" s="12"/>
      <c r="AQ96" s="12"/>
      <c r="BC96" s="12"/>
      <c r="BH96" s="12" t="str">
        <f>IFERROR(__xludf.DUMMYFUNCTION("IFERROR(INDEX(QUERY(IMPORTRANGE(""1T7HG8KEs-Ob7f3M5atEVN9Yn7IeORGp0QGvggB62ELw"",""Maestro!A:I""),""SELECT Col8 WHERE Col3 = '""&amp;BE96&amp;""'"", 0), 1, 1),""NO ENCONTRADO"")"),"D")</f>
        <v>D</v>
      </c>
      <c r="BI96" s="16">
        <v>1.0</v>
      </c>
      <c r="BJ96" s="16">
        <f t="shared" si="6"/>
        <v>225</v>
      </c>
      <c r="BK96" s="12"/>
      <c r="BR96" s="12"/>
      <c r="BY96" s="14"/>
      <c r="BZ96" s="14"/>
      <c r="CA96" s="14"/>
      <c r="CB96" s="14"/>
      <c r="CC96" s="14"/>
      <c r="CD96" s="14"/>
      <c r="CE96" s="14"/>
      <c r="CF96" s="12"/>
      <c r="CG96" s="12"/>
      <c r="CH96" s="12"/>
      <c r="CI96" s="12"/>
      <c r="CJ96" s="12"/>
      <c r="CK96" s="12"/>
      <c r="CL96" s="12"/>
      <c r="CM96" s="12"/>
      <c r="CN96" s="12"/>
      <c r="CO96" s="12"/>
    </row>
    <row r="97">
      <c r="A97" s="92">
        <v>3.0</v>
      </c>
      <c r="B97" s="94" t="s">
        <v>216</v>
      </c>
      <c r="C97" s="94" t="s">
        <v>53</v>
      </c>
      <c r="D97" s="95" t="s">
        <v>225</v>
      </c>
      <c r="E97" s="96">
        <v>45776.0</v>
      </c>
      <c r="F97" s="144" t="s">
        <v>497</v>
      </c>
      <c r="G97" s="98" t="s">
        <v>221</v>
      </c>
      <c r="H97" s="99" t="s">
        <v>222</v>
      </c>
      <c r="I97" s="25">
        <v>1230.0</v>
      </c>
      <c r="J97" s="101" t="s">
        <v>22</v>
      </c>
      <c r="K97" s="32" t="str">
        <f t="shared" si="2"/>
        <v>OCUPADO</v>
      </c>
      <c r="L97" s="33">
        <f t="shared" si="7"/>
        <v>96</v>
      </c>
      <c r="M97" s="33" t="s">
        <v>485</v>
      </c>
      <c r="N97" s="33"/>
      <c r="O97" s="34" t="s">
        <v>24</v>
      </c>
      <c r="P97" s="12"/>
      <c r="Q97" s="12"/>
      <c r="R97" s="12"/>
      <c r="S97" s="12"/>
      <c r="T97" s="12"/>
      <c r="U97" s="12"/>
      <c r="V97" s="12"/>
      <c r="AB97" s="12"/>
      <c r="AC97" s="12" t="str">
        <f>IFERROR(__xludf.DUMMYFUNCTION("""COMPUTED_VALUE"""),"4-16-C")</f>
        <v>4-16-C</v>
      </c>
      <c r="AD97" s="12" t="str">
        <f>IFERROR(__xludf.DUMMYFUNCTION("""COMPUTED_VALUE"""),"FAME12L")</f>
        <v>FAME12L</v>
      </c>
      <c r="AE97" s="12" t="str">
        <f>IFERROR(__xludf.DUMMYFUNCTION("""COMPUTED_VALUE"""),"Freidora de Aire Max Edition 12L")</f>
        <v>Freidora de Aire Max Edition 12L</v>
      </c>
      <c r="AF97" s="30">
        <f>IFERROR(__xludf.DUMMYFUNCTION("""COMPUTED_VALUE"""),63.0)</f>
        <v>63</v>
      </c>
      <c r="AG97" s="12" t="str">
        <f>IFERROR(__xludf.DUMMYFUNCTION("""COMPUTED_VALUE"""),"Contenedor")</f>
        <v>Contenedor</v>
      </c>
      <c r="AH97" s="12">
        <f>IFERROR(__xludf.DUMMYFUNCTION("""COMPUTED_VALUE"""),4.0)</f>
        <v>4</v>
      </c>
      <c r="AI97" s="12" t="str">
        <f>IFERROR(__xludf.DUMMYFUNCTION("""COMPUTED_VALUE"""),"16")</f>
        <v>16</v>
      </c>
      <c r="AJ97" s="12" t="str">
        <f>IFERROR(__xludf.DUMMYFUNCTION("""COMPUTED_VALUE"""),"C")</f>
        <v>C</v>
      </c>
      <c r="AK97" s="12">
        <f>IFERROR(__xludf.DUMMYFUNCTION("""COMPUTED_VALUE"""),184.0)</f>
        <v>184</v>
      </c>
      <c r="AL97" s="12" t="str">
        <f>IFERROR(__xludf.DUMMYFUNCTION("""COMPUTED_VALUE"""),"KITCHEN-IT")</f>
        <v>KITCHEN-IT</v>
      </c>
      <c r="AM97" s="12"/>
      <c r="AN97" s="12"/>
      <c r="AO97" s="12"/>
      <c r="AP97" s="12"/>
      <c r="AQ97" s="12"/>
      <c r="BC97" s="12"/>
      <c r="BH97" s="12" t="str">
        <f>IFERROR(__xludf.DUMMYFUNCTION("IFERROR(INDEX(QUERY(IMPORTRANGE(""1T7HG8KEs-Ob7f3M5atEVN9Yn7IeORGp0QGvggB62ELw"",""Maestro!A:I""),""SELECT Col8 WHERE Col3 = '""&amp;BE97&amp;""'"", 0), 1, 1),""NO ENCONTRADO"")"),"D")</f>
        <v>D</v>
      </c>
      <c r="BI97" s="16">
        <v>1.0</v>
      </c>
      <c r="BJ97" s="16">
        <f t="shared" si="6"/>
        <v>350</v>
      </c>
      <c r="BK97" s="12"/>
      <c r="BR97" s="12"/>
      <c r="BY97" s="14"/>
      <c r="BZ97" s="14"/>
      <c r="CA97" s="14"/>
      <c r="CB97" s="14"/>
      <c r="CC97" s="14"/>
      <c r="CD97" s="14"/>
      <c r="CE97" s="14"/>
      <c r="CF97" s="12"/>
      <c r="CG97" s="12"/>
      <c r="CH97" s="12"/>
      <c r="CI97" s="12"/>
      <c r="CJ97" s="12"/>
      <c r="CK97" s="12"/>
      <c r="CL97" s="12"/>
      <c r="CM97" s="12"/>
      <c r="CN97" s="12"/>
      <c r="CO97" s="12"/>
    </row>
    <row r="98">
      <c r="A98" s="92">
        <v>3.0</v>
      </c>
      <c r="B98" s="93" t="s">
        <v>254</v>
      </c>
      <c r="C98" s="94" t="s">
        <v>119</v>
      </c>
      <c r="D98" s="95" t="str">
        <f t="shared" ref="D98:D438" si="8">CONCATENATE(A98,"-",B98,"-",C98)</f>
        <v>3-R-1A</v>
      </c>
      <c r="E98" s="110"/>
      <c r="F98" s="111"/>
      <c r="G98" s="112"/>
      <c r="H98" s="113"/>
      <c r="I98" s="114"/>
      <c r="J98" s="115"/>
      <c r="K98" s="27" t="str">
        <f t="shared" si="2"/>
        <v>DISPONIBLE</v>
      </c>
      <c r="L98" s="28">
        <f t="shared" si="7"/>
        <v>97</v>
      </c>
      <c r="M98" s="28" t="s">
        <v>501</v>
      </c>
      <c r="N98" s="70"/>
      <c r="O98" s="29"/>
      <c r="P98" s="12"/>
      <c r="Q98" s="12"/>
      <c r="R98" s="12"/>
      <c r="S98" s="12"/>
      <c r="T98" s="12"/>
      <c r="U98" s="12"/>
      <c r="V98" s="12"/>
      <c r="AB98" s="12"/>
      <c r="AC98" s="12" t="str">
        <f>IFERROR(__xludf.DUMMYFUNCTION("""COMPUTED_VALUE"""),"4-16-D")</f>
        <v>4-16-D</v>
      </c>
      <c r="AD98" s="12" t="str">
        <f>IFERROR(__xludf.DUMMYFUNCTION("""COMPUTED_VALUE"""),"FAME12L")</f>
        <v>FAME12L</v>
      </c>
      <c r="AE98" s="12" t="str">
        <f>IFERROR(__xludf.DUMMYFUNCTION("""COMPUTED_VALUE"""),"Freidora de Aire Max Edition 12L")</f>
        <v>Freidora de Aire Max Edition 12L</v>
      </c>
      <c r="AF98" s="30">
        <f>IFERROR(__xludf.DUMMYFUNCTION("""COMPUTED_VALUE"""),63.0)</f>
        <v>63</v>
      </c>
      <c r="AG98" s="12" t="str">
        <f>IFERROR(__xludf.DUMMYFUNCTION("""COMPUTED_VALUE"""),"Contenedor")</f>
        <v>Contenedor</v>
      </c>
      <c r="AH98" s="12">
        <f>IFERROR(__xludf.DUMMYFUNCTION("""COMPUTED_VALUE"""),4.0)</f>
        <v>4</v>
      </c>
      <c r="AI98" s="12" t="str">
        <f>IFERROR(__xludf.DUMMYFUNCTION("""COMPUTED_VALUE"""),"16")</f>
        <v>16</v>
      </c>
      <c r="AJ98" s="12" t="str">
        <f>IFERROR(__xludf.DUMMYFUNCTION("""COMPUTED_VALUE"""),"D")</f>
        <v>D</v>
      </c>
      <c r="AK98" s="12">
        <f>IFERROR(__xludf.DUMMYFUNCTION("""COMPUTED_VALUE"""),185.0)</f>
        <v>185</v>
      </c>
      <c r="AL98" s="12" t="str">
        <f>IFERROR(__xludf.DUMMYFUNCTION("""COMPUTED_VALUE"""),"KITCHEN-IT")</f>
        <v>KITCHEN-IT</v>
      </c>
      <c r="AM98" s="12"/>
      <c r="AN98" s="12"/>
      <c r="AO98" s="12"/>
      <c r="AP98" s="12"/>
      <c r="AQ98" s="12"/>
      <c r="BC98" s="12"/>
      <c r="BH98" s="12" t="str">
        <f>IFERROR(__xludf.DUMMYFUNCTION("IFERROR(INDEX(QUERY(IMPORTRANGE(""1T7HG8KEs-Ob7f3M5atEVN9Yn7IeORGp0QGvggB62ELw"",""Maestro!A:I""),""SELECT Col8 WHERE Col3 = '""&amp;BE98&amp;""'"", 0), 1, 1),""NO ENCONTRADO"")"),"D")</f>
        <v>D</v>
      </c>
      <c r="BI98" s="16">
        <v>1.0</v>
      </c>
      <c r="BJ98" s="16">
        <f t="shared" si="6"/>
        <v>350</v>
      </c>
      <c r="BK98" s="12"/>
      <c r="BR98" s="12"/>
      <c r="BY98" s="14"/>
      <c r="BZ98" s="14"/>
      <c r="CA98" s="14"/>
      <c r="CB98" s="14"/>
      <c r="CC98" s="14"/>
      <c r="CD98" s="14"/>
      <c r="CE98" s="14"/>
      <c r="CF98" s="12"/>
      <c r="CG98" s="12"/>
      <c r="CH98" s="12"/>
      <c r="CI98" s="12"/>
      <c r="CJ98" s="12"/>
      <c r="CK98" s="12"/>
      <c r="CL98" s="12"/>
      <c r="CM98" s="12"/>
      <c r="CN98" s="12"/>
      <c r="CO98" s="12"/>
    </row>
    <row r="99">
      <c r="A99" s="92">
        <v>3.0</v>
      </c>
      <c r="B99" s="93" t="s">
        <v>254</v>
      </c>
      <c r="C99" s="94" t="s">
        <v>255</v>
      </c>
      <c r="D99" s="95" t="str">
        <f t="shared" si="8"/>
        <v>3-R-2A1</v>
      </c>
      <c r="E99" s="116">
        <v>45733.0</v>
      </c>
      <c r="F99" s="117" t="s">
        <v>19</v>
      </c>
      <c r="G99" s="118" t="s">
        <v>128</v>
      </c>
      <c r="H99" s="119" t="s">
        <v>242</v>
      </c>
      <c r="I99" s="145">
        <v>666.0</v>
      </c>
      <c r="J99" s="121" t="s">
        <v>22</v>
      </c>
      <c r="K99" s="32" t="str">
        <f t="shared" si="2"/>
        <v>OCUPADO</v>
      </c>
      <c r="L99" s="33">
        <f t="shared" si="7"/>
        <v>98</v>
      </c>
      <c r="M99" s="33" t="s">
        <v>501</v>
      </c>
      <c r="N99" s="53"/>
      <c r="O99" s="34" t="s">
        <v>24</v>
      </c>
      <c r="P99" s="12"/>
      <c r="Q99" s="12"/>
      <c r="R99" s="12"/>
      <c r="S99" s="12"/>
      <c r="T99" s="12"/>
      <c r="U99" s="12"/>
      <c r="V99" s="12"/>
      <c r="AB99" s="12"/>
      <c r="AC99" s="12" t="str">
        <f>IFERROR(__xludf.DUMMYFUNCTION("""COMPUTED_VALUE"""),"4-17-A")</f>
        <v>4-17-A</v>
      </c>
      <c r="AD99" s="12" t="str">
        <f>IFERROR(__xludf.DUMMYFUNCTION("""COMPUTED_VALUE"""),"FAME12L")</f>
        <v>FAME12L</v>
      </c>
      <c r="AE99" s="12" t="str">
        <f>IFERROR(__xludf.DUMMYFUNCTION("""COMPUTED_VALUE"""),"Freidora de Aire Max Edition 12L")</f>
        <v>Freidora de Aire Max Edition 12L</v>
      </c>
      <c r="AF99" s="30">
        <f>IFERROR(__xludf.DUMMYFUNCTION("""COMPUTED_VALUE"""),63.0)</f>
        <v>63</v>
      </c>
      <c r="AG99" s="12" t="str">
        <f>IFERROR(__xludf.DUMMYFUNCTION("""COMPUTED_VALUE"""),"Contenedor")</f>
        <v>Contenedor</v>
      </c>
      <c r="AH99" s="12">
        <f>IFERROR(__xludf.DUMMYFUNCTION("""COMPUTED_VALUE"""),4.0)</f>
        <v>4</v>
      </c>
      <c r="AI99" s="12" t="str">
        <f>IFERROR(__xludf.DUMMYFUNCTION("""COMPUTED_VALUE"""),"17")</f>
        <v>17</v>
      </c>
      <c r="AJ99" s="12" t="str">
        <f>IFERROR(__xludf.DUMMYFUNCTION("""COMPUTED_VALUE"""),"A")</f>
        <v>A</v>
      </c>
      <c r="AK99" s="12">
        <f>IFERROR(__xludf.DUMMYFUNCTION("""COMPUTED_VALUE"""),186.0)</f>
        <v>186</v>
      </c>
      <c r="AL99" s="12" t="str">
        <f>IFERROR(__xludf.DUMMYFUNCTION("""COMPUTED_VALUE"""),"KITCHEN-IT")</f>
        <v>KITCHEN-IT</v>
      </c>
      <c r="AM99" s="12"/>
      <c r="AN99" s="12"/>
      <c r="AO99" s="12"/>
      <c r="AP99" s="12"/>
      <c r="AQ99" s="12"/>
      <c r="BC99" s="12"/>
      <c r="BH99" s="12" t="str">
        <f>IFERROR(__xludf.DUMMYFUNCTION("IFERROR(INDEX(QUERY(IMPORTRANGE(""1T7HG8KEs-Ob7f3M5atEVN9Yn7IeORGp0QGvggB62ELw"",""Maestro!A:I""),""SELECT Col8 WHERE Col3 = '""&amp;BE99&amp;""'"", 0), 1, 1),""NO ENCONTRADO"")"),"D")</f>
        <v>D</v>
      </c>
      <c r="BI99" s="16">
        <v>1.0</v>
      </c>
      <c r="BJ99" s="16">
        <f t="shared" si="6"/>
        <v>350</v>
      </c>
      <c r="BK99" s="12"/>
      <c r="BR99" s="12"/>
      <c r="BY99" s="14"/>
      <c r="BZ99" s="14"/>
      <c r="CA99" s="14"/>
      <c r="CB99" s="14"/>
      <c r="CC99" s="14"/>
      <c r="CD99" s="14"/>
      <c r="CE99" s="14"/>
      <c r="CF99" s="12"/>
      <c r="CG99" s="12"/>
      <c r="CH99" s="12"/>
      <c r="CI99" s="12"/>
      <c r="CJ99" s="12"/>
      <c r="CK99" s="12"/>
      <c r="CL99" s="12"/>
      <c r="CM99" s="12"/>
      <c r="CN99" s="12"/>
      <c r="CO99" s="12"/>
    </row>
    <row r="100">
      <c r="A100" s="92">
        <v>3.0</v>
      </c>
      <c r="B100" s="93" t="s">
        <v>254</v>
      </c>
      <c r="C100" s="94" t="s">
        <v>262</v>
      </c>
      <c r="D100" s="95" t="str">
        <f t="shared" si="8"/>
        <v>3-R-2A2</v>
      </c>
      <c r="E100" s="116">
        <v>45733.0</v>
      </c>
      <c r="F100" s="117" t="s">
        <v>19</v>
      </c>
      <c r="G100" s="118" t="s">
        <v>128</v>
      </c>
      <c r="H100" s="119" t="s">
        <v>242</v>
      </c>
      <c r="I100" s="145">
        <v>666.0</v>
      </c>
      <c r="J100" s="121" t="s">
        <v>22</v>
      </c>
      <c r="K100" s="27" t="str">
        <f t="shared" si="2"/>
        <v>OCUPADO</v>
      </c>
      <c r="L100" s="28">
        <f t="shared" si="7"/>
        <v>99</v>
      </c>
      <c r="M100" s="28" t="s">
        <v>501</v>
      </c>
      <c r="N100" s="70"/>
      <c r="O100" s="29" t="s">
        <v>24</v>
      </c>
      <c r="P100" s="12"/>
      <c r="Q100" s="12"/>
      <c r="R100" s="12"/>
      <c r="S100" s="12"/>
      <c r="T100" s="12"/>
      <c r="U100" s="12"/>
      <c r="V100" s="12"/>
      <c r="AB100" s="12"/>
      <c r="AC100" s="12" t="str">
        <f>IFERROR(__xludf.DUMMYFUNCTION("""COMPUTED_VALUE"""),"4-17-B")</f>
        <v>4-17-B</v>
      </c>
      <c r="AD100" s="12" t="str">
        <f>IFERROR(__xludf.DUMMYFUNCTION("""COMPUTED_VALUE"""),"FAME12L")</f>
        <v>FAME12L</v>
      </c>
      <c r="AE100" s="12" t="str">
        <f>IFERROR(__xludf.DUMMYFUNCTION("""COMPUTED_VALUE"""),"Freidora de Aire Max Edition 12L")</f>
        <v>Freidora de Aire Max Edition 12L</v>
      </c>
      <c r="AF100" s="30">
        <f>IFERROR(__xludf.DUMMYFUNCTION("""COMPUTED_VALUE"""),63.0)</f>
        <v>63</v>
      </c>
      <c r="AG100" s="12" t="str">
        <f>IFERROR(__xludf.DUMMYFUNCTION("""COMPUTED_VALUE"""),"Contenedor")</f>
        <v>Contenedor</v>
      </c>
      <c r="AH100" s="12">
        <f>IFERROR(__xludf.DUMMYFUNCTION("""COMPUTED_VALUE"""),4.0)</f>
        <v>4</v>
      </c>
      <c r="AI100" s="12" t="str">
        <f>IFERROR(__xludf.DUMMYFUNCTION("""COMPUTED_VALUE"""),"17")</f>
        <v>17</v>
      </c>
      <c r="AJ100" s="12" t="str">
        <f>IFERROR(__xludf.DUMMYFUNCTION("""COMPUTED_VALUE"""),"B")</f>
        <v>B</v>
      </c>
      <c r="AK100" s="12">
        <f>IFERROR(__xludf.DUMMYFUNCTION("""COMPUTED_VALUE"""),187.0)</f>
        <v>187</v>
      </c>
      <c r="AL100" s="12" t="str">
        <f>IFERROR(__xludf.DUMMYFUNCTION("""COMPUTED_VALUE"""),"KITCHEN-IT")</f>
        <v>KITCHEN-IT</v>
      </c>
      <c r="AM100" s="12"/>
      <c r="AN100" s="12"/>
      <c r="AO100" s="12"/>
      <c r="AP100" s="12"/>
      <c r="AQ100" s="12"/>
      <c r="BC100" s="12"/>
      <c r="BH100" s="12"/>
      <c r="BI100" s="16"/>
      <c r="BJ100" s="16"/>
      <c r="BK100" s="12"/>
      <c r="BR100" s="12"/>
      <c r="BY100" s="14"/>
      <c r="BZ100" s="14"/>
      <c r="CA100" s="14"/>
      <c r="CB100" s="14"/>
      <c r="CC100" s="14"/>
      <c r="CD100" s="14"/>
      <c r="CE100" s="14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</row>
    <row r="101">
      <c r="A101" s="92">
        <v>3.0</v>
      </c>
      <c r="B101" s="93" t="s">
        <v>254</v>
      </c>
      <c r="C101" s="94" t="s">
        <v>140</v>
      </c>
      <c r="D101" s="95" t="str">
        <f t="shared" si="8"/>
        <v>3-R-2B</v>
      </c>
      <c r="E101" s="96">
        <v>45733.0</v>
      </c>
      <c r="F101" s="97" t="s">
        <v>19</v>
      </c>
      <c r="G101" s="98" t="s">
        <v>167</v>
      </c>
      <c r="H101" s="99" t="s">
        <v>168</v>
      </c>
      <c r="I101" s="100">
        <v>5.0</v>
      </c>
      <c r="J101" s="101" t="s">
        <v>22</v>
      </c>
      <c r="K101" s="32" t="str">
        <f t="shared" si="2"/>
        <v>OCUPADO</v>
      </c>
      <c r="L101" s="33">
        <f>IF(B99&lt;&gt;"", ROW(A99), "")
</f>
        <v>99</v>
      </c>
      <c r="M101" s="33" t="s">
        <v>501</v>
      </c>
      <c r="N101" s="33"/>
      <c r="O101" s="34" t="s">
        <v>24</v>
      </c>
      <c r="P101" s="12"/>
      <c r="Q101" s="12"/>
      <c r="R101" s="12"/>
      <c r="S101" s="12"/>
      <c r="T101" s="12"/>
      <c r="U101" s="12"/>
      <c r="V101" s="12"/>
      <c r="AB101" s="12"/>
      <c r="AC101" s="12" t="str">
        <f>IFERROR(__xludf.DUMMYFUNCTION("""COMPUTED_VALUE"""),"4-17-C")</f>
        <v>4-17-C</v>
      </c>
      <c r="AD101" s="12" t="str">
        <f>IFERROR(__xludf.DUMMYFUNCTION("""COMPUTED_VALUE"""),"FAME12L")</f>
        <v>FAME12L</v>
      </c>
      <c r="AE101" s="12" t="str">
        <f>IFERROR(__xludf.DUMMYFUNCTION("""COMPUTED_VALUE"""),"Freidora de Aire Max Edition 12L")</f>
        <v>Freidora de Aire Max Edition 12L</v>
      </c>
      <c r="AF101" s="30">
        <f>IFERROR(__xludf.DUMMYFUNCTION("""COMPUTED_VALUE"""),63.0)</f>
        <v>63</v>
      </c>
      <c r="AG101" s="12" t="str">
        <f>IFERROR(__xludf.DUMMYFUNCTION("""COMPUTED_VALUE"""),"Contenedor")</f>
        <v>Contenedor</v>
      </c>
      <c r="AH101" s="12">
        <f>IFERROR(__xludf.DUMMYFUNCTION("""COMPUTED_VALUE"""),4.0)</f>
        <v>4</v>
      </c>
      <c r="AI101" s="12" t="str">
        <f>IFERROR(__xludf.DUMMYFUNCTION("""COMPUTED_VALUE"""),"17")</f>
        <v>17</v>
      </c>
      <c r="AJ101" s="12" t="str">
        <f>IFERROR(__xludf.DUMMYFUNCTION("""COMPUTED_VALUE"""),"C")</f>
        <v>C</v>
      </c>
      <c r="AK101" s="12">
        <f>IFERROR(__xludf.DUMMYFUNCTION("""COMPUTED_VALUE"""),188.0)</f>
        <v>188</v>
      </c>
      <c r="AL101" s="12" t="str">
        <f>IFERROR(__xludf.DUMMYFUNCTION("""COMPUTED_VALUE"""),"KITCHEN-IT")</f>
        <v>KITCHEN-IT</v>
      </c>
      <c r="AM101" s="12"/>
      <c r="AN101" s="12"/>
      <c r="AO101" s="12"/>
      <c r="AP101" s="12"/>
      <c r="AQ101" s="12"/>
      <c r="BC101" s="12"/>
      <c r="BH101" s="12" t="str">
        <f>IFERROR(__xludf.DUMMYFUNCTION("IFERROR(INDEX(QUERY(IMPORTRANGE(""1T7HG8KEs-Ob7f3M5atEVN9Yn7IeORGp0QGvggB62ELw"",""Maestro!A:I""),""SELECT Col8 WHERE Col3 = '""&amp;BE101&amp;""'"", 0), 1, 1),""NO ENCONTRADO"")"),"D")</f>
        <v>D</v>
      </c>
      <c r="BI101" s="16">
        <v>1.0</v>
      </c>
      <c r="BJ101" s="16">
        <f t="shared" ref="BJ101:BJ104" si="9">IFERROR(ROUND(IF(BH101="D",BG101/BI101,BG101*BI101),0),1)</f>
        <v>400</v>
      </c>
      <c r="BK101" s="12"/>
      <c r="BR101" s="12"/>
      <c r="BY101" s="14"/>
      <c r="BZ101" s="14"/>
      <c r="CA101" s="14"/>
      <c r="CB101" s="14"/>
      <c r="CC101" s="14"/>
      <c r="CD101" s="14"/>
      <c r="CE101" s="14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</row>
    <row r="102">
      <c r="A102" s="92">
        <v>3.0</v>
      </c>
      <c r="B102" s="94" t="s">
        <v>234</v>
      </c>
      <c r="C102" s="94" t="s">
        <v>18</v>
      </c>
      <c r="D102" s="95" t="str">
        <f t="shared" si="8"/>
        <v>3-PRD-F1-1</v>
      </c>
      <c r="E102" s="110"/>
      <c r="F102" s="111"/>
      <c r="G102" s="112"/>
      <c r="H102" s="113"/>
      <c r="I102" s="114"/>
      <c r="J102" s="115"/>
      <c r="K102" s="27" t="str">
        <f t="shared" si="2"/>
        <v>DISPONIBLE</v>
      </c>
      <c r="L102" s="28">
        <f t="shared" ref="L102:L198" si="10">IF(B101&lt;&gt;"", ROW(A101), "")
</f>
        <v>101</v>
      </c>
      <c r="M102" s="28" t="s">
        <v>515</v>
      </c>
      <c r="N102" s="28"/>
      <c r="O102" s="29"/>
      <c r="P102" s="12"/>
      <c r="Q102" s="12"/>
      <c r="R102" s="12"/>
      <c r="S102" s="12"/>
      <c r="T102" s="12"/>
      <c r="U102" s="12"/>
      <c r="V102" s="12"/>
      <c r="AB102" s="12"/>
      <c r="AC102" s="12" t="str">
        <f>IFERROR(__xludf.DUMMYFUNCTION("""COMPUTED_VALUE"""),"4-17-D")</f>
        <v>4-17-D</v>
      </c>
      <c r="AD102" s="12" t="str">
        <f>IFERROR(__xludf.DUMMYFUNCTION("""COMPUTED_VALUE"""),"FAME12L")</f>
        <v>FAME12L</v>
      </c>
      <c r="AE102" s="12" t="str">
        <f>IFERROR(__xludf.DUMMYFUNCTION("""COMPUTED_VALUE"""),"Freidora de Aire Max Edition 12L")</f>
        <v>Freidora de Aire Max Edition 12L</v>
      </c>
      <c r="AF102" s="30">
        <f>IFERROR(__xludf.DUMMYFUNCTION("""COMPUTED_VALUE"""),63.0)</f>
        <v>63</v>
      </c>
      <c r="AG102" s="12" t="str">
        <f>IFERROR(__xludf.DUMMYFUNCTION("""COMPUTED_VALUE"""),"Contenedor")</f>
        <v>Contenedor</v>
      </c>
      <c r="AH102" s="12">
        <f>IFERROR(__xludf.DUMMYFUNCTION("""COMPUTED_VALUE"""),4.0)</f>
        <v>4</v>
      </c>
      <c r="AI102" s="12" t="str">
        <f>IFERROR(__xludf.DUMMYFUNCTION("""COMPUTED_VALUE"""),"17")</f>
        <v>17</v>
      </c>
      <c r="AJ102" s="12" t="str">
        <f>IFERROR(__xludf.DUMMYFUNCTION("""COMPUTED_VALUE"""),"D")</f>
        <v>D</v>
      </c>
      <c r="AK102" s="12">
        <f>IFERROR(__xludf.DUMMYFUNCTION("""COMPUTED_VALUE"""),189.0)</f>
        <v>189</v>
      </c>
      <c r="AL102" s="12" t="str">
        <f>IFERROR(__xludf.DUMMYFUNCTION("""COMPUTED_VALUE"""),"KITCHEN-IT")</f>
        <v>KITCHEN-IT</v>
      </c>
      <c r="AM102" s="12"/>
      <c r="AN102" s="12"/>
      <c r="AO102" s="12"/>
      <c r="AP102" s="12"/>
      <c r="AQ102" s="12"/>
      <c r="BC102" s="12"/>
      <c r="BH102" s="12" t="str">
        <f>IFERROR(__xludf.DUMMYFUNCTION("IFERROR(INDEX(QUERY(IMPORTRANGE(""1T7HG8KEs-Ob7f3M5atEVN9Yn7IeORGp0QGvggB62ELw"",""Maestro!A:I""),""SELECT Col8 WHERE Col3 = '""&amp;BE102&amp;""'"", 0), 1, 1),""NO ENCONTRADO"")"),"D")</f>
        <v>D</v>
      </c>
      <c r="BI102" s="16">
        <v>1.0</v>
      </c>
      <c r="BJ102" s="16">
        <f t="shared" si="9"/>
        <v>400</v>
      </c>
      <c r="BK102" s="12"/>
      <c r="BR102" s="12"/>
      <c r="BY102" s="14"/>
      <c r="BZ102" s="14"/>
      <c r="CA102" s="14"/>
      <c r="CB102" s="14"/>
      <c r="CC102" s="14"/>
      <c r="CD102" s="14"/>
      <c r="CE102" s="14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</row>
    <row r="103">
      <c r="A103" s="92">
        <v>3.0</v>
      </c>
      <c r="B103" s="94" t="s">
        <v>234</v>
      </c>
      <c r="C103" s="94" t="s">
        <v>32</v>
      </c>
      <c r="D103" s="95" t="str">
        <f t="shared" si="8"/>
        <v>3-PRD-F1-2</v>
      </c>
      <c r="E103" s="110"/>
      <c r="F103" s="111"/>
      <c r="G103" s="112"/>
      <c r="H103" s="113"/>
      <c r="I103" s="114"/>
      <c r="J103" s="115"/>
      <c r="K103" s="32" t="str">
        <f t="shared" si="2"/>
        <v>DISPONIBLE</v>
      </c>
      <c r="L103" s="33">
        <f t="shared" si="10"/>
        <v>102</v>
      </c>
      <c r="M103" s="33" t="s">
        <v>515</v>
      </c>
      <c r="N103" s="53"/>
      <c r="O103" s="34"/>
      <c r="P103" s="12"/>
      <c r="Q103" s="12"/>
      <c r="R103" s="12"/>
      <c r="S103" s="12"/>
      <c r="T103" s="12"/>
      <c r="U103" s="12"/>
      <c r="V103" s="12"/>
      <c r="AB103" s="12"/>
      <c r="AC103" s="12" t="str">
        <f>IFERROR(__xludf.DUMMYFUNCTION("""COMPUTED_VALUE"""),"4-18-A")</f>
        <v>4-18-A</v>
      </c>
      <c r="AD103" s="12" t="str">
        <f>IFERROR(__xludf.DUMMYFUNCTION("""COMPUTED_VALUE"""),"HEBE25L")</f>
        <v>HEBE25L</v>
      </c>
      <c r="AE103" s="12" t="str">
        <f>IFERROR(__xludf.DUMMYFUNCTION("""COMPUTED_VALUE"""),"Hervidor Big Edition 2.5L")</f>
        <v>Hervidor Big Edition 2.5L</v>
      </c>
      <c r="AF103" s="30">
        <f>IFERROR(__xludf.DUMMYFUNCTION("""COMPUTED_VALUE"""),300.0)</f>
        <v>300</v>
      </c>
      <c r="AG103" s="12" t="str">
        <f>IFERROR(__xludf.DUMMYFUNCTION("""COMPUTED_VALUE"""),"Contenedor")</f>
        <v>Contenedor</v>
      </c>
      <c r="AH103" s="12">
        <f>IFERROR(__xludf.DUMMYFUNCTION("""COMPUTED_VALUE"""),4.0)</f>
        <v>4</v>
      </c>
      <c r="AI103" s="12" t="str">
        <f>IFERROR(__xludf.DUMMYFUNCTION("""COMPUTED_VALUE"""),"18")</f>
        <v>18</v>
      </c>
      <c r="AJ103" s="12" t="str">
        <f>IFERROR(__xludf.DUMMYFUNCTION("""COMPUTED_VALUE"""),"A")</f>
        <v>A</v>
      </c>
      <c r="AK103" s="12">
        <f>IFERROR(__xludf.DUMMYFUNCTION("""COMPUTED_VALUE"""),190.0)</f>
        <v>190</v>
      </c>
      <c r="AL103" s="12" t="str">
        <f>IFERROR(__xludf.DUMMYFUNCTION("""COMPUTED_VALUE"""),"KITCHEN-IT")</f>
        <v>KITCHEN-IT</v>
      </c>
      <c r="AM103" s="12"/>
      <c r="AN103" s="12"/>
      <c r="AO103" s="12"/>
      <c r="AP103" s="12"/>
      <c r="AQ103" s="12"/>
      <c r="BC103" s="12"/>
      <c r="BH103" s="12" t="str">
        <f>IFERROR(__xludf.DUMMYFUNCTION("IFERROR(INDEX(QUERY(IMPORTRANGE(""1T7HG8KEs-Ob7f3M5atEVN9Yn7IeORGp0QGvggB62ELw"",""Maestro!A:I""),""SELECT Col8 WHERE Col3 = '""&amp;BE103&amp;""'"", 0), 1, 1),""NO ENCONTRADO"")"),"D")</f>
        <v>D</v>
      </c>
      <c r="BI103" s="16">
        <v>1.0</v>
      </c>
      <c r="BJ103" s="16">
        <f t="shared" si="9"/>
        <v>400</v>
      </c>
      <c r="BK103" s="12"/>
      <c r="BR103" s="12"/>
      <c r="BY103" s="14"/>
      <c r="BZ103" s="14"/>
      <c r="CA103" s="14"/>
      <c r="CB103" s="14"/>
      <c r="CC103" s="14"/>
      <c r="CD103" s="14"/>
      <c r="CE103" s="14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</row>
    <row r="104">
      <c r="A104" s="92">
        <v>3.0</v>
      </c>
      <c r="B104" s="94" t="s">
        <v>234</v>
      </c>
      <c r="C104" s="94" t="s">
        <v>44</v>
      </c>
      <c r="D104" s="95" t="str">
        <f t="shared" si="8"/>
        <v>3-PRD-F1-3</v>
      </c>
      <c r="E104" s="96">
        <v>45763.0</v>
      </c>
      <c r="F104" s="97" t="s">
        <v>523</v>
      </c>
      <c r="G104" s="98" t="s">
        <v>151</v>
      </c>
      <c r="H104" s="99" t="s">
        <v>207</v>
      </c>
      <c r="I104" s="100">
        <v>15.0</v>
      </c>
      <c r="J104" s="101" t="s">
        <v>22</v>
      </c>
      <c r="K104" s="27" t="str">
        <f t="shared" si="2"/>
        <v>OCUPADO</v>
      </c>
      <c r="L104" s="28">
        <f t="shared" si="10"/>
        <v>103</v>
      </c>
      <c r="M104" s="28" t="s">
        <v>515</v>
      </c>
      <c r="N104" s="70"/>
      <c r="O104" s="29" t="s">
        <v>24</v>
      </c>
      <c r="P104" s="12"/>
      <c r="Q104" s="12"/>
      <c r="R104" s="12"/>
      <c r="S104" s="12"/>
      <c r="T104" s="12"/>
      <c r="U104" s="12"/>
      <c r="V104" s="12"/>
      <c r="AB104" s="12"/>
      <c r="AC104" s="12" t="str">
        <f>IFERROR(__xludf.DUMMYFUNCTION("""COMPUTED_VALUE"""),"4-18-B")</f>
        <v>4-18-B</v>
      </c>
      <c r="AD104" s="12" t="str">
        <f>IFERROR(__xludf.DUMMYFUNCTION("""COMPUTED_VALUE"""),"HEBE25L")</f>
        <v>HEBE25L</v>
      </c>
      <c r="AE104" s="12" t="str">
        <f>IFERROR(__xludf.DUMMYFUNCTION("""COMPUTED_VALUE"""),"Hervidor Big Edition 2.5L")</f>
        <v>Hervidor Big Edition 2.5L</v>
      </c>
      <c r="AF104" s="30">
        <f>IFERROR(__xludf.DUMMYFUNCTION("""COMPUTED_VALUE"""),300.0)</f>
        <v>300</v>
      </c>
      <c r="AG104" s="12" t="str">
        <f>IFERROR(__xludf.DUMMYFUNCTION("""COMPUTED_VALUE"""),"Contenedor")</f>
        <v>Contenedor</v>
      </c>
      <c r="AH104" s="12">
        <f>IFERROR(__xludf.DUMMYFUNCTION("""COMPUTED_VALUE"""),4.0)</f>
        <v>4</v>
      </c>
      <c r="AI104" s="12" t="str">
        <f>IFERROR(__xludf.DUMMYFUNCTION("""COMPUTED_VALUE"""),"18")</f>
        <v>18</v>
      </c>
      <c r="AJ104" s="12" t="str">
        <f>IFERROR(__xludf.DUMMYFUNCTION("""COMPUTED_VALUE"""),"B")</f>
        <v>B</v>
      </c>
      <c r="AK104" s="12">
        <f>IFERROR(__xludf.DUMMYFUNCTION("""COMPUTED_VALUE"""),191.0)</f>
        <v>191</v>
      </c>
      <c r="AL104" s="12" t="str">
        <f>IFERROR(__xludf.DUMMYFUNCTION("""COMPUTED_VALUE"""),"KITCHEN-IT")</f>
        <v>KITCHEN-IT</v>
      </c>
      <c r="AM104" s="12"/>
      <c r="AN104" s="12"/>
      <c r="AO104" s="12"/>
      <c r="AP104" s="12"/>
      <c r="AQ104" s="12"/>
      <c r="BC104" s="12"/>
      <c r="BH104" s="12" t="str">
        <f>IFERROR(__xludf.DUMMYFUNCTION("IFERROR(INDEX(QUERY(IMPORTRANGE(""1T7HG8KEs-Ob7f3M5atEVN9Yn7IeORGp0QGvggB62ELw"",""Maestro!A:I""),""SELECT Col8 WHERE Col3 = '""&amp;BE104&amp;""'"", 0), 1, 1),""NO ENCONTRADO"")"),"D")</f>
        <v>D</v>
      </c>
      <c r="BI104" s="16">
        <v>1.0</v>
      </c>
      <c r="BJ104" s="16">
        <f t="shared" si="9"/>
        <v>290</v>
      </c>
      <c r="BK104" s="12"/>
      <c r="BR104" s="12"/>
      <c r="BY104" s="14"/>
      <c r="BZ104" s="14"/>
      <c r="CA104" s="14"/>
      <c r="CB104" s="14"/>
      <c r="CC104" s="14"/>
      <c r="CD104" s="14"/>
      <c r="CE104" s="14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</row>
    <row r="105">
      <c r="A105" s="92">
        <v>3.0</v>
      </c>
      <c r="B105" s="94" t="s">
        <v>234</v>
      </c>
      <c r="C105" s="94" t="s">
        <v>53</v>
      </c>
      <c r="D105" s="95" t="str">
        <f t="shared" si="8"/>
        <v>3-PRD-F1-4</v>
      </c>
      <c r="E105" s="96">
        <v>45763.0</v>
      </c>
      <c r="F105" s="144" t="s">
        <v>523</v>
      </c>
      <c r="G105" s="98">
        <v>692043.0</v>
      </c>
      <c r="H105" s="99" t="s">
        <v>61</v>
      </c>
      <c r="I105" s="100">
        <v>10.0</v>
      </c>
      <c r="J105" s="101" t="s">
        <v>22</v>
      </c>
      <c r="K105" s="32" t="str">
        <f t="shared" si="2"/>
        <v>OCUPADO</v>
      </c>
      <c r="L105" s="33">
        <f t="shared" si="10"/>
        <v>104</v>
      </c>
      <c r="M105" s="33" t="s">
        <v>515</v>
      </c>
      <c r="N105" s="53"/>
      <c r="O105" s="34" t="s">
        <v>24</v>
      </c>
      <c r="P105" s="12"/>
      <c r="Q105" s="12"/>
      <c r="R105" s="12"/>
      <c r="S105" s="12"/>
      <c r="T105" s="12"/>
      <c r="U105" s="12"/>
      <c r="V105" s="12"/>
      <c r="AB105" s="12"/>
      <c r="AC105" s="12" t="str">
        <f>IFERROR(__xludf.DUMMYFUNCTION("""COMPUTED_VALUE"""),"4-18-C")</f>
        <v>4-18-C</v>
      </c>
      <c r="AD105" s="12" t="str">
        <f>IFERROR(__xludf.DUMMYFUNCTION("""COMPUTED_VALUE"""),"HEBE25L")</f>
        <v>HEBE25L</v>
      </c>
      <c r="AE105" s="12" t="str">
        <f>IFERROR(__xludf.DUMMYFUNCTION("""COMPUTED_VALUE"""),"Hervidor Big Edition 2.5L")</f>
        <v>Hervidor Big Edition 2.5L</v>
      </c>
      <c r="AF105" s="30">
        <f>IFERROR(__xludf.DUMMYFUNCTION("""COMPUTED_VALUE"""),300.0)</f>
        <v>300</v>
      </c>
      <c r="AG105" s="12" t="str">
        <f>IFERROR(__xludf.DUMMYFUNCTION("""COMPUTED_VALUE"""),"Contenedor")</f>
        <v>Contenedor</v>
      </c>
      <c r="AH105" s="12">
        <f>IFERROR(__xludf.DUMMYFUNCTION("""COMPUTED_VALUE"""),4.0)</f>
        <v>4</v>
      </c>
      <c r="AI105" s="12" t="str">
        <f>IFERROR(__xludf.DUMMYFUNCTION("""COMPUTED_VALUE"""),"18")</f>
        <v>18</v>
      </c>
      <c r="AJ105" s="12" t="str">
        <f>IFERROR(__xludf.DUMMYFUNCTION("""COMPUTED_VALUE"""),"C")</f>
        <v>C</v>
      </c>
      <c r="AK105" s="12">
        <f>IFERROR(__xludf.DUMMYFUNCTION("""COMPUTED_VALUE"""),192.0)</f>
        <v>192</v>
      </c>
      <c r="AL105" s="12" t="str">
        <f>IFERROR(__xludf.DUMMYFUNCTION("""COMPUTED_VALUE"""),"KITCHEN-IT")</f>
        <v>KITCHEN-IT</v>
      </c>
      <c r="AM105" s="12"/>
      <c r="AN105" s="12"/>
      <c r="AO105" s="12"/>
      <c r="AP105" s="12"/>
      <c r="AQ105" s="12"/>
      <c r="BC105" s="12"/>
      <c r="BH105" s="12" t="str">
        <f>IFERROR(__xludf.DUMMYFUNCTION("IFERROR(INDEX(QUERY(IMPORTRANGE(""1T7HG8KEs-Ob7f3M5atEVN9Yn7IeORGp0QGvggB62ELw"",""Maestro!A:I""),""SELECT Col8 WHERE Col3 = '""&amp;BE105&amp;""'"", 0), 1, 1),""NO ENCONTRADO"")"),"D")</f>
        <v>D</v>
      </c>
      <c r="BI105" s="12"/>
      <c r="BJ105" s="12"/>
      <c r="BK105" s="12"/>
      <c r="BR105" s="12"/>
      <c r="BY105" s="14"/>
      <c r="BZ105" s="14"/>
      <c r="CA105" s="14"/>
      <c r="CB105" s="14"/>
      <c r="CC105" s="14"/>
      <c r="CD105" s="14"/>
      <c r="CE105" s="14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</row>
    <row r="106">
      <c r="A106" s="92">
        <v>3.0</v>
      </c>
      <c r="B106" s="94" t="s">
        <v>234</v>
      </c>
      <c r="C106" s="94" t="s">
        <v>25</v>
      </c>
      <c r="D106" s="95" t="str">
        <f t="shared" si="8"/>
        <v>3-PRD-F1-5</v>
      </c>
      <c r="E106" s="146"/>
      <c r="F106" s="147"/>
      <c r="G106" s="148"/>
      <c r="H106" s="148"/>
      <c r="I106" s="149"/>
      <c r="J106" s="148"/>
      <c r="K106" s="27" t="str">
        <f t="shared" si="2"/>
        <v>DISPONIBLE</v>
      </c>
      <c r="L106" s="28">
        <f t="shared" si="10"/>
        <v>105</v>
      </c>
      <c r="M106" s="28" t="s">
        <v>515</v>
      </c>
      <c r="N106" s="70"/>
      <c r="O106" s="29"/>
      <c r="P106" s="12"/>
      <c r="Q106" s="12"/>
      <c r="R106" s="12"/>
      <c r="S106" s="12"/>
      <c r="T106" s="12"/>
      <c r="U106" s="12"/>
      <c r="V106" s="12"/>
      <c r="AB106" s="12"/>
      <c r="AC106" s="12" t="str">
        <f>IFERROR(__xludf.DUMMYFUNCTION("""COMPUTED_VALUE"""),"4-18-D")</f>
        <v>4-18-D</v>
      </c>
      <c r="AD106" s="12" t="str">
        <f>IFERROR(__xludf.DUMMYFUNCTION("""COMPUTED_VALUE"""),"HEBE25L")</f>
        <v>HEBE25L</v>
      </c>
      <c r="AE106" s="12" t="str">
        <f>IFERROR(__xludf.DUMMYFUNCTION("""COMPUTED_VALUE"""),"Hervidor Big Edition 2.5L")</f>
        <v>Hervidor Big Edition 2.5L</v>
      </c>
      <c r="AF106" s="30">
        <f>IFERROR(__xludf.DUMMYFUNCTION("""COMPUTED_VALUE"""),300.0)</f>
        <v>300</v>
      </c>
      <c r="AG106" s="12" t="str">
        <f>IFERROR(__xludf.DUMMYFUNCTION("""COMPUTED_VALUE"""),"Contenedor")</f>
        <v>Contenedor</v>
      </c>
      <c r="AH106" s="12">
        <f>IFERROR(__xludf.DUMMYFUNCTION("""COMPUTED_VALUE"""),4.0)</f>
        <v>4</v>
      </c>
      <c r="AI106" s="12" t="str">
        <f>IFERROR(__xludf.DUMMYFUNCTION("""COMPUTED_VALUE"""),"18")</f>
        <v>18</v>
      </c>
      <c r="AJ106" s="12" t="str">
        <f>IFERROR(__xludf.DUMMYFUNCTION("""COMPUTED_VALUE"""),"D")</f>
        <v>D</v>
      </c>
      <c r="AK106" s="12">
        <f>IFERROR(__xludf.DUMMYFUNCTION("""COMPUTED_VALUE"""),193.0)</f>
        <v>193</v>
      </c>
      <c r="AL106" s="12" t="str">
        <f>IFERROR(__xludf.DUMMYFUNCTION("""COMPUTED_VALUE"""),"KITCHEN-IT")</f>
        <v>KITCHEN-IT</v>
      </c>
      <c r="AM106" s="12"/>
      <c r="AN106" s="12"/>
      <c r="AO106" s="12"/>
      <c r="AP106" s="12"/>
      <c r="AQ106" s="12"/>
      <c r="BC106" s="12"/>
      <c r="BH106" s="12" t="str">
        <f>IFERROR(__xludf.DUMMYFUNCTION("IFERROR(INDEX(QUERY(IMPORTRANGE(""1T7HG8KEs-Ob7f3M5atEVN9Yn7IeORGp0QGvggB62ELw"",""Maestro!A:I""),""SELECT Col8 WHERE Col3 = '""&amp;BE106&amp;""'"", 0), 1, 1),""NO ENCONTRADO"")"),"D")</f>
        <v>D</v>
      </c>
      <c r="BI106" s="12"/>
      <c r="BJ106" s="12"/>
      <c r="BK106" s="12"/>
      <c r="BR106" s="12"/>
      <c r="BY106" s="14"/>
      <c r="BZ106" s="14"/>
      <c r="CA106" s="14"/>
      <c r="CB106" s="14"/>
      <c r="CC106" s="14"/>
      <c r="CD106" s="14"/>
      <c r="CE106" s="14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</row>
    <row r="107">
      <c r="A107" s="92">
        <v>3.0</v>
      </c>
      <c r="B107" s="94" t="s">
        <v>246</v>
      </c>
      <c r="C107" s="94" t="s">
        <v>18</v>
      </c>
      <c r="D107" s="95" t="str">
        <f t="shared" si="8"/>
        <v>3-PRD-F2-1</v>
      </c>
      <c r="E107" s="96">
        <v>45763.0</v>
      </c>
      <c r="F107" s="144" t="s">
        <v>523</v>
      </c>
      <c r="G107" s="98" t="s">
        <v>54</v>
      </c>
      <c r="H107" s="99" t="s">
        <v>55</v>
      </c>
      <c r="I107" s="100">
        <v>11.0</v>
      </c>
      <c r="J107" s="101" t="s">
        <v>22</v>
      </c>
      <c r="K107" s="32" t="str">
        <f t="shared" si="2"/>
        <v>OCUPADO</v>
      </c>
      <c r="L107" s="33">
        <f t="shared" si="10"/>
        <v>106</v>
      </c>
      <c r="M107" s="33" t="s">
        <v>515</v>
      </c>
      <c r="N107" s="53"/>
      <c r="O107" s="34" t="s">
        <v>24</v>
      </c>
      <c r="P107" s="12"/>
      <c r="Q107" s="12"/>
      <c r="R107" s="12"/>
      <c r="S107" s="12"/>
      <c r="T107" s="12"/>
      <c r="U107" s="12"/>
      <c r="V107" s="12"/>
      <c r="AB107" s="12"/>
      <c r="AC107" s="12" t="str">
        <f>IFERROR(__xludf.DUMMYFUNCTION("""COMPUTED_VALUE"""),"4-19-A")</f>
        <v>4-19-A</v>
      </c>
      <c r="AD107" s="12" t="str">
        <f>IFERROR(__xludf.DUMMYFUNCTION("""COMPUTED_VALUE"""),"HEGE18L")</f>
        <v>HEGE18L</v>
      </c>
      <c r="AE107" s="12" t="str">
        <f>IFERROR(__xludf.DUMMYFUNCTION("""COMPUTED_VALUE"""),"Hervidor Glass Edition 1.8L")</f>
        <v>Hervidor Glass Edition 1.8L</v>
      </c>
      <c r="AF107" s="30">
        <f>IFERROR(__xludf.DUMMYFUNCTION("""COMPUTED_VALUE"""),288.0)</f>
        <v>288</v>
      </c>
      <c r="AG107" s="12" t="str">
        <f>IFERROR(__xludf.DUMMYFUNCTION("""COMPUTED_VALUE"""),"Movimiento Interno")</f>
        <v>Movimiento Interno</v>
      </c>
      <c r="AH107" s="12">
        <f>IFERROR(__xludf.DUMMYFUNCTION("""COMPUTED_VALUE"""),4.0)</f>
        <v>4</v>
      </c>
      <c r="AI107" s="12" t="str">
        <f>IFERROR(__xludf.DUMMYFUNCTION("""COMPUTED_VALUE"""),"19")</f>
        <v>19</v>
      </c>
      <c r="AJ107" s="12" t="str">
        <f>IFERROR(__xludf.DUMMYFUNCTION("""COMPUTED_VALUE"""),"A")</f>
        <v>A</v>
      </c>
      <c r="AK107" s="12">
        <f>IFERROR(__xludf.DUMMYFUNCTION("""COMPUTED_VALUE"""),194.0)</f>
        <v>194</v>
      </c>
      <c r="AL107" s="12" t="str">
        <f>IFERROR(__xludf.DUMMYFUNCTION("""COMPUTED_VALUE"""),"KITCHEN-IT")</f>
        <v>KITCHEN-IT</v>
      </c>
      <c r="AM107" s="12"/>
      <c r="AN107" s="12"/>
      <c r="AO107" s="12"/>
      <c r="AP107" s="12"/>
      <c r="AQ107" s="12"/>
      <c r="BC107" s="12"/>
      <c r="BH107" s="12" t="str">
        <f>IFERROR(__xludf.DUMMYFUNCTION("IFERROR(INDEX(QUERY(IMPORTRANGE(""1T7HG8KEs-Ob7f3M5atEVN9Yn7IeORGp0QGvggB62ELw"",""Maestro!A:I""),""SELECT Col8 WHERE Col3 = '""&amp;BE107&amp;""'"", 0), 1, 1),""NO ENCONTRADO"")"),"D")</f>
        <v>D</v>
      </c>
      <c r="BI107" s="12"/>
      <c r="BJ107" s="12"/>
      <c r="BK107" s="12"/>
      <c r="BR107" s="12"/>
      <c r="BY107" s="14"/>
      <c r="BZ107" s="14"/>
      <c r="CA107" s="14"/>
      <c r="CB107" s="14"/>
      <c r="CC107" s="14"/>
      <c r="CD107" s="14"/>
      <c r="CE107" s="14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</row>
    <row r="108">
      <c r="A108" s="92">
        <v>3.0</v>
      </c>
      <c r="B108" s="94" t="s">
        <v>246</v>
      </c>
      <c r="C108" s="94" t="s">
        <v>32</v>
      </c>
      <c r="D108" s="95" t="str">
        <f t="shared" si="8"/>
        <v>3-PRD-F2-2</v>
      </c>
      <c r="E108" s="83"/>
      <c r="F108" s="150"/>
      <c r="G108" s="85"/>
      <c r="H108" s="49"/>
      <c r="I108" s="86"/>
      <c r="J108" s="87"/>
      <c r="K108" s="27" t="str">
        <f t="shared" si="2"/>
        <v>DISPONIBLE</v>
      </c>
      <c r="L108" s="28">
        <f t="shared" si="10"/>
        <v>107</v>
      </c>
      <c r="M108" s="28" t="s">
        <v>515</v>
      </c>
      <c r="N108" s="70"/>
      <c r="O108" s="29"/>
      <c r="P108" s="12"/>
      <c r="Q108" s="12"/>
      <c r="R108" s="12"/>
      <c r="S108" s="12"/>
      <c r="T108" s="12"/>
      <c r="U108" s="12"/>
      <c r="V108" s="12"/>
      <c r="AB108" s="12"/>
      <c r="AC108" s="12" t="str">
        <f>IFERROR(__xludf.DUMMYFUNCTION("""COMPUTED_VALUE"""),"4-19-B")</f>
        <v>4-19-B</v>
      </c>
      <c r="AD108" s="12" t="str">
        <f>IFERROR(__xludf.DUMMYFUNCTION("""COMPUTED_VALUE"""),"HEGE18L")</f>
        <v>HEGE18L</v>
      </c>
      <c r="AE108" s="12" t="str">
        <f>IFERROR(__xludf.DUMMYFUNCTION("""COMPUTED_VALUE"""),"Hervidor Glass Edition 1.8L")</f>
        <v>Hervidor Glass Edition 1.8L</v>
      </c>
      <c r="AF108" s="30">
        <f>IFERROR(__xludf.DUMMYFUNCTION("""COMPUTED_VALUE"""),209.0)</f>
        <v>209</v>
      </c>
      <c r="AG108" s="12" t="str">
        <f>IFERROR(__xludf.DUMMYFUNCTION("""COMPUTED_VALUE"""),"Contenedor")</f>
        <v>Contenedor</v>
      </c>
      <c r="AH108" s="12">
        <f>IFERROR(__xludf.DUMMYFUNCTION("""COMPUTED_VALUE"""),4.0)</f>
        <v>4</v>
      </c>
      <c r="AI108" s="12" t="str">
        <f>IFERROR(__xludf.DUMMYFUNCTION("""COMPUTED_VALUE"""),"19")</f>
        <v>19</v>
      </c>
      <c r="AJ108" s="12" t="str">
        <f>IFERROR(__xludf.DUMMYFUNCTION("""COMPUTED_VALUE"""),"B")</f>
        <v>B</v>
      </c>
      <c r="AK108" s="12">
        <f>IFERROR(__xludf.DUMMYFUNCTION("""COMPUTED_VALUE"""),195.0)</f>
        <v>195</v>
      </c>
      <c r="AL108" s="12" t="str">
        <f>IFERROR(__xludf.DUMMYFUNCTION("""COMPUTED_VALUE"""),"KITCHEN-IT")</f>
        <v>KITCHEN-IT</v>
      </c>
      <c r="AM108" s="12"/>
      <c r="AN108" s="12"/>
      <c r="AO108" s="12"/>
      <c r="AP108" s="12"/>
      <c r="AQ108" s="12"/>
      <c r="BC108" s="12"/>
      <c r="BH108" s="12"/>
      <c r="BI108" s="16"/>
      <c r="BJ108" s="16"/>
      <c r="BK108" s="12"/>
      <c r="BR108" s="12"/>
      <c r="BY108" s="14"/>
      <c r="BZ108" s="14"/>
      <c r="CA108" s="14"/>
      <c r="CB108" s="14"/>
      <c r="CC108" s="14"/>
      <c r="CD108" s="14"/>
      <c r="CE108" s="14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</row>
    <row r="109">
      <c r="A109" s="92">
        <v>3.0</v>
      </c>
      <c r="B109" s="94" t="s">
        <v>246</v>
      </c>
      <c r="C109" s="94" t="s">
        <v>44</v>
      </c>
      <c r="D109" s="95" t="str">
        <f t="shared" si="8"/>
        <v>3-PRD-F2-3</v>
      </c>
      <c r="E109" s="83"/>
      <c r="F109" s="150"/>
      <c r="G109" s="85"/>
      <c r="H109" s="49"/>
      <c r="I109" s="86"/>
      <c r="J109" s="87"/>
      <c r="K109" s="32" t="str">
        <f t="shared" si="2"/>
        <v>DISPONIBLE</v>
      </c>
      <c r="L109" s="33">
        <f t="shared" si="10"/>
        <v>108</v>
      </c>
      <c r="M109" s="33" t="s">
        <v>515</v>
      </c>
      <c r="N109" s="53"/>
      <c r="O109" s="34"/>
      <c r="P109" s="12"/>
      <c r="Q109" s="12"/>
      <c r="R109" s="12"/>
      <c r="S109" s="12"/>
      <c r="T109" s="12"/>
      <c r="U109" s="12"/>
      <c r="V109" s="12"/>
      <c r="AB109" s="12"/>
      <c r="AC109" s="12" t="str">
        <f>IFERROR(__xludf.DUMMYFUNCTION("""COMPUTED_VALUE"""),"4-19-C")</f>
        <v>4-19-C</v>
      </c>
      <c r="AD109" s="12" t="str">
        <f>IFERROR(__xludf.DUMMYFUNCTION("""COMPUTED_VALUE"""),"FAFE7L")</f>
        <v>FAFE7L</v>
      </c>
      <c r="AE109" s="12" t="str">
        <f>IFERROR(__xludf.DUMMYFUNCTION("""COMPUTED_VALUE"""),"Freidora de Aire Family Edition 7L")</f>
        <v>Freidora de Aire Family Edition 7L</v>
      </c>
      <c r="AF109" s="30">
        <f>IFERROR(__xludf.DUMMYFUNCTION("""COMPUTED_VALUE"""),45.0)</f>
        <v>45</v>
      </c>
      <c r="AG109" s="12" t="str">
        <f>IFERROR(__xludf.DUMMYFUNCTION("""COMPUTED_VALUE"""),"Contenedor")</f>
        <v>Contenedor</v>
      </c>
      <c r="AH109" s="12">
        <f>IFERROR(__xludf.DUMMYFUNCTION("""COMPUTED_VALUE"""),4.0)</f>
        <v>4</v>
      </c>
      <c r="AI109" s="12" t="str">
        <f>IFERROR(__xludf.DUMMYFUNCTION("""COMPUTED_VALUE"""),"19")</f>
        <v>19</v>
      </c>
      <c r="AJ109" s="12" t="str">
        <f>IFERROR(__xludf.DUMMYFUNCTION("""COMPUTED_VALUE"""),"C")</f>
        <v>C</v>
      </c>
      <c r="AK109" s="12">
        <f>IFERROR(__xludf.DUMMYFUNCTION("""COMPUTED_VALUE"""),196.0)</f>
        <v>196</v>
      </c>
      <c r="AL109" s="12" t="str">
        <f>IFERROR(__xludf.DUMMYFUNCTION("""COMPUTED_VALUE"""),"KITCHEN-IT")</f>
        <v>KITCHEN-IT</v>
      </c>
      <c r="AM109" s="12"/>
      <c r="AN109" s="12"/>
      <c r="AO109" s="12"/>
      <c r="AP109" s="12"/>
      <c r="AQ109" s="12"/>
      <c r="BC109" s="12"/>
      <c r="BH109" s="12"/>
      <c r="BI109" s="16"/>
      <c r="BJ109" s="16"/>
      <c r="BK109" s="12"/>
      <c r="BL109" s="12"/>
      <c r="BM109" s="12"/>
      <c r="BN109" s="12"/>
      <c r="BO109" s="12"/>
      <c r="BP109" s="12"/>
      <c r="BQ109" s="12"/>
      <c r="BR109" s="12"/>
      <c r="BY109" s="14"/>
      <c r="BZ109" s="14"/>
      <c r="CA109" s="14"/>
      <c r="CB109" s="14"/>
      <c r="CC109" s="14"/>
      <c r="CD109" s="14"/>
      <c r="CE109" s="14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</row>
    <row r="110">
      <c r="A110" s="92">
        <v>3.0</v>
      </c>
      <c r="B110" s="94" t="s">
        <v>246</v>
      </c>
      <c r="C110" s="94" t="s">
        <v>53</v>
      </c>
      <c r="D110" s="95" t="str">
        <f t="shared" si="8"/>
        <v>3-PRD-F2-4</v>
      </c>
      <c r="E110" s="83"/>
      <c r="F110" s="150"/>
      <c r="G110" s="85"/>
      <c r="H110" s="49"/>
      <c r="I110" s="86"/>
      <c r="J110" s="87"/>
      <c r="K110" s="27" t="str">
        <f t="shared" si="2"/>
        <v>DISPONIBLE</v>
      </c>
      <c r="L110" s="28">
        <f t="shared" si="10"/>
        <v>109</v>
      </c>
      <c r="M110" s="28" t="s">
        <v>515</v>
      </c>
      <c r="N110" s="70"/>
      <c r="O110" s="29"/>
      <c r="P110" s="12"/>
      <c r="Q110" s="12"/>
      <c r="R110" s="12"/>
      <c r="S110" s="12"/>
      <c r="T110" s="12"/>
      <c r="U110" s="12"/>
      <c r="V110" s="12"/>
      <c r="AB110" s="12"/>
      <c r="AC110" s="12" t="str">
        <f>IFERROR(__xludf.DUMMYFUNCTION("""COMPUTED_VALUE"""),"4-20-B")</f>
        <v>4-20-B</v>
      </c>
      <c r="AD110" s="12" t="str">
        <f>IFERROR(__xludf.DUMMYFUNCTION("""COMPUTED_VALUE"""),"TV4PKI")</f>
        <v>TV4PKI</v>
      </c>
      <c r="AE110" s="12" t="str">
        <f>IFERROR(__xludf.DUMMYFUNCTION("""COMPUTED_VALUE"""),"Tostador Vienna Kitchen-It")</f>
        <v>Tostador Vienna Kitchen-It</v>
      </c>
      <c r="AF110" s="30">
        <f>IFERROR(__xludf.DUMMYFUNCTION("""COMPUTED_VALUE"""),96.0)</f>
        <v>96</v>
      </c>
      <c r="AG110" s="12" t="str">
        <f>IFERROR(__xludf.DUMMYFUNCTION("""COMPUTED_VALUE"""),"Contenedor")</f>
        <v>Contenedor</v>
      </c>
      <c r="AH110" s="12">
        <f>IFERROR(__xludf.DUMMYFUNCTION("""COMPUTED_VALUE"""),4.0)</f>
        <v>4</v>
      </c>
      <c r="AI110" s="12" t="str">
        <f>IFERROR(__xludf.DUMMYFUNCTION("""COMPUTED_VALUE"""),"20")</f>
        <v>20</v>
      </c>
      <c r="AJ110" s="12" t="str">
        <f>IFERROR(__xludf.DUMMYFUNCTION("""COMPUTED_VALUE"""),"B")</f>
        <v>B</v>
      </c>
      <c r="AK110" s="12">
        <f>IFERROR(__xludf.DUMMYFUNCTION("""COMPUTED_VALUE"""),196.0)</f>
        <v>196</v>
      </c>
      <c r="AL110" s="12" t="str">
        <f>IFERROR(__xludf.DUMMYFUNCTION("""COMPUTED_VALUE"""),"KITCHEN-IT")</f>
        <v>KITCHEN-IT</v>
      </c>
      <c r="AM110" s="12"/>
      <c r="AN110" s="12"/>
      <c r="AO110" s="12"/>
      <c r="AP110" s="12"/>
      <c r="AQ110" s="12"/>
      <c r="BC110" s="12"/>
      <c r="BH110" s="12"/>
      <c r="BI110" s="16"/>
      <c r="BJ110" s="16"/>
      <c r="BK110" s="12"/>
      <c r="BL110" s="12"/>
      <c r="BM110" s="12"/>
      <c r="BN110" s="12"/>
      <c r="BO110" s="12"/>
      <c r="BP110" s="12"/>
      <c r="BQ110" s="12"/>
      <c r="BR110" s="12"/>
      <c r="BY110" s="14"/>
      <c r="BZ110" s="14"/>
      <c r="CA110" s="14"/>
      <c r="CB110" s="14"/>
      <c r="CC110" s="14"/>
      <c r="CD110" s="14"/>
      <c r="CE110" s="14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</row>
    <row r="111">
      <c r="A111" s="92">
        <v>3.0</v>
      </c>
      <c r="B111" s="94" t="s">
        <v>246</v>
      </c>
      <c r="C111" s="94" t="s">
        <v>25</v>
      </c>
      <c r="D111" s="95" t="str">
        <f t="shared" si="8"/>
        <v>3-PRD-F2-5</v>
      </c>
      <c r="E111" s="83"/>
      <c r="F111" s="150"/>
      <c r="G111" s="85"/>
      <c r="H111" s="49"/>
      <c r="I111" s="86"/>
      <c r="J111" s="87"/>
      <c r="K111" s="32" t="str">
        <f t="shared" si="2"/>
        <v>DISPONIBLE</v>
      </c>
      <c r="L111" s="33">
        <f t="shared" si="10"/>
        <v>110</v>
      </c>
      <c r="M111" s="33" t="s">
        <v>515</v>
      </c>
      <c r="N111" s="53"/>
      <c r="O111" s="34"/>
      <c r="P111" s="12"/>
      <c r="Q111" s="12"/>
      <c r="R111" s="12"/>
      <c r="S111" s="12"/>
      <c r="T111" s="12"/>
      <c r="U111" s="12"/>
      <c r="V111" s="12"/>
      <c r="AB111" s="12"/>
      <c r="AC111" s="12" t="str">
        <f>IFERROR(__xludf.DUMMYFUNCTION("""COMPUTED_VALUE"""),"4-19-D")</f>
        <v>4-19-D</v>
      </c>
      <c r="AD111" s="12" t="str">
        <f>IFERROR(__xludf.DUMMYFUNCTION("""COMPUTED_VALUE"""),"FAFE7L")</f>
        <v>FAFE7L</v>
      </c>
      <c r="AE111" s="12" t="str">
        <f>IFERROR(__xludf.DUMMYFUNCTION("""COMPUTED_VALUE"""),"Freidora de Aire Family Edition 7L")</f>
        <v>Freidora de Aire Family Edition 7L</v>
      </c>
      <c r="AF111" s="30">
        <f>IFERROR(__xludf.DUMMYFUNCTION("""COMPUTED_VALUE"""),45.0)</f>
        <v>45</v>
      </c>
      <c r="AG111" s="12" t="str">
        <f>IFERROR(__xludf.DUMMYFUNCTION("""COMPUTED_VALUE"""),"Contenedor")</f>
        <v>Contenedor</v>
      </c>
      <c r="AH111" s="12">
        <f>IFERROR(__xludf.DUMMYFUNCTION("""COMPUTED_VALUE"""),4.0)</f>
        <v>4</v>
      </c>
      <c r="AI111" s="12" t="str">
        <f>IFERROR(__xludf.DUMMYFUNCTION("""COMPUTED_VALUE"""),"19")</f>
        <v>19</v>
      </c>
      <c r="AJ111" s="12" t="str">
        <f>IFERROR(__xludf.DUMMYFUNCTION("""COMPUTED_VALUE"""),"D")</f>
        <v>D</v>
      </c>
      <c r="AK111" s="12">
        <f>IFERROR(__xludf.DUMMYFUNCTION("""COMPUTED_VALUE"""),197.0)</f>
        <v>197</v>
      </c>
      <c r="AL111" s="12" t="str">
        <f>IFERROR(__xludf.DUMMYFUNCTION("""COMPUTED_VALUE"""),"KITCHEN-IT")</f>
        <v>KITCHEN-IT</v>
      </c>
      <c r="AM111" s="12"/>
      <c r="AN111" s="12"/>
      <c r="AO111" s="12"/>
      <c r="AP111" s="12"/>
      <c r="AQ111" s="12"/>
      <c r="BC111" s="12"/>
      <c r="BH111" s="12"/>
      <c r="BI111" s="16"/>
      <c r="BJ111" s="16"/>
      <c r="BK111" s="12"/>
      <c r="BL111" s="12"/>
      <c r="BM111" s="12"/>
      <c r="BN111" s="12"/>
      <c r="BO111" s="12"/>
      <c r="BP111" s="12"/>
      <c r="BQ111" s="12"/>
      <c r="BR111" s="12"/>
      <c r="BY111" s="14"/>
      <c r="BZ111" s="14"/>
      <c r="CA111" s="14"/>
      <c r="CB111" s="14"/>
      <c r="CC111" s="14"/>
      <c r="CD111" s="14"/>
      <c r="CE111" s="14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</row>
    <row r="112">
      <c r="A112" s="92">
        <v>3.0</v>
      </c>
      <c r="B112" s="94" t="s">
        <v>394</v>
      </c>
      <c r="C112" s="94" t="s">
        <v>18</v>
      </c>
      <c r="D112" s="95" t="str">
        <f t="shared" si="8"/>
        <v>3-PRD-F3-1</v>
      </c>
      <c r="E112" s="83"/>
      <c r="F112" s="150"/>
      <c r="G112" s="85"/>
      <c r="H112" s="49"/>
      <c r="I112" s="86"/>
      <c r="J112" s="87"/>
      <c r="K112" s="27" t="str">
        <f t="shared" si="2"/>
        <v>DISPONIBLE</v>
      </c>
      <c r="L112" s="28">
        <f t="shared" si="10"/>
        <v>111</v>
      </c>
      <c r="M112" s="28" t="s">
        <v>515</v>
      </c>
      <c r="N112" s="70"/>
      <c r="O112" s="29"/>
      <c r="P112" s="12"/>
      <c r="Q112" s="12"/>
      <c r="R112" s="12"/>
      <c r="S112" s="12"/>
      <c r="T112" s="12"/>
      <c r="U112" s="12"/>
      <c r="V112" s="12"/>
      <c r="AB112" s="12"/>
      <c r="AC112" s="12" t="str">
        <f>IFERROR(__xludf.DUMMYFUNCTION("""COMPUTED_VALUE"""),"4-20-C")</f>
        <v>4-20-C</v>
      </c>
      <c r="AD112" s="12" t="str">
        <f>IFERROR(__xludf.DUMMYFUNCTION("""COMPUTED_VALUE"""),"TV4PKI")</f>
        <v>TV4PKI</v>
      </c>
      <c r="AE112" s="12" t="str">
        <f>IFERROR(__xludf.DUMMYFUNCTION("""COMPUTED_VALUE"""),"Tostador Vienna Kitchen-It")</f>
        <v>Tostador Vienna Kitchen-It</v>
      </c>
      <c r="AF112" s="30">
        <f>IFERROR(__xludf.DUMMYFUNCTION("""COMPUTED_VALUE"""),96.0)</f>
        <v>96</v>
      </c>
      <c r="AG112" s="12" t="str">
        <f>IFERROR(__xludf.DUMMYFUNCTION("""COMPUTED_VALUE"""),"Contenedor")</f>
        <v>Contenedor</v>
      </c>
      <c r="AH112" s="12">
        <f>IFERROR(__xludf.DUMMYFUNCTION("""COMPUTED_VALUE"""),4.0)</f>
        <v>4</v>
      </c>
      <c r="AI112" s="12" t="str">
        <f>IFERROR(__xludf.DUMMYFUNCTION("""COMPUTED_VALUE"""),"20")</f>
        <v>20</v>
      </c>
      <c r="AJ112" s="12" t="str">
        <f>IFERROR(__xludf.DUMMYFUNCTION("""COMPUTED_VALUE"""),"C")</f>
        <v>C</v>
      </c>
      <c r="AK112" s="12">
        <f>IFERROR(__xludf.DUMMYFUNCTION("""COMPUTED_VALUE"""),197.0)</f>
        <v>197</v>
      </c>
      <c r="AL112" s="12" t="str">
        <f>IFERROR(__xludf.DUMMYFUNCTION("""COMPUTED_VALUE"""),"KITCHEN-IT")</f>
        <v>KITCHEN-IT</v>
      </c>
      <c r="AM112" s="12"/>
      <c r="AN112" s="12"/>
      <c r="AO112" s="12"/>
      <c r="AP112" s="12"/>
      <c r="AQ112" s="12"/>
      <c r="BC112" s="12"/>
      <c r="BH112" s="12"/>
      <c r="BI112" s="16"/>
      <c r="BJ112" s="16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4"/>
      <c r="BX112" s="14"/>
      <c r="BY112" s="14"/>
      <c r="BZ112" s="14"/>
      <c r="CA112" s="14"/>
      <c r="CB112" s="14"/>
      <c r="CC112" s="14"/>
      <c r="CD112" s="14"/>
      <c r="CE112" s="14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</row>
    <row r="113">
      <c r="A113" s="92">
        <v>3.0</v>
      </c>
      <c r="B113" s="94" t="s">
        <v>394</v>
      </c>
      <c r="C113" s="94" t="s">
        <v>32</v>
      </c>
      <c r="D113" s="95" t="str">
        <f t="shared" si="8"/>
        <v>3-PRD-F3-2</v>
      </c>
      <c r="E113" s="83"/>
      <c r="F113" s="150"/>
      <c r="G113" s="85"/>
      <c r="H113" s="49"/>
      <c r="I113" s="86"/>
      <c r="J113" s="87"/>
      <c r="K113" s="32" t="str">
        <f t="shared" si="2"/>
        <v>DISPONIBLE</v>
      </c>
      <c r="L113" s="33">
        <f t="shared" si="10"/>
        <v>112</v>
      </c>
      <c r="M113" s="33" t="s">
        <v>515</v>
      </c>
      <c r="N113" s="53"/>
      <c r="O113" s="34"/>
      <c r="P113" s="12"/>
      <c r="Q113" s="12"/>
      <c r="R113" s="12"/>
      <c r="S113" s="12"/>
      <c r="T113" s="12"/>
      <c r="U113" s="12"/>
      <c r="V113" s="12"/>
      <c r="AB113" s="12"/>
      <c r="AC113" s="12" t="str">
        <f>IFERROR(__xludf.DUMMYFUNCTION("""COMPUTED_VALUE"""),"4-20-D")</f>
        <v>4-20-D</v>
      </c>
      <c r="AD113" s="12" t="str">
        <f>IFERROR(__xludf.DUMMYFUNCTION("""COMPUTED_VALUE"""),"FAFE7L")</f>
        <v>FAFE7L</v>
      </c>
      <c r="AE113" s="12" t="str">
        <f>IFERROR(__xludf.DUMMYFUNCTION("""COMPUTED_VALUE"""),"Freidora de Aire Family Edition 7L")</f>
        <v>Freidora de Aire Family Edition 7L</v>
      </c>
      <c r="AF113" s="30">
        <f>IFERROR(__xludf.DUMMYFUNCTION("""COMPUTED_VALUE"""),45.0)</f>
        <v>45</v>
      </c>
      <c r="AG113" s="12" t="str">
        <f>IFERROR(__xludf.DUMMYFUNCTION("""COMPUTED_VALUE"""),"Contenedor")</f>
        <v>Contenedor</v>
      </c>
      <c r="AH113" s="12">
        <f>IFERROR(__xludf.DUMMYFUNCTION("""COMPUTED_VALUE"""),4.0)</f>
        <v>4</v>
      </c>
      <c r="AI113" s="12" t="str">
        <f>IFERROR(__xludf.DUMMYFUNCTION("""COMPUTED_VALUE"""),"20")</f>
        <v>20</v>
      </c>
      <c r="AJ113" s="12" t="str">
        <f>IFERROR(__xludf.DUMMYFUNCTION("""COMPUTED_VALUE"""),"D")</f>
        <v>D</v>
      </c>
      <c r="AK113" s="12">
        <f>IFERROR(__xludf.DUMMYFUNCTION("""COMPUTED_VALUE"""),198.0)</f>
        <v>198</v>
      </c>
      <c r="AL113" s="12" t="str">
        <f>IFERROR(__xludf.DUMMYFUNCTION("""COMPUTED_VALUE"""),"KITCHEN-IT")</f>
        <v>KITCHEN-IT</v>
      </c>
      <c r="AM113" s="12"/>
      <c r="AN113" s="12"/>
      <c r="AO113" s="12"/>
      <c r="AP113" s="12"/>
      <c r="AQ113" s="12"/>
      <c r="BC113" s="12"/>
      <c r="BH113" s="12"/>
      <c r="BI113" s="16"/>
      <c r="BJ113" s="16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4"/>
      <c r="BX113" s="14"/>
      <c r="BY113" s="14"/>
      <c r="BZ113" s="14"/>
      <c r="CA113" s="14"/>
      <c r="CB113" s="14"/>
      <c r="CC113" s="14"/>
      <c r="CD113" s="14"/>
      <c r="CE113" s="14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</row>
    <row r="114">
      <c r="A114" s="92">
        <v>3.0</v>
      </c>
      <c r="B114" s="94" t="s">
        <v>394</v>
      </c>
      <c r="C114" s="94" t="s">
        <v>44</v>
      </c>
      <c r="D114" s="95" t="str">
        <f t="shared" si="8"/>
        <v>3-PRD-F3-3</v>
      </c>
      <c r="E114" s="83"/>
      <c r="F114" s="150"/>
      <c r="G114" s="85"/>
      <c r="H114" s="49"/>
      <c r="I114" s="86"/>
      <c r="J114" s="87"/>
      <c r="K114" s="27" t="str">
        <f t="shared" si="2"/>
        <v>DISPONIBLE</v>
      </c>
      <c r="L114" s="28">
        <f t="shared" si="10"/>
        <v>113</v>
      </c>
      <c r="M114" s="28" t="s">
        <v>515</v>
      </c>
      <c r="N114" s="70"/>
      <c r="O114" s="29"/>
      <c r="P114" s="12"/>
      <c r="Q114" s="12"/>
      <c r="R114" s="12"/>
      <c r="S114" s="12"/>
      <c r="T114" s="12"/>
      <c r="U114" s="12"/>
      <c r="V114" s="12"/>
      <c r="AB114" s="12"/>
      <c r="AC114" s="12" t="str">
        <f>IFERROR(__xludf.DUMMYFUNCTION("""COMPUTED_VALUE"""),"4-R-1A")</f>
        <v>4-R-1A</v>
      </c>
      <c r="AD114" s="12" t="str">
        <f>IFERROR(__xludf.DUMMYFUNCTION("""COMPUTED_VALUE"""),"HSC17L")</f>
        <v>HSC17L</v>
      </c>
      <c r="AE114" s="12" t="str">
        <f>IFERROR(__xludf.DUMMYFUNCTION("""COMPUTED_VALUE"""),"Hervidor Smart Control 1,7L")</f>
        <v>Hervidor Smart Control 1,7L</v>
      </c>
      <c r="AF114" s="30">
        <f>IFERROR(__xludf.DUMMYFUNCTION("""COMPUTED_VALUE"""),26.0)</f>
        <v>26</v>
      </c>
      <c r="AG114" s="12" t="str">
        <f>IFERROR(__xludf.DUMMYFUNCTION("""COMPUTED_VALUE"""),"Contenedor")</f>
        <v>Contenedor</v>
      </c>
      <c r="AH114" s="12">
        <f>IFERROR(__xludf.DUMMYFUNCTION("""COMPUTED_VALUE"""),4.0)</f>
        <v>4</v>
      </c>
      <c r="AI114" s="12" t="str">
        <f>IFERROR(__xludf.DUMMYFUNCTION("""COMPUTED_VALUE"""),"R")</f>
        <v>R</v>
      </c>
      <c r="AJ114" s="12" t="str">
        <f>IFERROR(__xludf.DUMMYFUNCTION("""COMPUTED_VALUE"""),"1A")</f>
        <v>1A</v>
      </c>
      <c r="AK114" s="12">
        <f>IFERROR(__xludf.DUMMYFUNCTION("""COMPUTED_VALUE"""),198.0)</f>
        <v>198</v>
      </c>
      <c r="AL114" s="12" t="str">
        <f>IFERROR(__xludf.DUMMYFUNCTION("""COMPUTED_VALUE"""),"KITCHEN-IT")</f>
        <v>KITCHEN-IT</v>
      </c>
      <c r="AM114" s="12"/>
      <c r="AN114" s="12"/>
      <c r="AO114" s="12"/>
      <c r="AP114" s="12"/>
      <c r="AQ114" s="12"/>
      <c r="BC114" s="12"/>
      <c r="BH114" s="12"/>
      <c r="BI114" s="16"/>
      <c r="BJ114" s="16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4"/>
      <c r="BX114" s="14"/>
      <c r="BY114" s="14"/>
      <c r="BZ114" s="14"/>
      <c r="CA114" s="14"/>
      <c r="CB114" s="14"/>
      <c r="CC114" s="14"/>
      <c r="CD114" s="14"/>
      <c r="CE114" s="14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</row>
    <row r="115">
      <c r="A115" s="92">
        <v>3.0</v>
      </c>
      <c r="B115" s="94" t="s">
        <v>394</v>
      </c>
      <c r="C115" s="94" t="s">
        <v>53</v>
      </c>
      <c r="D115" s="95" t="str">
        <f t="shared" si="8"/>
        <v>3-PRD-F3-4</v>
      </c>
      <c r="E115" s="83"/>
      <c r="F115" s="150"/>
      <c r="G115" s="85"/>
      <c r="H115" s="49"/>
      <c r="I115" s="86"/>
      <c r="J115" s="87"/>
      <c r="K115" s="32" t="str">
        <f t="shared" si="2"/>
        <v>DISPONIBLE</v>
      </c>
      <c r="L115" s="33">
        <f t="shared" si="10"/>
        <v>114</v>
      </c>
      <c r="M115" s="33" t="s">
        <v>515</v>
      </c>
      <c r="N115" s="53"/>
      <c r="O115" s="34"/>
      <c r="P115" s="12"/>
      <c r="Q115" s="12"/>
      <c r="R115" s="12"/>
      <c r="S115" s="12"/>
      <c r="T115" s="12"/>
      <c r="U115" s="12"/>
      <c r="V115" s="12"/>
      <c r="AB115" s="12"/>
      <c r="AC115" s="12" t="str">
        <f>IFERROR(__xludf.DUMMYFUNCTION("""COMPUTED_VALUE"""),"4-21-A")</f>
        <v>4-21-A</v>
      </c>
      <c r="AD115" s="12" t="str">
        <f>IFERROR(__xludf.DUMMYFUNCTION("""COMPUTED_VALUE"""),"PENDIENTE")</f>
        <v>PENDIENTE</v>
      </c>
      <c r="AE115" s="12" t="str">
        <f>IFERROR(__xludf.DUMMYFUNCTION("""COMPUTED_VALUE"""),"SEPARADOR  VASOS 3 RANURAS")</f>
        <v>SEPARADOR  VASOS 3 RANURAS</v>
      </c>
      <c r="AF115" s="30">
        <f>IFERROR(__xludf.DUMMYFUNCTION("""COMPUTED_VALUE"""),667.0)</f>
        <v>667</v>
      </c>
      <c r="AG115" s="12" t="str">
        <f>IFERROR(__xludf.DUMMYFUNCTION("""COMPUTED_VALUE"""),"PROVEEDOR")</f>
        <v>PROVEEDOR</v>
      </c>
      <c r="AH115" s="12">
        <f>IFERROR(__xludf.DUMMYFUNCTION("""COMPUTED_VALUE"""),4.0)</f>
        <v>4</v>
      </c>
      <c r="AI115" s="12" t="str">
        <f>IFERROR(__xludf.DUMMYFUNCTION("""COMPUTED_VALUE"""),"21")</f>
        <v>21</v>
      </c>
      <c r="AJ115" s="12" t="str">
        <f>IFERROR(__xludf.DUMMYFUNCTION("""COMPUTED_VALUE"""),"A")</f>
        <v>A</v>
      </c>
      <c r="AK115" s="12">
        <f>IFERROR(__xludf.DUMMYFUNCTION("""COMPUTED_VALUE"""),199.0)</f>
        <v>199</v>
      </c>
      <c r="AL115" s="12" t="str">
        <f>IFERROR(__xludf.DUMMYFUNCTION("""COMPUTED_VALUE"""),"SUMMIT")</f>
        <v>SUMMIT</v>
      </c>
      <c r="AM115" s="12"/>
      <c r="AN115" s="12"/>
      <c r="AO115" s="12"/>
      <c r="AP115" s="12"/>
      <c r="AQ115" s="12"/>
      <c r="BC115" s="12"/>
      <c r="BH115" s="12"/>
      <c r="BI115" s="16"/>
      <c r="BJ115" s="16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4"/>
      <c r="BX115" s="14"/>
      <c r="BY115" s="14"/>
      <c r="BZ115" s="14"/>
      <c r="CA115" s="14"/>
      <c r="CB115" s="14"/>
      <c r="CC115" s="14"/>
      <c r="CD115" s="14"/>
      <c r="CE115" s="14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</row>
    <row r="116">
      <c r="A116" s="92">
        <v>3.0</v>
      </c>
      <c r="B116" s="94" t="s">
        <v>394</v>
      </c>
      <c r="C116" s="94" t="s">
        <v>25</v>
      </c>
      <c r="D116" s="95" t="str">
        <f t="shared" si="8"/>
        <v>3-PRD-F3-5</v>
      </c>
      <c r="E116" s="83"/>
      <c r="F116" s="150"/>
      <c r="G116" s="85"/>
      <c r="H116" s="49"/>
      <c r="I116" s="86"/>
      <c r="J116" s="87"/>
      <c r="K116" s="27" t="str">
        <f t="shared" si="2"/>
        <v>DISPONIBLE</v>
      </c>
      <c r="L116" s="28">
        <f t="shared" si="10"/>
        <v>115</v>
      </c>
      <c r="M116" s="28" t="s">
        <v>515</v>
      </c>
      <c r="N116" s="70"/>
      <c r="O116" s="29"/>
      <c r="P116" s="12"/>
      <c r="Q116" s="12"/>
      <c r="R116" s="12"/>
      <c r="S116" s="12"/>
      <c r="T116" s="12"/>
      <c r="U116" s="12"/>
      <c r="V116" s="12"/>
      <c r="AB116" s="12"/>
      <c r="AC116" s="12" t="str">
        <f>IFERROR(__xludf.DUMMYFUNCTION("""COMPUTED_VALUE"""),"4-21-B")</f>
        <v>4-21-B</v>
      </c>
      <c r="AD116" s="12" t="str">
        <f>IFERROR(__xludf.DUMMYFUNCTION("""COMPUTED_VALUE"""),"600666")</f>
        <v>600666</v>
      </c>
      <c r="AE116" s="12" t="str">
        <f>IFERROR(__xludf.DUMMYFUNCTION("""COMPUTED_VALUE"""),"CAJA CARTON S/IMP 32x23x32 CM")</f>
        <v>CAJA CARTON S/IMP 32x23x32 CM</v>
      </c>
      <c r="AF116" s="30">
        <f>IFERROR(__xludf.DUMMYFUNCTION("""COMPUTED_VALUE"""),600.0)</f>
        <v>600</v>
      </c>
      <c r="AG116" s="12" t="str">
        <f>IFERROR(__xludf.DUMMYFUNCTION("""COMPUTED_VALUE"""),"PROVEEDOR")</f>
        <v>PROVEEDOR</v>
      </c>
      <c r="AH116" s="12">
        <f>IFERROR(__xludf.DUMMYFUNCTION("""COMPUTED_VALUE"""),4.0)</f>
        <v>4</v>
      </c>
      <c r="AI116" s="12" t="str">
        <f>IFERROR(__xludf.DUMMYFUNCTION("""COMPUTED_VALUE"""),"21")</f>
        <v>21</v>
      </c>
      <c r="AJ116" s="12" t="str">
        <f>IFERROR(__xludf.DUMMYFUNCTION("""COMPUTED_VALUE"""),"B")</f>
        <v>B</v>
      </c>
      <c r="AK116" s="12">
        <f>IFERROR(__xludf.DUMMYFUNCTION("""COMPUTED_VALUE"""),200.0)</f>
        <v>200</v>
      </c>
      <c r="AL116" s="12" t="str">
        <f>IFERROR(__xludf.DUMMYFUNCTION("""COMPUTED_VALUE"""),"SUMMIT")</f>
        <v>SUMMIT</v>
      </c>
      <c r="AM116" s="12"/>
      <c r="AN116" s="12"/>
      <c r="AO116" s="12"/>
      <c r="AP116" s="12"/>
      <c r="AQ116" s="12"/>
      <c r="BC116" s="12"/>
      <c r="BH116" s="12"/>
      <c r="BI116" s="16"/>
      <c r="BJ116" s="16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4"/>
      <c r="BX116" s="14"/>
      <c r="BY116" s="14"/>
      <c r="BZ116" s="14"/>
      <c r="CA116" s="14"/>
      <c r="CB116" s="14"/>
      <c r="CC116" s="14"/>
      <c r="CD116" s="14"/>
      <c r="CE116" s="14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</row>
    <row r="117">
      <c r="A117" s="92">
        <v>3.0</v>
      </c>
      <c r="B117" s="94" t="s">
        <v>415</v>
      </c>
      <c r="C117" s="94" t="s">
        <v>18</v>
      </c>
      <c r="D117" s="95" t="str">
        <f t="shared" si="8"/>
        <v>3-PRD-F4-1</v>
      </c>
      <c r="E117" s="110"/>
      <c r="F117" s="111"/>
      <c r="G117" s="112"/>
      <c r="H117" s="113"/>
      <c r="I117" s="114"/>
      <c r="J117" s="115"/>
      <c r="K117" s="32" t="str">
        <f t="shared" si="2"/>
        <v>DISPONIBLE</v>
      </c>
      <c r="L117" s="33">
        <f t="shared" si="10"/>
        <v>116</v>
      </c>
      <c r="M117" s="33" t="s">
        <v>515</v>
      </c>
      <c r="N117" s="53"/>
      <c r="O117" s="34" t="s">
        <v>24</v>
      </c>
      <c r="P117" s="12"/>
      <c r="Q117" s="12"/>
      <c r="R117" s="12"/>
      <c r="S117" s="12"/>
      <c r="T117" s="12"/>
      <c r="U117" s="12"/>
      <c r="V117" s="12"/>
      <c r="AB117" s="12"/>
      <c r="AC117" s="12" t="str">
        <f>IFERROR(__xludf.DUMMYFUNCTION("""COMPUTED_VALUE"""),"4-21-C")</f>
        <v>4-21-C</v>
      </c>
      <c r="AD117" s="12" t="str">
        <f>IFERROR(__xludf.DUMMYFUNCTION("""COMPUTED_VALUE"""),"600574")</f>
        <v>600574</v>
      </c>
      <c r="AE117" s="12" t="str">
        <f>IFERROR(__xludf.DUMMYFUNCTION("""COMPUTED_VALUE"""),"SEPARADOR VASOS BOTELLAS 32X23X32")</f>
        <v>SEPARADOR VASOS BOTELLAS 32X23X32</v>
      </c>
      <c r="AF117" s="30">
        <f>IFERROR(__xludf.DUMMYFUNCTION("""COMPUTED_VALUE"""),718.0)</f>
        <v>718</v>
      </c>
      <c r="AG117" s="12" t="str">
        <f>IFERROR(__xludf.DUMMYFUNCTION("""COMPUTED_VALUE"""),"PROVEEDOR")</f>
        <v>PROVEEDOR</v>
      </c>
      <c r="AH117" s="12">
        <f>IFERROR(__xludf.DUMMYFUNCTION("""COMPUTED_VALUE"""),4.0)</f>
        <v>4</v>
      </c>
      <c r="AI117" s="12" t="str">
        <f>IFERROR(__xludf.DUMMYFUNCTION("""COMPUTED_VALUE"""),"21")</f>
        <v>21</v>
      </c>
      <c r="AJ117" s="12" t="str">
        <f>IFERROR(__xludf.DUMMYFUNCTION("""COMPUTED_VALUE"""),"C")</f>
        <v>C</v>
      </c>
      <c r="AK117" s="12">
        <f>IFERROR(__xludf.DUMMYFUNCTION("""COMPUTED_VALUE"""),201.0)</f>
        <v>201</v>
      </c>
      <c r="AL117" s="12" t="str">
        <f>IFERROR(__xludf.DUMMYFUNCTION("""COMPUTED_VALUE"""),"SUMMIT")</f>
        <v>SUMMIT</v>
      </c>
      <c r="AM117" s="12"/>
      <c r="AN117" s="12"/>
      <c r="AO117" s="12"/>
      <c r="AP117" s="12"/>
      <c r="AQ117" s="12"/>
      <c r="BC117" s="12"/>
      <c r="BH117" s="12"/>
      <c r="BI117" s="16"/>
      <c r="BJ117" s="16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4"/>
      <c r="BX117" s="14"/>
      <c r="BY117" s="14"/>
      <c r="BZ117" s="14"/>
      <c r="CA117" s="14"/>
      <c r="CB117" s="14"/>
      <c r="CC117" s="14"/>
      <c r="CD117" s="14"/>
      <c r="CE117" s="14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</row>
    <row r="118">
      <c r="A118" s="92">
        <v>3.0</v>
      </c>
      <c r="B118" s="94" t="s">
        <v>415</v>
      </c>
      <c r="C118" s="94" t="s">
        <v>32</v>
      </c>
      <c r="D118" s="95" t="str">
        <f t="shared" si="8"/>
        <v>3-PRD-F4-2</v>
      </c>
      <c r="E118" s="110"/>
      <c r="F118" s="111"/>
      <c r="G118" s="112"/>
      <c r="H118" s="113"/>
      <c r="I118" s="114"/>
      <c r="J118" s="115"/>
      <c r="K118" s="27" t="str">
        <f t="shared" si="2"/>
        <v>DISPONIBLE</v>
      </c>
      <c r="L118" s="28">
        <f t="shared" si="10"/>
        <v>117</v>
      </c>
      <c r="M118" s="28" t="s">
        <v>515</v>
      </c>
      <c r="N118" s="70"/>
      <c r="O118" s="29"/>
      <c r="P118" s="12"/>
      <c r="Q118" s="12"/>
      <c r="R118" s="12"/>
      <c r="S118" s="12"/>
      <c r="T118" s="12"/>
      <c r="U118" s="12"/>
      <c r="V118" s="12"/>
      <c r="AB118" s="12"/>
      <c r="AC118" s="12" t="str">
        <f>IFERROR(__xludf.DUMMYFUNCTION("""COMPUTED_VALUE"""),"4-21-D")</f>
        <v>4-21-D</v>
      </c>
      <c r="AD118" s="12" t="str">
        <f>IFERROR(__xludf.DUMMYFUNCTION("""COMPUTED_VALUE"""),"600666")</f>
        <v>600666</v>
      </c>
      <c r="AE118" s="12" t="str">
        <f>IFERROR(__xludf.DUMMYFUNCTION("""COMPUTED_VALUE"""),"CAJA CARTON S/IMP 32x23x32 CM")</f>
        <v>CAJA CARTON S/IMP 32x23x32 CM</v>
      </c>
      <c r="AF118" s="30">
        <f>IFERROR(__xludf.DUMMYFUNCTION("""COMPUTED_VALUE"""),996.0)</f>
        <v>996</v>
      </c>
      <c r="AG118" s="12" t="str">
        <f>IFERROR(__xludf.DUMMYFUNCTION("""COMPUTED_VALUE"""),"PROVEEDOR")</f>
        <v>PROVEEDOR</v>
      </c>
      <c r="AH118" s="12">
        <f>IFERROR(__xludf.DUMMYFUNCTION("""COMPUTED_VALUE"""),4.0)</f>
        <v>4</v>
      </c>
      <c r="AI118" s="12" t="str">
        <f>IFERROR(__xludf.DUMMYFUNCTION("""COMPUTED_VALUE"""),"21")</f>
        <v>21</v>
      </c>
      <c r="AJ118" s="12" t="str">
        <f>IFERROR(__xludf.DUMMYFUNCTION("""COMPUTED_VALUE"""),"D")</f>
        <v>D</v>
      </c>
      <c r="AK118" s="12">
        <f>IFERROR(__xludf.DUMMYFUNCTION("""COMPUTED_VALUE"""),202.0)</f>
        <v>202</v>
      </c>
      <c r="AL118" s="12" t="str">
        <f>IFERROR(__xludf.DUMMYFUNCTION("""COMPUTED_VALUE"""),"SUMMIT")</f>
        <v>SUMMIT</v>
      </c>
      <c r="AM118" s="12"/>
      <c r="AN118" s="12"/>
      <c r="AO118" s="12"/>
      <c r="AP118" s="12"/>
      <c r="AQ118" s="12"/>
      <c r="BC118" s="12"/>
      <c r="BH118" s="12"/>
      <c r="BI118" s="16"/>
      <c r="BJ118" s="16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4"/>
      <c r="BX118" s="14"/>
      <c r="BY118" s="14"/>
      <c r="BZ118" s="14"/>
      <c r="CA118" s="14"/>
      <c r="CB118" s="14"/>
      <c r="CC118" s="14"/>
      <c r="CD118" s="14"/>
      <c r="CE118" s="14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</row>
    <row r="119">
      <c r="A119" s="92">
        <v>3.0</v>
      </c>
      <c r="B119" s="94" t="s">
        <v>415</v>
      </c>
      <c r="C119" s="94" t="s">
        <v>44</v>
      </c>
      <c r="D119" s="95" t="str">
        <f t="shared" si="8"/>
        <v>3-PRD-F4-3</v>
      </c>
      <c r="E119" s="83"/>
      <c r="F119" s="150"/>
      <c r="G119" s="85"/>
      <c r="H119" s="49"/>
      <c r="I119" s="86"/>
      <c r="J119" s="87"/>
      <c r="K119" s="32" t="str">
        <f t="shared" si="2"/>
        <v>DISPONIBLE</v>
      </c>
      <c r="L119" s="33">
        <f t="shared" si="10"/>
        <v>118</v>
      </c>
      <c r="M119" s="33" t="s">
        <v>515</v>
      </c>
      <c r="N119" s="53"/>
      <c r="O119" s="34"/>
      <c r="P119" s="12"/>
      <c r="Q119" s="12"/>
      <c r="R119" s="12"/>
      <c r="S119" s="12"/>
      <c r="T119" s="12"/>
      <c r="U119" s="12"/>
      <c r="V119" s="12"/>
      <c r="AB119" s="12"/>
      <c r="AC119" s="12" t="str">
        <f>IFERROR(__xludf.DUMMYFUNCTION("""COMPUTED_VALUE"""),"4-R-1B")</f>
        <v>4-R-1B</v>
      </c>
      <c r="AD119" s="12" t="str">
        <f>IFERROR(__xludf.DUMMYFUNCTION("""COMPUTED_VALUE"""),"PPME")</f>
        <v>PPME</v>
      </c>
      <c r="AE119" s="12" t="str">
        <f>IFERROR(__xludf.DUMMYFUNCTION("""COMPUTED_VALUE"""),"Sandwichera Panini Master Edition")</f>
        <v>Sandwichera Panini Master Edition</v>
      </c>
      <c r="AF119" s="30">
        <f>IFERROR(__xludf.DUMMYFUNCTION("""COMPUTED_VALUE"""),576.0)</f>
        <v>576</v>
      </c>
      <c r="AG119" s="12" t="str">
        <f>IFERROR(__xludf.DUMMYFUNCTION("""COMPUTED_VALUE"""),"Movimiento Interno")</f>
        <v>Movimiento Interno</v>
      </c>
      <c r="AH119" s="12">
        <f>IFERROR(__xludf.DUMMYFUNCTION("""COMPUTED_VALUE"""),4.0)</f>
        <v>4</v>
      </c>
      <c r="AI119" s="12" t="str">
        <f>IFERROR(__xludf.DUMMYFUNCTION("""COMPUTED_VALUE"""),"R")</f>
        <v>R</v>
      </c>
      <c r="AJ119" s="12" t="str">
        <f>IFERROR(__xludf.DUMMYFUNCTION("""COMPUTED_VALUE"""),"1B")</f>
        <v>1B</v>
      </c>
      <c r="AK119" s="12">
        <f>IFERROR(__xludf.DUMMYFUNCTION("""COMPUTED_VALUE"""),207.0)</f>
        <v>207</v>
      </c>
      <c r="AL119" s="12" t="str">
        <f>IFERROR(__xludf.DUMMYFUNCTION("""COMPUTED_VALUE"""),"KITCHEN-IT")</f>
        <v>KITCHEN-IT</v>
      </c>
      <c r="AM119" s="12"/>
      <c r="AN119" s="12"/>
      <c r="AO119" s="12"/>
      <c r="AP119" s="12"/>
      <c r="AQ119" s="12"/>
      <c r="BC119" s="12"/>
      <c r="BH119" s="12"/>
      <c r="BI119" s="16"/>
      <c r="BJ119" s="16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4"/>
      <c r="BX119" s="14"/>
      <c r="BY119" s="14"/>
      <c r="BZ119" s="14"/>
      <c r="CA119" s="14"/>
      <c r="CB119" s="14"/>
      <c r="CC119" s="14"/>
      <c r="CD119" s="14"/>
      <c r="CE119" s="14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</row>
    <row r="120">
      <c r="A120" s="92">
        <v>3.0</v>
      </c>
      <c r="B120" s="94" t="s">
        <v>415</v>
      </c>
      <c r="C120" s="94" t="s">
        <v>53</v>
      </c>
      <c r="D120" s="95" t="str">
        <f t="shared" si="8"/>
        <v>3-PRD-F4-4</v>
      </c>
      <c r="E120" s="83"/>
      <c r="F120" s="150"/>
      <c r="G120" s="85"/>
      <c r="H120" s="49"/>
      <c r="I120" s="86"/>
      <c r="J120" s="87"/>
      <c r="K120" s="27" t="str">
        <f t="shared" si="2"/>
        <v>DISPONIBLE</v>
      </c>
      <c r="L120" s="28">
        <f t="shared" si="10"/>
        <v>119</v>
      </c>
      <c r="M120" s="28" t="s">
        <v>515</v>
      </c>
      <c r="N120" s="70"/>
      <c r="O120" s="29"/>
      <c r="P120" s="12"/>
      <c r="Q120" s="12"/>
      <c r="R120" s="12"/>
      <c r="S120" s="12"/>
      <c r="T120" s="12"/>
      <c r="U120" s="12"/>
      <c r="V120" s="12"/>
      <c r="AB120" s="12"/>
      <c r="AC120" s="12" t="str">
        <f>IFERROR(__xludf.DUMMYFUNCTION("""COMPUTED_VALUE"""),"4-R-1C")</f>
        <v>4-R-1C</v>
      </c>
      <c r="AD120" s="12" t="str">
        <f>IFERROR(__xludf.DUMMYFUNCTION("""COMPUTED_VALUE"""),"PPME")</f>
        <v>PPME</v>
      </c>
      <c r="AE120" s="12" t="str">
        <f>IFERROR(__xludf.DUMMYFUNCTION("""COMPUTED_VALUE"""),"Sandwichera Panini Master Edition")</f>
        <v>Sandwichera Panini Master Edition</v>
      </c>
      <c r="AF120" s="30">
        <f>IFERROR(__xludf.DUMMYFUNCTION("""COMPUTED_VALUE"""),260.0)</f>
        <v>260</v>
      </c>
      <c r="AG120" s="12" t="str">
        <f>IFERROR(__xludf.DUMMYFUNCTION("""COMPUTED_VALUE"""),"Movimiento Interno")</f>
        <v>Movimiento Interno</v>
      </c>
      <c r="AH120" s="12">
        <f>IFERROR(__xludf.DUMMYFUNCTION("""COMPUTED_VALUE"""),4.0)</f>
        <v>4</v>
      </c>
      <c r="AI120" s="12" t="str">
        <f>IFERROR(__xludf.DUMMYFUNCTION("""COMPUTED_VALUE"""),"R")</f>
        <v>R</v>
      </c>
      <c r="AJ120" s="12" t="str">
        <f>IFERROR(__xludf.DUMMYFUNCTION("""COMPUTED_VALUE"""),"1C")</f>
        <v>1C</v>
      </c>
      <c r="AK120" s="12">
        <f>IFERROR(__xludf.DUMMYFUNCTION("""COMPUTED_VALUE"""),208.0)</f>
        <v>208</v>
      </c>
      <c r="AL120" s="12" t="str">
        <f>IFERROR(__xludf.DUMMYFUNCTION("""COMPUTED_VALUE"""),"KITCHEN-IT")</f>
        <v>KITCHEN-IT</v>
      </c>
      <c r="AM120" s="12"/>
      <c r="AN120" s="12"/>
      <c r="AO120" s="12"/>
      <c r="AP120" s="12"/>
      <c r="AQ120" s="12"/>
      <c r="BC120" s="12"/>
      <c r="BH120" s="12"/>
      <c r="BI120" s="16"/>
      <c r="BJ120" s="16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4"/>
      <c r="BX120" s="14"/>
      <c r="BY120" s="14"/>
      <c r="BZ120" s="14"/>
      <c r="CA120" s="14"/>
      <c r="CB120" s="14"/>
      <c r="CC120" s="14"/>
      <c r="CD120" s="14"/>
      <c r="CE120" s="14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</row>
    <row r="121">
      <c r="A121" s="151">
        <v>3.0</v>
      </c>
      <c r="B121" s="152" t="s">
        <v>415</v>
      </c>
      <c r="C121" s="152" t="s">
        <v>25</v>
      </c>
      <c r="D121" s="153" t="str">
        <f t="shared" si="8"/>
        <v>3-PRD-F4-5</v>
      </c>
      <c r="E121" s="57"/>
      <c r="F121" s="58"/>
      <c r="G121" s="59"/>
      <c r="H121" s="60"/>
      <c r="I121" s="61"/>
      <c r="J121" s="62"/>
      <c r="K121" s="154" t="str">
        <f t="shared" si="2"/>
        <v>DISPONIBLE</v>
      </c>
      <c r="L121" s="155">
        <f t="shared" si="10"/>
        <v>120</v>
      </c>
      <c r="M121" s="155" t="s">
        <v>515</v>
      </c>
      <c r="N121" s="156"/>
      <c r="O121" s="157"/>
      <c r="P121" s="12"/>
      <c r="Q121" s="12"/>
      <c r="R121" s="12"/>
      <c r="S121" s="12"/>
      <c r="T121" s="12"/>
      <c r="U121" s="12"/>
      <c r="V121" s="12"/>
      <c r="AB121" s="12"/>
      <c r="AC121" s="12" t="str">
        <f>IFERROR(__xludf.DUMMYFUNCTION("""COMPUTED_VALUE"""),"4-R-2B")</f>
        <v>4-R-2B</v>
      </c>
      <c r="AD121" s="12" t="str">
        <f>IFERROR(__xludf.DUMMYFUNCTION("""COMPUTED_VALUE"""),"LSS1200")</f>
        <v>LSS1200</v>
      </c>
      <c r="AE121" s="12" t="str">
        <f>IFERROR(__xludf.DUMMYFUNCTION("""COMPUTED_VALUE"""),"Licuadora Smart System 1200W")</f>
        <v>Licuadora Smart System 1200W</v>
      </c>
      <c r="AF121" s="30">
        <f>IFERROR(__xludf.DUMMYFUNCTION("""COMPUTED_VALUE"""),53.0)</f>
        <v>53</v>
      </c>
      <c r="AG121" s="12" t="str">
        <f>IFERROR(__xludf.DUMMYFUNCTION("""COMPUTED_VALUE"""),"Contenedor")</f>
        <v>Contenedor</v>
      </c>
      <c r="AH121" s="12">
        <f>IFERROR(__xludf.DUMMYFUNCTION("""COMPUTED_VALUE"""),4.0)</f>
        <v>4</v>
      </c>
      <c r="AI121" s="12" t="str">
        <f>IFERROR(__xludf.DUMMYFUNCTION("""COMPUTED_VALUE"""),"R")</f>
        <v>R</v>
      </c>
      <c r="AJ121" s="12" t="str">
        <f>IFERROR(__xludf.DUMMYFUNCTION("""COMPUTED_VALUE"""),"2B")</f>
        <v>2B</v>
      </c>
      <c r="AK121" s="12">
        <f>IFERROR(__xludf.DUMMYFUNCTION("""COMPUTED_VALUE"""),210.0)</f>
        <v>210</v>
      </c>
      <c r="AL121" s="12" t="str">
        <f>IFERROR(__xludf.DUMMYFUNCTION("""COMPUTED_VALUE"""),"KITCHEN-IT")</f>
        <v>KITCHEN-IT</v>
      </c>
      <c r="AM121" s="12"/>
      <c r="AN121" s="12"/>
      <c r="AO121" s="12"/>
      <c r="AP121" s="12"/>
      <c r="AQ121" s="12"/>
      <c r="BC121" s="12"/>
      <c r="BH121" s="12"/>
      <c r="BI121" s="16"/>
      <c r="BJ121" s="16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4"/>
      <c r="BX121" s="14"/>
      <c r="BY121" s="14"/>
      <c r="BZ121" s="14"/>
      <c r="CA121" s="14"/>
      <c r="CB121" s="14"/>
      <c r="CC121" s="14"/>
      <c r="CD121" s="14"/>
      <c r="CE121" s="14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</row>
    <row r="122">
      <c r="A122" s="158">
        <v>4.0</v>
      </c>
      <c r="B122" s="159" t="s">
        <v>18</v>
      </c>
      <c r="C122" s="160" t="s">
        <v>269</v>
      </c>
      <c r="D122" s="161" t="str">
        <f t="shared" si="8"/>
        <v>4-1-A</v>
      </c>
      <c r="E122" s="162">
        <v>45786.0</v>
      </c>
      <c r="F122" s="163" t="s">
        <v>559</v>
      </c>
      <c r="G122" s="164" t="s">
        <v>41</v>
      </c>
      <c r="H122" s="165" t="s">
        <v>42</v>
      </c>
      <c r="I122" s="166">
        <v>28.0</v>
      </c>
      <c r="J122" s="167" t="s">
        <v>43</v>
      </c>
      <c r="K122" s="27" t="str">
        <f t="shared" si="2"/>
        <v>OCUPADO</v>
      </c>
      <c r="L122" s="28">
        <f t="shared" si="10"/>
        <v>121</v>
      </c>
      <c r="M122" s="28" t="s">
        <v>23</v>
      </c>
      <c r="N122" s="109"/>
      <c r="O122" s="168" t="s">
        <v>270</v>
      </c>
      <c r="P122" s="12"/>
      <c r="Q122" s="12"/>
      <c r="R122" s="12"/>
      <c r="S122" s="12"/>
      <c r="T122" s="12"/>
      <c r="U122" s="12"/>
      <c r="V122" s="12"/>
      <c r="AB122" s="12"/>
      <c r="AC122" s="12" t="str">
        <f>IFERROR(__xludf.DUMMYFUNCTION("""COMPUTED_VALUE"""),"4-R-3B")</f>
        <v>4-R-3B</v>
      </c>
      <c r="AD122" s="12" t="str">
        <f>IFERROR(__xludf.DUMMYFUNCTION("""COMPUTED_VALUE"""),"CAFA4")</f>
        <v>CAFA4</v>
      </c>
      <c r="AE122" s="12" t="str">
        <f>IFERROR(__xludf.DUMMYFUNCTION("""COMPUTED_VALUE"""),"Cafetera Arezzo 4 en 1")</f>
        <v>Cafetera Arezzo 4 en 1</v>
      </c>
      <c r="AF122" s="30">
        <f>IFERROR(__xludf.DUMMYFUNCTION("""COMPUTED_VALUE"""),169.0)</f>
        <v>169</v>
      </c>
      <c r="AG122" s="12" t="str">
        <f>IFERROR(__xludf.DUMMYFUNCTION("""COMPUTED_VALUE"""),"Contenedor")</f>
        <v>Contenedor</v>
      </c>
      <c r="AH122" s="12">
        <f>IFERROR(__xludf.DUMMYFUNCTION("""COMPUTED_VALUE"""),4.0)</f>
        <v>4</v>
      </c>
      <c r="AI122" s="12" t="str">
        <f>IFERROR(__xludf.DUMMYFUNCTION("""COMPUTED_VALUE"""),"R")</f>
        <v>R</v>
      </c>
      <c r="AJ122" s="12" t="str">
        <f>IFERROR(__xludf.DUMMYFUNCTION("""COMPUTED_VALUE"""),"3B")</f>
        <v>3B</v>
      </c>
      <c r="AK122" s="12">
        <f>IFERROR(__xludf.DUMMYFUNCTION("""COMPUTED_VALUE"""),212.0)</f>
        <v>212</v>
      </c>
      <c r="AL122" s="12" t="str">
        <f>IFERROR(__xludf.DUMMYFUNCTION("""COMPUTED_VALUE"""),"KITCHEN-IT")</f>
        <v>KITCHEN-IT</v>
      </c>
      <c r="AM122" s="12"/>
      <c r="AN122" s="12"/>
      <c r="AO122" s="12"/>
      <c r="AP122" s="12"/>
      <c r="AQ122" s="12"/>
      <c r="BC122" s="12"/>
      <c r="BH122" s="12" t="str">
        <f>IFERROR(__xludf.DUMMYFUNCTION("IFERROR(INDEX(QUERY(IMPORTRANGE(""1T7HG8KEs-Ob7f3M5atEVN9Yn7IeORGp0QGvggB62ELw"",""Maestro!A:I""),""SELECT Col8 WHERE Col3 = '""&amp;BE122&amp;""'"", 0), 1, 1),""NO ENCONTRADO"")"),"D")</f>
        <v>D</v>
      </c>
      <c r="BI122" s="16">
        <v>1.0</v>
      </c>
      <c r="BJ122" s="16">
        <f t="shared" ref="BJ122:BJ198" si="11">IFERROR(ROUND(IF(BH122="D",BG122/BI122,BG122*BI122),0),1)</f>
        <v>9</v>
      </c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4"/>
      <c r="BX122" s="14"/>
      <c r="BY122" s="14"/>
      <c r="BZ122" s="14"/>
      <c r="CA122" s="14"/>
      <c r="CB122" s="14"/>
      <c r="CC122" s="14"/>
      <c r="CD122" s="14"/>
      <c r="CE122" s="14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</row>
    <row r="123">
      <c r="A123" s="158">
        <v>4.0</v>
      </c>
      <c r="B123" s="159" t="s">
        <v>18</v>
      </c>
      <c r="C123" s="160" t="s">
        <v>277</v>
      </c>
      <c r="D123" s="161" t="str">
        <f t="shared" si="8"/>
        <v>4-1-B</v>
      </c>
      <c r="E123" s="162">
        <v>45786.0</v>
      </c>
      <c r="F123" s="163" t="s">
        <v>559</v>
      </c>
      <c r="G123" s="164" t="s">
        <v>41</v>
      </c>
      <c r="H123" s="165" t="s">
        <v>42</v>
      </c>
      <c r="I123" s="166">
        <v>28.0</v>
      </c>
      <c r="J123" s="167" t="s">
        <v>43</v>
      </c>
      <c r="K123" s="32" t="str">
        <f t="shared" si="2"/>
        <v>OCUPADO</v>
      </c>
      <c r="L123" s="33">
        <f t="shared" si="10"/>
        <v>122</v>
      </c>
      <c r="M123" s="33" t="s">
        <v>23</v>
      </c>
      <c r="N123" s="122"/>
      <c r="O123" s="169" t="s">
        <v>270</v>
      </c>
      <c r="P123" s="12"/>
      <c r="Q123" s="12"/>
      <c r="R123" s="12"/>
      <c r="S123" s="12"/>
      <c r="T123" s="12"/>
      <c r="U123" s="12"/>
      <c r="V123" s="12"/>
      <c r="AB123" s="12"/>
      <c r="AC123" s="12" t="str">
        <f>IFERROR(__xludf.DUMMYFUNCTION("""COMPUTED_VALUE"""),"4-R-4B")</f>
        <v>4-R-4B</v>
      </c>
      <c r="AD123" s="12" t="str">
        <f>IFERROR(__xludf.DUMMYFUNCTION("""COMPUTED_VALUE"""),"FAME12L")</f>
        <v>FAME12L</v>
      </c>
      <c r="AE123" s="12" t="str">
        <f>IFERROR(__xludf.DUMMYFUNCTION("""COMPUTED_VALUE"""),"Freidora de Aire Max Edition 12L")</f>
        <v>Freidora de Aire Max Edition 12L</v>
      </c>
      <c r="AF123" s="30">
        <f>IFERROR(__xludf.DUMMYFUNCTION("""COMPUTED_VALUE"""),75.0)</f>
        <v>75</v>
      </c>
      <c r="AG123" s="12" t="str">
        <f>IFERROR(__xludf.DUMMYFUNCTION("""COMPUTED_VALUE"""),"Contenedor")</f>
        <v>Contenedor</v>
      </c>
      <c r="AH123" s="12">
        <f>IFERROR(__xludf.DUMMYFUNCTION("""COMPUTED_VALUE"""),4.0)</f>
        <v>4</v>
      </c>
      <c r="AI123" s="12" t="str">
        <f>IFERROR(__xludf.DUMMYFUNCTION("""COMPUTED_VALUE"""),"R")</f>
        <v>R</v>
      </c>
      <c r="AJ123" s="12" t="str">
        <f>IFERROR(__xludf.DUMMYFUNCTION("""COMPUTED_VALUE"""),"4B")</f>
        <v>4B</v>
      </c>
      <c r="AK123" s="12">
        <f>IFERROR(__xludf.DUMMYFUNCTION("""COMPUTED_VALUE"""),214.0)</f>
        <v>214</v>
      </c>
      <c r="AL123" s="12" t="str">
        <f>IFERROR(__xludf.DUMMYFUNCTION("""COMPUTED_VALUE"""),"KITCHEN-IT")</f>
        <v>KITCHEN-IT</v>
      </c>
      <c r="AM123" s="12"/>
      <c r="AN123" s="12"/>
      <c r="AO123" s="12"/>
      <c r="AP123" s="12"/>
      <c r="AQ123" s="12"/>
      <c r="BC123" s="12"/>
      <c r="BH123" s="12" t="str">
        <f>IFERROR(__xludf.DUMMYFUNCTION("IFERROR(INDEX(QUERY(IMPORTRANGE(""1T7HG8KEs-Ob7f3M5atEVN9Yn7IeORGp0QGvggB62ELw"",""Maestro!A:I""),""SELECT Col8 WHERE Col3 = '""&amp;BE123&amp;""'"", 0), 1, 1),""NO ENCONTRADO"")"),"D")</f>
        <v>D</v>
      </c>
      <c r="BI123" s="16">
        <v>1.0</v>
      </c>
      <c r="BJ123" s="16">
        <f t="shared" si="11"/>
        <v>10</v>
      </c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4"/>
      <c r="BX123" s="14"/>
      <c r="BY123" s="14"/>
      <c r="BZ123" s="14"/>
      <c r="CA123" s="14"/>
      <c r="CB123" s="14"/>
      <c r="CC123" s="14"/>
      <c r="CD123" s="14"/>
      <c r="CE123" s="14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</row>
    <row r="124">
      <c r="A124" s="158">
        <v>4.0</v>
      </c>
      <c r="B124" s="159" t="s">
        <v>18</v>
      </c>
      <c r="C124" s="160" t="s">
        <v>282</v>
      </c>
      <c r="D124" s="161" t="str">
        <f t="shared" si="8"/>
        <v>4-1-C</v>
      </c>
      <c r="E124" s="162">
        <v>45786.0</v>
      </c>
      <c r="F124" s="163" t="s">
        <v>559</v>
      </c>
      <c r="G124" s="164" t="s">
        <v>41</v>
      </c>
      <c r="H124" s="165" t="s">
        <v>42</v>
      </c>
      <c r="I124" s="166">
        <v>28.0</v>
      </c>
      <c r="J124" s="167" t="s">
        <v>43</v>
      </c>
      <c r="K124" s="27" t="str">
        <f t="shared" si="2"/>
        <v>OCUPADO</v>
      </c>
      <c r="L124" s="28">
        <f t="shared" si="10"/>
        <v>123</v>
      </c>
      <c r="M124" s="28" t="s">
        <v>23</v>
      </c>
      <c r="N124" s="109"/>
      <c r="O124" s="168" t="s">
        <v>270</v>
      </c>
      <c r="P124" s="12"/>
      <c r="Q124" s="12"/>
      <c r="R124" s="12"/>
      <c r="S124" s="12"/>
      <c r="T124" s="12"/>
      <c r="U124" s="12"/>
      <c r="V124" s="12"/>
      <c r="AB124" s="12"/>
      <c r="AC124" s="12" t="str">
        <f>IFERROR(__xludf.DUMMYFUNCTION("""COMPUTED_VALUE"""),"4-R-5A")</f>
        <v>4-R-5A</v>
      </c>
      <c r="AD124" s="12" t="str">
        <f>IFERROR(__xludf.DUMMYFUNCTION("""COMPUTED_VALUE"""),"HESS45")</f>
        <v>HESS45</v>
      </c>
      <c r="AE124" s="12" t="str">
        <f>IFERROR(__xludf.DUMMYFUNCTION("""COMPUTED_VALUE"""),"Horno Eléctrico Silver Series 45L")</f>
        <v>Horno Eléctrico Silver Series 45L</v>
      </c>
      <c r="AF124" s="30">
        <f>IFERROR(__xludf.DUMMYFUNCTION("""COMPUTED_VALUE"""),4.0)</f>
        <v>4</v>
      </c>
      <c r="AG124" s="12" t="str">
        <f>IFERROR(__xludf.DUMMYFUNCTION("""COMPUTED_VALUE"""),"Movimiento Interno")</f>
        <v>Movimiento Interno</v>
      </c>
      <c r="AH124" s="12">
        <f>IFERROR(__xludf.DUMMYFUNCTION("""COMPUTED_VALUE"""),4.0)</f>
        <v>4</v>
      </c>
      <c r="AI124" s="12" t="str">
        <f>IFERROR(__xludf.DUMMYFUNCTION("""COMPUTED_VALUE"""),"R")</f>
        <v>R</v>
      </c>
      <c r="AJ124" s="12" t="str">
        <f>IFERROR(__xludf.DUMMYFUNCTION("""COMPUTED_VALUE"""),"5A")</f>
        <v>5A</v>
      </c>
      <c r="AK124" s="12">
        <f>IFERROR(__xludf.DUMMYFUNCTION("""COMPUTED_VALUE"""),215.0)</f>
        <v>215</v>
      </c>
      <c r="AL124" s="12" t="str">
        <f>IFERROR(__xludf.DUMMYFUNCTION("""COMPUTED_VALUE"""),"KITCHEN-IT")</f>
        <v>KITCHEN-IT</v>
      </c>
      <c r="AM124" s="12"/>
      <c r="AN124" s="12"/>
      <c r="AO124" s="12"/>
      <c r="AP124" s="12"/>
      <c r="AQ124" s="12"/>
      <c r="BC124" s="12"/>
      <c r="BH124" s="12" t="str">
        <f>IFERROR(__xludf.DUMMYFUNCTION("IFERROR(INDEX(QUERY(IMPORTRANGE(""1T7HG8KEs-Ob7f3M5atEVN9Yn7IeORGp0QGvggB62ELw"",""Maestro!A:I""),""SELECT Col8 WHERE Col3 = '""&amp;BE124&amp;""'"", 0), 1, 1),""NO ENCONTRADO"")"),"D")</f>
        <v>D</v>
      </c>
      <c r="BI124" s="16">
        <v>1.0</v>
      </c>
      <c r="BJ124" s="16">
        <f t="shared" si="11"/>
        <v>2</v>
      </c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4"/>
      <c r="BX124" s="14"/>
      <c r="BY124" s="14"/>
      <c r="BZ124" s="14"/>
      <c r="CA124" s="14"/>
      <c r="CB124" s="14"/>
      <c r="CC124" s="14"/>
      <c r="CD124" s="14"/>
      <c r="CE124" s="14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</row>
    <row r="125">
      <c r="A125" s="158">
        <v>4.0</v>
      </c>
      <c r="B125" s="159" t="s">
        <v>18</v>
      </c>
      <c r="C125" s="160" t="s">
        <v>285</v>
      </c>
      <c r="D125" s="161" t="str">
        <f t="shared" si="8"/>
        <v>4-1-D</v>
      </c>
      <c r="E125" s="162">
        <v>45789.0</v>
      </c>
      <c r="F125" s="163" t="s">
        <v>559</v>
      </c>
      <c r="G125" s="164" t="s">
        <v>41</v>
      </c>
      <c r="H125" s="165" t="s">
        <v>42</v>
      </c>
      <c r="I125" s="166">
        <v>28.0</v>
      </c>
      <c r="J125" s="167" t="s">
        <v>43</v>
      </c>
      <c r="K125" s="32" t="str">
        <f t="shared" si="2"/>
        <v>OCUPADO</v>
      </c>
      <c r="L125" s="33">
        <f t="shared" si="10"/>
        <v>124</v>
      </c>
      <c r="M125" s="33" t="s">
        <v>23</v>
      </c>
      <c r="N125" s="122"/>
      <c r="O125" s="169" t="s">
        <v>270</v>
      </c>
      <c r="P125" s="12"/>
      <c r="Q125" s="12"/>
      <c r="R125" s="12"/>
      <c r="S125" s="12"/>
      <c r="T125" s="12"/>
      <c r="U125" s="12"/>
      <c r="V125" s="12"/>
      <c r="AB125" s="12"/>
      <c r="AC125" s="12" t="str">
        <f>IFERROR(__xludf.DUMMYFUNCTION("""COMPUTED_VALUE"""),"4-R-5B")</f>
        <v>4-R-5B</v>
      </c>
      <c r="AD125" s="12" t="str">
        <f>IFERROR(__xludf.DUMMYFUNCTION("""COMPUTED_VALUE"""),"HF25L")</f>
        <v>HF25L</v>
      </c>
      <c r="AE125" s="12" t="str">
        <f>IFERROR(__xludf.DUMMYFUNCTION("""COMPUTED_VALUE"""),"Horno Freidora Smart Edition 25L")</f>
        <v>Horno Freidora Smart Edition 25L</v>
      </c>
      <c r="AF125" s="30">
        <f>IFERROR(__xludf.DUMMYFUNCTION("""COMPUTED_VALUE"""),17.0)</f>
        <v>17</v>
      </c>
      <c r="AG125" s="12" t="str">
        <f>IFERROR(__xludf.DUMMYFUNCTION("""COMPUTED_VALUE"""),"Contenedor")</f>
        <v>Contenedor</v>
      </c>
      <c r="AH125" s="12">
        <f>IFERROR(__xludf.DUMMYFUNCTION("""COMPUTED_VALUE"""),4.0)</f>
        <v>4</v>
      </c>
      <c r="AI125" s="12" t="str">
        <f>IFERROR(__xludf.DUMMYFUNCTION("""COMPUTED_VALUE"""),"R")</f>
        <v>R</v>
      </c>
      <c r="AJ125" s="12" t="str">
        <f>IFERROR(__xludf.DUMMYFUNCTION("""COMPUTED_VALUE"""),"5B")</f>
        <v>5B</v>
      </c>
      <c r="AK125" s="12">
        <f>IFERROR(__xludf.DUMMYFUNCTION("""COMPUTED_VALUE"""),216.0)</f>
        <v>216</v>
      </c>
      <c r="AL125" s="12" t="str">
        <f>IFERROR(__xludf.DUMMYFUNCTION("""COMPUTED_VALUE"""),"KITCHEN-IT")</f>
        <v>KITCHEN-IT</v>
      </c>
      <c r="AM125" s="12"/>
      <c r="AN125" s="12"/>
      <c r="AO125" s="12"/>
      <c r="AP125" s="12"/>
      <c r="AQ125" s="12"/>
      <c r="BC125" s="12"/>
      <c r="BH125" s="12" t="str">
        <f>IFERROR(__xludf.DUMMYFUNCTION("IFERROR(INDEX(QUERY(IMPORTRANGE(""1T7HG8KEs-Ob7f3M5atEVN9Yn7IeORGp0QGvggB62ELw"",""Maestro!A:I""),""SELECT Col8 WHERE Col3 = '""&amp;BE125&amp;""'"", 0), 1, 1),""NO ENCONTRADO"")"),"D")</f>
        <v>D</v>
      </c>
      <c r="BI125" s="16">
        <v>1.0</v>
      </c>
      <c r="BJ125" s="16">
        <f t="shared" si="11"/>
        <v>8</v>
      </c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4"/>
      <c r="BX125" s="14"/>
      <c r="BY125" s="14"/>
      <c r="BZ125" s="14"/>
      <c r="CA125" s="14"/>
      <c r="CB125" s="14"/>
      <c r="CC125" s="14"/>
      <c r="CD125" s="14"/>
      <c r="CE125" s="14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</row>
    <row r="126">
      <c r="A126" s="158">
        <v>4.0</v>
      </c>
      <c r="B126" s="159" t="s">
        <v>18</v>
      </c>
      <c r="C126" s="160" t="s">
        <v>289</v>
      </c>
      <c r="D126" s="161" t="str">
        <f t="shared" si="8"/>
        <v>4-1-E</v>
      </c>
      <c r="E126" s="162">
        <v>45791.0</v>
      </c>
      <c r="F126" s="170" t="s">
        <v>559</v>
      </c>
      <c r="G126" s="164" t="s">
        <v>41</v>
      </c>
      <c r="H126" s="165" t="s">
        <v>42</v>
      </c>
      <c r="I126" s="166">
        <v>28.0</v>
      </c>
      <c r="J126" s="167" t="s">
        <v>43</v>
      </c>
      <c r="K126" s="27" t="str">
        <f t="shared" si="2"/>
        <v>OCUPADO</v>
      </c>
      <c r="L126" s="28">
        <f t="shared" si="10"/>
        <v>125</v>
      </c>
      <c r="M126" s="28" t="s">
        <v>23</v>
      </c>
      <c r="N126" s="109"/>
      <c r="O126" s="168" t="s">
        <v>270</v>
      </c>
      <c r="P126" s="12"/>
      <c r="Q126" s="12"/>
      <c r="R126" s="12"/>
      <c r="S126" s="12"/>
      <c r="T126" s="12"/>
      <c r="U126" s="12"/>
      <c r="V126" s="12"/>
      <c r="AB126" s="12"/>
      <c r="AC126" s="12" t="str">
        <f>IFERROR(__xludf.DUMMYFUNCTION("""COMPUTED_VALUE"""),"4-R-6A")</f>
        <v>4-R-6A</v>
      </c>
      <c r="AD126" s="12" t="str">
        <f>IFERROR(__xludf.DUMMYFUNCTION("""COMPUTED_VALUE"""),"HESS45")</f>
        <v>HESS45</v>
      </c>
      <c r="AE126" s="12" t="str">
        <f>IFERROR(__xludf.DUMMYFUNCTION("""COMPUTED_VALUE"""),"Horno Eléctrico Silver Series 45L")</f>
        <v>Horno Eléctrico Silver Series 45L</v>
      </c>
      <c r="AF126" s="30">
        <f>IFERROR(__xludf.DUMMYFUNCTION("""COMPUTED_VALUE"""),10.0)</f>
        <v>10</v>
      </c>
      <c r="AG126" s="12" t="str">
        <f>IFERROR(__xludf.DUMMYFUNCTION("""COMPUTED_VALUE"""),"Movimiento Interno")</f>
        <v>Movimiento Interno</v>
      </c>
      <c r="AH126" s="12">
        <f>IFERROR(__xludf.DUMMYFUNCTION("""COMPUTED_VALUE"""),4.0)</f>
        <v>4</v>
      </c>
      <c r="AI126" s="12" t="str">
        <f>IFERROR(__xludf.DUMMYFUNCTION("""COMPUTED_VALUE"""),"R")</f>
        <v>R</v>
      </c>
      <c r="AJ126" s="12" t="str">
        <f>IFERROR(__xludf.DUMMYFUNCTION("""COMPUTED_VALUE"""),"6A")</f>
        <v>6A</v>
      </c>
      <c r="AK126" s="12">
        <f>IFERROR(__xludf.DUMMYFUNCTION("""COMPUTED_VALUE"""),217.0)</f>
        <v>217</v>
      </c>
      <c r="AL126" s="12" t="str">
        <f>IFERROR(__xludf.DUMMYFUNCTION("""COMPUTED_VALUE"""),"KITCHEN-IT")</f>
        <v>KITCHEN-IT</v>
      </c>
      <c r="AM126" s="12"/>
      <c r="AN126" s="12"/>
      <c r="AO126" s="12"/>
      <c r="AP126" s="12"/>
      <c r="AQ126" s="12"/>
      <c r="BC126" s="12"/>
      <c r="BD126" s="12"/>
      <c r="BE126" s="14"/>
      <c r="BF126" s="12"/>
      <c r="BG126" s="12"/>
      <c r="BH126" s="12" t="str">
        <f>IFERROR(__xludf.DUMMYFUNCTION("IFERROR(INDEX(QUERY(IMPORTRANGE(""1T7HG8KEs-Ob7f3M5atEVN9Yn7IeORGp0QGvggB62ELw"",""Maestro!A:I""),""SELECT Col8 WHERE Col3 = '""&amp;BE126&amp;""'"", 0), 1, 1),""NO ENCONTRADO"")"),"")</f>
        <v/>
      </c>
      <c r="BI126" s="16">
        <v>1.0</v>
      </c>
      <c r="BJ126" s="16">
        <f t="shared" si="11"/>
        <v>0</v>
      </c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4"/>
      <c r="BX126" s="14"/>
      <c r="BY126" s="14"/>
      <c r="BZ126" s="14"/>
      <c r="CA126" s="14"/>
      <c r="CB126" s="14"/>
      <c r="CC126" s="14"/>
      <c r="CD126" s="14"/>
      <c r="CE126" s="14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</row>
    <row r="127">
      <c r="A127" s="158">
        <v>4.0</v>
      </c>
      <c r="B127" s="159" t="s">
        <v>32</v>
      </c>
      <c r="C127" s="160" t="s">
        <v>269</v>
      </c>
      <c r="D127" s="161" t="str">
        <f t="shared" si="8"/>
        <v>4-2-A</v>
      </c>
      <c r="E127" s="162">
        <v>45785.0</v>
      </c>
      <c r="F127" s="163" t="s">
        <v>567</v>
      </c>
      <c r="G127" s="164" t="s">
        <v>291</v>
      </c>
      <c r="H127" s="165" t="s">
        <v>292</v>
      </c>
      <c r="I127" s="166">
        <v>160.0</v>
      </c>
      <c r="J127" s="167" t="s">
        <v>43</v>
      </c>
      <c r="K127" s="32" t="str">
        <f t="shared" si="2"/>
        <v>OCUPADO</v>
      </c>
      <c r="L127" s="33">
        <f t="shared" si="10"/>
        <v>126</v>
      </c>
      <c r="M127" s="33" t="s">
        <v>23</v>
      </c>
      <c r="N127" s="122"/>
      <c r="O127" s="169" t="s">
        <v>270</v>
      </c>
      <c r="P127" s="12"/>
      <c r="Q127" s="12"/>
      <c r="R127" s="12"/>
      <c r="S127" s="12"/>
      <c r="T127" s="12"/>
      <c r="U127" s="12"/>
      <c r="V127" s="12"/>
      <c r="AB127" s="12"/>
      <c r="AC127" s="12" t="str">
        <f>IFERROR(__xludf.DUMMYFUNCTION("""COMPUTED_VALUE"""),"4-R-6B")</f>
        <v>4-R-6B</v>
      </c>
      <c r="AD127" s="12" t="str">
        <f>IFERROR(__xludf.DUMMYFUNCTION("""COMPUTED_VALUE"""),"HPBE22")</f>
        <v>HPBE22</v>
      </c>
      <c r="AE127" s="12" t="str">
        <f>IFERROR(__xludf.DUMMYFUNCTION("""COMPUTED_VALUE"""),"Horno Pizza a la Piedra Black Edition")</f>
        <v>Horno Pizza a la Piedra Black Edition</v>
      </c>
      <c r="AF127" s="30">
        <f>IFERROR(__xludf.DUMMYFUNCTION("""COMPUTED_VALUE"""),121.0)</f>
        <v>121</v>
      </c>
      <c r="AG127" s="12" t="str">
        <f>IFERROR(__xludf.DUMMYFUNCTION("""COMPUTED_VALUE"""),"Contenedor")</f>
        <v>Contenedor</v>
      </c>
      <c r="AH127" s="12">
        <f>IFERROR(__xludf.DUMMYFUNCTION("""COMPUTED_VALUE"""),4.0)</f>
        <v>4</v>
      </c>
      <c r="AI127" s="12" t="str">
        <f>IFERROR(__xludf.DUMMYFUNCTION("""COMPUTED_VALUE"""),"R")</f>
        <v>R</v>
      </c>
      <c r="AJ127" s="12" t="str">
        <f>IFERROR(__xludf.DUMMYFUNCTION("""COMPUTED_VALUE"""),"6B")</f>
        <v>6B</v>
      </c>
      <c r="AK127" s="12">
        <f>IFERROR(__xludf.DUMMYFUNCTION("""COMPUTED_VALUE"""),218.0)</f>
        <v>218</v>
      </c>
      <c r="AL127" s="12" t="str">
        <f>IFERROR(__xludf.DUMMYFUNCTION("""COMPUTED_VALUE"""),"KITCHEN-IT")</f>
        <v>KITCHEN-IT</v>
      </c>
      <c r="AM127" s="12"/>
      <c r="AN127" s="12"/>
      <c r="AO127" s="12"/>
      <c r="AP127" s="12"/>
      <c r="AQ127" s="12"/>
      <c r="BC127" s="12"/>
      <c r="BD127" s="12"/>
      <c r="BE127" s="14"/>
      <c r="BF127" s="12"/>
      <c r="BG127" s="12"/>
      <c r="BH127" s="12" t="str">
        <f>IFERROR(__xludf.DUMMYFUNCTION("IFERROR(INDEX(QUERY(IMPORTRANGE(""1T7HG8KEs-Ob7f3M5atEVN9Yn7IeORGp0QGvggB62ELw"",""Maestro!A:I""),""SELECT Col8 WHERE Col3 = '""&amp;BE127&amp;""'"", 0), 1, 1),""NO ENCONTRADO"")"),"")</f>
        <v/>
      </c>
      <c r="BI127" s="16">
        <v>1.0</v>
      </c>
      <c r="BJ127" s="16">
        <f t="shared" si="11"/>
        <v>0</v>
      </c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4"/>
      <c r="BX127" s="14"/>
      <c r="BY127" s="14"/>
      <c r="BZ127" s="14"/>
      <c r="CA127" s="14"/>
      <c r="CB127" s="14"/>
      <c r="CC127" s="14"/>
      <c r="CD127" s="14"/>
      <c r="CE127" s="14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</row>
    <row r="128">
      <c r="A128" s="158">
        <v>4.0</v>
      </c>
      <c r="B128" s="159" t="s">
        <v>32</v>
      </c>
      <c r="C128" s="160" t="s">
        <v>277</v>
      </c>
      <c r="D128" s="161" t="str">
        <f t="shared" si="8"/>
        <v>4-2-B</v>
      </c>
      <c r="E128" s="162">
        <v>45785.0</v>
      </c>
      <c r="F128" s="163" t="s">
        <v>567</v>
      </c>
      <c r="G128" s="164" t="s">
        <v>291</v>
      </c>
      <c r="H128" s="165" t="s">
        <v>292</v>
      </c>
      <c r="I128" s="166">
        <v>160.0</v>
      </c>
      <c r="J128" s="167" t="s">
        <v>43</v>
      </c>
      <c r="K128" s="27" t="str">
        <f t="shared" si="2"/>
        <v>OCUPADO</v>
      </c>
      <c r="L128" s="28">
        <f t="shared" si="10"/>
        <v>127</v>
      </c>
      <c r="M128" s="28" t="s">
        <v>23</v>
      </c>
      <c r="N128" s="109"/>
      <c r="O128" s="168" t="s">
        <v>270</v>
      </c>
      <c r="P128" s="12"/>
      <c r="Q128" s="12"/>
      <c r="R128" s="12"/>
      <c r="S128" s="12"/>
      <c r="T128" s="12"/>
      <c r="U128" s="12"/>
      <c r="V128" s="12"/>
      <c r="AB128" s="12"/>
      <c r="AC128" s="12" t="str">
        <f>IFERROR(__xludf.DUMMYFUNCTION("""COMPUTED_VALUE"""),"4-R-7A")</f>
        <v>4-R-7A</v>
      </c>
      <c r="AD128" s="12" t="str">
        <f>IFERROR(__xludf.DUMMYFUNCTION("""COMPUTED_VALUE"""),"TCK0ZESE")</f>
        <v>TCK0ZESE</v>
      </c>
      <c r="AE128" s="12" t="str">
        <f>IFERROR(__xludf.DUMMYFUNCTION("""COMPUTED_VALUE"""),"Air Fryer Parrilla Ckozese by Onson 7L")</f>
        <v>Air Fryer Parrilla Ckozese by Onson 7L</v>
      </c>
      <c r="AF128" s="30">
        <f>IFERROR(__xludf.DUMMYFUNCTION("""COMPUTED_VALUE"""),9.0)</f>
        <v>9</v>
      </c>
      <c r="AG128" s="12" t="str">
        <f>IFERROR(__xludf.DUMMYFUNCTION("""COMPUTED_VALUE"""),"Retorno Falabella")</f>
        <v>Retorno Falabella</v>
      </c>
      <c r="AH128" s="12">
        <f>IFERROR(__xludf.DUMMYFUNCTION("""COMPUTED_VALUE"""),4.0)</f>
        <v>4</v>
      </c>
      <c r="AI128" s="12" t="str">
        <f>IFERROR(__xludf.DUMMYFUNCTION("""COMPUTED_VALUE"""),"R")</f>
        <v>R</v>
      </c>
      <c r="AJ128" s="12" t="str">
        <f>IFERROR(__xludf.DUMMYFUNCTION("""COMPUTED_VALUE"""),"7A")</f>
        <v>7A</v>
      </c>
      <c r="AK128" s="12">
        <f>IFERROR(__xludf.DUMMYFUNCTION("""COMPUTED_VALUE"""),219.0)</f>
        <v>219</v>
      </c>
      <c r="AL128" s="12" t="str">
        <f>IFERROR(__xludf.DUMMYFUNCTION("""COMPUTED_VALUE"""),"KITCHEN-IT")</f>
        <v>KITCHEN-IT</v>
      </c>
      <c r="AM128" s="12"/>
      <c r="AN128" s="12"/>
      <c r="AO128" s="12"/>
      <c r="AP128" s="12"/>
      <c r="AQ128" s="12"/>
      <c r="BC128" s="12"/>
      <c r="BD128" s="12"/>
      <c r="BE128" s="14"/>
      <c r="BF128" s="12"/>
      <c r="BG128" s="12"/>
      <c r="BH128" s="12" t="str">
        <f>IFERROR(__xludf.DUMMYFUNCTION("IFERROR(INDEX(QUERY(IMPORTRANGE(""1T7HG8KEs-Ob7f3M5atEVN9Yn7IeORGp0QGvggB62ELw"",""Maestro!A:I""),""SELECT Col8 WHERE Col3 = '""&amp;BE128&amp;""'"", 0), 1, 1),""NO ENCONTRADO"")"),"")</f>
        <v/>
      </c>
      <c r="BI128" s="16">
        <v>1.0</v>
      </c>
      <c r="BJ128" s="16">
        <f t="shared" si="11"/>
        <v>0</v>
      </c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4"/>
      <c r="BX128" s="14"/>
      <c r="BY128" s="14"/>
      <c r="BZ128" s="14"/>
      <c r="CA128" s="14"/>
      <c r="CB128" s="14"/>
      <c r="CC128" s="14"/>
      <c r="CD128" s="14"/>
      <c r="CE128" s="14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</row>
    <row r="129">
      <c r="A129" s="158">
        <v>4.0</v>
      </c>
      <c r="B129" s="159" t="s">
        <v>32</v>
      </c>
      <c r="C129" s="160" t="s">
        <v>282</v>
      </c>
      <c r="D129" s="161" t="str">
        <f t="shared" si="8"/>
        <v>4-2-C</v>
      </c>
      <c r="E129" s="162">
        <v>45785.0</v>
      </c>
      <c r="F129" s="163" t="s">
        <v>567</v>
      </c>
      <c r="G129" s="164" t="s">
        <v>291</v>
      </c>
      <c r="H129" s="165" t="s">
        <v>292</v>
      </c>
      <c r="I129" s="166">
        <v>78.0</v>
      </c>
      <c r="J129" s="167" t="s">
        <v>43</v>
      </c>
      <c r="K129" s="32" t="str">
        <f t="shared" si="2"/>
        <v>OCUPADO</v>
      </c>
      <c r="L129" s="33">
        <f t="shared" si="10"/>
        <v>128</v>
      </c>
      <c r="M129" s="33" t="s">
        <v>23</v>
      </c>
      <c r="N129" s="33"/>
      <c r="O129" s="169" t="s">
        <v>270</v>
      </c>
      <c r="P129" s="12"/>
      <c r="Q129" s="12"/>
      <c r="R129" s="12"/>
      <c r="S129" s="12"/>
      <c r="T129" s="12"/>
      <c r="U129" s="12"/>
      <c r="V129" s="12"/>
      <c r="AB129" s="12"/>
      <c r="AC129" s="12" t="str">
        <f>IFERROR(__xludf.DUMMYFUNCTION("""COMPUTED_VALUE"""),"4-R-7B")</f>
        <v>4-R-7B</v>
      </c>
      <c r="AD129" s="12" t="str">
        <f>IFERROR(__xludf.DUMMYFUNCTION("""COMPUTED_VALUE"""),"FAME12L")</f>
        <v>FAME12L</v>
      </c>
      <c r="AE129" s="12" t="str">
        <f>IFERROR(__xludf.DUMMYFUNCTION("""COMPUTED_VALUE"""),"Freidora de Aire Max Edition 12L")</f>
        <v>Freidora de Aire Max Edition 12L</v>
      </c>
      <c r="AF129" s="30">
        <f>IFERROR(__xludf.DUMMYFUNCTION("""COMPUTED_VALUE"""),75.0)</f>
        <v>75</v>
      </c>
      <c r="AG129" s="12" t="str">
        <f>IFERROR(__xludf.DUMMYFUNCTION("""COMPUTED_VALUE"""),"Contenedor")</f>
        <v>Contenedor</v>
      </c>
      <c r="AH129" s="12">
        <f>IFERROR(__xludf.DUMMYFUNCTION("""COMPUTED_VALUE"""),4.0)</f>
        <v>4</v>
      </c>
      <c r="AI129" s="12" t="str">
        <f>IFERROR(__xludf.DUMMYFUNCTION("""COMPUTED_VALUE"""),"R")</f>
        <v>R</v>
      </c>
      <c r="AJ129" s="12" t="str">
        <f>IFERROR(__xludf.DUMMYFUNCTION("""COMPUTED_VALUE"""),"7B")</f>
        <v>7B</v>
      </c>
      <c r="AK129" s="12">
        <f>IFERROR(__xludf.DUMMYFUNCTION("""COMPUTED_VALUE"""),220.0)</f>
        <v>220</v>
      </c>
      <c r="AL129" s="12" t="str">
        <f>IFERROR(__xludf.DUMMYFUNCTION("""COMPUTED_VALUE"""),"KITCHEN-IT")</f>
        <v>KITCHEN-IT</v>
      </c>
      <c r="AM129" s="12"/>
      <c r="AN129" s="12"/>
      <c r="AO129" s="12"/>
      <c r="AP129" s="12"/>
      <c r="AQ129" s="12"/>
      <c r="BC129" s="12"/>
      <c r="BD129" s="12"/>
      <c r="BE129" s="14"/>
      <c r="BF129" s="12"/>
      <c r="BG129" s="12"/>
      <c r="BH129" s="12" t="str">
        <f>IFERROR(__xludf.DUMMYFUNCTION("IFERROR(INDEX(QUERY(IMPORTRANGE(""1T7HG8KEs-Ob7f3M5atEVN9Yn7IeORGp0QGvggB62ELw"",""Maestro!A:I""),""SELECT Col8 WHERE Col3 = '""&amp;BE129&amp;""'"", 0), 1, 1),""NO ENCONTRADO"")"),"")</f>
        <v/>
      </c>
      <c r="BI129" s="16">
        <v>1.0</v>
      </c>
      <c r="BJ129" s="16">
        <f t="shared" si="11"/>
        <v>0</v>
      </c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4"/>
      <c r="BX129" s="14"/>
      <c r="BY129" s="14"/>
      <c r="BZ129" s="14"/>
      <c r="CA129" s="14"/>
      <c r="CB129" s="14"/>
      <c r="CC129" s="14"/>
      <c r="CD129" s="14"/>
      <c r="CE129" s="14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</row>
    <row r="130">
      <c r="A130" s="158">
        <v>4.0</v>
      </c>
      <c r="B130" s="159" t="s">
        <v>32</v>
      </c>
      <c r="C130" s="160" t="s">
        <v>285</v>
      </c>
      <c r="D130" s="161" t="str">
        <f t="shared" si="8"/>
        <v>4-2-D</v>
      </c>
      <c r="E130" s="103"/>
      <c r="F130" s="171"/>
      <c r="G130" s="105"/>
      <c r="H130" s="106"/>
      <c r="I130" s="107"/>
      <c r="J130" s="108"/>
      <c r="K130" s="27" t="str">
        <f t="shared" si="2"/>
        <v>DISPONIBLE</v>
      </c>
      <c r="L130" s="28">
        <f t="shared" si="10"/>
        <v>129</v>
      </c>
      <c r="M130" s="28" t="s">
        <v>23</v>
      </c>
      <c r="N130" s="28"/>
      <c r="O130" s="168"/>
      <c r="P130" s="12"/>
      <c r="Q130" s="12"/>
      <c r="R130" s="12"/>
      <c r="S130" s="12"/>
      <c r="T130" s="12"/>
      <c r="U130" s="12"/>
      <c r="V130" s="12"/>
      <c r="AB130" s="12"/>
      <c r="AC130" s="12" t="str">
        <f>IFERROR(__xludf.DUMMYFUNCTION("""COMPUTED_VALUE"""),"4-R-9A")</f>
        <v>4-R-9A</v>
      </c>
      <c r="AD130" s="12" t="str">
        <f>IFERROR(__xludf.DUMMYFUNCTION("""COMPUTED_VALUE"""),"PPPMXL")</f>
        <v>PPPMXL</v>
      </c>
      <c r="AE130" s="12" t="str">
        <f>IFERROR(__xludf.DUMMYFUNCTION("""COMPUTED_VALUE"""),"Plancha Panini Pro Max XL")</f>
        <v>Plancha Panini Pro Max XL</v>
      </c>
      <c r="AF130" s="30">
        <f>IFERROR(__xludf.DUMMYFUNCTION("""COMPUTED_VALUE"""),103.0)</f>
        <v>103</v>
      </c>
      <c r="AG130" s="12" t="str">
        <f>IFERROR(__xludf.DUMMYFUNCTION("""COMPUTED_VALUE"""),"Contenedor")</f>
        <v>Contenedor</v>
      </c>
      <c r="AH130" s="12">
        <f>IFERROR(__xludf.DUMMYFUNCTION("""COMPUTED_VALUE"""),4.0)</f>
        <v>4</v>
      </c>
      <c r="AI130" s="12" t="str">
        <f>IFERROR(__xludf.DUMMYFUNCTION("""COMPUTED_VALUE"""),"R")</f>
        <v>R</v>
      </c>
      <c r="AJ130" s="12" t="str">
        <f>IFERROR(__xludf.DUMMYFUNCTION("""COMPUTED_VALUE"""),"9A")</f>
        <v>9A</v>
      </c>
      <c r="AK130" s="12">
        <f>IFERROR(__xludf.DUMMYFUNCTION("""COMPUTED_VALUE"""),221.0)</f>
        <v>221</v>
      </c>
      <c r="AL130" s="12" t="str">
        <f>IFERROR(__xludf.DUMMYFUNCTION("""COMPUTED_VALUE"""),"KITCHEN-IT")</f>
        <v>KITCHEN-IT</v>
      </c>
      <c r="AM130" s="12"/>
      <c r="AN130" s="12"/>
      <c r="AO130" s="12"/>
      <c r="AP130" s="12"/>
      <c r="AQ130" s="12"/>
      <c r="BC130" s="12"/>
      <c r="BD130" s="12"/>
      <c r="BE130" s="14"/>
      <c r="BF130" s="12"/>
      <c r="BG130" s="12"/>
      <c r="BH130" s="12" t="str">
        <f>IFERROR(__xludf.DUMMYFUNCTION("IFERROR(INDEX(QUERY(IMPORTRANGE(""1T7HG8KEs-Ob7f3M5atEVN9Yn7IeORGp0QGvggB62ELw"",""Maestro!A:I""),""SELECT Col8 WHERE Col3 = '""&amp;BE130&amp;""'"", 0), 1, 1),""NO ENCONTRADO"")"),"")</f>
        <v/>
      </c>
      <c r="BI130" s="16">
        <v>1.0</v>
      </c>
      <c r="BJ130" s="16">
        <f t="shared" si="11"/>
        <v>0</v>
      </c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4"/>
      <c r="BX130" s="14"/>
      <c r="BY130" s="14"/>
      <c r="BZ130" s="14"/>
      <c r="CA130" s="14"/>
      <c r="CB130" s="14"/>
      <c r="CC130" s="14"/>
      <c r="CD130" s="14"/>
      <c r="CE130" s="14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</row>
    <row r="131">
      <c r="A131" s="158">
        <v>4.0</v>
      </c>
      <c r="B131" s="159" t="s">
        <v>44</v>
      </c>
      <c r="C131" s="160" t="s">
        <v>269</v>
      </c>
      <c r="D131" s="161" t="str">
        <f t="shared" si="8"/>
        <v>4-3-A</v>
      </c>
      <c r="E131" s="162">
        <v>45785.0</v>
      </c>
      <c r="F131" s="170" t="s">
        <v>577</v>
      </c>
      <c r="G131" s="164" t="s">
        <v>260</v>
      </c>
      <c r="H131" s="165" t="s">
        <v>261</v>
      </c>
      <c r="I131" s="166">
        <v>42.0</v>
      </c>
      <c r="J131" s="167" t="s">
        <v>43</v>
      </c>
      <c r="K131" s="32" t="str">
        <f t="shared" si="2"/>
        <v>OCUPADO</v>
      </c>
      <c r="L131" s="33">
        <f t="shared" si="10"/>
        <v>130</v>
      </c>
      <c r="M131" s="33" t="s">
        <v>23</v>
      </c>
      <c r="N131" s="122"/>
      <c r="O131" s="169" t="s">
        <v>270</v>
      </c>
      <c r="P131" s="12"/>
      <c r="Q131" s="12"/>
      <c r="R131" s="12"/>
      <c r="S131" s="12"/>
      <c r="T131" s="12"/>
      <c r="U131" s="12"/>
      <c r="V131" s="12"/>
      <c r="AB131" s="12"/>
      <c r="AC131" s="12" t="str">
        <f>IFERROR(__xludf.DUMMYFUNCTION("""COMPUTED_VALUE"""),"4-R-9B")</f>
        <v>4-R-9B</v>
      </c>
      <c r="AD131" s="12" t="str">
        <f>IFERROR(__xludf.DUMMYFUNCTION("""COMPUTED_VALUE"""),"HF25L")</f>
        <v>HF25L</v>
      </c>
      <c r="AE131" s="12" t="str">
        <f>IFERROR(__xludf.DUMMYFUNCTION("""COMPUTED_VALUE"""),"Horno Freidora Smart Edition 25L")</f>
        <v>Horno Freidora Smart Edition 25L</v>
      </c>
      <c r="AF131" s="30">
        <f>IFERROR(__xludf.DUMMYFUNCTION("""COMPUTED_VALUE"""),40.0)</f>
        <v>40</v>
      </c>
      <c r="AG131" s="12" t="str">
        <f>IFERROR(__xludf.DUMMYFUNCTION("""COMPUTED_VALUE"""),"Contenedor")</f>
        <v>Contenedor</v>
      </c>
      <c r="AH131" s="12">
        <f>IFERROR(__xludf.DUMMYFUNCTION("""COMPUTED_VALUE"""),4.0)</f>
        <v>4</v>
      </c>
      <c r="AI131" s="12" t="str">
        <f>IFERROR(__xludf.DUMMYFUNCTION("""COMPUTED_VALUE"""),"R")</f>
        <v>R</v>
      </c>
      <c r="AJ131" s="12" t="str">
        <f>IFERROR(__xludf.DUMMYFUNCTION("""COMPUTED_VALUE"""),"9B")</f>
        <v>9B</v>
      </c>
      <c r="AK131" s="12">
        <f>IFERROR(__xludf.DUMMYFUNCTION("""COMPUTED_VALUE"""),222.0)</f>
        <v>222</v>
      </c>
      <c r="AL131" s="12" t="str">
        <f>IFERROR(__xludf.DUMMYFUNCTION("""COMPUTED_VALUE"""),"KITCHEN-IT")</f>
        <v>KITCHEN-IT</v>
      </c>
      <c r="AM131" s="12"/>
      <c r="AN131" s="12"/>
      <c r="AO131" s="12"/>
      <c r="AP131" s="12"/>
      <c r="AQ131" s="12"/>
      <c r="BC131" s="12"/>
      <c r="BD131" s="12"/>
      <c r="BE131" s="14"/>
      <c r="BF131" s="12"/>
      <c r="BG131" s="12"/>
      <c r="BH131" s="12" t="str">
        <f>IFERROR(__xludf.DUMMYFUNCTION("IFERROR(INDEX(QUERY(IMPORTRANGE(""1T7HG8KEs-Ob7f3M5atEVN9Yn7IeORGp0QGvggB62ELw"",""Maestro!A:I""),""SELECT Col8 WHERE Col3 = '""&amp;BE131&amp;""'"", 0), 1, 1),""NO ENCONTRADO"")"),"")</f>
        <v/>
      </c>
      <c r="BI131" s="16">
        <v>1.0</v>
      </c>
      <c r="BJ131" s="16">
        <f t="shared" si="11"/>
        <v>0</v>
      </c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4"/>
      <c r="BX131" s="14"/>
      <c r="BY131" s="14"/>
      <c r="BZ131" s="14"/>
      <c r="CA131" s="14"/>
      <c r="CB131" s="14"/>
      <c r="CC131" s="14"/>
      <c r="CD131" s="14"/>
      <c r="CE131" s="14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</row>
    <row r="132">
      <c r="A132" s="158">
        <v>4.0</v>
      </c>
      <c r="B132" s="159" t="s">
        <v>44</v>
      </c>
      <c r="C132" s="160" t="s">
        <v>277</v>
      </c>
      <c r="D132" s="161" t="str">
        <f t="shared" si="8"/>
        <v>4-3-B</v>
      </c>
      <c r="E132" s="162">
        <v>45785.0</v>
      </c>
      <c r="F132" s="170" t="s">
        <v>577</v>
      </c>
      <c r="G132" s="164" t="s">
        <v>260</v>
      </c>
      <c r="H132" s="165" t="s">
        <v>261</v>
      </c>
      <c r="I132" s="166">
        <v>42.0</v>
      </c>
      <c r="J132" s="167" t="s">
        <v>43</v>
      </c>
      <c r="K132" s="27" t="str">
        <f t="shared" si="2"/>
        <v>OCUPADO</v>
      </c>
      <c r="L132" s="28">
        <f t="shared" si="10"/>
        <v>131</v>
      </c>
      <c r="M132" s="28" t="s">
        <v>23</v>
      </c>
      <c r="N132" s="109"/>
      <c r="O132" s="168" t="s">
        <v>270</v>
      </c>
      <c r="P132" s="12"/>
      <c r="Q132" s="12"/>
      <c r="R132" s="12"/>
      <c r="S132" s="12"/>
      <c r="T132" s="12"/>
      <c r="U132" s="12"/>
      <c r="V132" s="12"/>
      <c r="AB132" s="12"/>
      <c r="AC132" s="12" t="str">
        <f>IFERROR(__xludf.DUMMYFUNCTION("""COMPUTED_VALUE"""),"4-R-10A")</f>
        <v>4-R-10A</v>
      </c>
      <c r="AD132" s="12" t="str">
        <f>IFERROR(__xludf.DUMMYFUNCTION("""COMPUTED_VALUE"""),"LPP800W")</f>
        <v>LPP800W</v>
      </c>
      <c r="AE132" s="12" t="str">
        <f>IFERROR(__xludf.DUMMYFUNCTION("""COMPUTED_VALUE"""),"Licuadora Power Pro 800W")</f>
        <v>Licuadora Power Pro 800W</v>
      </c>
      <c r="AF132" s="30">
        <f>IFERROR(__xludf.DUMMYFUNCTION("""COMPUTED_VALUE"""),68.0)</f>
        <v>68</v>
      </c>
      <c r="AG132" s="12" t="str">
        <f>IFERROR(__xludf.DUMMYFUNCTION("""COMPUTED_VALUE"""),"Contenedor")</f>
        <v>Contenedor</v>
      </c>
      <c r="AH132" s="12">
        <f>IFERROR(__xludf.DUMMYFUNCTION("""COMPUTED_VALUE"""),4.0)</f>
        <v>4</v>
      </c>
      <c r="AI132" s="12" t="str">
        <f>IFERROR(__xludf.DUMMYFUNCTION("""COMPUTED_VALUE"""),"R")</f>
        <v>R</v>
      </c>
      <c r="AJ132" s="12" t="str">
        <f>IFERROR(__xludf.DUMMYFUNCTION("""COMPUTED_VALUE"""),"10A")</f>
        <v>10A</v>
      </c>
      <c r="AK132" s="12">
        <f>IFERROR(__xludf.DUMMYFUNCTION("""COMPUTED_VALUE"""),223.0)</f>
        <v>223</v>
      </c>
      <c r="AL132" s="12" t="str">
        <f>IFERROR(__xludf.DUMMYFUNCTION("""COMPUTED_VALUE"""),"KITCHEN-IT")</f>
        <v>KITCHEN-IT</v>
      </c>
      <c r="AM132" s="12"/>
      <c r="AN132" s="12"/>
      <c r="AO132" s="12"/>
      <c r="AP132" s="12"/>
      <c r="AQ132" s="12"/>
      <c r="BC132" s="12"/>
      <c r="BD132" s="12"/>
      <c r="BE132" s="14"/>
      <c r="BF132" s="12"/>
      <c r="BG132" s="12"/>
      <c r="BH132" s="12" t="str">
        <f>IFERROR(__xludf.DUMMYFUNCTION("IFERROR(INDEX(QUERY(IMPORTRANGE(""1T7HG8KEs-Ob7f3M5atEVN9Yn7IeORGp0QGvggB62ELw"",""Maestro!A:I""),""SELECT Col8 WHERE Col3 = '""&amp;BE132&amp;""'"", 0), 1, 1),""NO ENCONTRADO"")"),"")</f>
        <v/>
      </c>
      <c r="BI132" s="16">
        <v>1.0</v>
      </c>
      <c r="BJ132" s="16">
        <f t="shared" si="11"/>
        <v>0</v>
      </c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4"/>
      <c r="BX132" s="14"/>
      <c r="BY132" s="14"/>
      <c r="BZ132" s="14"/>
      <c r="CA132" s="14"/>
      <c r="CB132" s="14"/>
      <c r="CC132" s="14"/>
      <c r="CD132" s="14"/>
      <c r="CE132" s="14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</row>
    <row r="133">
      <c r="A133" s="158">
        <v>4.0</v>
      </c>
      <c r="B133" s="159" t="s">
        <v>44</v>
      </c>
      <c r="C133" s="160" t="s">
        <v>282</v>
      </c>
      <c r="D133" s="161" t="str">
        <f t="shared" si="8"/>
        <v>4-3-C</v>
      </c>
      <c r="E133" s="162">
        <v>45785.0</v>
      </c>
      <c r="F133" s="163" t="s">
        <v>577</v>
      </c>
      <c r="G133" s="164" t="s">
        <v>260</v>
      </c>
      <c r="H133" s="165" t="s">
        <v>261</v>
      </c>
      <c r="I133" s="166">
        <v>42.0</v>
      </c>
      <c r="J133" s="167" t="s">
        <v>43</v>
      </c>
      <c r="K133" s="32" t="str">
        <f t="shared" si="2"/>
        <v>OCUPADO</v>
      </c>
      <c r="L133" s="33">
        <f t="shared" si="10"/>
        <v>132</v>
      </c>
      <c r="M133" s="33" t="s">
        <v>23</v>
      </c>
      <c r="N133" s="122"/>
      <c r="O133" s="169" t="s">
        <v>270</v>
      </c>
      <c r="P133" s="12"/>
      <c r="Q133" s="12"/>
      <c r="R133" s="12"/>
      <c r="S133" s="12"/>
      <c r="T133" s="12"/>
      <c r="U133" s="12"/>
      <c r="V133" s="12"/>
      <c r="AB133" s="12"/>
      <c r="AC133" s="12" t="str">
        <f>IFERROR(__xludf.DUMMYFUNCTION("""COMPUTED_VALUE"""),"4-R-10B")</f>
        <v>4-R-10B</v>
      </c>
      <c r="AD133" s="12" t="str">
        <f>IFERROR(__xludf.DUMMYFUNCTION("""COMPUTED_VALUE"""),"LPP800W")</f>
        <v>LPP800W</v>
      </c>
      <c r="AE133" s="12" t="str">
        <f>IFERROR(__xludf.DUMMYFUNCTION("""COMPUTED_VALUE"""),"Licuadora Power Pro 800W")</f>
        <v>Licuadora Power Pro 800W</v>
      </c>
      <c r="AF133" s="30">
        <f>IFERROR(__xludf.DUMMYFUNCTION("""COMPUTED_VALUE"""),160.0)</f>
        <v>160</v>
      </c>
      <c r="AG133" s="12" t="str">
        <f>IFERROR(__xludf.DUMMYFUNCTION("""COMPUTED_VALUE"""),"Contenedor")</f>
        <v>Contenedor</v>
      </c>
      <c r="AH133" s="12">
        <f>IFERROR(__xludf.DUMMYFUNCTION("""COMPUTED_VALUE"""),4.0)</f>
        <v>4</v>
      </c>
      <c r="AI133" s="12" t="str">
        <f>IFERROR(__xludf.DUMMYFUNCTION("""COMPUTED_VALUE"""),"R")</f>
        <v>R</v>
      </c>
      <c r="AJ133" s="12" t="str">
        <f>IFERROR(__xludf.DUMMYFUNCTION("""COMPUTED_VALUE"""),"10B")</f>
        <v>10B</v>
      </c>
      <c r="AK133" s="12">
        <f>IFERROR(__xludf.DUMMYFUNCTION("""COMPUTED_VALUE"""),224.0)</f>
        <v>224</v>
      </c>
      <c r="AL133" s="12" t="str">
        <f>IFERROR(__xludf.DUMMYFUNCTION("""COMPUTED_VALUE"""),"KITCHEN-IT")</f>
        <v>KITCHEN-IT</v>
      </c>
      <c r="AM133" s="12"/>
      <c r="AN133" s="12"/>
      <c r="AO133" s="12"/>
      <c r="AP133" s="12"/>
      <c r="AQ133" s="12"/>
      <c r="BC133" s="12"/>
      <c r="BD133" s="12"/>
      <c r="BE133" s="14"/>
      <c r="BF133" s="12"/>
      <c r="BG133" s="12"/>
      <c r="BH133" s="12" t="str">
        <f>IFERROR(__xludf.DUMMYFUNCTION("IFERROR(INDEX(QUERY(IMPORTRANGE(""1T7HG8KEs-Ob7f3M5atEVN9Yn7IeORGp0QGvggB62ELw"",""Maestro!A:I""),""SELECT Col8 WHERE Col3 = '""&amp;BE133&amp;""'"", 0), 1, 1),""NO ENCONTRADO"")"),"")</f>
        <v/>
      </c>
      <c r="BI133" s="16">
        <v>1.0</v>
      </c>
      <c r="BJ133" s="16">
        <f t="shared" si="11"/>
        <v>0</v>
      </c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4"/>
      <c r="BX133" s="14"/>
      <c r="BY133" s="14"/>
      <c r="BZ133" s="14"/>
      <c r="CA133" s="14"/>
      <c r="CB133" s="14"/>
      <c r="CC133" s="14"/>
      <c r="CD133" s="14"/>
      <c r="CE133" s="14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</row>
    <row r="134">
      <c r="A134" s="158">
        <v>4.0</v>
      </c>
      <c r="B134" s="159" t="s">
        <v>44</v>
      </c>
      <c r="C134" s="160" t="s">
        <v>285</v>
      </c>
      <c r="D134" s="161" t="str">
        <f t="shared" si="8"/>
        <v>4-3-D</v>
      </c>
      <c r="E134" s="162">
        <v>45785.0</v>
      </c>
      <c r="F134" s="163" t="s">
        <v>577</v>
      </c>
      <c r="G134" s="164" t="s">
        <v>260</v>
      </c>
      <c r="H134" s="165" t="s">
        <v>261</v>
      </c>
      <c r="I134" s="166">
        <v>42.0</v>
      </c>
      <c r="J134" s="167" t="s">
        <v>43</v>
      </c>
      <c r="K134" s="27" t="str">
        <f t="shared" si="2"/>
        <v>OCUPADO</v>
      </c>
      <c r="L134" s="28">
        <f t="shared" si="10"/>
        <v>133</v>
      </c>
      <c r="M134" s="28" t="s">
        <v>23</v>
      </c>
      <c r="N134" s="109"/>
      <c r="O134" s="168" t="s">
        <v>270</v>
      </c>
      <c r="P134" s="12"/>
      <c r="Q134" s="12"/>
      <c r="R134" s="12"/>
      <c r="S134" s="12"/>
      <c r="T134" s="12"/>
      <c r="U134" s="12"/>
      <c r="V134" s="12"/>
      <c r="AB134" s="12"/>
      <c r="AC134" s="12" t="str">
        <f>IFERROR(__xludf.DUMMYFUNCTION("""COMPUTED_VALUE"""),"ANDEN-1-1")</f>
        <v>ANDEN-1-1</v>
      </c>
      <c r="AD134" s="12" t="str">
        <f>IFERROR(__xludf.DUMMYFUNCTION("""COMPUTED_VALUE"""),"692036X")</f>
        <v>692036X</v>
      </c>
      <c r="AE134" s="12" t="str">
        <f>IFERROR(__xludf.DUMMYFUNCTION("""COMPUTED_VALUE"""),"CAJA CARTON CORRUGADO 47x31x31 ")</f>
        <v>CAJA CARTON CORRUGADO 47x31x31 </v>
      </c>
      <c r="AF134" s="30">
        <f>IFERROR(__xludf.DUMMYFUNCTION("""COMPUTED_VALUE"""),350.0)</f>
        <v>350</v>
      </c>
      <c r="AG134" s="12" t="str">
        <f>IFERROR(__xludf.DUMMYFUNCTION("""COMPUTED_VALUE"""),"PROVEEDOR")</f>
        <v>PROVEEDOR</v>
      </c>
      <c r="AH134" s="12"/>
      <c r="AI134" s="12" t="str">
        <f>IFERROR(__xludf.DUMMYFUNCTION("""COMPUTED_VALUE"""),"1")</f>
        <v>1</v>
      </c>
      <c r="AJ134" s="12" t="str">
        <f>IFERROR(__xludf.DUMMYFUNCTION("""COMPUTED_VALUE"""),"1")</f>
        <v>1</v>
      </c>
      <c r="AK134" s="12">
        <f>IFERROR(__xludf.DUMMYFUNCTION("""COMPUTED_VALUE"""),225.0)</f>
        <v>225</v>
      </c>
      <c r="AL134" s="12" t="str">
        <f>IFERROR(__xludf.DUMMYFUNCTION("""COMPUTED_VALUE"""),"SUMMIT")</f>
        <v>SUMMIT</v>
      </c>
      <c r="AM134" s="12"/>
      <c r="AN134" s="12"/>
      <c r="AO134" s="12"/>
      <c r="AP134" s="12"/>
      <c r="AQ134" s="12"/>
      <c r="BC134" s="12"/>
      <c r="BD134" s="12"/>
      <c r="BE134" s="14"/>
      <c r="BF134" s="12"/>
      <c r="BG134" s="12"/>
      <c r="BH134" s="12" t="str">
        <f>IFERROR(__xludf.DUMMYFUNCTION("IFERROR(INDEX(QUERY(IMPORTRANGE(""1T7HG8KEs-Ob7f3M5atEVN9Yn7IeORGp0QGvggB62ELw"",""Maestro!A:I""),""SELECT Col8 WHERE Col3 = '""&amp;BE134&amp;""'"", 0), 1, 1),""NO ENCONTRADO"")"),"")</f>
        <v/>
      </c>
      <c r="BI134" s="16">
        <v>1.0</v>
      </c>
      <c r="BJ134" s="16">
        <f t="shared" si="11"/>
        <v>0</v>
      </c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4"/>
      <c r="BX134" s="14"/>
      <c r="BY134" s="14"/>
      <c r="BZ134" s="14"/>
      <c r="CA134" s="14"/>
      <c r="CB134" s="14"/>
      <c r="CC134" s="14"/>
      <c r="CD134" s="14"/>
      <c r="CE134" s="14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</row>
    <row r="135">
      <c r="A135" s="158">
        <v>4.0</v>
      </c>
      <c r="B135" s="159" t="s">
        <v>53</v>
      </c>
      <c r="C135" s="160" t="s">
        <v>269</v>
      </c>
      <c r="D135" s="161" t="str">
        <f t="shared" si="8"/>
        <v>4-4-A</v>
      </c>
      <c r="E135" s="162">
        <v>45785.0</v>
      </c>
      <c r="F135" s="170" t="s">
        <v>577</v>
      </c>
      <c r="G135" s="164" t="s">
        <v>260</v>
      </c>
      <c r="H135" s="165" t="s">
        <v>261</v>
      </c>
      <c r="I135" s="166">
        <v>42.0</v>
      </c>
      <c r="J135" s="167" t="s">
        <v>43</v>
      </c>
      <c r="K135" s="32" t="str">
        <f t="shared" si="2"/>
        <v>OCUPADO</v>
      </c>
      <c r="L135" s="33">
        <f t="shared" si="10"/>
        <v>134</v>
      </c>
      <c r="M135" s="33" t="s">
        <v>23</v>
      </c>
      <c r="N135" s="122"/>
      <c r="O135" s="169" t="s">
        <v>270</v>
      </c>
      <c r="P135" s="12"/>
      <c r="Q135" s="12"/>
      <c r="R135" s="12"/>
      <c r="S135" s="12"/>
      <c r="T135" s="12"/>
      <c r="U135" s="12"/>
      <c r="V135" s="12"/>
      <c r="AB135" s="12"/>
      <c r="AC135" s="12" t="str">
        <f>IFERROR(__xludf.DUMMYFUNCTION("""COMPUTED_VALUE"""),"ANDEN-1-2")</f>
        <v>ANDEN-1-2</v>
      </c>
      <c r="AD135" s="12" t="str">
        <f>IFERROR(__xludf.DUMMYFUNCTION("""COMPUTED_VALUE"""),"692432")</f>
        <v>692432</v>
      </c>
      <c r="AE135" s="12" t="str">
        <f>IFERROR(__xludf.DUMMYFUNCTION("""COMPUTED_VALUE"""),"CAJA CARTON ENVIOS 25x17x13 CM")</f>
        <v>CAJA CARTON ENVIOS 25x17x13 CM</v>
      </c>
      <c r="AF135" s="30">
        <f>IFERROR(__xludf.DUMMYFUNCTION("""COMPUTED_VALUE"""),195.0)</f>
        <v>195</v>
      </c>
      <c r="AG135" s="12" t="str">
        <f>IFERROR(__xludf.DUMMYFUNCTION("""COMPUTED_VALUE"""),"PROVEEDOR")</f>
        <v>PROVEEDOR</v>
      </c>
      <c r="AH135" s="12"/>
      <c r="AI135" s="12" t="str">
        <f>IFERROR(__xludf.DUMMYFUNCTION("""COMPUTED_VALUE"""),"1")</f>
        <v>1</v>
      </c>
      <c r="AJ135" s="12" t="str">
        <f>IFERROR(__xludf.DUMMYFUNCTION("""COMPUTED_VALUE"""),"2")</f>
        <v>2</v>
      </c>
      <c r="AK135" s="12">
        <f>IFERROR(__xludf.DUMMYFUNCTION("""COMPUTED_VALUE"""),226.0)</f>
        <v>226</v>
      </c>
      <c r="AL135" s="12" t="str">
        <f>IFERROR(__xludf.DUMMYFUNCTION("""COMPUTED_VALUE"""),"SUMMIT")</f>
        <v>SUMMIT</v>
      </c>
      <c r="AM135" s="12"/>
      <c r="AN135" s="12"/>
      <c r="AO135" s="12"/>
      <c r="AP135" s="12"/>
      <c r="AQ135" s="12"/>
      <c r="BC135" s="12"/>
      <c r="BD135" s="12"/>
      <c r="BE135" s="14"/>
      <c r="BF135" s="12"/>
      <c r="BG135" s="12"/>
      <c r="BH135" s="12" t="str">
        <f>IFERROR(__xludf.DUMMYFUNCTION("IFERROR(INDEX(QUERY(IMPORTRANGE(""1T7HG8KEs-Ob7f3M5atEVN9Yn7IeORGp0QGvggB62ELw"",""Maestro!A:I""),""SELECT Col8 WHERE Col3 = '""&amp;BE135&amp;""'"", 0), 1, 1),""NO ENCONTRADO"")"),"")</f>
        <v/>
      </c>
      <c r="BI135" s="16">
        <v>1.0</v>
      </c>
      <c r="BJ135" s="16">
        <f t="shared" si="11"/>
        <v>0</v>
      </c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4"/>
      <c r="BX135" s="14"/>
      <c r="BY135" s="14"/>
      <c r="BZ135" s="14"/>
      <c r="CA135" s="14"/>
      <c r="CB135" s="14"/>
      <c r="CC135" s="14"/>
      <c r="CD135" s="14"/>
      <c r="CE135" s="14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</row>
    <row r="136">
      <c r="A136" s="158">
        <v>4.0</v>
      </c>
      <c r="B136" s="159" t="s">
        <v>53</v>
      </c>
      <c r="C136" s="160" t="s">
        <v>277</v>
      </c>
      <c r="D136" s="161" t="str">
        <f t="shared" si="8"/>
        <v>4-4-B</v>
      </c>
      <c r="E136" s="162">
        <v>45785.0</v>
      </c>
      <c r="F136" s="170" t="s">
        <v>577</v>
      </c>
      <c r="G136" s="164" t="s">
        <v>260</v>
      </c>
      <c r="H136" s="165" t="s">
        <v>261</v>
      </c>
      <c r="I136" s="166">
        <v>42.0</v>
      </c>
      <c r="J136" s="167" t="s">
        <v>43</v>
      </c>
      <c r="K136" s="27" t="str">
        <f t="shared" si="2"/>
        <v>OCUPADO</v>
      </c>
      <c r="L136" s="28">
        <f t="shared" si="10"/>
        <v>135</v>
      </c>
      <c r="M136" s="28" t="s">
        <v>23</v>
      </c>
      <c r="N136" s="109"/>
      <c r="O136" s="168" t="s">
        <v>270</v>
      </c>
      <c r="P136" s="12"/>
      <c r="Q136" s="12"/>
      <c r="R136" s="12"/>
      <c r="S136" s="12"/>
      <c r="T136" s="12"/>
      <c r="U136" s="12"/>
      <c r="V136" s="12"/>
      <c r="AB136" s="12"/>
      <c r="AC136" s="12" t="str">
        <f>IFERROR(__xludf.DUMMYFUNCTION("""COMPUTED_VALUE"""),"ANDEN-1-3")</f>
        <v>ANDEN-1-3</v>
      </c>
      <c r="AD136" s="12" t="str">
        <f>IFERROR(__xludf.DUMMYFUNCTION("""COMPUTED_VALUE"""),"692036X")</f>
        <v>692036X</v>
      </c>
      <c r="AE136" s="12" t="str">
        <f>IFERROR(__xludf.DUMMYFUNCTION("""COMPUTED_VALUE"""),"CAJA CARTON CORRUGADO 47x31x31 ")</f>
        <v>CAJA CARTON CORRUGADO 47x31x31 </v>
      </c>
      <c r="AF136" s="30">
        <f>IFERROR(__xludf.DUMMYFUNCTION("""COMPUTED_VALUE"""),350.0)</f>
        <v>350</v>
      </c>
      <c r="AG136" s="12" t="str">
        <f>IFERROR(__xludf.DUMMYFUNCTION("""COMPUTED_VALUE"""),"PROVEEDOR")</f>
        <v>PROVEEDOR</v>
      </c>
      <c r="AH136" s="12"/>
      <c r="AI136" s="12" t="str">
        <f>IFERROR(__xludf.DUMMYFUNCTION("""COMPUTED_VALUE"""),"1")</f>
        <v>1</v>
      </c>
      <c r="AJ136" s="12" t="str">
        <f>IFERROR(__xludf.DUMMYFUNCTION("""COMPUTED_VALUE"""),"3")</f>
        <v>3</v>
      </c>
      <c r="AK136" s="12">
        <f>IFERROR(__xludf.DUMMYFUNCTION("""COMPUTED_VALUE"""),227.0)</f>
        <v>227</v>
      </c>
      <c r="AL136" s="12" t="str">
        <f>IFERROR(__xludf.DUMMYFUNCTION("""COMPUTED_VALUE"""),"SUMMIT")</f>
        <v>SUMMIT</v>
      </c>
      <c r="AM136" s="12"/>
      <c r="AN136" s="12"/>
      <c r="AO136" s="12"/>
      <c r="AP136" s="12"/>
      <c r="AQ136" s="12"/>
      <c r="BC136" s="12"/>
      <c r="BD136" s="12"/>
      <c r="BE136" s="14"/>
      <c r="BF136" s="12"/>
      <c r="BG136" s="12"/>
      <c r="BH136" s="12" t="str">
        <f>IFERROR(__xludf.DUMMYFUNCTION("IFERROR(INDEX(QUERY(IMPORTRANGE(""1T7HG8KEs-Ob7f3M5atEVN9Yn7IeORGp0QGvggB62ELw"",""Maestro!A:I""),""SELECT Col8 WHERE Col3 = '""&amp;BE136&amp;""'"", 0), 1, 1),""NO ENCONTRADO"")"),"")</f>
        <v/>
      </c>
      <c r="BI136" s="16">
        <v>1.0</v>
      </c>
      <c r="BJ136" s="16">
        <f t="shared" si="11"/>
        <v>0</v>
      </c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4"/>
      <c r="BX136" s="14"/>
      <c r="BY136" s="14"/>
      <c r="BZ136" s="14"/>
      <c r="CA136" s="14"/>
      <c r="CB136" s="14"/>
      <c r="CC136" s="14"/>
      <c r="CD136" s="14"/>
      <c r="CE136" s="14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</row>
    <row r="137">
      <c r="A137" s="158">
        <v>4.0</v>
      </c>
      <c r="B137" s="159" t="s">
        <v>53</v>
      </c>
      <c r="C137" s="160" t="s">
        <v>282</v>
      </c>
      <c r="D137" s="161" t="str">
        <f t="shared" si="8"/>
        <v>4-4-C</v>
      </c>
      <c r="E137" s="162">
        <v>45785.0</v>
      </c>
      <c r="F137" s="170" t="s">
        <v>577</v>
      </c>
      <c r="G137" s="164" t="s">
        <v>260</v>
      </c>
      <c r="H137" s="165" t="s">
        <v>261</v>
      </c>
      <c r="I137" s="166">
        <v>42.0</v>
      </c>
      <c r="J137" s="167" t="s">
        <v>43</v>
      </c>
      <c r="K137" s="32" t="str">
        <f t="shared" si="2"/>
        <v>OCUPADO</v>
      </c>
      <c r="L137" s="33">
        <f t="shared" si="10"/>
        <v>136</v>
      </c>
      <c r="M137" s="33" t="s">
        <v>23</v>
      </c>
      <c r="N137" s="122"/>
      <c r="O137" s="169" t="s">
        <v>270</v>
      </c>
      <c r="P137" s="12"/>
      <c r="Q137" s="12"/>
      <c r="R137" s="12"/>
      <c r="S137" s="12"/>
      <c r="T137" s="12"/>
      <c r="U137" s="12"/>
      <c r="V137" s="12"/>
      <c r="AB137" s="12"/>
      <c r="AC137" s="12" t="str">
        <f>IFERROR(__xludf.DUMMYFUNCTION("""COMPUTED_VALUE"""),"ANDEN-1-4")</f>
        <v>ANDEN-1-4</v>
      </c>
      <c r="AD137" s="12" t="str">
        <f>IFERROR(__xludf.DUMMYFUNCTION("""COMPUTED_VALUE"""),"692036X")</f>
        <v>692036X</v>
      </c>
      <c r="AE137" s="12" t="str">
        <f>IFERROR(__xludf.DUMMYFUNCTION("""COMPUTED_VALUE"""),"CAJA CARTON CORRUGADO 47x31x31 ")</f>
        <v>CAJA CARTON CORRUGADO 47x31x31 </v>
      </c>
      <c r="AF137" s="30">
        <f>IFERROR(__xludf.DUMMYFUNCTION("""COMPUTED_VALUE"""),350.0)</f>
        <v>350</v>
      </c>
      <c r="AG137" s="12" t="str">
        <f>IFERROR(__xludf.DUMMYFUNCTION("""COMPUTED_VALUE"""),"PROVEEDOR")</f>
        <v>PROVEEDOR</v>
      </c>
      <c r="AH137" s="12"/>
      <c r="AI137" s="12" t="str">
        <f>IFERROR(__xludf.DUMMYFUNCTION("""COMPUTED_VALUE"""),"1")</f>
        <v>1</v>
      </c>
      <c r="AJ137" s="12" t="str">
        <f>IFERROR(__xludf.DUMMYFUNCTION("""COMPUTED_VALUE"""),"4")</f>
        <v>4</v>
      </c>
      <c r="AK137" s="12">
        <f>IFERROR(__xludf.DUMMYFUNCTION("""COMPUTED_VALUE"""),228.0)</f>
        <v>228</v>
      </c>
      <c r="AL137" s="12" t="str">
        <f>IFERROR(__xludf.DUMMYFUNCTION("""COMPUTED_VALUE"""),"SUMMIT")</f>
        <v>SUMMIT</v>
      </c>
      <c r="AM137" s="12"/>
      <c r="AN137" s="12"/>
      <c r="AO137" s="12"/>
      <c r="AP137" s="12"/>
      <c r="AQ137" s="12"/>
      <c r="BC137" s="12"/>
      <c r="BD137" s="12"/>
      <c r="BE137" s="14"/>
      <c r="BF137" s="12"/>
      <c r="BG137" s="12"/>
      <c r="BH137" s="12" t="str">
        <f>IFERROR(__xludf.DUMMYFUNCTION("IFERROR(INDEX(QUERY(IMPORTRANGE(""1T7HG8KEs-Ob7f3M5atEVN9Yn7IeORGp0QGvggB62ELw"",""Maestro!A:I""),""SELECT Col8 WHERE Col3 = '""&amp;BE137&amp;""'"", 0), 1, 1),""NO ENCONTRADO"")"),"")</f>
        <v/>
      </c>
      <c r="BI137" s="16">
        <v>1.0</v>
      </c>
      <c r="BJ137" s="16">
        <f t="shared" si="11"/>
        <v>0</v>
      </c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4"/>
      <c r="BX137" s="14"/>
      <c r="BY137" s="14"/>
      <c r="BZ137" s="14"/>
      <c r="CA137" s="14"/>
      <c r="CB137" s="14"/>
      <c r="CC137" s="14"/>
      <c r="CD137" s="14"/>
      <c r="CE137" s="14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</row>
    <row r="138">
      <c r="A138" s="158">
        <v>4.0</v>
      </c>
      <c r="B138" s="159" t="s">
        <v>53</v>
      </c>
      <c r="C138" s="160" t="s">
        <v>285</v>
      </c>
      <c r="D138" s="161" t="str">
        <f t="shared" si="8"/>
        <v>4-4-D</v>
      </c>
      <c r="E138" s="103"/>
      <c r="F138" s="104"/>
      <c r="G138" s="105"/>
      <c r="H138" s="106"/>
      <c r="I138" s="107"/>
      <c r="J138" s="108"/>
      <c r="K138" s="27" t="str">
        <f t="shared" si="2"/>
        <v>DISPONIBLE</v>
      </c>
      <c r="L138" s="28">
        <f t="shared" si="10"/>
        <v>137</v>
      </c>
      <c r="M138" s="28" t="s">
        <v>23</v>
      </c>
      <c r="N138" s="28"/>
      <c r="O138" s="168"/>
      <c r="P138" s="12"/>
      <c r="Q138" s="12"/>
      <c r="R138" s="12"/>
      <c r="S138" s="12"/>
      <c r="T138" s="12"/>
      <c r="U138" s="12"/>
      <c r="V138" s="12"/>
      <c r="AB138" s="12"/>
      <c r="AC138" s="12" t="str">
        <f>IFERROR(__xludf.DUMMYFUNCTION("""COMPUTED_VALUE"""),"ANDEN-1-5")</f>
        <v>ANDEN-1-5</v>
      </c>
      <c r="AD138" s="12" t="str">
        <f>IFERROR(__xludf.DUMMYFUNCTION("""COMPUTED_VALUE"""),"692036X")</f>
        <v>692036X</v>
      </c>
      <c r="AE138" s="12" t="str">
        <f>IFERROR(__xludf.DUMMYFUNCTION("""COMPUTED_VALUE"""),"CAJA CARTON CORRUGADO 47x31x31 ")</f>
        <v>CAJA CARTON CORRUGADO 47x31x31 </v>
      </c>
      <c r="AF138" s="30">
        <f>IFERROR(__xludf.DUMMYFUNCTION("""COMPUTED_VALUE"""),350.0)</f>
        <v>350</v>
      </c>
      <c r="AG138" s="12" t="str">
        <f>IFERROR(__xludf.DUMMYFUNCTION("""COMPUTED_VALUE"""),"PROVEEDOR")</f>
        <v>PROVEEDOR</v>
      </c>
      <c r="AH138" s="12"/>
      <c r="AI138" s="12" t="str">
        <f>IFERROR(__xludf.DUMMYFUNCTION("""COMPUTED_VALUE"""),"1")</f>
        <v>1</v>
      </c>
      <c r="AJ138" s="12" t="str">
        <f>IFERROR(__xludf.DUMMYFUNCTION("""COMPUTED_VALUE"""),"5")</f>
        <v>5</v>
      </c>
      <c r="AK138" s="12">
        <f>IFERROR(__xludf.DUMMYFUNCTION("""COMPUTED_VALUE"""),229.0)</f>
        <v>229</v>
      </c>
      <c r="AL138" s="12" t="str">
        <f>IFERROR(__xludf.DUMMYFUNCTION("""COMPUTED_VALUE"""),"SUMMIT")</f>
        <v>SUMMIT</v>
      </c>
      <c r="AM138" s="12"/>
      <c r="AN138" s="12"/>
      <c r="AO138" s="12"/>
      <c r="AP138" s="12"/>
      <c r="AQ138" s="12"/>
      <c r="BC138" s="12"/>
      <c r="BD138" s="12"/>
      <c r="BE138" s="14"/>
      <c r="BF138" s="12"/>
      <c r="BG138" s="12"/>
      <c r="BH138" s="12" t="str">
        <f>IFERROR(__xludf.DUMMYFUNCTION("IFERROR(INDEX(QUERY(IMPORTRANGE(""1T7HG8KEs-Ob7f3M5atEVN9Yn7IeORGp0QGvggB62ELw"",""Maestro!A:I""),""SELECT Col8 WHERE Col3 = '""&amp;BE138&amp;""'"", 0), 1, 1),""NO ENCONTRADO"")"),"")</f>
        <v/>
      </c>
      <c r="BI138" s="16">
        <v>1.0</v>
      </c>
      <c r="BJ138" s="16">
        <f t="shared" si="11"/>
        <v>0</v>
      </c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4"/>
      <c r="BX138" s="14"/>
      <c r="BY138" s="14"/>
      <c r="BZ138" s="14"/>
      <c r="CA138" s="14"/>
      <c r="CB138" s="14"/>
      <c r="CC138" s="14"/>
      <c r="CD138" s="14"/>
      <c r="CE138" s="14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</row>
    <row r="139">
      <c r="A139" s="158">
        <v>4.0</v>
      </c>
      <c r="B139" s="159" t="s">
        <v>25</v>
      </c>
      <c r="C139" s="160" t="s">
        <v>269</v>
      </c>
      <c r="D139" s="161" t="str">
        <f t="shared" si="8"/>
        <v>4-5-A</v>
      </c>
      <c r="E139" s="162">
        <v>45785.0</v>
      </c>
      <c r="F139" s="170" t="s">
        <v>559</v>
      </c>
      <c r="G139" s="164" t="s">
        <v>41</v>
      </c>
      <c r="H139" s="165" t="s">
        <v>42</v>
      </c>
      <c r="I139" s="166">
        <v>28.0</v>
      </c>
      <c r="J139" s="167" t="s">
        <v>43</v>
      </c>
      <c r="K139" s="32" t="str">
        <f t="shared" si="2"/>
        <v>OCUPADO</v>
      </c>
      <c r="L139" s="33">
        <f t="shared" si="10"/>
        <v>138</v>
      </c>
      <c r="M139" s="33" t="s">
        <v>23</v>
      </c>
      <c r="N139" s="122"/>
      <c r="O139" s="169" t="s">
        <v>270</v>
      </c>
      <c r="P139" s="12"/>
      <c r="Q139" s="12"/>
      <c r="R139" s="12"/>
      <c r="S139" s="12"/>
      <c r="T139" s="12"/>
      <c r="U139" s="12"/>
      <c r="V139" s="12"/>
      <c r="AB139" s="12"/>
      <c r="AC139" s="12" t="str">
        <f>IFERROR(__xludf.DUMMYFUNCTION("""COMPUTED_VALUE"""),"ANDEN-1-6")</f>
        <v>ANDEN-1-6</v>
      </c>
      <c r="AD139" s="12" t="str">
        <f>IFERROR(__xludf.DUMMYFUNCTION("""COMPUTED_VALUE"""),"692036X")</f>
        <v>692036X</v>
      </c>
      <c r="AE139" s="12" t="str">
        <f>IFERROR(__xludf.DUMMYFUNCTION("""COMPUTED_VALUE"""),"CAJA CARTON CORRUGADO 47x31x31 ")</f>
        <v>CAJA CARTON CORRUGADO 47x31x31 </v>
      </c>
      <c r="AF139" s="30">
        <f>IFERROR(__xludf.DUMMYFUNCTION("""COMPUTED_VALUE"""),350.0)</f>
        <v>350</v>
      </c>
      <c r="AG139" s="12" t="str">
        <f>IFERROR(__xludf.DUMMYFUNCTION("""COMPUTED_VALUE"""),"PROVEEDOR")</f>
        <v>PROVEEDOR</v>
      </c>
      <c r="AH139" s="12"/>
      <c r="AI139" s="12" t="str">
        <f>IFERROR(__xludf.DUMMYFUNCTION("""COMPUTED_VALUE"""),"1")</f>
        <v>1</v>
      </c>
      <c r="AJ139" s="12" t="str">
        <f>IFERROR(__xludf.DUMMYFUNCTION("""COMPUTED_VALUE"""),"6")</f>
        <v>6</v>
      </c>
      <c r="AK139" s="12">
        <f>IFERROR(__xludf.DUMMYFUNCTION("""COMPUTED_VALUE"""),230.0)</f>
        <v>230</v>
      </c>
      <c r="AL139" s="12" t="str">
        <f>IFERROR(__xludf.DUMMYFUNCTION("""COMPUTED_VALUE"""),"SUMMIT")</f>
        <v>SUMMIT</v>
      </c>
      <c r="AM139" s="12"/>
      <c r="AN139" s="12"/>
      <c r="AO139" s="12"/>
      <c r="AP139" s="12"/>
      <c r="AQ139" s="12"/>
      <c r="BC139" s="12"/>
      <c r="BD139" s="12"/>
      <c r="BE139" s="14"/>
      <c r="BF139" s="12"/>
      <c r="BG139" s="12"/>
      <c r="BH139" s="12" t="str">
        <f>IFERROR(__xludf.DUMMYFUNCTION("IFERROR(INDEX(QUERY(IMPORTRANGE(""1T7HG8KEs-Ob7f3M5atEVN9Yn7IeORGp0QGvggB62ELw"",""Maestro!A:I""),""SELECT Col8 WHERE Col3 = '""&amp;BE139&amp;""'"", 0), 1, 1),""NO ENCONTRADO"")"),"")</f>
        <v/>
      </c>
      <c r="BI139" s="16">
        <v>1.0</v>
      </c>
      <c r="BJ139" s="16">
        <f t="shared" si="11"/>
        <v>0</v>
      </c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4"/>
      <c r="BX139" s="14"/>
      <c r="BY139" s="14"/>
      <c r="BZ139" s="14"/>
      <c r="CA139" s="14"/>
      <c r="CB139" s="14"/>
      <c r="CC139" s="14"/>
      <c r="CD139" s="14"/>
      <c r="CE139" s="14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</row>
    <row r="140">
      <c r="A140" s="158">
        <v>4.0</v>
      </c>
      <c r="B140" s="159" t="s">
        <v>25</v>
      </c>
      <c r="C140" s="160" t="s">
        <v>277</v>
      </c>
      <c r="D140" s="161" t="str">
        <f t="shared" si="8"/>
        <v>4-5-B</v>
      </c>
      <c r="E140" s="162">
        <v>45785.0</v>
      </c>
      <c r="F140" s="170" t="s">
        <v>559</v>
      </c>
      <c r="G140" s="164" t="s">
        <v>41</v>
      </c>
      <c r="H140" s="165" t="s">
        <v>42</v>
      </c>
      <c r="I140" s="166">
        <v>28.0</v>
      </c>
      <c r="J140" s="167" t="s">
        <v>43</v>
      </c>
      <c r="K140" s="27" t="str">
        <f t="shared" si="2"/>
        <v>OCUPADO</v>
      </c>
      <c r="L140" s="28">
        <f t="shared" si="10"/>
        <v>139</v>
      </c>
      <c r="M140" s="28" t="s">
        <v>23</v>
      </c>
      <c r="N140" s="109"/>
      <c r="O140" s="168" t="s">
        <v>270</v>
      </c>
      <c r="P140" s="12"/>
      <c r="Q140" s="12"/>
      <c r="R140" s="12"/>
      <c r="S140" s="12"/>
      <c r="T140" s="12"/>
      <c r="U140" s="12"/>
      <c r="V140" s="12"/>
      <c r="AB140" s="12"/>
      <c r="AC140" s="12" t="str">
        <f>IFERROR(__xludf.DUMMYFUNCTION("""COMPUTED_VALUE"""),"ANDEN-1-7")</f>
        <v>ANDEN-1-7</v>
      </c>
      <c r="AD140" s="12" t="str">
        <f>IFERROR(__xludf.DUMMYFUNCTION("""COMPUTED_VALUE"""),"600574")</f>
        <v>600574</v>
      </c>
      <c r="AE140" s="12" t="str">
        <f>IFERROR(__xludf.DUMMYFUNCTION("""COMPUTED_VALUE"""),"SEPARADOR VASOS BOTELLAS 32X23X32")</f>
        <v>SEPARADOR VASOS BOTELLAS 32X23X32</v>
      </c>
      <c r="AF140" s="30">
        <f>IFERROR(__xludf.DUMMYFUNCTION("""COMPUTED_VALUE"""),716.0)</f>
        <v>716</v>
      </c>
      <c r="AG140" s="12" t="str">
        <f>IFERROR(__xludf.DUMMYFUNCTION("""COMPUTED_VALUE"""),"PROVEEDOR")</f>
        <v>PROVEEDOR</v>
      </c>
      <c r="AH140" s="12"/>
      <c r="AI140" s="12" t="str">
        <f>IFERROR(__xludf.DUMMYFUNCTION("""COMPUTED_VALUE"""),"1")</f>
        <v>1</v>
      </c>
      <c r="AJ140" s="12" t="str">
        <f>IFERROR(__xludf.DUMMYFUNCTION("""COMPUTED_VALUE"""),"7")</f>
        <v>7</v>
      </c>
      <c r="AK140" s="12">
        <f>IFERROR(__xludf.DUMMYFUNCTION("""COMPUTED_VALUE"""),231.0)</f>
        <v>231</v>
      </c>
      <c r="AL140" s="12" t="str">
        <f>IFERROR(__xludf.DUMMYFUNCTION("""COMPUTED_VALUE"""),"SUMMIT")</f>
        <v>SUMMIT</v>
      </c>
      <c r="AM140" s="12"/>
      <c r="AN140" s="12"/>
      <c r="AO140" s="12"/>
      <c r="AP140" s="12"/>
      <c r="AQ140" s="12"/>
      <c r="BC140" s="12"/>
      <c r="BD140" s="12"/>
      <c r="BE140" s="14"/>
      <c r="BF140" s="12"/>
      <c r="BG140" s="12"/>
      <c r="BH140" s="12" t="str">
        <f>IFERROR(__xludf.DUMMYFUNCTION("IFERROR(INDEX(QUERY(IMPORTRANGE(""1T7HG8KEs-Ob7f3M5atEVN9Yn7IeORGp0QGvggB62ELw"",""Maestro!A:I""),""SELECT Col8 WHERE Col3 = '""&amp;BE140&amp;""'"", 0), 1, 1),""NO ENCONTRADO"")"),"")</f>
        <v/>
      </c>
      <c r="BI140" s="16">
        <v>1.0</v>
      </c>
      <c r="BJ140" s="16">
        <f t="shared" si="11"/>
        <v>0</v>
      </c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4"/>
      <c r="BX140" s="14"/>
      <c r="BY140" s="14"/>
      <c r="BZ140" s="14"/>
      <c r="CA140" s="14"/>
      <c r="CB140" s="14"/>
      <c r="CC140" s="14"/>
      <c r="CD140" s="14"/>
      <c r="CE140" s="14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</row>
    <row r="141">
      <c r="A141" s="158">
        <v>4.0</v>
      </c>
      <c r="B141" s="159" t="s">
        <v>25</v>
      </c>
      <c r="C141" s="160" t="s">
        <v>282</v>
      </c>
      <c r="D141" s="161" t="str">
        <f t="shared" si="8"/>
        <v>4-5-C</v>
      </c>
      <c r="E141" s="162">
        <v>45785.0</v>
      </c>
      <c r="F141" s="170" t="s">
        <v>559</v>
      </c>
      <c r="G141" s="164" t="s">
        <v>41</v>
      </c>
      <c r="H141" s="165" t="s">
        <v>42</v>
      </c>
      <c r="I141" s="166">
        <v>28.0</v>
      </c>
      <c r="J141" s="167" t="s">
        <v>43</v>
      </c>
      <c r="K141" s="32" t="str">
        <f t="shared" si="2"/>
        <v>OCUPADO</v>
      </c>
      <c r="L141" s="33">
        <f t="shared" si="10"/>
        <v>140</v>
      </c>
      <c r="M141" s="33" t="s">
        <v>23</v>
      </c>
      <c r="N141" s="122"/>
      <c r="O141" s="169" t="s">
        <v>270</v>
      </c>
      <c r="P141" s="12"/>
      <c r="Q141" s="12"/>
      <c r="R141" s="12"/>
      <c r="S141" s="12"/>
      <c r="T141" s="12"/>
      <c r="U141" s="12"/>
      <c r="V141" s="12"/>
      <c r="AB141" s="12"/>
      <c r="AC141" s="12" t="str">
        <f>IFERROR(__xludf.DUMMYFUNCTION("""COMPUTED_VALUE"""),"ANDEN-1-8")</f>
        <v>ANDEN-1-8</v>
      </c>
      <c r="AD141" s="12" t="str">
        <f>IFERROR(__xludf.DUMMYFUNCTION("""COMPUTED_VALUE"""),"692036X")</f>
        <v>692036X</v>
      </c>
      <c r="AE141" s="12" t="str">
        <f>IFERROR(__xludf.DUMMYFUNCTION("""COMPUTED_VALUE"""),"CAJA CARTON CORRUGADO 47x31x31 ")</f>
        <v>CAJA CARTON CORRUGADO 47x31x31 </v>
      </c>
      <c r="AF141" s="30">
        <f>IFERROR(__xludf.DUMMYFUNCTION("""COMPUTED_VALUE"""),350.0)</f>
        <v>350</v>
      </c>
      <c r="AG141" s="12" t="str">
        <f>IFERROR(__xludf.DUMMYFUNCTION("""COMPUTED_VALUE"""),"PROVEEDOR")</f>
        <v>PROVEEDOR</v>
      </c>
      <c r="AH141" s="12"/>
      <c r="AI141" s="12" t="str">
        <f>IFERROR(__xludf.DUMMYFUNCTION("""COMPUTED_VALUE"""),"1")</f>
        <v>1</v>
      </c>
      <c r="AJ141" s="12" t="str">
        <f>IFERROR(__xludf.DUMMYFUNCTION("""COMPUTED_VALUE"""),"8")</f>
        <v>8</v>
      </c>
      <c r="AK141" s="12">
        <f>IFERROR(__xludf.DUMMYFUNCTION("""COMPUTED_VALUE"""),232.0)</f>
        <v>232</v>
      </c>
      <c r="AL141" s="12" t="str">
        <f>IFERROR(__xludf.DUMMYFUNCTION("""COMPUTED_VALUE"""),"SUMMIT")</f>
        <v>SUMMIT</v>
      </c>
      <c r="AM141" s="12"/>
      <c r="AN141" s="12"/>
      <c r="AO141" s="12"/>
      <c r="AP141" s="12"/>
      <c r="AQ141" s="12"/>
      <c r="BC141" s="12"/>
      <c r="BD141" s="12"/>
      <c r="BE141" s="14"/>
      <c r="BF141" s="12"/>
      <c r="BG141" s="12"/>
      <c r="BH141" s="12" t="str">
        <f>IFERROR(__xludf.DUMMYFUNCTION("IFERROR(INDEX(QUERY(IMPORTRANGE(""1T7HG8KEs-Ob7f3M5atEVN9Yn7IeORGp0QGvggB62ELw"",""Maestro!A:I""),""SELECT Col8 WHERE Col3 = '""&amp;BE141&amp;""'"", 0), 1, 1),""NO ENCONTRADO"")"),"")</f>
        <v/>
      </c>
      <c r="BI141" s="16">
        <v>1.0</v>
      </c>
      <c r="BJ141" s="16">
        <f t="shared" si="11"/>
        <v>0</v>
      </c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4"/>
      <c r="BX141" s="14"/>
      <c r="BY141" s="14"/>
      <c r="BZ141" s="14"/>
      <c r="CA141" s="14"/>
      <c r="CB141" s="14"/>
      <c r="CC141" s="14"/>
      <c r="CD141" s="14"/>
      <c r="CE141" s="14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</row>
    <row r="142">
      <c r="A142" s="158">
        <v>4.0</v>
      </c>
      <c r="B142" s="159" t="s">
        <v>25</v>
      </c>
      <c r="C142" s="160" t="s">
        <v>285</v>
      </c>
      <c r="D142" s="161" t="str">
        <f t="shared" si="8"/>
        <v>4-5-D</v>
      </c>
      <c r="E142" s="162">
        <v>45785.0</v>
      </c>
      <c r="F142" s="170" t="s">
        <v>559</v>
      </c>
      <c r="G142" s="164" t="s">
        <v>41</v>
      </c>
      <c r="H142" s="165" t="s">
        <v>42</v>
      </c>
      <c r="I142" s="166">
        <v>28.0</v>
      </c>
      <c r="J142" s="167" t="s">
        <v>43</v>
      </c>
      <c r="K142" s="27" t="str">
        <f t="shared" si="2"/>
        <v>OCUPADO</v>
      </c>
      <c r="L142" s="28">
        <f t="shared" si="10"/>
        <v>141</v>
      </c>
      <c r="M142" s="28" t="s">
        <v>23</v>
      </c>
      <c r="N142" s="109"/>
      <c r="O142" s="168" t="s">
        <v>270</v>
      </c>
      <c r="P142" s="12"/>
      <c r="Q142" s="12"/>
      <c r="R142" s="12"/>
      <c r="S142" s="12"/>
      <c r="T142" s="12"/>
      <c r="U142" s="12"/>
      <c r="V142" s="12"/>
      <c r="AB142" s="12"/>
      <c r="AC142" s="12" t="str">
        <f>IFERROR(__xludf.DUMMYFUNCTION("""COMPUTED_VALUE"""),"ANDEN-1-10")</f>
        <v>ANDEN-1-10</v>
      </c>
      <c r="AD142" s="12" t="str">
        <f>IFERROR(__xludf.DUMMYFUNCTION("""COMPUTED_VALUE"""),"600666")</f>
        <v>600666</v>
      </c>
      <c r="AE142" s="12" t="str">
        <f>IFERROR(__xludf.DUMMYFUNCTION("""COMPUTED_VALUE"""),"CAJA CARTON S/IMP 32x23x32 CM")</f>
        <v>CAJA CARTON S/IMP 32x23x32 CM</v>
      </c>
      <c r="AF142" s="30">
        <f>IFERROR(__xludf.DUMMYFUNCTION("""COMPUTED_VALUE"""),700.0)</f>
        <v>700</v>
      </c>
      <c r="AG142" s="12" t="str">
        <f>IFERROR(__xludf.DUMMYFUNCTION("""COMPUTED_VALUE"""),"PROVEEDOR")</f>
        <v>PROVEEDOR</v>
      </c>
      <c r="AH142" s="12"/>
      <c r="AI142" s="12" t="str">
        <f>IFERROR(__xludf.DUMMYFUNCTION("""COMPUTED_VALUE"""),"1")</f>
        <v>1</v>
      </c>
      <c r="AJ142" s="12" t="str">
        <f>IFERROR(__xludf.DUMMYFUNCTION("""COMPUTED_VALUE"""),"10")</f>
        <v>10</v>
      </c>
      <c r="AK142" s="12">
        <f>IFERROR(__xludf.DUMMYFUNCTION("""COMPUTED_VALUE"""),234.0)</f>
        <v>234</v>
      </c>
      <c r="AL142" s="12" t="str">
        <f>IFERROR(__xludf.DUMMYFUNCTION("""COMPUTED_VALUE"""),"SUMMIT")</f>
        <v>SUMMIT</v>
      </c>
      <c r="AM142" s="12"/>
      <c r="AN142" s="12"/>
      <c r="AO142" s="12"/>
      <c r="AP142" s="12"/>
      <c r="AQ142" s="12"/>
      <c r="BC142" s="12"/>
      <c r="BD142" s="12"/>
      <c r="BE142" s="14"/>
      <c r="BF142" s="12"/>
      <c r="BG142" s="12"/>
      <c r="BH142" s="12" t="str">
        <f>IFERROR(__xludf.DUMMYFUNCTION("IFERROR(INDEX(QUERY(IMPORTRANGE(""1T7HG8KEs-Ob7f3M5atEVN9Yn7IeORGp0QGvggB62ELw"",""Maestro!A:I""),""SELECT Col8 WHERE Col3 = '""&amp;BE142&amp;""'"", 0), 1, 1),""NO ENCONTRADO"")"),"")</f>
        <v/>
      </c>
      <c r="BI142" s="16">
        <v>1.0</v>
      </c>
      <c r="BJ142" s="16">
        <f t="shared" si="11"/>
        <v>0</v>
      </c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4"/>
      <c r="BX142" s="14"/>
      <c r="BY142" s="14"/>
      <c r="BZ142" s="14"/>
      <c r="CA142" s="14"/>
      <c r="CB142" s="14"/>
      <c r="CC142" s="14"/>
      <c r="CD142" s="14"/>
      <c r="CE142" s="14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</row>
    <row r="143">
      <c r="A143" s="158">
        <v>4.0</v>
      </c>
      <c r="B143" s="159" t="s">
        <v>36</v>
      </c>
      <c r="C143" s="160" t="s">
        <v>269</v>
      </c>
      <c r="D143" s="161" t="str">
        <f t="shared" si="8"/>
        <v>4-6-A</v>
      </c>
      <c r="E143" s="162">
        <v>45791.0</v>
      </c>
      <c r="F143" s="163" t="s">
        <v>600</v>
      </c>
      <c r="G143" s="164" t="s">
        <v>325</v>
      </c>
      <c r="H143" s="165" t="s">
        <v>326</v>
      </c>
      <c r="I143" s="166">
        <v>168.0</v>
      </c>
      <c r="J143" s="167" t="s">
        <v>43</v>
      </c>
      <c r="K143" s="32" t="str">
        <f t="shared" si="2"/>
        <v>OCUPADO</v>
      </c>
      <c r="L143" s="33">
        <f t="shared" si="10"/>
        <v>142</v>
      </c>
      <c r="M143" s="33" t="s">
        <v>23</v>
      </c>
      <c r="N143" s="122"/>
      <c r="O143" s="169" t="s">
        <v>270</v>
      </c>
      <c r="P143" s="12"/>
      <c r="Q143" s="12"/>
      <c r="R143" s="12"/>
      <c r="S143" s="12"/>
      <c r="T143" s="12"/>
      <c r="U143" s="12"/>
      <c r="V143" s="12"/>
      <c r="AB143" s="12"/>
      <c r="AC143" s="12" t="str">
        <f>IFERROR(__xludf.DUMMYFUNCTION("""COMPUTED_VALUE"""),"ANDEN-1-11")</f>
        <v>ANDEN-1-11</v>
      </c>
      <c r="AD143" s="12" t="str">
        <f>IFERROR(__xludf.DUMMYFUNCTION("""COMPUTED_VALUE"""),"600567")</f>
        <v>600567</v>
      </c>
      <c r="AE143" s="12" t="str">
        <f>IFERROR(__xludf.DUMMYFUNCTION("""COMPUTED_VALUE"""),"SEPARADORES PLATOS 32X23X32")</f>
        <v>SEPARADORES PLATOS 32X23X32</v>
      </c>
      <c r="AF143" s="30">
        <f>IFERROR(__xludf.DUMMYFUNCTION("""COMPUTED_VALUE"""),510.0)</f>
        <v>510</v>
      </c>
      <c r="AG143" s="12" t="str">
        <f>IFERROR(__xludf.DUMMYFUNCTION("""COMPUTED_VALUE"""),"PROVEEDOR")</f>
        <v>PROVEEDOR</v>
      </c>
      <c r="AH143" s="12"/>
      <c r="AI143" s="12" t="str">
        <f>IFERROR(__xludf.DUMMYFUNCTION("""COMPUTED_VALUE"""),"1")</f>
        <v>1</v>
      </c>
      <c r="AJ143" s="12" t="str">
        <f>IFERROR(__xludf.DUMMYFUNCTION("""COMPUTED_VALUE"""),"11")</f>
        <v>11</v>
      </c>
      <c r="AK143" s="12">
        <f>IFERROR(__xludf.DUMMYFUNCTION("""COMPUTED_VALUE"""),235.0)</f>
        <v>235</v>
      </c>
      <c r="AL143" s="12" t="str">
        <f>IFERROR(__xludf.DUMMYFUNCTION("""COMPUTED_VALUE"""),"SUMMIT")</f>
        <v>SUMMIT</v>
      </c>
      <c r="AM143" s="12"/>
      <c r="AN143" s="12"/>
      <c r="AO143" s="12"/>
      <c r="AP143" s="12"/>
      <c r="AQ143" s="12"/>
      <c r="BC143" s="12"/>
      <c r="BD143" s="12"/>
      <c r="BE143" s="14"/>
      <c r="BF143" s="12"/>
      <c r="BG143" s="12"/>
      <c r="BH143" s="12" t="str">
        <f>IFERROR(__xludf.DUMMYFUNCTION("IFERROR(INDEX(QUERY(IMPORTRANGE(""1T7HG8KEs-Ob7f3M5atEVN9Yn7IeORGp0QGvggB62ELw"",""Maestro!A:I""),""SELECT Col8 WHERE Col3 = '""&amp;BE143&amp;""'"", 0), 1, 1),""NO ENCONTRADO"")"),"")</f>
        <v/>
      </c>
      <c r="BI143" s="16">
        <v>1.0</v>
      </c>
      <c r="BJ143" s="16">
        <f t="shared" si="11"/>
        <v>0</v>
      </c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4"/>
      <c r="BX143" s="14"/>
      <c r="BY143" s="14"/>
      <c r="BZ143" s="14"/>
      <c r="CA143" s="14"/>
      <c r="CB143" s="14"/>
      <c r="CC143" s="14"/>
      <c r="CD143" s="14"/>
      <c r="CE143" s="14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</row>
    <row r="144">
      <c r="A144" s="158">
        <v>4.0</v>
      </c>
      <c r="B144" s="159" t="s">
        <v>36</v>
      </c>
      <c r="C144" s="160" t="s">
        <v>277</v>
      </c>
      <c r="D144" s="161" t="str">
        <f t="shared" si="8"/>
        <v>4-6-B</v>
      </c>
      <c r="E144" s="162">
        <v>45791.0</v>
      </c>
      <c r="F144" s="163" t="s">
        <v>600</v>
      </c>
      <c r="G144" s="164" t="s">
        <v>325</v>
      </c>
      <c r="H144" s="165" t="s">
        <v>326</v>
      </c>
      <c r="I144" s="166">
        <v>168.0</v>
      </c>
      <c r="J144" s="167" t="s">
        <v>43</v>
      </c>
      <c r="K144" s="27" t="str">
        <f t="shared" si="2"/>
        <v>OCUPADO</v>
      </c>
      <c r="L144" s="28">
        <f t="shared" si="10"/>
        <v>143</v>
      </c>
      <c r="M144" s="28" t="s">
        <v>23</v>
      </c>
      <c r="N144" s="109"/>
      <c r="O144" s="168" t="s">
        <v>270</v>
      </c>
      <c r="P144" s="12"/>
      <c r="Q144" s="12"/>
      <c r="R144" s="12"/>
      <c r="S144" s="12"/>
      <c r="T144" s="12"/>
      <c r="U144" s="12"/>
      <c r="V144" s="12"/>
      <c r="AB144" s="12"/>
      <c r="AC144" s="12" t="str">
        <f>IFERROR(__xludf.DUMMYFUNCTION("""COMPUTED_VALUE"""),"ANDEN-1-14")</f>
        <v>ANDEN-1-14</v>
      </c>
      <c r="AD144" s="12" t="str">
        <f>IFERROR(__xludf.DUMMYFUNCTION("""COMPUTED_VALUE"""),"600666")</f>
        <v>600666</v>
      </c>
      <c r="AE144" s="12" t="str">
        <f>IFERROR(__xludf.DUMMYFUNCTION("""COMPUTED_VALUE"""),"CAJA CARTON S/IMP 32x23x32 CM")</f>
        <v>CAJA CARTON S/IMP 32x23x32 CM</v>
      </c>
      <c r="AF144" s="30">
        <f>IFERROR(__xludf.DUMMYFUNCTION("""COMPUTED_VALUE"""),790.0)</f>
        <v>790</v>
      </c>
      <c r="AG144" s="12" t="str">
        <f>IFERROR(__xludf.DUMMYFUNCTION("""COMPUTED_VALUE"""),"PROVEEDOR")</f>
        <v>PROVEEDOR</v>
      </c>
      <c r="AH144" s="12"/>
      <c r="AI144" s="12" t="str">
        <f>IFERROR(__xludf.DUMMYFUNCTION("""COMPUTED_VALUE"""),"1")</f>
        <v>1</v>
      </c>
      <c r="AJ144" s="12" t="str">
        <f>IFERROR(__xludf.DUMMYFUNCTION("""COMPUTED_VALUE"""),"14")</f>
        <v>14</v>
      </c>
      <c r="AK144" s="12">
        <f>IFERROR(__xludf.DUMMYFUNCTION("""COMPUTED_VALUE"""),238.0)</f>
        <v>238</v>
      </c>
      <c r="AL144" s="12" t="str">
        <f>IFERROR(__xludf.DUMMYFUNCTION("""COMPUTED_VALUE"""),"SUMMIT")</f>
        <v>SUMMIT</v>
      </c>
      <c r="AM144" s="12"/>
      <c r="AN144" s="12"/>
      <c r="AO144" s="12"/>
      <c r="AP144" s="12"/>
      <c r="AQ144" s="12"/>
      <c r="BC144" s="12"/>
      <c r="BD144" s="12"/>
      <c r="BE144" s="14"/>
      <c r="BF144" s="12"/>
      <c r="BG144" s="12"/>
      <c r="BH144" s="12" t="str">
        <f>IFERROR(__xludf.DUMMYFUNCTION("IFERROR(INDEX(QUERY(IMPORTRANGE(""1T7HG8KEs-Ob7f3M5atEVN9Yn7IeORGp0QGvggB62ELw"",""Maestro!A:I""),""SELECT Col8 WHERE Col3 = '""&amp;BE144&amp;""'"", 0), 1, 1),""NO ENCONTRADO"")"),"")</f>
        <v/>
      </c>
      <c r="BI144" s="12"/>
      <c r="BJ144" s="16">
        <f t="shared" si="11"/>
        <v>0</v>
      </c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4"/>
      <c r="BX144" s="14"/>
      <c r="BY144" s="14"/>
      <c r="BZ144" s="14"/>
      <c r="CA144" s="14"/>
      <c r="CB144" s="14"/>
      <c r="CC144" s="14"/>
      <c r="CD144" s="14"/>
      <c r="CE144" s="14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</row>
    <row r="145">
      <c r="A145" s="158">
        <v>4.0</v>
      </c>
      <c r="B145" s="159" t="s">
        <v>36</v>
      </c>
      <c r="C145" s="160" t="s">
        <v>282</v>
      </c>
      <c r="D145" s="161" t="str">
        <f t="shared" si="8"/>
        <v>4-6-C</v>
      </c>
      <c r="E145" s="162">
        <v>45791.0</v>
      </c>
      <c r="F145" s="170" t="s">
        <v>600</v>
      </c>
      <c r="G145" s="164" t="s">
        <v>325</v>
      </c>
      <c r="H145" s="165" t="s">
        <v>326</v>
      </c>
      <c r="I145" s="166">
        <v>90.0</v>
      </c>
      <c r="J145" s="167" t="s">
        <v>43</v>
      </c>
      <c r="K145" s="32" t="str">
        <f t="shared" si="2"/>
        <v>OCUPADO</v>
      </c>
      <c r="L145" s="33">
        <f t="shared" si="10"/>
        <v>144</v>
      </c>
      <c r="M145" s="33" t="s">
        <v>23</v>
      </c>
      <c r="N145" s="33">
        <v>103.0</v>
      </c>
      <c r="O145" s="169" t="s">
        <v>270</v>
      </c>
      <c r="P145" s="12"/>
      <c r="Q145" s="12"/>
      <c r="R145" s="12"/>
      <c r="S145" s="12"/>
      <c r="T145" s="12"/>
      <c r="U145" s="12"/>
      <c r="V145" s="12"/>
      <c r="AB145" s="12"/>
      <c r="AC145" s="12" t="str">
        <f>IFERROR(__xludf.DUMMYFUNCTION("""COMPUTED_VALUE"""),"ANDEN-1-16")</f>
        <v>ANDEN-1-16</v>
      </c>
      <c r="AD145" s="12" t="str">
        <f>IFERROR(__xludf.DUMMYFUNCTION("""COMPUTED_VALUE"""),"600666")</f>
        <v>600666</v>
      </c>
      <c r="AE145" s="12" t="str">
        <f>IFERROR(__xludf.DUMMYFUNCTION("""COMPUTED_VALUE"""),"CAJA CARTON S/IMP 32x23x32 CM")</f>
        <v>CAJA CARTON S/IMP 32x23x32 CM</v>
      </c>
      <c r="AF145" s="30">
        <f>IFERROR(__xludf.DUMMYFUNCTION("""COMPUTED_VALUE"""),600.0)</f>
        <v>600</v>
      </c>
      <c r="AG145" s="12" t="str">
        <f>IFERROR(__xludf.DUMMYFUNCTION("""COMPUTED_VALUE"""),"PROVEEDOR")</f>
        <v>PROVEEDOR</v>
      </c>
      <c r="AH145" s="12"/>
      <c r="AI145" s="12" t="str">
        <f>IFERROR(__xludf.DUMMYFUNCTION("""COMPUTED_VALUE"""),"1")</f>
        <v>1</v>
      </c>
      <c r="AJ145" s="12" t="str">
        <f>IFERROR(__xludf.DUMMYFUNCTION("""COMPUTED_VALUE"""),"16")</f>
        <v>16</v>
      </c>
      <c r="AK145" s="12">
        <f>IFERROR(__xludf.DUMMYFUNCTION("""COMPUTED_VALUE"""),240.0)</f>
        <v>240</v>
      </c>
      <c r="AL145" s="12" t="str">
        <f>IFERROR(__xludf.DUMMYFUNCTION("""COMPUTED_VALUE"""),"SUMMIT")</f>
        <v>SUMMIT</v>
      </c>
      <c r="AM145" s="12"/>
      <c r="AN145" s="12"/>
      <c r="AO145" s="12"/>
      <c r="AP145" s="12"/>
      <c r="AQ145" s="12"/>
      <c r="BC145" s="12"/>
      <c r="BD145" s="12"/>
      <c r="BE145" s="14"/>
      <c r="BF145" s="12"/>
      <c r="BG145" s="12"/>
      <c r="BH145" s="12" t="str">
        <f>IFERROR(__xludf.DUMMYFUNCTION("IFERROR(INDEX(QUERY(IMPORTRANGE(""1T7HG8KEs-Ob7f3M5atEVN9Yn7IeORGp0QGvggB62ELw"",""Maestro!A:I""),""SELECT Col8 WHERE Col3 = '""&amp;BE145&amp;""'"", 0), 1, 1),""NO ENCONTRADO"")"),"")</f>
        <v/>
      </c>
      <c r="BI145" s="12"/>
      <c r="BJ145" s="16">
        <f t="shared" si="11"/>
        <v>0</v>
      </c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4"/>
      <c r="BX145" s="14"/>
      <c r="BY145" s="14"/>
      <c r="BZ145" s="14"/>
      <c r="CA145" s="14"/>
      <c r="CB145" s="14"/>
      <c r="CC145" s="14"/>
      <c r="CD145" s="14"/>
      <c r="CE145" s="14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</row>
    <row r="146">
      <c r="A146" s="158">
        <v>4.0</v>
      </c>
      <c r="B146" s="159" t="s">
        <v>36</v>
      </c>
      <c r="C146" s="160" t="s">
        <v>285</v>
      </c>
      <c r="D146" s="161" t="str">
        <f t="shared" si="8"/>
        <v>4-6-D</v>
      </c>
      <c r="E146" s="103"/>
      <c r="F146" s="104"/>
      <c r="G146" s="105"/>
      <c r="H146" s="106"/>
      <c r="I146" s="107"/>
      <c r="J146" s="108"/>
      <c r="K146" s="27" t="str">
        <f t="shared" si="2"/>
        <v>DISPONIBLE</v>
      </c>
      <c r="L146" s="28">
        <f t="shared" si="10"/>
        <v>145</v>
      </c>
      <c r="M146" s="28" t="s">
        <v>23</v>
      </c>
      <c r="N146" s="28"/>
      <c r="O146" s="168"/>
      <c r="P146" s="12"/>
      <c r="Q146" s="12"/>
      <c r="R146" s="12"/>
      <c r="S146" s="12"/>
      <c r="T146" s="12"/>
      <c r="U146" s="12"/>
      <c r="V146" s="12"/>
      <c r="AB146" s="12"/>
      <c r="AC146" s="12" t="str">
        <f>IFERROR(__xludf.DUMMYFUNCTION("""COMPUTED_VALUE"""),"CASINO-1-1")</f>
        <v>CASINO-1-1</v>
      </c>
      <c r="AD146" s="12" t="str">
        <f>IFERROR(__xludf.DUMMYFUNCTION("""COMPUTED_VALUE"""),"600900P")</f>
        <v>600900P</v>
      </c>
      <c r="AE146" s="12" t="str">
        <f>IFERROR(__xludf.DUMMYFUNCTION("""COMPUTED_VALUE"""),"ROLLO ESPUMA EMBALAJE 1 MM 1.40X220 MT")</f>
        <v>ROLLO ESPUMA EMBALAJE 1 MM 1.40X220 MT</v>
      </c>
      <c r="AF146" s="30">
        <f>IFERROR(__xludf.DUMMYFUNCTION("""COMPUTED_VALUE"""),20.0)</f>
        <v>20</v>
      </c>
      <c r="AG146" s="12" t="str">
        <f>IFERROR(__xludf.DUMMYFUNCTION("""COMPUTED_VALUE"""),"PROVEEDOR")</f>
        <v>PROVEEDOR</v>
      </c>
      <c r="AH146" s="12"/>
      <c r="AI146" s="12" t="str">
        <f>IFERROR(__xludf.DUMMYFUNCTION("""COMPUTED_VALUE"""),"1")</f>
        <v>1</v>
      </c>
      <c r="AJ146" s="12" t="str">
        <f>IFERROR(__xludf.DUMMYFUNCTION("""COMPUTED_VALUE"""),"1")</f>
        <v>1</v>
      </c>
      <c r="AK146" s="12">
        <f>IFERROR(__xludf.DUMMYFUNCTION("""COMPUTED_VALUE"""),246.0)</f>
        <v>246</v>
      </c>
      <c r="AL146" s="12" t="str">
        <f>IFERROR(__xludf.DUMMYFUNCTION("""COMPUTED_VALUE"""),"SUMMIT")</f>
        <v>SUMMIT</v>
      </c>
      <c r="AM146" s="12"/>
      <c r="AN146" s="12"/>
      <c r="AO146" s="12"/>
      <c r="AP146" s="12"/>
      <c r="AQ146" s="12"/>
      <c r="BC146" s="12"/>
      <c r="BD146" s="12"/>
      <c r="BE146" s="14"/>
      <c r="BF146" s="12"/>
      <c r="BG146" s="12"/>
      <c r="BH146" s="12" t="str">
        <f>IFERROR(__xludf.DUMMYFUNCTION("IFERROR(INDEX(QUERY(IMPORTRANGE(""1T7HG8KEs-Ob7f3M5atEVN9Yn7IeORGp0QGvggB62ELw"",""Maestro!A:I""),""SELECT Col8 WHERE Col3 = '""&amp;BE146&amp;""'"", 0), 1, 1),""NO ENCONTRADO"")"),"")</f>
        <v/>
      </c>
      <c r="BI146" s="12" t="str">
        <f>IFERROR(__xludf.DUMMYFUNCTION("IFERROR(INDEX(QUERY(IMPORTRANGE(""1T7HG8KEs-Ob7f3M5atEVN9Yn7IeORGp0QGvggB62ELw"",""Maestro!A:I""),""SELECT Col7 WHERE Col3 = '""&amp;BE146&amp;""'"", 0), 1, 1),""NO ENCONTRADO"")"),"")</f>
        <v/>
      </c>
      <c r="BJ146" s="16">
        <f t="shared" si="11"/>
        <v>0</v>
      </c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4"/>
      <c r="BX146" s="14"/>
      <c r="BY146" s="14"/>
      <c r="BZ146" s="14"/>
      <c r="CA146" s="14"/>
      <c r="CB146" s="14"/>
      <c r="CC146" s="14"/>
      <c r="CD146" s="14"/>
      <c r="CE146" s="14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</row>
    <row r="147">
      <c r="A147" s="158">
        <v>4.0</v>
      </c>
      <c r="B147" s="159" t="s">
        <v>48</v>
      </c>
      <c r="C147" s="160" t="s">
        <v>269</v>
      </c>
      <c r="D147" s="161" t="str">
        <f t="shared" si="8"/>
        <v>4-7-A</v>
      </c>
      <c r="E147" s="162">
        <v>45808.0</v>
      </c>
      <c r="F147" s="163" t="s">
        <v>605</v>
      </c>
      <c r="G147" s="164" t="s">
        <v>87</v>
      </c>
      <c r="H147" s="165" t="s">
        <v>88</v>
      </c>
      <c r="I147" s="166">
        <v>72.0</v>
      </c>
      <c r="J147" s="167" t="s">
        <v>43</v>
      </c>
      <c r="K147" s="32" t="str">
        <f t="shared" si="2"/>
        <v>OCUPADO</v>
      </c>
      <c r="L147" s="33">
        <f t="shared" si="10"/>
        <v>146</v>
      </c>
      <c r="M147" s="33" t="s">
        <v>23</v>
      </c>
      <c r="N147" s="122"/>
      <c r="O147" s="169" t="s">
        <v>270</v>
      </c>
      <c r="P147" s="12"/>
      <c r="Q147" s="12"/>
      <c r="R147" s="12"/>
      <c r="S147" s="12"/>
      <c r="T147" s="12"/>
      <c r="U147" s="12"/>
      <c r="V147" s="12"/>
      <c r="AB147" s="12"/>
      <c r="AC147" s="12" t="str">
        <f>IFERROR(__xludf.DUMMYFUNCTION("""COMPUTED_VALUE"""),"PATIO-1-1")</f>
        <v>PATIO-1-1</v>
      </c>
      <c r="AD147" s="12" t="str">
        <f>IFERROR(__xludf.DUMMYFUNCTION("""COMPUTED_VALUE"""),"692029X")</f>
        <v>692029X</v>
      </c>
      <c r="AE147" s="12" t="str">
        <f>IFERROR(__xludf.DUMMYFUNCTION("""COMPUTED_VALUE"""),"CAJA CARTON CORRUGADO 60x40x40 ")</f>
        <v>CAJA CARTON CORRUGADO 60x40x40 </v>
      </c>
      <c r="AF147" s="30">
        <f>IFERROR(__xludf.DUMMYFUNCTION("""COMPUTED_VALUE"""),200.0)</f>
        <v>200</v>
      </c>
      <c r="AG147" s="12" t="str">
        <f>IFERROR(__xludf.DUMMYFUNCTION("""COMPUTED_VALUE"""),"PROVEEDOR")</f>
        <v>PROVEEDOR</v>
      </c>
      <c r="AH147" s="12"/>
      <c r="AI147" s="12" t="str">
        <f>IFERROR(__xludf.DUMMYFUNCTION("""COMPUTED_VALUE"""),"1")</f>
        <v>1</v>
      </c>
      <c r="AJ147" s="12" t="str">
        <f>IFERROR(__xludf.DUMMYFUNCTION("""COMPUTED_VALUE"""),"1")</f>
        <v>1</v>
      </c>
      <c r="AK147" s="12">
        <f>IFERROR(__xludf.DUMMYFUNCTION("""COMPUTED_VALUE"""),266.0)</f>
        <v>266</v>
      </c>
      <c r="AL147" s="12" t="str">
        <f>IFERROR(__xludf.DUMMYFUNCTION("""COMPUTED_VALUE"""),"SUMMIT")</f>
        <v>SUMMIT</v>
      </c>
      <c r="AM147" s="12"/>
      <c r="AN147" s="12"/>
      <c r="AO147" s="12"/>
      <c r="AP147" s="12"/>
      <c r="AQ147" s="12"/>
      <c r="BC147" s="12"/>
      <c r="BD147" s="12"/>
      <c r="BE147" s="14"/>
      <c r="BF147" s="12"/>
      <c r="BG147" s="12"/>
      <c r="BH147" s="12" t="str">
        <f>IFERROR(__xludf.DUMMYFUNCTION("IFERROR(INDEX(QUERY(IMPORTRANGE(""1T7HG8KEs-Ob7f3M5atEVN9Yn7IeORGp0QGvggB62ELw"",""Maestro!A:I""),""SELECT Col8 WHERE Col3 = '""&amp;BE147&amp;""'"", 0), 1, 1),""NO ENCONTRADO"")"),"")</f>
        <v/>
      </c>
      <c r="BI147" s="12" t="str">
        <f>IFERROR(__xludf.DUMMYFUNCTION("IFERROR(INDEX(QUERY(IMPORTRANGE(""1T7HG8KEs-Ob7f3M5atEVN9Yn7IeORGp0QGvggB62ELw"",""Maestro!A:I""),""SELECT Col7 WHERE Col3 = '""&amp;BE147&amp;""'"", 0), 1, 1),""NO ENCONTRADO"")"),"")</f>
        <v/>
      </c>
      <c r="BJ147" s="16">
        <f t="shared" si="11"/>
        <v>0</v>
      </c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4"/>
      <c r="BX147" s="14"/>
      <c r="BY147" s="14"/>
      <c r="BZ147" s="14"/>
      <c r="CA147" s="14"/>
      <c r="CB147" s="14"/>
      <c r="CC147" s="14"/>
      <c r="CD147" s="14"/>
      <c r="CE147" s="14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</row>
    <row r="148">
      <c r="A148" s="158">
        <v>4.0</v>
      </c>
      <c r="B148" s="159" t="s">
        <v>48</v>
      </c>
      <c r="C148" s="160" t="s">
        <v>277</v>
      </c>
      <c r="D148" s="161" t="str">
        <f t="shared" si="8"/>
        <v>4-7-B</v>
      </c>
      <c r="E148" s="162">
        <v>45808.0</v>
      </c>
      <c r="F148" s="163" t="s">
        <v>605</v>
      </c>
      <c r="G148" s="164" t="s">
        <v>87</v>
      </c>
      <c r="H148" s="165" t="s">
        <v>88</v>
      </c>
      <c r="I148" s="166">
        <v>72.0</v>
      </c>
      <c r="J148" s="167" t="s">
        <v>43</v>
      </c>
      <c r="K148" s="27" t="str">
        <f t="shared" si="2"/>
        <v>OCUPADO</v>
      </c>
      <c r="L148" s="28">
        <f t="shared" si="10"/>
        <v>147</v>
      </c>
      <c r="M148" s="28" t="s">
        <v>23</v>
      </c>
      <c r="N148" s="109"/>
      <c r="O148" s="168" t="s">
        <v>270</v>
      </c>
      <c r="P148" s="12"/>
      <c r="Q148" s="12"/>
      <c r="R148" s="12"/>
      <c r="S148" s="12"/>
      <c r="T148" s="12"/>
      <c r="U148" s="12"/>
      <c r="V148" s="12"/>
      <c r="AB148" s="12"/>
      <c r="AC148" s="12" t="str">
        <f>IFERROR(__xludf.DUMMYFUNCTION("""COMPUTED_VALUE"""),"PATIO-1-2")</f>
        <v>PATIO-1-2</v>
      </c>
      <c r="AD148" s="12" t="str">
        <f>IFERROR(__xludf.DUMMYFUNCTION("""COMPUTED_VALUE"""),"692029X")</f>
        <v>692029X</v>
      </c>
      <c r="AE148" s="12" t="str">
        <f>IFERROR(__xludf.DUMMYFUNCTION("""COMPUTED_VALUE"""),"CAJA CARTON CORRUGADO 60x40x40 ")</f>
        <v>CAJA CARTON CORRUGADO 60x40x40 </v>
      </c>
      <c r="AF148" s="30">
        <f>IFERROR(__xludf.DUMMYFUNCTION("""COMPUTED_VALUE"""),200.0)</f>
        <v>200</v>
      </c>
      <c r="AG148" s="12" t="str">
        <f>IFERROR(__xludf.DUMMYFUNCTION("""COMPUTED_VALUE"""),"PROVEEDOR")</f>
        <v>PROVEEDOR</v>
      </c>
      <c r="AH148" s="12"/>
      <c r="AI148" s="12" t="str">
        <f>IFERROR(__xludf.DUMMYFUNCTION("""COMPUTED_VALUE"""),"1")</f>
        <v>1</v>
      </c>
      <c r="AJ148" s="12" t="str">
        <f>IFERROR(__xludf.DUMMYFUNCTION("""COMPUTED_VALUE"""),"2")</f>
        <v>2</v>
      </c>
      <c r="AK148" s="12">
        <f>IFERROR(__xludf.DUMMYFUNCTION("""COMPUTED_VALUE"""),267.0)</f>
        <v>267</v>
      </c>
      <c r="AL148" s="12" t="str">
        <f>IFERROR(__xludf.DUMMYFUNCTION("""COMPUTED_VALUE"""),"SUMMIT")</f>
        <v>SUMMIT</v>
      </c>
      <c r="AM148" s="12"/>
      <c r="AN148" s="12"/>
      <c r="AO148" s="12"/>
      <c r="AP148" s="12"/>
      <c r="AQ148" s="12"/>
      <c r="BC148" s="12"/>
      <c r="BD148" s="12"/>
      <c r="BE148" s="14"/>
      <c r="BF148" s="12"/>
      <c r="BG148" s="12"/>
      <c r="BH148" s="12" t="str">
        <f>IFERROR(__xludf.DUMMYFUNCTION("IFERROR(INDEX(QUERY(IMPORTRANGE(""1T7HG8KEs-Ob7f3M5atEVN9Yn7IeORGp0QGvggB62ELw"",""Maestro!A:I""),""SELECT Col8 WHERE Col3 = '""&amp;BE148&amp;""'"", 0), 1, 1),""NO ENCONTRADO"")"),"")</f>
        <v/>
      </c>
      <c r="BI148" s="12" t="str">
        <f>IFERROR(__xludf.DUMMYFUNCTION("IFERROR(INDEX(QUERY(IMPORTRANGE(""1T7HG8KEs-Ob7f3M5atEVN9Yn7IeORGp0QGvggB62ELw"",""Maestro!A:I""),""SELECT Col7 WHERE Col3 = '""&amp;BE148&amp;""'"", 0), 1, 1),""NO ENCONTRADO"")"),"")</f>
        <v/>
      </c>
      <c r="BJ148" s="16">
        <f t="shared" si="11"/>
        <v>0</v>
      </c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4"/>
      <c r="BX148" s="14"/>
      <c r="BY148" s="14"/>
      <c r="BZ148" s="14"/>
      <c r="CA148" s="14"/>
      <c r="CB148" s="14"/>
      <c r="CC148" s="14"/>
      <c r="CD148" s="14"/>
      <c r="CE148" s="14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</row>
    <row r="149">
      <c r="A149" s="158">
        <v>4.0</v>
      </c>
      <c r="B149" s="159" t="s">
        <v>48</v>
      </c>
      <c r="C149" s="160" t="s">
        <v>282</v>
      </c>
      <c r="D149" s="161" t="str">
        <f t="shared" si="8"/>
        <v>4-7-C</v>
      </c>
      <c r="E149" s="162">
        <v>45825.0</v>
      </c>
      <c r="F149" s="163" t="s">
        <v>605</v>
      </c>
      <c r="G149" s="164" t="s">
        <v>87</v>
      </c>
      <c r="H149" s="165" t="s">
        <v>88</v>
      </c>
      <c r="I149" s="166">
        <v>72.0</v>
      </c>
      <c r="J149" s="167" t="s">
        <v>43</v>
      </c>
      <c r="K149" s="32" t="str">
        <f t="shared" si="2"/>
        <v>OCUPADO</v>
      </c>
      <c r="L149" s="33">
        <f t="shared" si="10"/>
        <v>148</v>
      </c>
      <c r="M149" s="33" t="s">
        <v>23</v>
      </c>
      <c r="N149" s="33"/>
      <c r="O149" s="169" t="s">
        <v>270</v>
      </c>
      <c r="P149" s="12"/>
      <c r="Q149" s="12"/>
      <c r="R149" s="12"/>
      <c r="S149" s="12"/>
      <c r="T149" s="12"/>
      <c r="U149" s="12"/>
      <c r="V149" s="12"/>
      <c r="AB149" s="12"/>
      <c r="AC149" s="12" t="str">
        <f>IFERROR(__xludf.DUMMYFUNCTION("""COMPUTED_VALUE"""),"PATIO-1-3")</f>
        <v>PATIO-1-3</v>
      </c>
      <c r="AD149" s="12" t="str">
        <f>IFERROR(__xludf.DUMMYFUNCTION("""COMPUTED_VALUE"""),"692029X")</f>
        <v>692029X</v>
      </c>
      <c r="AE149" s="12" t="str">
        <f>IFERROR(__xludf.DUMMYFUNCTION("""COMPUTED_VALUE"""),"CAJA CARTON CORRUGADO 60x40x40 ")</f>
        <v>CAJA CARTON CORRUGADO 60x40x40 </v>
      </c>
      <c r="AF149" s="30">
        <f>IFERROR(__xludf.DUMMYFUNCTION("""COMPUTED_VALUE"""),200.0)</f>
        <v>200</v>
      </c>
      <c r="AG149" s="12" t="str">
        <f>IFERROR(__xludf.DUMMYFUNCTION("""COMPUTED_VALUE"""),"PROVEEDOR")</f>
        <v>PROVEEDOR</v>
      </c>
      <c r="AH149" s="12"/>
      <c r="AI149" s="12" t="str">
        <f>IFERROR(__xludf.DUMMYFUNCTION("""COMPUTED_VALUE"""),"1")</f>
        <v>1</v>
      </c>
      <c r="AJ149" s="12" t="str">
        <f>IFERROR(__xludf.DUMMYFUNCTION("""COMPUTED_VALUE"""),"3")</f>
        <v>3</v>
      </c>
      <c r="AK149" s="12">
        <f>IFERROR(__xludf.DUMMYFUNCTION("""COMPUTED_VALUE"""),268.0)</f>
        <v>268</v>
      </c>
      <c r="AL149" s="12" t="str">
        <f>IFERROR(__xludf.DUMMYFUNCTION("""COMPUTED_VALUE"""),"SUMMIT")</f>
        <v>SUMMIT</v>
      </c>
      <c r="AM149" s="12"/>
      <c r="AN149" s="12"/>
      <c r="AO149" s="12"/>
      <c r="AP149" s="12"/>
      <c r="AQ149" s="12"/>
      <c r="BC149" s="12"/>
      <c r="BD149" s="12"/>
      <c r="BE149" s="14"/>
      <c r="BF149" s="12"/>
      <c r="BG149" s="12"/>
      <c r="BH149" s="12" t="str">
        <f>IFERROR(__xludf.DUMMYFUNCTION("IFERROR(INDEX(QUERY(IMPORTRANGE(""1T7HG8KEs-Ob7f3M5atEVN9Yn7IeORGp0QGvggB62ELw"",""Maestro!A:I""),""SELECT Col8 WHERE Col3 = '""&amp;BE149&amp;""'"", 0), 1, 1),""NO ENCONTRADO"")"),"")</f>
        <v/>
      </c>
      <c r="BI149" s="12" t="str">
        <f>IFERROR(__xludf.DUMMYFUNCTION("IFERROR(INDEX(QUERY(IMPORTRANGE(""1T7HG8KEs-Ob7f3M5atEVN9Yn7IeORGp0QGvggB62ELw"",""Maestro!A:I""),""SELECT Col7 WHERE Col3 = '""&amp;BE149&amp;""'"", 0), 1, 1),""NO ENCONTRADO"")"),"")</f>
        <v/>
      </c>
      <c r="BJ149" s="16">
        <f t="shared" si="11"/>
        <v>0</v>
      </c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4"/>
      <c r="BX149" s="14"/>
      <c r="BY149" s="14"/>
      <c r="BZ149" s="14"/>
      <c r="CA149" s="14"/>
      <c r="CB149" s="14"/>
      <c r="CC149" s="14"/>
      <c r="CD149" s="14"/>
      <c r="CE149" s="14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</row>
    <row r="150">
      <c r="A150" s="158">
        <v>4.0</v>
      </c>
      <c r="B150" s="159" t="s">
        <v>48</v>
      </c>
      <c r="C150" s="160" t="s">
        <v>285</v>
      </c>
      <c r="D150" s="161" t="str">
        <f t="shared" si="8"/>
        <v>4-7-D</v>
      </c>
      <c r="E150" s="162">
        <v>45825.0</v>
      </c>
      <c r="F150" s="163" t="s">
        <v>605</v>
      </c>
      <c r="G150" s="164" t="s">
        <v>87</v>
      </c>
      <c r="H150" s="165" t="s">
        <v>88</v>
      </c>
      <c r="I150" s="166">
        <v>72.0</v>
      </c>
      <c r="J150" s="167" t="s">
        <v>43</v>
      </c>
      <c r="K150" s="27" t="str">
        <f t="shared" si="2"/>
        <v>OCUPADO</v>
      </c>
      <c r="L150" s="28">
        <f t="shared" si="10"/>
        <v>149</v>
      </c>
      <c r="M150" s="28" t="s">
        <v>23</v>
      </c>
      <c r="N150" s="28"/>
      <c r="O150" s="168" t="s">
        <v>270</v>
      </c>
      <c r="P150" s="12"/>
      <c r="Q150" s="12"/>
      <c r="R150" s="12"/>
      <c r="S150" s="12"/>
      <c r="T150" s="12"/>
      <c r="U150" s="12"/>
      <c r="V150" s="12"/>
      <c r="AB150" s="12"/>
      <c r="AC150" s="12" t="str">
        <f>IFERROR(__xludf.DUMMYFUNCTION("""COMPUTED_VALUE"""),"PATIO-1-4")</f>
        <v>PATIO-1-4</v>
      </c>
      <c r="AD150" s="12" t="str">
        <f>IFERROR(__xludf.DUMMYFUNCTION("""COMPUTED_VALUE"""),"692029X")</f>
        <v>692029X</v>
      </c>
      <c r="AE150" s="12" t="str">
        <f>IFERROR(__xludf.DUMMYFUNCTION("""COMPUTED_VALUE"""),"CAJA CARTON CORRUGADO 60x40x40 ")</f>
        <v>CAJA CARTON CORRUGADO 60x40x40 </v>
      </c>
      <c r="AF150" s="30">
        <f>IFERROR(__xludf.DUMMYFUNCTION("""COMPUTED_VALUE"""),200.0)</f>
        <v>200</v>
      </c>
      <c r="AG150" s="12" t="str">
        <f>IFERROR(__xludf.DUMMYFUNCTION("""COMPUTED_VALUE"""),"PROVEEDOR")</f>
        <v>PROVEEDOR</v>
      </c>
      <c r="AH150" s="12"/>
      <c r="AI150" s="12" t="str">
        <f>IFERROR(__xludf.DUMMYFUNCTION("""COMPUTED_VALUE"""),"1")</f>
        <v>1</v>
      </c>
      <c r="AJ150" s="12" t="str">
        <f>IFERROR(__xludf.DUMMYFUNCTION("""COMPUTED_VALUE"""),"4")</f>
        <v>4</v>
      </c>
      <c r="AK150" s="12">
        <f>IFERROR(__xludf.DUMMYFUNCTION("""COMPUTED_VALUE"""),269.0)</f>
        <v>269</v>
      </c>
      <c r="AL150" s="12" t="str">
        <f>IFERROR(__xludf.DUMMYFUNCTION("""COMPUTED_VALUE"""),"SUMMIT")</f>
        <v>SUMMIT</v>
      </c>
      <c r="AM150" s="12"/>
      <c r="AN150" s="12"/>
      <c r="AO150" s="12"/>
      <c r="AP150" s="12"/>
      <c r="AQ150" s="12"/>
      <c r="BC150" s="12"/>
      <c r="BD150" s="12"/>
      <c r="BE150" s="14"/>
      <c r="BF150" s="12"/>
      <c r="BG150" s="12"/>
      <c r="BH150" s="12" t="str">
        <f>IFERROR(__xludf.DUMMYFUNCTION("IFERROR(INDEX(QUERY(IMPORTRANGE(""1T7HG8KEs-Ob7f3M5atEVN9Yn7IeORGp0QGvggB62ELw"",""Maestro!A:I""),""SELECT Col8 WHERE Col3 = '""&amp;BE150&amp;""'"", 0), 1, 1),""NO ENCONTRADO"")"),"")</f>
        <v/>
      </c>
      <c r="BI150" s="12" t="str">
        <f>IFERROR(__xludf.DUMMYFUNCTION("IFERROR(INDEX(QUERY(IMPORTRANGE(""1T7HG8KEs-Ob7f3M5atEVN9Yn7IeORGp0QGvggB62ELw"",""Maestro!A:I""),""SELECT Col7 WHERE Col3 = '""&amp;BE150&amp;""'"", 0), 1, 1),""NO ENCONTRADO"")"),"")</f>
        <v/>
      </c>
      <c r="BJ150" s="16">
        <f t="shared" si="11"/>
        <v>0</v>
      </c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4"/>
      <c r="BX150" s="14"/>
      <c r="BY150" s="14"/>
      <c r="BZ150" s="14"/>
      <c r="CA150" s="14"/>
      <c r="CB150" s="14"/>
      <c r="CC150" s="14"/>
      <c r="CD150" s="14"/>
      <c r="CE150" s="14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</row>
    <row r="151">
      <c r="A151" s="158">
        <v>4.0</v>
      </c>
      <c r="B151" s="159" t="s">
        <v>465</v>
      </c>
      <c r="C151" s="160" t="s">
        <v>269</v>
      </c>
      <c r="D151" s="161" t="str">
        <f t="shared" si="8"/>
        <v>4-8-A</v>
      </c>
      <c r="E151" s="162">
        <v>45810.0</v>
      </c>
      <c r="F151" s="163" t="s">
        <v>605</v>
      </c>
      <c r="G151" s="164" t="s">
        <v>87</v>
      </c>
      <c r="H151" s="165" t="s">
        <v>88</v>
      </c>
      <c r="I151" s="166">
        <v>72.0</v>
      </c>
      <c r="J151" s="167" t="s">
        <v>43</v>
      </c>
      <c r="K151" s="32" t="str">
        <f t="shared" si="2"/>
        <v>OCUPADO</v>
      </c>
      <c r="L151" s="33">
        <f t="shared" si="10"/>
        <v>150</v>
      </c>
      <c r="M151" s="33" t="s">
        <v>23</v>
      </c>
      <c r="N151" s="122"/>
      <c r="O151" s="169" t="s">
        <v>270</v>
      </c>
      <c r="P151" s="12"/>
      <c r="Q151" s="12"/>
      <c r="R151" s="12"/>
      <c r="S151" s="12"/>
      <c r="T151" s="12"/>
      <c r="U151" s="12"/>
      <c r="V151" s="12"/>
      <c r="AB151" s="12"/>
      <c r="AC151" s="12" t="str">
        <f>IFERROR(__xludf.DUMMYFUNCTION("""COMPUTED_VALUE"""),"PATIO-1-5")</f>
        <v>PATIO-1-5</v>
      </c>
      <c r="AD151" s="12" t="str">
        <f>IFERROR(__xludf.DUMMYFUNCTION("""COMPUTED_VALUE"""),"692029X")</f>
        <v>692029X</v>
      </c>
      <c r="AE151" s="12" t="str">
        <f>IFERROR(__xludf.DUMMYFUNCTION("""COMPUTED_VALUE"""),"CAJA CARTON CORRUGADO 60x40x40 ")</f>
        <v>CAJA CARTON CORRUGADO 60x40x40 </v>
      </c>
      <c r="AF151" s="30">
        <f>IFERROR(__xludf.DUMMYFUNCTION("""COMPUTED_VALUE"""),200.0)</f>
        <v>200</v>
      </c>
      <c r="AG151" s="12" t="str">
        <f>IFERROR(__xludf.DUMMYFUNCTION("""COMPUTED_VALUE"""),"PROVEEDOR")</f>
        <v>PROVEEDOR</v>
      </c>
      <c r="AH151" s="12"/>
      <c r="AI151" s="12" t="str">
        <f>IFERROR(__xludf.DUMMYFUNCTION("""COMPUTED_VALUE"""),"1")</f>
        <v>1</v>
      </c>
      <c r="AJ151" s="12" t="str">
        <f>IFERROR(__xludf.DUMMYFUNCTION("""COMPUTED_VALUE"""),"5")</f>
        <v>5</v>
      </c>
      <c r="AK151" s="12">
        <f>IFERROR(__xludf.DUMMYFUNCTION("""COMPUTED_VALUE"""),270.0)</f>
        <v>270</v>
      </c>
      <c r="AL151" s="12" t="str">
        <f>IFERROR(__xludf.DUMMYFUNCTION("""COMPUTED_VALUE"""),"SUMMIT")</f>
        <v>SUMMIT</v>
      </c>
      <c r="AM151" s="12"/>
      <c r="AN151" s="12"/>
      <c r="AO151" s="12"/>
      <c r="AP151" s="12"/>
      <c r="AQ151" s="12"/>
      <c r="BC151" s="12"/>
      <c r="BD151" s="12"/>
      <c r="BE151" s="14"/>
      <c r="BF151" s="12"/>
      <c r="BG151" s="12"/>
      <c r="BH151" s="12" t="str">
        <f>IFERROR(__xludf.DUMMYFUNCTION("IFERROR(INDEX(QUERY(IMPORTRANGE(""1T7HG8KEs-Ob7f3M5atEVN9Yn7IeORGp0QGvggB62ELw"",""Maestro!A:I""),""SELECT Col8 WHERE Col3 = '""&amp;BE151&amp;""'"", 0), 1, 1),""NO ENCONTRADO"")"),"")</f>
        <v/>
      </c>
      <c r="BI151" s="12" t="str">
        <f>IFERROR(__xludf.DUMMYFUNCTION("IFERROR(INDEX(QUERY(IMPORTRANGE(""1T7HG8KEs-Ob7f3M5atEVN9Yn7IeORGp0QGvggB62ELw"",""Maestro!A:I""),""SELECT Col7 WHERE Col3 = '""&amp;BE151&amp;""'"", 0), 1, 1),""NO ENCONTRADO"")"),"")</f>
        <v/>
      </c>
      <c r="BJ151" s="16">
        <f t="shared" si="11"/>
        <v>0</v>
      </c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4"/>
      <c r="BX151" s="14"/>
      <c r="BY151" s="14"/>
      <c r="BZ151" s="14"/>
      <c r="CA151" s="14"/>
      <c r="CB151" s="14"/>
      <c r="CC151" s="14"/>
      <c r="CD151" s="14"/>
      <c r="CE151" s="14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</row>
    <row r="152">
      <c r="A152" s="158">
        <v>4.0</v>
      </c>
      <c r="B152" s="159" t="s">
        <v>465</v>
      </c>
      <c r="C152" s="160" t="s">
        <v>277</v>
      </c>
      <c r="D152" s="161" t="str">
        <f t="shared" si="8"/>
        <v>4-8-B</v>
      </c>
      <c r="E152" s="162">
        <v>45810.0</v>
      </c>
      <c r="F152" s="163" t="s">
        <v>605</v>
      </c>
      <c r="G152" s="164" t="s">
        <v>87</v>
      </c>
      <c r="H152" s="165" t="s">
        <v>88</v>
      </c>
      <c r="I152" s="166">
        <v>72.0</v>
      </c>
      <c r="J152" s="167" t="s">
        <v>43</v>
      </c>
      <c r="K152" s="27" t="str">
        <f t="shared" si="2"/>
        <v>OCUPADO</v>
      </c>
      <c r="L152" s="28">
        <f t="shared" si="10"/>
        <v>151</v>
      </c>
      <c r="M152" s="28" t="s">
        <v>23</v>
      </c>
      <c r="N152" s="109"/>
      <c r="O152" s="168" t="s">
        <v>270</v>
      </c>
      <c r="P152" s="12"/>
      <c r="Q152" s="12"/>
      <c r="R152" s="12"/>
      <c r="S152" s="12"/>
      <c r="T152" s="12"/>
      <c r="U152" s="12"/>
      <c r="V152" s="12"/>
      <c r="AB152" s="12"/>
      <c r="AC152" s="12" t="str">
        <f>IFERROR(__xludf.DUMMYFUNCTION("""COMPUTED_VALUE"""),"PATIO-1-9")</f>
        <v>PATIO-1-9</v>
      </c>
      <c r="AD152" s="12" t="str">
        <f>IFERROR(__xludf.DUMMYFUNCTION("""COMPUTED_VALUE"""),"692029X")</f>
        <v>692029X</v>
      </c>
      <c r="AE152" s="12" t="str">
        <f>IFERROR(__xludf.DUMMYFUNCTION("""COMPUTED_VALUE"""),"CAJA CARTON CORRUGADO 60x40x40 ")</f>
        <v>CAJA CARTON CORRUGADO 60x40x40 </v>
      </c>
      <c r="AF152" s="30">
        <f>IFERROR(__xludf.DUMMYFUNCTION("""COMPUTED_VALUE"""),200.0)</f>
        <v>200</v>
      </c>
      <c r="AG152" s="12" t="str">
        <f>IFERROR(__xludf.DUMMYFUNCTION("""COMPUTED_VALUE"""),"PROVEEDOR")</f>
        <v>PROVEEDOR</v>
      </c>
      <c r="AH152" s="12"/>
      <c r="AI152" s="12" t="str">
        <f>IFERROR(__xludf.DUMMYFUNCTION("""COMPUTED_VALUE"""),"1")</f>
        <v>1</v>
      </c>
      <c r="AJ152" s="12" t="str">
        <f>IFERROR(__xludf.DUMMYFUNCTION("""COMPUTED_VALUE"""),"9")</f>
        <v>9</v>
      </c>
      <c r="AK152" s="12">
        <f>IFERROR(__xludf.DUMMYFUNCTION("""COMPUTED_VALUE"""),274.0)</f>
        <v>274</v>
      </c>
      <c r="AL152" s="12" t="str">
        <f>IFERROR(__xludf.DUMMYFUNCTION("""COMPUTED_VALUE"""),"SUMMIT")</f>
        <v>SUMMIT</v>
      </c>
      <c r="AM152" s="12"/>
      <c r="AN152" s="12"/>
      <c r="AO152" s="12"/>
      <c r="AP152" s="12"/>
      <c r="AQ152" s="12"/>
      <c r="BC152" s="12"/>
      <c r="BD152" s="12"/>
      <c r="BE152" s="14"/>
      <c r="BF152" s="12"/>
      <c r="BG152" s="12"/>
      <c r="BH152" s="12" t="str">
        <f>IFERROR(__xludf.DUMMYFUNCTION("IFERROR(INDEX(QUERY(IMPORTRANGE(""1T7HG8KEs-Ob7f3M5atEVN9Yn7IeORGp0QGvggB62ELw"",""Maestro!A:I""),""SELECT Col8 WHERE Col3 = '""&amp;BE152&amp;""'"", 0), 1, 1),""NO ENCONTRADO"")"),"")</f>
        <v/>
      </c>
      <c r="BI152" s="12" t="str">
        <f>IFERROR(__xludf.DUMMYFUNCTION("IFERROR(INDEX(QUERY(IMPORTRANGE(""1T7HG8KEs-Ob7f3M5atEVN9Yn7IeORGp0QGvggB62ELw"",""Maestro!A:I""),""SELECT Col7 WHERE Col3 = '""&amp;BE152&amp;""'"", 0), 1, 1),""NO ENCONTRADO"")"),"")</f>
        <v/>
      </c>
      <c r="BJ152" s="16">
        <f t="shared" si="11"/>
        <v>0</v>
      </c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4"/>
      <c r="BX152" s="14"/>
      <c r="BY152" s="14"/>
      <c r="BZ152" s="14"/>
      <c r="CA152" s="14"/>
      <c r="CB152" s="14"/>
      <c r="CC152" s="14"/>
      <c r="CD152" s="14"/>
      <c r="CE152" s="14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</row>
    <row r="153">
      <c r="A153" s="158">
        <v>4.0</v>
      </c>
      <c r="B153" s="159" t="s">
        <v>465</v>
      </c>
      <c r="C153" s="160" t="s">
        <v>282</v>
      </c>
      <c r="D153" s="161" t="str">
        <f t="shared" si="8"/>
        <v>4-8-C</v>
      </c>
      <c r="E153" s="162">
        <v>45810.0</v>
      </c>
      <c r="F153" s="163" t="s">
        <v>605</v>
      </c>
      <c r="G153" s="164" t="s">
        <v>87</v>
      </c>
      <c r="H153" s="165" t="s">
        <v>88</v>
      </c>
      <c r="I153" s="166">
        <v>59.0</v>
      </c>
      <c r="J153" s="167" t="s">
        <v>43</v>
      </c>
      <c r="K153" s="32" t="str">
        <f t="shared" si="2"/>
        <v>OCUPADO</v>
      </c>
      <c r="L153" s="33">
        <f t="shared" si="10"/>
        <v>152</v>
      </c>
      <c r="M153" s="33" t="s">
        <v>23</v>
      </c>
      <c r="N153" s="122"/>
      <c r="O153" s="169" t="s">
        <v>270</v>
      </c>
      <c r="P153" s="12"/>
      <c r="Q153" s="12"/>
      <c r="R153" s="12"/>
      <c r="S153" s="12"/>
      <c r="T153" s="12"/>
      <c r="U153" s="12"/>
      <c r="V153" s="12"/>
      <c r="AB153" s="12"/>
      <c r="AC153" s="12" t="str">
        <f>IFERROR(__xludf.DUMMYFUNCTION("""COMPUTED_VALUE"""),"PATIO-1-10")</f>
        <v>PATIO-1-10</v>
      </c>
      <c r="AD153" s="12" t="str">
        <f>IFERROR(__xludf.DUMMYFUNCTION("""COMPUTED_VALUE"""),"692029X")</f>
        <v>692029X</v>
      </c>
      <c r="AE153" s="12" t="str">
        <f>IFERROR(__xludf.DUMMYFUNCTION("""COMPUTED_VALUE"""),"CAJA CARTON CORRUGADO 60x40x40 ")</f>
        <v>CAJA CARTON CORRUGADO 60x40x40 </v>
      </c>
      <c r="AF153" s="30">
        <f>IFERROR(__xludf.DUMMYFUNCTION("""COMPUTED_VALUE"""),200.0)</f>
        <v>200</v>
      </c>
      <c r="AG153" s="12" t="str">
        <f>IFERROR(__xludf.DUMMYFUNCTION("""COMPUTED_VALUE"""),"PROVEEDOR")</f>
        <v>PROVEEDOR</v>
      </c>
      <c r="AH153" s="12"/>
      <c r="AI153" s="12" t="str">
        <f>IFERROR(__xludf.DUMMYFUNCTION("""COMPUTED_VALUE"""),"1")</f>
        <v>1</v>
      </c>
      <c r="AJ153" s="12" t="str">
        <f>IFERROR(__xludf.DUMMYFUNCTION("""COMPUTED_VALUE"""),"10")</f>
        <v>10</v>
      </c>
      <c r="AK153" s="12">
        <f>IFERROR(__xludf.DUMMYFUNCTION("""COMPUTED_VALUE"""),275.0)</f>
        <v>275</v>
      </c>
      <c r="AL153" s="12" t="str">
        <f>IFERROR(__xludf.DUMMYFUNCTION("""COMPUTED_VALUE"""),"SUMMIT")</f>
        <v>SUMMIT</v>
      </c>
      <c r="AM153" s="12"/>
      <c r="AN153" s="12"/>
      <c r="AO153" s="12"/>
      <c r="AP153" s="12"/>
      <c r="AQ153" s="12"/>
      <c r="BC153" s="12"/>
      <c r="BD153" s="12"/>
      <c r="BE153" s="14"/>
      <c r="BF153" s="12"/>
      <c r="BG153" s="12"/>
      <c r="BH153" s="12" t="str">
        <f>IFERROR(__xludf.DUMMYFUNCTION("IFERROR(INDEX(QUERY(IMPORTRANGE(""1T7HG8KEs-Ob7f3M5atEVN9Yn7IeORGp0QGvggB62ELw"",""Maestro!A:I""),""SELECT Col8 WHERE Col3 = '""&amp;BE153&amp;""'"", 0), 1, 1),""NO ENCONTRADO"")"),"")</f>
        <v/>
      </c>
      <c r="BI153" s="12" t="str">
        <f>IFERROR(__xludf.DUMMYFUNCTION("IFERROR(INDEX(QUERY(IMPORTRANGE(""1T7HG8KEs-Ob7f3M5atEVN9Yn7IeORGp0QGvggB62ELw"",""Maestro!A:I""),""SELECT Col7 WHERE Col3 = '""&amp;BE153&amp;""'"", 0), 1, 1),""NO ENCONTRADO"")"),"")</f>
        <v/>
      </c>
      <c r="BJ153" s="16">
        <f t="shared" si="11"/>
        <v>0</v>
      </c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4"/>
      <c r="BX153" s="14"/>
      <c r="BY153" s="14"/>
      <c r="BZ153" s="14"/>
      <c r="CA153" s="14"/>
      <c r="CB153" s="14"/>
      <c r="CC153" s="14"/>
      <c r="CD153" s="14"/>
      <c r="CE153" s="14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</row>
    <row r="154">
      <c r="A154" s="158">
        <v>4.0</v>
      </c>
      <c r="B154" s="159" t="s">
        <v>465</v>
      </c>
      <c r="C154" s="160" t="s">
        <v>285</v>
      </c>
      <c r="D154" s="161" t="str">
        <f t="shared" si="8"/>
        <v>4-8-D</v>
      </c>
      <c r="E154" s="103"/>
      <c r="F154" s="171"/>
      <c r="G154" s="105"/>
      <c r="H154" s="106"/>
      <c r="I154" s="107"/>
      <c r="J154" s="108"/>
      <c r="K154" s="27" t="str">
        <f t="shared" si="2"/>
        <v>DISPONIBLE</v>
      </c>
      <c r="L154" s="28">
        <f t="shared" si="10"/>
        <v>153</v>
      </c>
      <c r="M154" s="28" t="s">
        <v>23</v>
      </c>
      <c r="N154" s="28">
        <v>56.0</v>
      </c>
      <c r="O154" s="168"/>
      <c r="P154" s="12"/>
      <c r="Q154" s="12"/>
      <c r="R154" s="12"/>
      <c r="S154" s="12"/>
      <c r="T154" s="12"/>
      <c r="U154" s="12"/>
      <c r="V154" s="12"/>
      <c r="AB154" s="12"/>
      <c r="AC154" s="12" t="str">
        <f>IFERROR(__xludf.DUMMYFUNCTION("""COMPUTED_VALUE"""),"PATIO-1-11")</f>
        <v>PATIO-1-11</v>
      </c>
      <c r="AD154" s="12" t="str">
        <f>IFERROR(__xludf.DUMMYFUNCTION("""COMPUTED_VALUE"""),"692029X")</f>
        <v>692029X</v>
      </c>
      <c r="AE154" s="12" t="str">
        <f>IFERROR(__xludf.DUMMYFUNCTION("""COMPUTED_VALUE"""),"CAJA CARTON CORRUGADO 60x40x40 ")</f>
        <v>CAJA CARTON CORRUGADO 60x40x40 </v>
      </c>
      <c r="AF154" s="30">
        <f>IFERROR(__xludf.DUMMYFUNCTION("""COMPUTED_VALUE"""),200.0)</f>
        <v>200</v>
      </c>
      <c r="AG154" s="12" t="str">
        <f>IFERROR(__xludf.DUMMYFUNCTION("""COMPUTED_VALUE"""),"PROVEEDOR")</f>
        <v>PROVEEDOR</v>
      </c>
      <c r="AH154" s="12"/>
      <c r="AI154" s="12" t="str">
        <f>IFERROR(__xludf.DUMMYFUNCTION("""COMPUTED_VALUE"""),"1")</f>
        <v>1</v>
      </c>
      <c r="AJ154" s="12" t="str">
        <f>IFERROR(__xludf.DUMMYFUNCTION("""COMPUTED_VALUE"""),"11")</f>
        <v>11</v>
      </c>
      <c r="AK154" s="12">
        <f>IFERROR(__xludf.DUMMYFUNCTION("""COMPUTED_VALUE"""),276.0)</f>
        <v>276</v>
      </c>
      <c r="AL154" s="12" t="str">
        <f>IFERROR(__xludf.DUMMYFUNCTION("""COMPUTED_VALUE"""),"SUMMIT")</f>
        <v>SUMMIT</v>
      </c>
      <c r="AM154" s="12"/>
      <c r="AN154" s="12"/>
      <c r="AO154" s="12"/>
      <c r="AP154" s="12"/>
      <c r="AQ154" s="12"/>
      <c r="BC154" s="12"/>
      <c r="BD154" s="12"/>
      <c r="BE154" s="14"/>
      <c r="BF154" s="12"/>
      <c r="BG154" s="12"/>
      <c r="BH154" s="12" t="str">
        <f>IFERROR(__xludf.DUMMYFUNCTION("IFERROR(INDEX(QUERY(IMPORTRANGE(""1T7HG8KEs-Ob7f3M5atEVN9Yn7IeORGp0QGvggB62ELw"",""Maestro!A:I""),""SELECT Col8 WHERE Col3 = '""&amp;BE154&amp;""'"", 0), 1, 1),""NO ENCONTRADO"")"),"")</f>
        <v/>
      </c>
      <c r="BI154" s="12" t="str">
        <f>IFERROR(__xludf.DUMMYFUNCTION("IFERROR(INDEX(QUERY(IMPORTRANGE(""1T7HG8KEs-Ob7f3M5atEVN9Yn7IeORGp0QGvggB62ELw"",""Maestro!A:I""),""SELECT Col7 WHERE Col3 = '""&amp;BE154&amp;""'"", 0), 1, 1),""NO ENCONTRADO"")"),"")</f>
        <v/>
      </c>
      <c r="BJ154" s="16">
        <f t="shared" si="11"/>
        <v>0</v>
      </c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4"/>
      <c r="BX154" s="14"/>
      <c r="BY154" s="14"/>
      <c r="BZ154" s="14"/>
      <c r="CA154" s="14"/>
      <c r="CB154" s="14"/>
      <c r="CC154" s="14"/>
      <c r="CD154" s="14"/>
      <c r="CE154" s="14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</row>
    <row r="155">
      <c r="A155" s="158">
        <v>4.0</v>
      </c>
      <c r="B155" s="159" t="s">
        <v>511</v>
      </c>
      <c r="C155" s="160" t="s">
        <v>269</v>
      </c>
      <c r="D155" s="161" t="str">
        <f t="shared" si="8"/>
        <v>4-9-A</v>
      </c>
      <c r="E155" s="162">
        <v>45810.0</v>
      </c>
      <c r="F155" s="163" t="s">
        <v>614</v>
      </c>
      <c r="G155" s="164" t="s">
        <v>80</v>
      </c>
      <c r="H155" s="165" t="s">
        <v>81</v>
      </c>
      <c r="I155" s="166">
        <v>90.0</v>
      </c>
      <c r="J155" s="167" t="s">
        <v>43</v>
      </c>
      <c r="K155" s="32" t="str">
        <f t="shared" si="2"/>
        <v>OCUPADO</v>
      </c>
      <c r="L155" s="33">
        <f t="shared" si="10"/>
        <v>154</v>
      </c>
      <c r="M155" s="33" t="s">
        <v>23</v>
      </c>
      <c r="N155" s="33"/>
      <c r="O155" s="169" t="s">
        <v>270</v>
      </c>
      <c r="P155" s="12"/>
      <c r="Q155" s="12"/>
      <c r="R155" s="12"/>
      <c r="S155" s="12"/>
      <c r="T155" s="12"/>
      <c r="U155" s="12"/>
      <c r="V155" s="12"/>
      <c r="AB155" s="12"/>
      <c r="AC155" s="12" t="str">
        <f>IFERROR(__xludf.DUMMYFUNCTION("""COMPUTED_VALUE"""),"PATIO-1-12")</f>
        <v>PATIO-1-12</v>
      </c>
      <c r="AD155" s="12" t="str">
        <f>IFERROR(__xludf.DUMMYFUNCTION("""COMPUTED_VALUE"""),"692029X")</f>
        <v>692029X</v>
      </c>
      <c r="AE155" s="12" t="str">
        <f>IFERROR(__xludf.DUMMYFUNCTION("""COMPUTED_VALUE"""),"CAJA CARTON CORRUGADO 60x40x40 ")</f>
        <v>CAJA CARTON CORRUGADO 60x40x40 </v>
      </c>
      <c r="AF155" s="30">
        <f>IFERROR(__xludf.DUMMYFUNCTION("""COMPUTED_VALUE"""),200.0)</f>
        <v>200</v>
      </c>
      <c r="AG155" s="12" t="str">
        <f>IFERROR(__xludf.DUMMYFUNCTION("""COMPUTED_VALUE"""),"PROVEEDOR")</f>
        <v>PROVEEDOR</v>
      </c>
      <c r="AH155" s="12"/>
      <c r="AI155" s="12" t="str">
        <f>IFERROR(__xludf.DUMMYFUNCTION("""COMPUTED_VALUE"""),"1")</f>
        <v>1</v>
      </c>
      <c r="AJ155" s="12" t="str">
        <f>IFERROR(__xludf.DUMMYFUNCTION("""COMPUTED_VALUE"""),"12")</f>
        <v>12</v>
      </c>
      <c r="AK155" s="12">
        <f>IFERROR(__xludf.DUMMYFUNCTION("""COMPUTED_VALUE"""),277.0)</f>
        <v>277</v>
      </c>
      <c r="AL155" s="12" t="str">
        <f>IFERROR(__xludf.DUMMYFUNCTION("""COMPUTED_VALUE"""),"SUMMIT")</f>
        <v>SUMMIT</v>
      </c>
      <c r="AM155" s="12"/>
      <c r="AN155" s="12"/>
      <c r="AO155" s="12"/>
      <c r="AP155" s="12"/>
      <c r="AQ155" s="12"/>
      <c r="BC155" s="12"/>
      <c r="BD155" s="12"/>
      <c r="BE155" s="14"/>
      <c r="BF155" s="12"/>
      <c r="BG155" s="12"/>
      <c r="BH155" s="12" t="str">
        <f>IFERROR(__xludf.DUMMYFUNCTION("IFERROR(INDEX(QUERY(IMPORTRANGE(""1T7HG8KEs-Ob7f3M5atEVN9Yn7IeORGp0QGvggB62ELw"",""Maestro!A:I""),""SELECT Col8 WHERE Col3 = '""&amp;BE155&amp;""'"", 0), 1, 1),""NO ENCONTRADO"")"),"")</f>
        <v/>
      </c>
      <c r="BI155" s="12" t="str">
        <f>IFERROR(__xludf.DUMMYFUNCTION("IFERROR(INDEX(QUERY(IMPORTRANGE(""1T7HG8KEs-Ob7f3M5atEVN9Yn7IeORGp0QGvggB62ELw"",""Maestro!A:I""),""SELECT Col7 WHERE Col3 = '""&amp;BE155&amp;""'"", 0), 1, 1),""NO ENCONTRADO"")"),"")</f>
        <v/>
      </c>
      <c r="BJ155" s="16">
        <f t="shared" si="11"/>
        <v>0</v>
      </c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4"/>
      <c r="BX155" s="14"/>
      <c r="BY155" s="14"/>
      <c r="BZ155" s="14"/>
      <c r="CA155" s="14"/>
      <c r="CB155" s="14"/>
      <c r="CC155" s="14"/>
      <c r="CD155" s="14"/>
      <c r="CE155" s="14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</row>
    <row r="156">
      <c r="A156" s="158">
        <v>4.0</v>
      </c>
      <c r="B156" s="159" t="s">
        <v>511</v>
      </c>
      <c r="C156" s="160" t="s">
        <v>277</v>
      </c>
      <c r="D156" s="161" t="str">
        <f t="shared" si="8"/>
        <v>4-9-B</v>
      </c>
      <c r="E156" s="162">
        <v>45810.0</v>
      </c>
      <c r="F156" s="163" t="s">
        <v>614</v>
      </c>
      <c r="G156" s="164" t="s">
        <v>80</v>
      </c>
      <c r="H156" s="165" t="s">
        <v>81</v>
      </c>
      <c r="I156" s="166">
        <v>90.0</v>
      </c>
      <c r="J156" s="167" t="s">
        <v>43</v>
      </c>
      <c r="K156" s="27" t="str">
        <f t="shared" si="2"/>
        <v>OCUPADO</v>
      </c>
      <c r="L156" s="28">
        <f t="shared" si="10"/>
        <v>155</v>
      </c>
      <c r="M156" s="28" t="s">
        <v>23</v>
      </c>
      <c r="N156" s="28"/>
      <c r="O156" s="168" t="s">
        <v>270</v>
      </c>
      <c r="P156" s="12"/>
      <c r="Q156" s="12"/>
      <c r="R156" s="12"/>
      <c r="S156" s="12"/>
      <c r="T156" s="12"/>
      <c r="U156" s="12"/>
      <c r="V156" s="12"/>
      <c r="AB156" s="12"/>
      <c r="AC156" s="12" t="str">
        <f>IFERROR(__xludf.DUMMYFUNCTION("""COMPUTED_VALUE"""),"PATIO-1-13")</f>
        <v>PATIO-1-13</v>
      </c>
      <c r="AD156" s="12" t="str">
        <f>IFERROR(__xludf.DUMMYFUNCTION("""COMPUTED_VALUE"""),"692029X")</f>
        <v>692029X</v>
      </c>
      <c r="AE156" s="12" t="str">
        <f>IFERROR(__xludf.DUMMYFUNCTION("""COMPUTED_VALUE"""),"CAJA CARTON CORRUGADO 60x40x40 ")</f>
        <v>CAJA CARTON CORRUGADO 60x40x40 </v>
      </c>
      <c r="AF156" s="30">
        <f>IFERROR(__xludf.DUMMYFUNCTION("""COMPUTED_VALUE"""),200.0)</f>
        <v>200</v>
      </c>
      <c r="AG156" s="12" t="str">
        <f>IFERROR(__xludf.DUMMYFUNCTION("""COMPUTED_VALUE"""),"PROVEEDOR")</f>
        <v>PROVEEDOR</v>
      </c>
      <c r="AH156" s="12"/>
      <c r="AI156" s="12" t="str">
        <f>IFERROR(__xludf.DUMMYFUNCTION("""COMPUTED_VALUE"""),"1")</f>
        <v>1</v>
      </c>
      <c r="AJ156" s="12" t="str">
        <f>IFERROR(__xludf.DUMMYFUNCTION("""COMPUTED_VALUE"""),"13")</f>
        <v>13</v>
      </c>
      <c r="AK156" s="12">
        <f>IFERROR(__xludf.DUMMYFUNCTION("""COMPUTED_VALUE"""),278.0)</f>
        <v>278</v>
      </c>
      <c r="AL156" s="12" t="str">
        <f>IFERROR(__xludf.DUMMYFUNCTION("""COMPUTED_VALUE"""),"SUMMIT")</f>
        <v>SUMMIT</v>
      </c>
      <c r="AM156" s="12"/>
      <c r="AN156" s="12"/>
      <c r="AO156" s="12"/>
      <c r="AP156" s="12"/>
      <c r="AQ156" s="12"/>
      <c r="BC156" s="12"/>
      <c r="BD156" s="12"/>
      <c r="BE156" s="14"/>
      <c r="BF156" s="12"/>
      <c r="BG156" s="12"/>
      <c r="BH156" s="12" t="str">
        <f>IFERROR(__xludf.DUMMYFUNCTION("IFERROR(INDEX(QUERY(IMPORTRANGE(""1T7HG8KEs-Ob7f3M5atEVN9Yn7IeORGp0QGvggB62ELw"",""Maestro!A:I""),""SELECT Col8 WHERE Col3 = '""&amp;BE156&amp;""'"", 0), 1, 1),""NO ENCONTRADO"")"),"")</f>
        <v/>
      </c>
      <c r="BI156" s="12" t="str">
        <f>IFERROR(__xludf.DUMMYFUNCTION("IFERROR(INDEX(QUERY(IMPORTRANGE(""1T7HG8KEs-Ob7f3M5atEVN9Yn7IeORGp0QGvggB62ELw"",""Maestro!A:I""),""SELECT Col7 WHERE Col3 = '""&amp;BE156&amp;""'"", 0), 1, 1),""NO ENCONTRADO"")"),"")</f>
        <v/>
      </c>
      <c r="BJ156" s="16">
        <f t="shared" si="11"/>
        <v>0</v>
      </c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4"/>
      <c r="BX156" s="14"/>
      <c r="BY156" s="14"/>
      <c r="BZ156" s="14"/>
      <c r="CA156" s="14"/>
      <c r="CB156" s="14"/>
      <c r="CC156" s="14"/>
      <c r="CD156" s="14"/>
      <c r="CE156" s="14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</row>
    <row r="157">
      <c r="A157" s="158">
        <v>4.0</v>
      </c>
      <c r="B157" s="159" t="s">
        <v>511</v>
      </c>
      <c r="C157" s="160" t="s">
        <v>282</v>
      </c>
      <c r="D157" s="161" t="str">
        <f t="shared" si="8"/>
        <v>4-9-C</v>
      </c>
      <c r="E157" s="162">
        <v>45810.0</v>
      </c>
      <c r="F157" s="163" t="s">
        <v>614</v>
      </c>
      <c r="G157" s="164" t="s">
        <v>80</v>
      </c>
      <c r="H157" s="165" t="s">
        <v>81</v>
      </c>
      <c r="I157" s="166">
        <v>90.0</v>
      </c>
      <c r="J157" s="167" t="s">
        <v>43</v>
      </c>
      <c r="K157" s="32" t="str">
        <f t="shared" si="2"/>
        <v>OCUPADO</v>
      </c>
      <c r="L157" s="33">
        <f t="shared" si="10"/>
        <v>156</v>
      </c>
      <c r="M157" s="33" t="s">
        <v>23</v>
      </c>
      <c r="N157" s="33"/>
      <c r="O157" s="169" t="s">
        <v>270</v>
      </c>
      <c r="P157" s="12"/>
      <c r="Q157" s="12"/>
      <c r="R157" s="12"/>
      <c r="S157" s="12"/>
      <c r="T157" s="12"/>
      <c r="U157" s="12"/>
      <c r="V157" s="12"/>
      <c r="AB157" s="12"/>
      <c r="AC157" s="12" t="str">
        <f>IFERROR(__xludf.DUMMYFUNCTION("""COMPUTED_VALUE"""),"PATIO-1-14")</f>
        <v>PATIO-1-14</v>
      </c>
      <c r="AD157" s="12" t="str">
        <f>IFERROR(__xludf.DUMMYFUNCTION("""COMPUTED_VALUE"""),"692029X")</f>
        <v>692029X</v>
      </c>
      <c r="AE157" s="12" t="str">
        <f>IFERROR(__xludf.DUMMYFUNCTION("""COMPUTED_VALUE"""),"CAJA CARTON CORRUGADO 60x40x40 ")</f>
        <v>CAJA CARTON CORRUGADO 60x40x40 </v>
      </c>
      <c r="AF157" s="30">
        <f>IFERROR(__xludf.DUMMYFUNCTION("""COMPUTED_VALUE"""),200.0)</f>
        <v>200</v>
      </c>
      <c r="AG157" s="12" t="str">
        <f>IFERROR(__xludf.DUMMYFUNCTION("""COMPUTED_VALUE"""),"PROVEEDOR")</f>
        <v>PROVEEDOR</v>
      </c>
      <c r="AH157" s="12"/>
      <c r="AI157" s="12" t="str">
        <f>IFERROR(__xludf.DUMMYFUNCTION("""COMPUTED_VALUE"""),"1")</f>
        <v>1</v>
      </c>
      <c r="AJ157" s="12" t="str">
        <f>IFERROR(__xludf.DUMMYFUNCTION("""COMPUTED_VALUE"""),"14")</f>
        <v>14</v>
      </c>
      <c r="AK157" s="12">
        <f>IFERROR(__xludf.DUMMYFUNCTION("""COMPUTED_VALUE"""),279.0)</f>
        <v>279</v>
      </c>
      <c r="AL157" s="12" t="str">
        <f>IFERROR(__xludf.DUMMYFUNCTION("""COMPUTED_VALUE"""),"SUMMIT")</f>
        <v>SUMMIT</v>
      </c>
      <c r="AM157" s="12"/>
      <c r="AN157" s="12"/>
      <c r="AO157" s="12"/>
      <c r="AP157" s="12"/>
      <c r="AQ157" s="12"/>
      <c r="BC157" s="12"/>
      <c r="BD157" s="12"/>
      <c r="BE157" s="14"/>
      <c r="BF157" s="12"/>
      <c r="BG157" s="12"/>
      <c r="BH157" s="12" t="str">
        <f>IFERROR(__xludf.DUMMYFUNCTION("IFERROR(INDEX(QUERY(IMPORTRANGE(""1T7HG8KEs-Ob7f3M5atEVN9Yn7IeORGp0QGvggB62ELw"",""Maestro!A:I""),""SELECT Col8 WHERE Col3 = '""&amp;BE157&amp;""'"", 0), 1, 1),""NO ENCONTRADO"")"),"")</f>
        <v/>
      </c>
      <c r="BI157" s="12" t="str">
        <f>IFERROR(__xludf.DUMMYFUNCTION("IFERROR(INDEX(QUERY(IMPORTRANGE(""1T7HG8KEs-Ob7f3M5atEVN9Yn7IeORGp0QGvggB62ELw"",""Maestro!A:I""),""SELECT Col7 WHERE Col3 = '""&amp;BE157&amp;""'"", 0), 1, 1),""NO ENCONTRADO"")"),"")</f>
        <v/>
      </c>
      <c r="BJ157" s="16">
        <f t="shared" si="11"/>
        <v>0</v>
      </c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4"/>
      <c r="BX157" s="14"/>
      <c r="BY157" s="14"/>
      <c r="BZ157" s="14"/>
      <c r="CA157" s="14"/>
      <c r="CB157" s="14"/>
      <c r="CC157" s="14"/>
      <c r="CD157" s="14"/>
      <c r="CE157" s="14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</row>
    <row r="158">
      <c r="A158" s="158">
        <v>4.0</v>
      </c>
      <c r="B158" s="159" t="s">
        <v>511</v>
      </c>
      <c r="C158" s="160" t="s">
        <v>285</v>
      </c>
      <c r="D158" s="161" t="str">
        <f t="shared" si="8"/>
        <v>4-9-D</v>
      </c>
      <c r="E158" s="162">
        <v>45821.0</v>
      </c>
      <c r="F158" s="163" t="s">
        <v>614</v>
      </c>
      <c r="G158" s="164" t="s">
        <v>80</v>
      </c>
      <c r="H158" s="165" t="s">
        <v>81</v>
      </c>
      <c r="I158" s="166">
        <v>26.0</v>
      </c>
      <c r="J158" s="167" t="s">
        <v>43</v>
      </c>
      <c r="K158" s="27" t="str">
        <f t="shared" si="2"/>
        <v>OCUPADO</v>
      </c>
      <c r="L158" s="28">
        <f t="shared" si="10"/>
        <v>157</v>
      </c>
      <c r="M158" s="28" t="s">
        <v>23</v>
      </c>
      <c r="N158" s="28"/>
      <c r="O158" s="168" t="s">
        <v>270</v>
      </c>
      <c r="P158" s="12"/>
      <c r="Q158" s="12"/>
      <c r="R158" s="12"/>
      <c r="S158" s="12"/>
      <c r="T158" s="12"/>
      <c r="U158" s="12"/>
      <c r="V158" s="12"/>
      <c r="AB158" s="12"/>
      <c r="AC158" s="12" t="str">
        <f>IFERROR(__xludf.DUMMYFUNCTION("""COMPUTED_VALUE"""),"PATIO-1-15")</f>
        <v>PATIO-1-15</v>
      </c>
      <c r="AD158" s="12" t="str">
        <f>IFERROR(__xludf.DUMMYFUNCTION("""COMPUTED_VALUE"""),"692029X")</f>
        <v>692029X</v>
      </c>
      <c r="AE158" s="12" t="str">
        <f>IFERROR(__xludf.DUMMYFUNCTION("""COMPUTED_VALUE"""),"CAJA CARTON CORRUGADO 60x40x40 ")</f>
        <v>CAJA CARTON CORRUGADO 60x40x40 </v>
      </c>
      <c r="AF158" s="30">
        <f>IFERROR(__xludf.DUMMYFUNCTION("""COMPUTED_VALUE"""),200.0)</f>
        <v>200</v>
      </c>
      <c r="AG158" s="12" t="str">
        <f>IFERROR(__xludf.DUMMYFUNCTION("""COMPUTED_VALUE"""),"PROVEEDOR")</f>
        <v>PROVEEDOR</v>
      </c>
      <c r="AH158" s="12"/>
      <c r="AI158" s="12" t="str">
        <f>IFERROR(__xludf.DUMMYFUNCTION("""COMPUTED_VALUE"""),"1")</f>
        <v>1</v>
      </c>
      <c r="AJ158" s="12" t="str">
        <f>IFERROR(__xludf.DUMMYFUNCTION("""COMPUTED_VALUE"""),"15")</f>
        <v>15</v>
      </c>
      <c r="AK158" s="12">
        <f>IFERROR(__xludf.DUMMYFUNCTION("""COMPUTED_VALUE"""),280.0)</f>
        <v>280</v>
      </c>
      <c r="AL158" s="12" t="str">
        <f>IFERROR(__xludf.DUMMYFUNCTION("""COMPUTED_VALUE"""),"SUMMIT")</f>
        <v>SUMMIT</v>
      </c>
      <c r="AM158" s="12"/>
      <c r="AN158" s="12"/>
      <c r="AO158" s="12"/>
      <c r="AP158" s="12"/>
      <c r="AQ158" s="12"/>
      <c r="BC158" s="12"/>
      <c r="BD158" s="12"/>
      <c r="BE158" s="14"/>
      <c r="BF158" s="12"/>
      <c r="BG158" s="12"/>
      <c r="BH158" s="12" t="str">
        <f>IFERROR(__xludf.DUMMYFUNCTION("IFERROR(INDEX(QUERY(IMPORTRANGE(""1T7HG8KEs-Ob7f3M5atEVN9Yn7IeORGp0QGvggB62ELw"",""Maestro!A:I""),""SELECT Col8 WHERE Col3 = '""&amp;BE158&amp;""'"", 0), 1, 1),""NO ENCONTRADO"")"),"")</f>
        <v/>
      </c>
      <c r="BI158" s="12" t="str">
        <f>IFERROR(__xludf.DUMMYFUNCTION("IFERROR(INDEX(QUERY(IMPORTRANGE(""1T7HG8KEs-Ob7f3M5atEVN9Yn7IeORGp0QGvggB62ELw"",""Maestro!A:I""),""SELECT Col7 WHERE Col3 = '""&amp;BE158&amp;""'"", 0), 1, 1),""NO ENCONTRADO"")"),"")</f>
        <v/>
      </c>
      <c r="BJ158" s="16">
        <f t="shared" si="11"/>
        <v>0</v>
      </c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4"/>
      <c r="BX158" s="14"/>
      <c r="BY158" s="14"/>
      <c r="BZ158" s="14"/>
      <c r="CA158" s="14"/>
      <c r="CB158" s="14"/>
      <c r="CC158" s="14"/>
      <c r="CD158" s="14"/>
      <c r="CE158" s="14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</row>
    <row r="159">
      <c r="A159" s="158">
        <v>4.0</v>
      </c>
      <c r="B159" s="159" t="s">
        <v>296</v>
      </c>
      <c r="C159" s="160" t="s">
        <v>269</v>
      </c>
      <c r="D159" s="161" t="str">
        <f t="shared" si="8"/>
        <v>4-10-A</v>
      </c>
      <c r="E159" s="162">
        <v>45810.0</v>
      </c>
      <c r="F159" s="163" t="s">
        <v>614</v>
      </c>
      <c r="G159" s="164" t="s">
        <v>80</v>
      </c>
      <c r="H159" s="165" t="s">
        <v>81</v>
      </c>
      <c r="I159" s="166">
        <v>80.0</v>
      </c>
      <c r="J159" s="167" t="s">
        <v>43</v>
      </c>
      <c r="K159" s="32" t="str">
        <f t="shared" si="2"/>
        <v>OCUPADO</v>
      </c>
      <c r="L159" s="33">
        <f t="shared" si="10"/>
        <v>158</v>
      </c>
      <c r="M159" s="33" t="s">
        <v>23</v>
      </c>
      <c r="N159" s="33"/>
      <c r="O159" s="169" t="s">
        <v>270</v>
      </c>
      <c r="P159" s="12"/>
      <c r="Q159" s="12"/>
      <c r="R159" s="12"/>
      <c r="S159" s="12"/>
      <c r="T159" s="12"/>
      <c r="U159" s="12"/>
      <c r="V159" s="12"/>
      <c r="AB159" s="12"/>
      <c r="AC159" s="12" t="str">
        <f>IFERROR(__xludf.DUMMYFUNCTION("""COMPUTED_VALUE"""),"PATIO-1-19")</f>
        <v>PATIO-1-19</v>
      </c>
      <c r="AD159" s="12" t="str">
        <f>IFERROR(__xludf.DUMMYFUNCTION("""COMPUTED_VALUE"""),"692029X")</f>
        <v>692029X</v>
      </c>
      <c r="AE159" s="12" t="str">
        <f>IFERROR(__xludf.DUMMYFUNCTION("""COMPUTED_VALUE"""),"CAJA CARTON CORRUGADO 60x40x40 ")</f>
        <v>CAJA CARTON CORRUGADO 60x40x40 </v>
      </c>
      <c r="AF159" s="30">
        <f>IFERROR(__xludf.DUMMYFUNCTION("""COMPUTED_VALUE"""),200.0)</f>
        <v>200</v>
      </c>
      <c r="AG159" s="12" t="str">
        <f>IFERROR(__xludf.DUMMYFUNCTION("""COMPUTED_VALUE"""),"PROVEEDOR")</f>
        <v>PROVEEDOR</v>
      </c>
      <c r="AH159" s="12"/>
      <c r="AI159" s="12" t="str">
        <f>IFERROR(__xludf.DUMMYFUNCTION("""COMPUTED_VALUE"""),"1")</f>
        <v>1</v>
      </c>
      <c r="AJ159" s="12" t="str">
        <f>IFERROR(__xludf.DUMMYFUNCTION("""COMPUTED_VALUE"""),"19")</f>
        <v>19</v>
      </c>
      <c r="AK159" s="12">
        <f>IFERROR(__xludf.DUMMYFUNCTION("""COMPUTED_VALUE"""),280.0)</f>
        <v>280</v>
      </c>
      <c r="AL159" s="12" t="str">
        <f>IFERROR(__xludf.DUMMYFUNCTION("""COMPUTED_VALUE"""),"SUMMIT")</f>
        <v>SUMMIT</v>
      </c>
      <c r="AM159" s="12"/>
      <c r="AN159" s="12"/>
      <c r="AO159" s="12"/>
      <c r="AP159" s="12"/>
      <c r="AQ159" s="12"/>
      <c r="BC159" s="12"/>
      <c r="BD159" s="12"/>
      <c r="BE159" s="14"/>
      <c r="BF159" s="12"/>
      <c r="BG159" s="12"/>
      <c r="BH159" s="12" t="str">
        <f>IFERROR(__xludf.DUMMYFUNCTION("IFERROR(INDEX(QUERY(IMPORTRANGE(""1T7HG8KEs-Ob7f3M5atEVN9Yn7IeORGp0QGvggB62ELw"",""Maestro!A:I""),""SELECT Col8 WHERE Col3 = '""&amp;BE159&amp;""'"", 0), 1, 1),""NO ENCONTRADO"")"),"")</f>
        <v/>
      </c>
      <c r="BI159" s="12" t="str">
        <f>IFERROR(__xludf.DUMMYFUNCTION("IFERROR(INDEX(QUERY(IMPORTRANGE(""1T7HG8KEs-Ob7f3M5atEVN9Yn7IeORGp0QGvggB62ELw"",""Maestro!A:I""),""SELECT Col7 WHERE Col3 = '""&amp;BE159&amp;""'"", 0), 1, 1),""NO ENCONTRADO"")"),"")</f>
        <v/>
      </c>
      <c r="BJ159" s="16">
        <f t="shared" si="11"/>
        <v>0</v>
      </c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4"/>
      <c r="BX159" s="14"/>
      <c r="BY159" s="14"/>
      <c r="BZ159" s="14"/>
      <c r="CA159" s="14"/>
      <c r="CB159" s="14"/>
      <c r="CC159" s="14"/>
      <c r="CD159" s="14"/>
      <c r="CE159" s="14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</row>
    <row r="160">
      <c r="A160" s="158">
        <v>4.0</v>
      </c>
      <c r="B160" s="159" t="s">
        <v>296</v>
      </c>
      <c r="C160" s="160" t="s">
        <v>277</v>
      </c>
      <c r="D160" s="161" t="str">
        <f t="shared" si="8"/>
        <v>4-10-B</v>
      </c>
      <c r="E160" s="162">
        <v>45825.0</v>
      </c>
      <c r="F160" s="163" t="s">
        <v>605</v>
      </c>
      <c r="G160" s="164" t="s">
        <v>87</v>
      </c>
      <c r="H160" s="165" t="s">
        <v>88</v>
      </c>
      <c r="I160" s="166">
        <v>71.0</v>
      </c>
      <c r="J160" s="167" t="s">
        <v>43</v>
      </c>
      <c r="K160" s="27" t="str">
        <f t="shared" si="2"/>
        <v>OCUPADO</v>
      </c>
      <c r="L160" s="28">
        <f t="shared" si="10"/>
        <v>159</v>
      </c>
      <c r="M160" s="28" t="s">
        <v>23</v>
      </c>
      <c r="N160" s="28">
        <v>72.0</v>
      </c>
      <c r="O160" s="168" t="s">
        <v>270</v>
      </c>
      <c r="P160" s="12"/>
      <c r="Q160" s="12"/>
      <c r="R160" s="12"/>
      <c r="S160" s="12"/>
      <c r="T160" s="12"/>
      <c r="U160" s="12"/>
      <c r="V160" s="12"/>
      <c r="AB160" s="12"/>
      <c r="AC160" s="12" t="str">
        <f>IFERROR(__xludf.DUMMYFUNCTION("""COMPUTED_VALUE"""),"PATIO-1-17")</f>
        <v>PATIO-1-17</v>
      </c>
      <c r="AD160" s="12" t="str">
        <f>IFERROR(__xludf.DUMMYFUNCTION("""COMPUTED_VALUE"""),"692029X")</f>
        <v>692029X</v>
      </c>
      <c r="AE160" s="12" t="str">
        <f>IFERROR(__xludf.DUMMYFUNCTION("""COMPUTED_VALUE"""),"CAJA CARTON CORRUGADO 60x40x40 ")</f>
        <v>CAJA CARTON CORRUGADO 60x40x40 </v>
      </c>
      <c r="AF160" s="30">
        <f>IFERROR(__xludf.DUMMYFUNCTION("""COMPUTED_VALUE"""),200.0)</f>
        <v>200</v>
      </c>
      <c r="AG160" s="12" t="str">
        <f>IFERROR(__xludf.DUMMYFUNCTION("""COMPUTED_VALUE"""),"PROVEEDOR")</f>
        <v>PROVEEDOR</v>
      </c>
      <c r="AH160" s="12"/>
      <c r="AI160" s="12" t="str">
        <f>IFERROR(__xludf.DUMMYFUNCTION("""COMPUTED_VALUE"""),"1")</f>
        <v>1</v>
      </c>
      <c r="AJ160" s="12" t="str">
        <f>IFERROR(__xludf.DUMMYFUNCTION("""COMPUTED_VALUE"""),"17")</f>
        <v>17</v>
      </c>
      <c r="AK160" s="12">
        <f>IFERROR(__xludf.DUMMYFUNCTION("""COMPUTED_VALUE"""),282.0)</f>
        <v>282</v>
      </c>
      <c r="AL160" s="12" t="str">
        <f>IFERROR(__xludf.DUMMYFUNCTION("""COMPUTED_VALUE"""),"SUMMIT")</f>
        <v>SUMMIT</v>
      </c>
      <c r="AM160" s="12"/>
      <c r="AN160" s="12"/>
      <c r="AO160" s="12"/>
      <c r="AP160" s="12"/>
      <c r="AQ160" s="12"/>
      <c r="BC160" s="12"/>
      <c r="BD160" s="12"/>
      <c r="BE160" s="14"/>
      <c r="BF160" s="12"/>
      <c r="BG160" s="12"/>
      <c r="BH160" s="12" t="str">
        <f>IFERROR(__xludf.DUMMYFUNCTION("IFERROR(INDEX(QUERY(IMPORTRANGE(""1T7HG8KEs-Ob7f3M5atEVN9Yn7IeORGp0QGvggB62ELw"",""Maestro!A:I""),""SELECT Col8 WHERE Col3 = '""&amp;BE160&amp;""'"", 0), 1, 1),""NO ENCONTRADO"")"),"")</f>
        <v/>
      </c>
      <c r="BI160" s="12" t="str">
        <f>IFERROR(__xludf.DUMMYFUNCTION("IFERROR(INDEX(QUERY(IMPORTRANGE(""1T7HG8KEs-Ob7f3M5atEVN9Yn7IeORGp0QGvggB62ELw"",""Maestro!A:I""),""SELECT Col7 WHERE Col3 = '""&amp;BE160&amp;""'"", 0), 1, 1),""NO ENCONTRADO"")"),"")</f>
        <v/>
      </c>
      <c r="BJ160" s="16">
        <f t="shared" si="11"/>
        <v>0</v>
      </c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4"/>
      <c r="BX160" s="14"/>
      <c r="BY160" s="14"/>
      <c r="BZ160" s="14"/>
      <c r="CA160" s="14"/>
      <c r="CB160" s="14"/>
      <c r="CC160" s="14"/>
      <c r="CD160" s="14"/>
      <c r="CE160" s="14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</row>
    <row r="161">
      <c r="A161" s="158">
        <v>4.0</v>
      </c>
      <c r="B161" s="159" t="s">
        <v>296</v>
      </c>
      <c r="C161" s="160" t="s">
        <v>282</v>
      </c>
      <c r="D161" s="161" t="str">
        <f t="shared" si="8"/>
        <v>4-10-C</v>
      </c>
      <c r="E161" s="162">
        <v>45825.0</v>
      </c>
      <c r="F161" s="170" t="s">
        <v>614</v>
      </c>
      <c r="G161" s="164" t="s">
        <v>96</v>
      </c>
      <c r="H161" s="165" t="s">
        <v>97</v>
      </c>
      <c r="I161" s="166">
        <v>32.0</v>
      </c>
      <c r="J161" s="167" t="s">
        <v>43</v>
      </c>
      <c r="K161" s="32" t="str">
        <f t="shared" si="2"/>
        <v>OCUPADO</v>
      </c>
      <c r="L161" s="33">
        <f t="shared" si="10"/>
        <v>160</v>
      </c>
      <c r="M161" s="33" t="s">
        <v>23</v>
      </c>
      <c r="N161" s="33"/>
      <c r="O161" s="169" t="s">
        <v>270</v>
      </c>
      <c r="P161" s="12"/>
      <c r="Q161" s="12"/>
      <c r="R161" s="12"/>
      <c r="S161" s="12"/>
      <c r="T161" s="12"/>
      <c r="U161" s="12"/>
      <c r="V161" s="12"/>
      <c r="AB161" s="12"/>
      <c r="AC161" s="12" t="str">
        <f>IFERROR(__xludf.DUMMYFUNCTION("""COMPUTED_VALUE"""),"PATIO-1-21")</f>
        <v>PATIO-1-21</v>
      </c>
      <c r="AD161" s="12" t="str">
        <f>IFERROR(__xludf.DUMMYFUNCTION("""COMPUTED_VALUE"""),"692029X")</f>
        <v>692029X</v>
      </c>
      <c r="AE161" s="12" t="str">
        <f>IFERROR(__xludf.DUMMYFUNCTION("""COMPUTED_VALUE"""),"CAJA CARTON CORRUGADO 60x40x40 ")</f>
        <v>CAJA CARTON CORRUGADO 60x40x40 </v>
      </c>
      <c r="AF161" s="30">
        <f>IFERROR(__xludf.DUMMYFUNCTION("""COMPUTED_VALUE"""),200.0)</f>
        <v>200</v>
      </c>
      <c r="AG161" s="12" t="str">
        <f>IFERROR(__xludf.DUMMYFUNCTION("""COMPUTED_VALUE"""),"PROVEEDOR")</f>
        <v>PROVEEDOR</v>
      </c>
      <c r="AH161" s="12"/>
      <c r="AI161" s="12" t="str">
        <f>IFERROR(__xludf.DUMMYFUNCTION("""COMPUTED_VALUE"""),"1")</f>
        <v>1</v>
      </c>
      <c r="AJ161" s="12" t="str">
        <f>IFERROR(__xludf.DUMMYFUNCTION("""COMPUTED_VALUE"""),"21")</f>
        <v>21</v>
      </c>
      <c r="AK161" s="12">
        <f>IFERROR(__xludf.DUMMYFUNCTION("""COMPUTED_VALUE"""),282.0)</f>
        <v>282</v>
      </c>
      <c r="AL161" s="12" t="str">
        <f>IFERROR(__xludf.DUMMYFUNCTION("""COMPUTED_VALUE"""),"SUMMIT")</f>
        <v>SUMMIT</v>
      </c>
      <c r="AM161" s="12"/>
      <c r="AN161" s="12"/>
      <c r="AO161" s="12"/>
      <c r="AP161" s="12"/>
      <c r="AQ161" s="12"/>
      <c r="BC161" s="12"/>
      <c r="BD161" s="12"/>
      <c r="BE161" s="14"/>
      <c r="BF161" s="12"/>
      <c r="BG161" s="12"/>
      <c r="BH161" s="12" t="str">
        <f>IFERROR(__xludf.DUMMYFUNCTION("IFERROR(INDEX(QUERY(IMPORTRANGE(""1T7HG8KEs-Ob7f3M5atEVN9Yn7IeORGp0QGvggB62ELw"",""Maestro!A:I""),""SELECT Col8 WHERE Col3 = '""&amp;BE161&amp;""'"", 0), 1, 1),""NO ENCONTRADO"")"),"")</f>
        <v/>
      </c>
      <c r="BI161" s="12" t="str">
        <f>IFERROR(__xludf.DUMMYFUNCTION("IFERROR(INDEX(QUERY(IMPORTRANGE(""1T7HG8KEs-Ob7f3M5atEVN9Yn7IeORGp0QGvggB62ELw"",""Maestro!A:I""),""SELECT Col7 WHERE Col3 = '""&amp;BE161&amp;""'"", 0), 1, 1),""NO ENCONTRADO"")"),"")</f>
        <v/>
      </c>
      <c r="BJ161" s="16">
        <f t="shared" si="11"/>
        <v>0</v>
      </c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4"/>
      <c r="BX161" s="14"/>
      <c r="BY161" s="14"/>
      <c r="BZ161" s="14"/>
      <c r="CA161" s="14"/>
      <c r="CB161" s="14"/>
      <c r="CC161" s="14"/>
      <c r="CD161" s="14"/>
      <c r="CE161" s="14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</row>
    <row r="162">
      <c r="A162" s="158">
        <v>4.0</v>
      </c>
      <c r="B162" s="159" t="s">
        <v>296</v>
      </c>
      <c r="C162" s="160" t="s">
        <v>285</v>
      </c>
      <c r="D162" s="161" t="str">
        <f t="shared" si="8"/>
        <v>4-10-D</v>
      </c>
      <c r="E162" s="162">
        <v>45825.0</v>
      </c>
      <c r="F162" s="170" t="s">
        <v>614</v>
      </c>
      <c r="G162" s="164" t="s">
        <v>96</v>
      </c>
      <c r="H162" s="165" t="s">
        <v>97</v>
      </c>
      <c r="I162" s="166">
        <v>14.0</v>
      </c>
      <c r="J162" s="167" t="s">
        <v>43</v>
      </c>
      <c r="K162" s="27" t="str">
        <f t="shared" si="2"/>
        <v>OCUPADO</v>
      </c>
      <c r="L162" s="28">
        <f t="shared" si="10"/>
        <v>161</v>
      </c>
      <c r="M162" s="28" t="s">
        <v>23</v>
      </c>
      <c r="N162" s="28"/>
      <c r="O162" s="168" t="s">
        <v>270</v>
      </c>
      <c r="P162" s="12"/>
      <c r="Q162" s="12"/>
      <c r="R162" s="12"/>
      <c r="S162" s="12"/>
      <c r="T162" s="12"/>
      <c r="U162" s="12"/>
      <c r="V162" s="12"/>
      <c r="AB162" s="12"/>
      <c r="AC162" s="12" t="str">
        <f>IFERROR(__xludf.DUMMYFUNCTION("""COMPUTED_VALUE"""),"R-8-B1")</f>
        <v>R-8-B1</v>
      </c>
      <c r="AD162" s="12" t="str">
        <f>IFERROR(__xludf.DUMMYFUNCTION("""COMPUTED_VALUE"""),"PPME")</f>
        <v>PPME</v>
      </c>
      <c r="AE162" s="12" t="str">
        <f>IFERROR(__xludf.DUMMYFUNCTION("""COMPUTED_VALUE"""),"Sandwichera Panini Master Edition")</f>
        <v>Sandwichera Panini Master Edition</v>
      </c>
      <c r="AF162" s="30">
        <f>IFERROR(__xludf.DUMMYFUNCTION("""COMPUTED_VALUE"""),5.0)</f>
        <v>5</v>
      </c>
      <c r="AG162" s="12" t="str">
        <f>IFERROR(__xludf.DUMMYFUNCTION("""COMPUTED_VALUE"""),"Devoluciones")</f>
        <v>Devoluciones</v>
      </c>
      <c r="AH162" s="12"/>
      <c r="AI162" s="12" t="str">
        <f>IFERROR(__xludf.DUMMYFUNCTION("""COMPUTED_VALUE"""),"8")</f>
        <v>8</v>
      </c>
      <c r="AJ162" s="12" t="str">
        <f>IFERROR(__xludf.DUMMYFUNCTION("""COMPUTED_VALUE"""),"B1")</f>
        <v>B1</v>
      </c>
      <c r="AK162" s="12">
        <f>IFERROR(__xludf.DUMMYFUNCTION("""COMPUTED_VALUE"""),282.0)</f>
        <v>282</v>
      </c>
      <c r="AL162" s="12" t="str">
        <f>IFERROR(__xludf.DUMMYFUNCTION("""COMPUTED_VALUE"""),"KITCHEN-IT")</f>
        <v>KITCHEN-IT</v>
      </c>
      <c r="AM162" s="12"/>
      <c r="AN162" s="12"/>
      <c r="AO162" s="12"/>
      <c r="AP162" s="12"/>
      <c r="AQ162" s="12"/>
      <c r="BC162" s="12"/>
      <c r="BD162" s="12"/>
      <c r="BE162" s="14"/>
      <c r="BF162" s="12"/>
      <c r="BG162" s="12"/>
      <c r="BH162" s="12" t="str">
        <f>IFERROR(__xludf.DUMMYFUNCTION("IFERROR(INDEX(QUERY(IMPORTRANGE(""1T7HG8KEs-Ob7f3M5atEVN9Yn7IeORGp0QGvggB62ELw"",""Maestro!A:I""),""SELECT Col8 WHERE Col3 = '""&amp;BE162&amp;""'"", 0), 1, 1),""NO ENCONTRADO"")"),"")</f>
        <v/>
      </c>
      <c r="BI162" s="12" t="str">
        <f>IFERROR(__xludf.DUMMYFUNCTION("IFERROR(INDEX(QUERY(IMPORTRANGE(""1T7HG8KEs-Ob7f3M5atEVN9Yn7IeORGp0QGvggB62ELw"",""Maestro!A:I""),""SELECT Col7 WHERE Col3 = '""&amp;BE162&amp;""'"", 0), 1, 1),""NO ENCONTRADO"")"),"")</f>
        <v/>
      </c>
      <c r="BJ162" s="16">
        <f t="shared" si="11"/>
        <v>0</v>
      </c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4"/>
      <c r="BX162" s="14"/>
      <c r="BY162" s="14"/>
      <c r="BZ162" s="14"/>
      <c r="CA162" s="14"/>
      <c r="CB162" s="14"/>
      <c r="CC162" s="14"/>
      <c r="CD162" s="14"/>
      <c r="CE162" s="14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</row>
    <row r="163">
      <c r="A163" s="158">
        <v>4.0</v>
      </c>
      <c r="B163" s="159" t="s">
        <v>316</v>
      </c>
      <c r="C163" s="160" t="s">
        <v>269</v>
      </c>
      <c r="D163" s="161" t="str">
        <f t="shared" si="8"/>
        <v>4-11-A</v>
      </c>
      <c r="E163" s="162">
        <v>45827.0</v>
      </c>
      <c r="F163" s="163" t="s">
        <v>625</v>
      </c>
      <c r="G163" s="164" t="s">
        <v>111</v>
      </c>
      <c r="H163" s="165" t="s">
        <v>112</v>
      </c>
      <c r="I163" s="166">
        <v>72.0</v>
      </c>
      <c r="J163" s="167" t="s">
        <v>43</v>
      </c>
      <c r="K163" s="32" t="str">
        <f t="shared" si="2"/>
        <v>OCUPADO</v>
      </c>
      <c r="L163" s="33">
        <f t="shared" si="10"/>
        <v>162</v>
      </c>
      <c r="M163" s="33" t="s">
        <v>23</v>
      </c>
      <c r="N163" s="122"/>
      <c r="O163" s="169" t="s">
        <v>270</v>
      </c>
      <c r="P163" s="12"/>
      <c r="Q163" s="12"/>
      <c r="R163" s="12"/>
      <c r="S163" s="12"/>
      <c r="T163" s="12"/>
      <c r="U163" s="12"/>
      <c r="V163" s="12"/>
      <c r="AB163" s="12"/>
      <c r="AC163" s="12" t="str">
        <f>IFERROR(__xludf.DUMMYFUNCTION("""COMPUTED_VALUE"""),"PATIO-1-18")</f>
        <v>PATIO-1-18</v>
      </c>
      <c r="AD163" s="12" t="str">
        <f>IFERROR(__xludf.DUMMYFUNCTION("""COMPUTED_VALUE"""),"692029X")</f>
        <v>692029X</v>
      </c>
      <c r="AE163" s="12" t="str">
        <f>IFERROR(__xludf.DUMMYFUNCTION("""COMPUTED_VALUE"""),"CAJA CARTON CORRUGADO 60x40x40 ")</f>
        <v>CAJA CARTON CORRUGADO 60x40x40 </v>
      </c>
      <c r="AF163" s="30">
        <f>IFERROR(__xludf.DUMMYFUNCTION("""COMPUTED_VALUE"""),200.0)</f>
        <v>200</v>
      </c>
      <c r="AG163" s="12" t="str">
        <f>IFERROR(__xludf.DUMMYFUNCTION("""COMPUTED_VALUE"""),"PROVEEDOR")</f>
        <v>PROVEEDOR</v>
      </c>
      <c r="AH163" s="12"/>
      <c r="AI163" s="12" t="str">
        <f>IFERROR(__xludf.DUMMYFUNCTION("""COMPUTED_VALUE"""),"1")</f>
        <v>1</v>
      </c>
      <c r="AJ163" s="12" t="str">
        <f>IFERROR(__xludf.DUMMYFUNCTION("""COMPUTED_VALUE"""),"18")</f>
        <v>18</v>
      </c>
      <c r="AK163" s="12">
        <f>IFERROR(__xludf.DUMMYFUNCTION("""COMPUTED_VALUE"""),283.0)</f>
        <v>283</v>
      </c>
      <c r="AL163" s="12" t="str">
        <f>IFERROR(__xludf.DUMMYFUNCTION("""COMPUTED_VALUE"""),"SUMMIT")</f>
        <v>SUMMIT</v>
      </c>
      <c r="AM163" s="12"/>
      <c r="AN163" s="12"/>
      <c r="AO163" s="12"/>
      <c r="AP163" s="12"/>
      <c r="AQ163" s="12"/>
      <c r="BC163" s="12"/>
      <c r="BD163" s="12"/>
      <c r="BE163" s="14"/>
      <c r="BF163" s="12"/>
      <c r="BG163" s="12"/>
      <c r="BH163" s="12" t="str">
        <f>IFERROR(__xludf.DUMMYFUNCTION("IFERROR(INDEX(QUERY(IMPORTRANGE(""1T7HG8KEs-Ob7f3M5atEVN9Yn7IeORGp0QGvggB62ELw"",""Maestro!A:I""),""SELECT Col8 WHERE Col3 = '""&amp;BE163&amp;""'"", 0), 1, 1),""NO ENCONTRADO"")"),"")</f>
        <v/>
      </c>
      <c r="BI163" s="12" t="str">
        <f>IFERROR(__xludf.DUMMYFUNCTION("IFERROR(INDEX(QUERY(IMPORTRANGE(""1T7HG8KEs-Ob7f3M5atEVN9Yn7IeORGp0QGvggB62ELw"",""Maestro!A:I""),""SELECT Col7 WHERE Col3 = '""&amp;BE163&amp;""'"", 0), 1, 1),""NO ENCONTRADO"")"),"")</f>
        <v/>
      </c>
      <c r="BJ163" s="16">
        <f t="shared" si="11"/>
        <v>0</v>
      </c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4"/>
      <c r="BX163" s="14"/>
      <c r="BY163" s="14"/>
      <c r="BZ163" s="14"/>
      <c r="CA163" s="14"/>
      <c r="CB163" s="14"/>
      <c r="CC163" s="14"/>
      <c r="CD163" s="14"/>
      <c r="CE163" s="14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</row>
    <row r="164">
      <c r="A164" s="158">
        <v>4.0</v>
      </c>
      <c r="B164" s="159" t="s">
        <v>316</v>
      </c>
      <c r="C164" s="160" t="s">
        <v>277</v>
      </c>
      <c r="D164" s="161" t="str">
        <f t="shared" si="8"/>
        <v>4-11-B</v>
      </c>
      <c r="E164" s="162">
        <v>45827.0</v>
      </c>
      <c r="F164" s="163" t="s">
        <v>625</v>
      </c>
      <c r="G164" s="164" t="s">
        <v>111</v>
      </c>
      <c r="H164" s="165" t="s">
        <v>112</v>
      </c>
      <c r="I164" s="166">
        <v>72.0</v>
      </c>
      <c r="J164" s="167" t="s">
        <v>43</v>
      </c>
      <c r="K164" s="27" t="str">
        <f t="shared" si="2"/>
        <v>OCUPADO</v>
      </c>
      <c r="L164" s="28">
        <f t="shared" si="10"/>
        <v>163</v>
      </c>
      <c r="M164" s="28" t="s">
        <v>23</v>
      </c>
      <c r="N164" s="109"/>
      <c r="O164" s="168" t="s">
        <v>270</v>
      </c>
      <c r="P164" s="12"/>
      <c r="Q164" s="12"/>
      <c r="R164" s="12"/>
      <c r="S164" s="12"/>
      <c r="T164" s="12"/>
      <c r="U164" s="12"/>
      <c r="V164" s="12"/>
      <c r="AB164" s="12"/>
      <c r="AC164" s="12" t="str">
        <f>IFERROR(__xludf.DUMMYFUNCTION("""COMPUTED_VALUE"""),"PATIO-1-22")</f>
        <v>PATIO-1-22</v>
      </c>
      <c r="AD164" s="12" t="str">
        <f>IFERROR(__xludf.DUMMYFUNCTION("""COMPUTED_VALUE"""),"692029X")</f>
        <v>692029X</v>
      </c>
      <c r="AE164" s="12" t="str">
        <f>IFERROR(__xludf.DUMMYFUNCTION("""COMPUTED_VALUE"""),"CAJA CARTON CORRUGADO 60x40x40 ")</f>
        <v>CAJA CARTON CORRUGADO 60x40x40 </v>
      </c>
      <c r="AF164" s="30">
        <f>IFERROR(__xludf.DUMMYFUNCTION("""COMPUTED_VALUE"""),200.0)</f>
        <v>200</v>
      </c>
      <c r="AG164" s="12" t="str">
        <f>IFERROR(__xludf.DUMMYFUNCTION("""COMPUTED_VALUE"""),"PROVEEDOR")</f>
        <v>PROVEEDOR</v>
      </c>
      <c r="AH164" s="12"/>
      <c r="AI164" s="12" t="str">
        <f>IFERROR(__xludf.DUMMYFUNCTION("""COMPUTED_VALUE"""),"1")</f>
        <v>1</v>
      </c>
      <c r="AJ164" s="12" t="str">
        <f>IFERROR(__xludf.DUMMYFUNCTION("""COMPUTED_VALUE"""),"22")</f>
        <v>22</v>
      </c>
      <c r="AK164" s="12">
        <f>IFERROR(__xludf.DUMMYFUNCTION("""COMPUTED_VALUE"""),283.0)</f>
        <v>283</v>
      </c>
      <c r="AL164" s="12" t="str">
        <f>IFERROR(__xludf.DUMMYFUNCTION("""COMPUTED_VALUE"""),"SUMMIT")</f>
        <v>SUMMIT</v>
      </c>
      <c r="AM164" s="12"/>
      <c r="AN164" s="12"/>
      <c r="AO164" s="12"/>
      <c r="AP164" s="12"/>
      <c r="AQ164" s="12"/>
      <c r="BC164" s="12"/>
      <c r="BD164" s="12"/>
      <c r="BE164" s="14"/>
      <c r="BF164" s="12"/>
      <c r="BG164" s="12"/>
      <c r="BH164" s="12" t="str">
        <f>IFERROR(__xludf.DUMMYFUNCTION("IFERROR(INDEX(QUERY(IMPORTRANGE(""1T7HG8KEs-Ob7f3M5atEVN9Yn7IeORGp0QGvggB62ELw"",""Maestro!A:I""),""SELECT Col8 WHERE Col3 = '""&amp;BE164&amp;""'"", 0), 1, 1),""NO ENCONTRADO"")"),"")</f>
        <v/>
      </c>
      <c r="BI164" s="12" t="str">
        <f>IFERROR(__xludf.DUMMYFUNCTION("IFERROR(INDEX(QUERY(IMPORTRANGE(""1T7HG8KEs-Ob7f3M5atEVN9Yn7IeORGp0QGvggB62ELw"",""Maestro!A:I""),""SELECT Col7 WHERE Col3 = '""&amp;BE164&amp;""'"", 0), 1, 1),""NO ENCONTRADO"")"),"")</f>
        <v/>
      </c>
      <c r="BJ164" s="16">
        <f t="shared" si="11"/>
        <v>0</v>
      </c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4"/>
      <c r="BX164" s="14"/>
      <c r="BY164" s="14"/>
      <c r="BZ164" s="14"/>
      <c r="CA164" s="14"/>
      <c r="CB164" s="14"/>
      <c r="CC164" s="14"/>
      <c r="CD164" s="14"/>
      <c r="CE164" s="14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</row>
    <row r="165">
      <c r="A165" s="158">
        <v>4.0</v>
      </c>
      <c r="B165" s="159" t="s">
        <v>316</v>
      </c>
      <c r="C165" s="160" t="s">
        <v>282</v>
      </c>
      <c r="D165" s="161" t="str">
        <f t="shared" si="8"/>
        <v>4-11-C</v>
      </c>
      <c r="E165" s="162">
        <v>45827.0</v>
      </c>
      <c r="F165" s="163" t="s">
        <v>625</v>
      </c>
      <c r="G165" s="164" t="s">
        <v>111</v>
      </c>
      <c r="H165" s="165" t="s">
        <v>112</v>
      </c>
      <c r="I165" s="166">
        <v>72.0</v>
      </c>
      <c r="J165" s="167" t="s">
        <v>43</v>
      </c>
      <c r="K165" s="32" t="str">
        <f t="shared" si="2"/>
        <v>OCUPADO</v>
      </c>
      <c r="L165" s="33">
        <f t="shared" si="10"/>
        <v>164</v>
      </c>
      <c r="M165" s="33" t="s">
        <v>23</v>
      </c>
      <c r="N165" s="33"/>
      <c r="O165" s="169" t="s">
        <v>270</v>
      </c>
      <c r="P165" s="12"/>
      <c r="Q165" s="12"/>
      <c r="R165" s="12"/>
      <c r="S165" s="12"/>
      <c r="T165" s="12"/>
      <c r="U165" s="12"/>
      <c r="V165" s="12"/>
      <c r="AB165" s="12"/>
      <c r="AC165" s="12" t="str">
        <f>IFERROR(__xludf.DUMMYFUNCTION("""COMPUTED_VALUE"""),"PATIO-1-26")</f>
        <v>PATIO-1-26</v>
      </c>
      <c r="AD165" s="12" t="str">
        <f>IFERROR(__xludf.DUMMYFUNCTION("""COMPUTED_VALUE"""),"605678")</f>
        <v>605678</v>
      </c>
      <c r="AE165" s="12" t="str">
        <f>IFERROR(__xludf.DUMMYFUNCTION("""COMPUTED_VALUE"""),"ROLLO CARTON CORRUGADO 1.20X73Mt aprox. 25K")</f>
        <v>ROLLO CARTON CORRUGADO 1.20X73Mt aprox. 25K</v>
      </c>
      <c r="AF165" s="30">
        <f>IFERROR(__xludf.DUMMYFUNCTION("""COMPUTED_VALUE"""),50.0)</f>
        <v>50</v>
      </c>
      <c r="AG165" s="12" t="str">
        <f>IFERROR(__xludf.DUMMYFUNCTION("""COMPUTED_VALUE"""),"PROVEEDOR")</f>
        <v>PROVEEDOR</v>
      </c>
      <c r="AH165" s="12"/>
      <c r="AI165" s="12" t="str">
        <f>IFERROR(__xludf.DUMMYFUNCTION("""COMPUTED_VALUE"""),"1")</f>
        <v>1</v>
      </c>
      <c r="AJ165" s="12" t="str">
        <f>IFERROR(__xludf.DUMMYFUNCTION("""COMPUTED_VALUE"""),"26")</f>
        <v>26</v>
      </c>
      <c r="AK165" s="12">
        <f>IFERROR(__xludf.DUMMYFUNCTION("""COMPUTED_VALUE"""),284.0)</f>
        <v>284</v>
      </c>
      <c r="AL165" s="12" t="str">
        <f>IFERROR(__xludf.DUMMYFUNCTION("""COMPUTED_VALUE"""),"SUMMIT")</f>
        <v>SUMMIT</v>
      </c>
      <c r="AM165" s="12"/>
      <c r="AN165" s="12"/>
      <c r="AO165" s="12"/>
      <c r="AP165" s="12"/>
      <c r="AQ165" s="12"/>
      <c r="BC165" s="12"/>
      <c r="BD165" s="12"/>
      <c r="BE165" s="14"/>
      <c r="BF165" s="12"/>
      <c r="BG165" s="12"/>
      <c r="BH165" s="12" t="str">
        <f>IFERROR(__xludf.DUMMYFUNCTION("IFERROR(INDEX(QUERY(IMPORTRANGE(""1T7HG8KEs-Ob7f3M5atEVN9Yn7IeORGp0QGvggB62ELw"",""Maestro!A:I""),""SELECT Col8 WHERE Col3 = '""&amp;BE165&amp;""'"", 0), 1, 1),""NO ENCONTRADO"")"),"")</f>
        <v/>
      </c>
      <c r="BI165" s="12" t="str">
        <f>IFERROR(__xludf.DUMMYFUNCTION("IFERROR(INDEX(QUERY(IMPORTRANGE(""1T7HG8KEs-Ob7f3M5atEVN9Yn7IeORGp0QGvggB62ELw"",""Maestro!A:I""),""SELECT Col7 WHERE Col3 = '""&amp;BE165&amp;""'"", 0), 1, 1),""NO ENCONTRADO"")"),"")</f>
        <v/>
      </c>
      <c r="BJ165" s="16">
        <f t="shared" si="11"/>
        <v>0</v>
      </c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4"/>
      <c r="BX165" s="14"/>
      <c r="BY165" s="14"/>
      <c r="BZ165" s="14"/>
      <c r="CA165" s="14"/>
      <c r="CB165" s="14"/>
      <c r="CC165" s="14"/>
      <c r="CD165" s="14"/>
      <c r="CE165" s="14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</row>
    <row r="166">
      <c r="A166" s="158">
        <v>4.0</v>
      </c>
      <c r="B166" s="159" t="s">
        <v>316</v>
      </c>
      <c r="C166" s="160" t="s">
        <v>285</v>
      </c>
      <c r="D166" s="161" t="str">
        <f t="shared" si="8"/>
        <v>4-11-D</v>
      </c>
      <c r="E166" s="162">
        <v>45827.0</v>
      </c>
      <c r="F166" s="163" t="s">
        <v>625</v>
      </c>
      <c r="G166" s="164" t="s">
        <v>111</v>
      </c>
      <c r="H166" s="165" t="s">
        <v>112</v>
      </c>
      <c r="I166" s="166">
        <v>72.0</v>
      </c>
      <c r="J166" s="167" t="s">
        <v>43</v>
      </c>
      <c r="K166" s="27" t="str">
        <f t="shared" si="2"/>
        <v>OCUPADO</v>
      </c>
      <c r="L166" s="28">
        <f t="shared" si="10"/>
        <v>165</v>
      </c>
      <c r="M166" s="28" t="s">
        <v>23</v>
      </c>
      <c r="N166" s="109"/>
      <c r="O166" s="168" t="s">
        <v>270</v>
      </c>
      <c r="P166" s="12"/>
      <c r="Q166" s="12"/>
      <c r="R166" s="12"/>
      <c r="S166" s="12"/>
      <c r="T166" s="12"/>
      <c r="U166" s="12"/>
      <c r="V166" s="12"/>
      <c r="AB166" s="12"/>
      <c r="AC166" s="12" t="str">
        <f>IFERROR(__xludf.DUMMYFUNCTION("""COMPUTED_VALUE"""),"R-8-B2")</f>
        <v>R-8-B2</v>
      </c>
      <c r="AD166" s="12" t="str">
        <f>IFERROR(__xludf.DUMMYFUNCTION("""COMPUTED_VALUE"""),"HEBE25L")</f>
        <v>HEBE25L</v>
      </c>
      <c r="AE166" s="12" t="str">
        <f>IFERROR(__xludf.DUMMYFUNCTION("""COMPUTED_VALUE"""),"Hervidor Big Edition 2.5L")</f>
        <v>Hervidor Big Edition 2.5L</v>
      </c>
      <c r="AF166" s="30">
        <f>IFERROR(__xludf.DUMMYFUNCTION("""COMPUTED_VALUE"""),1.0)</f>
        <v>1</v>
      </c>
      <c r="AG166" s="12" t="str">
        <f>IFERROR(__xludf.DUMMYFUNCTION("""COMPUTED_VALUE"""),"Devoluciones")</f>
        <v>Devoluciones</v>
      </c>
      <c r="AH166" s="12"/>
      <c r="AI166" s="12" t="str">
        <f>IFERROR(__xludf.DUMMYFUNCTION("""COMPUTED_VALUE"""),"8")</f>
        <v>8</v>
      </c>
      <c r="AJ166" s="12" t="str">
        <f>IFERROR(__xludf.DUMMYFUNCTION("""COMPUTED_VALUE"""),"B2")</f>
        <v>B2</v>
      </c>
      <c r="AK166" s="12">
        <f>IFERROR(__xludf.DUMMYFUNCTION("""COMPUTED_VALUE"""),293.0)</f>
        <v>293</v>
      </c>
      <c r="AL166" s="12" t="str">
        <f>IFERROR(__xludf.DUMMYFUNCTION("""COMPUTED_VALUE"""),"KITCHEN-IT")</f>
        <v>KITCHEN-IT</v>
      </c>
      <c r="AM166" s="12"/>
      <c r="AN166" s="12"/>
      <c r="AO166" s="12"/>
      <c r="AP166" s="12"/>
      <c r="AQ166" s="12"/>
      <c r="BC166" s="12"/>
      <c r="BD166" s="12"/>
      <c r="BE166" s="14"/>
      <c r="BF166" s="12"/>
      <c r="BG166" s="12"/>
      <c r="BH166" s="12" t="str">
        <f>IFERROR(__xludf.DUMMYFUNCTION("IFERROR(INDEX(QUERY(IMPORTRANGE(""1T7HG8KEs-Ob7f3M5atEVN9Yn7IeORGp0QGvggB62ELw"",""Maestro!A:I""),""SELECT Col8 WHERE Col3 = '""&amp;BE166&amp;""'"", 0), 1, 1),""NO ENCONTRADO"")"),"")</f>
        <v/>
      </c>
      <c r="BI166" s="12" t="str">
        <f>IFERROR(__xludf.DUMMYFUNCTION("IFERROR(INDEX(QUERY(IMPORTRANGE(""1T7HG8KEs-Ob7f3M5atEVN9Yn7IeORGp0QGvggB62ELw"",""Maestro!A:I""),""SELECT Col7 WHERE Col3 = '""&amp;BE166&amp;""'"", 0), 1, 1),""NO ENCONTRADO"")"),"")</f>
        <v/>
      </c>
      <c r="BJ166" s="16">
        <f t="shared" si="11"/>
        <v>0</v>
      </c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4"/>
      <c r="BX166" s="14"/>
      <c r="BY166" s="14"/>
      <c r="BZ166" s="14"/>
      <c r="CA166" s="14"/>
      <c r="CB166" s="14"/>
      <c r="CC166" s="14"/>
      <c r="CD166" s="14"/>
      <c r="CE166" s="14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</row>
    <row r="167">
      <c r="A167" s="158">
        <v>4.0</v>
      </c>
      <c r="B167" s="159" t="s">
        <v>336</v>
      </c>
      <c r="C167" s="160" t="s">
        <v>269</v>
      </c>
      <c r="D167" s="161" t="str">
        <f t="shared" si="8"/>
        <v>4-12-A</v>
      </c>
      <c r="E167" s="162">
        <v>45827.0</v>
      </c>
      <c r="F167" s="163" t="s">
        <v>625</v>
      </c>
      <c r="G167" s="164" t="s">
        <v>111</v>
      </c>
      <c r="H167" s="165" t="s">
        <v>112</v>
      </c>
      <c r="I167" s="166">
        <v>72.0</v>
      </c>
      <c r="J167" s="167" t="s">
        <v>43</v>
      </c>
      <c r="K167" s="32" t="str">
        <f t="shared" si="2"/>
        <v>OCUPADO</v>
      </c>
      <c r="L167" s="33">
        <f t="shared" si="10"/>
        <v>166</v>
      </c>
      <c r="M167" s="33" t="s">
        <v>23</v>
      </c>
      <c r="N167" s="122"/>
      <c r="O167" s="169" t="s">
        <v>270</v>
      </c>
      <c r="P167" s="12"/>
      <c r="Q167" s="12"/>
      <c r="R167" s="12"/>
      <c r="S167" s="12"/>
      <c r="T167" s="12"/>
      <c r="U167" s="12"/>
      <c r="V167" s="12"/>
      <c r="AB167" s="12"/>
      <c r="AC167" s="12" t="str">
        <f>IFERROR(__xludf.DUMMYFUNCTION("""COMPUTED_VALUE"""),"R-8-B3")</f>
        <v>R-8-B3</v>
      </c>
      <c r="AD167" s="12" t="str">
        <f>IFERROR(__xludf.DUMMYFUNCTION("""COMPUTED_VALUE"""),"FACE4L")</f>
        <v>FACE4L</v>
      </c>
      <c r="AE167" s="12" t="str">
        <f>IFERROR(__xludf.DUMMYFUNCTION("""COMPUTED_VALUE"""),"Freidora de Aire Chef Edition 4L")</f>
        <v>Freidora de Aire Chef Edition 4L</v>
      </c>
      <c r="AF167" s="30">
        <f>IFERROR(__xludf.DUMMYFUNCTION("""COMPUTED_VALUE"""),4.0)</f>
        <v>4</v>
      </c>
      <c r="AG167" s="12" t="str">
        <f>IFERROR(__xludf.DUMMYFUNCTION("""COMPUTED_VALUE"""),"Devoluciones")</f>
        <v>Devoluciones</v>
      </c>
      <c r="AH167" s="12"/>
      <c r="AI167" s="12" t="str">
        <f>IFERROR(__xludf.DUMMYFUNCTION("""COMPUTED_VALUE"""),"8")</f>
        <v>8</v>
      </c>
      <c r="AJ167" s="12" t="str">
        <f>IFERROR(__xludf.DUMMYFUNCTION("""COMPUTED_VALUE"""),"B3")</f>
        <v>B3</v>
      </c>
      <c r="AK167" s="12">
        <f>IFERROR(__xludf.DUMMYFUNCTION("""COMPUTED_VALUE"""),294.0)</f>
        <v>294</v>
      </c>
      <c r="AL167" s="12" t="str">
        <f>IFERROR(__xludf.DUMMYFUNCTION("""COMPUTED_VALUE"""),"KITCHEN-IT")</f>
        <v>KITCHEN-IT</v>
      </c>
      <c r="AM167" s="12"/>
      <c r="AN167" s="12"/>
      <c r="AO167" s="12"/>
      <c r="AP167" s="12"/>
      <c r="AQ167" s="12"/>
      <c r="BC167" s="12"/>
      <c r="BD167" s="12"/>
      <c r="BE167" s="14"/>
      <c r="BF167" s="12"/>
      <c r="BG167" s="12"/>
      <c r="BH167" s="12" t="str">
        <f>IFERROR(__xludf.DUMMYFUNCTION("IFERROR(INDEX(QUERY(IMPORTRANGE(""1T7HG8KEs-Ob7f3M5atEVN9Yn7IeORGp0QGvggB62ELw"",""Maestro!A:I""),""SELECT Col8 WHERE Col3 = '""&amp;BE167&amp;""'"", 0), 1, 1),""NO ENCONTRADO"")"),"")</f>
        <v/>
      </c>
      <c r="BI167" s="12" t="str">
        <f>IFERROR(__xludf.DUMMYFUNCTION("IFERROR(INDEX(QUERY(IMPORTRANGE(""1T7HG8KEs-Ob7f3M5atEVN9Yn7IeORGp0QGvggB62ELw"",""Maestro!A:I""),""SELECT Col7 WHERE Col3 = '""&amp;BE167&amp;""'"", 0), 1, 1),""NO ENCONTRADO"")"),"")</f>
        <v/>
      </c>
      <c r="BJ167" s="16">
        <f t="shared" si="11"/>
        <v>0</v>
      </c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4"/>
      <c r="BX167" s="14"/>
      <c r="BY167" s="14"/>
      <c r="BZ167" s="14"/>
      <c r="CA167" s="14"/>
      <c r="CB167" s="14"/>
      <c r="CC167" s="14"/>
      <c r="CD167" s="14"/>
      <c r="CE167" s="14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</row>
    <row r="168">
      <c r="A168" s="158">
        <v>4.0</v>
      </c>
      <c r="B168" s="159" t="s">
        <v>336</v>
      </c>
      <c r="C168" s="160" t="s">
        <v>277</v>
      </c>
      <c r="D168" s="161" t="str">
        <f t="shared" si="8"/>
        <v>4-12-B</v>
      </c>
      <c r="E168" s="162">
        <v>45827.0</v>
      </c>
      <c r="F168" s="163" t="s">
        <v>625</v>
      </c>
      <c r="G168" s="164" t="s">
        <v>111</v>
      </c>
      <c r="H168" s="165" t="s">
        <v>112</v>
      </c>
      <c r="I168" s="166">
        <v>72.0</v>
      </c>
      <c r="J168" s="167" t="s">
        <v>43</v>
      </c>
      <c r="K168" s="27" t="str">
        <f t="shared" si="2"/>
        <v>OCUPADO</v>
      </c>
      <c r="L168" s="28">
        <f t="shared" si="10"/>
        <v>167</v>
      </c>
      <c r="M168" s="28" t="s">
        <v>23</v>
      </c>
      <c r="N168" s="28"/>
      <c r="O168" s="168" t="s">
        <v>270</v>
      </c>
      <c r="P168" s="12"/>
      <c r="Q168" s="12"/>
      <c r="R168" s="12"/>
      <c r="S168" s="12"/>
      <c r="T168" s="12"/>
      <c r="U168" s="12"/>
      <c r="V168" s="12"/>
      <c r="AB168" s="12"/>
      <c r="AC168" s="12" t="str">
        <f>IFERROR(__xludf.DUMMYFUNCTION("""COMPUTED_VALUE"""),"R-8-B4")</f>
        <v>R-8-B4</v>
      </c>
      <c r="AD168" s="12" t="str">
        <f>IFERROR(__xludf.DUMMYFUNCTION("""COMPUTED_VALUE"""),"FAME12L")</f>
        <v>FAME12L</v>
      </c>
      <c r="AE168" s="12" t="str">
        <f>IFERROR(__xludf.DUMMYFUNCTION("""COMPUTED_VALUE"""),"Freidora de Aire Max Edition 12L")</f>
        <v>Freidora de Aire Max Edition 12L</v>
      </c>
      <c r="AF168" s="30">
        <f>IFERROR(__xludf.DUMMYFUNCTION("""COMPUTED_VALUE"""),5.0)</f>
        <v>5</v>
      </c>
      <c r="AG168" s="12" t="str">
        <f>IFERROR(__xludf.DUMMYFUNCTION("""COMPUTED_VALUE"""),"Devoluciones")</f>
        <v>Devoluciones</v>
      </c>
      <c r="AH168" s="12"/>
      <c r="AI168" s="12" t="str">
        <f>IFERROR(__xludf.DUMMYFUNCTION("""COMPUTED_VALUE"""),"8")</f>
        <v>8</v>
      </c>
      <c r="AJ168" s="12" t="str">
        <f>IFERROR(__xludf.DUMMYFUNCTION("""COMPUTED_VALUE"""),"B4")</f>
        <v>B4</v>
      </c>
      <c r="AK168" s="12">
        <f>IFERROR(__xludf.DUMMYFUNCTION("""COMPUTED_VALUE"""),295.0)</f>
        <v>295</v>
      </c>
      <c r="AL168" s="12" t="str">
        <f>IFERROR(__xludf.DUMMYFUNCTION("""COMPUTED_VALUE"""),"KITCHEN-IT")</f>
        <v>KITCHEN-IT</v>
      </c>
      <c r="AM168" s="12"/>
      <c r="AN168" s="12"/>
      <c r="AO168" s="12"/>
      <c r="AP168" s="12"/>
      <c r="AQ168" s="12"/>
      <c r="BC168" s="12"/>
      <c r="BD168" s="12"/>
      <c r="BE168" s="14"/>
      <c r="BF168" s="12"/>
      <c r="BG168" s="12"/>
      <c r="BH168" s="12" t="str">
        <f>IFERROR(__xludf.DUMMYFUNCTION("IFERROR(INDEX(QUERY(IMPORTRANGE(""1T7HG8KEs-Ob7f3M5atEVN9Yn7IeORGp0QGvggB62ELw"",""Maestro!A:I""),""SELECT Col8 WHERE Col3 = '""&amp;BE168&amp;""'"", 0), 1, 1),""NO ENCONTRADO"")"),"")</f>
        <v/>
      </c>
      <c r="BI168" s="12" t="str">
        <f>IFERROR(__xludf.DUMMYFUNCTION("IFERROR(INDEX(QUERY(IMPORTRANGE(""1T7HG8KEs-Ob7f3M5atEVN9Yn7IeORGp0QGvggB62ELw"",""Maestro!A:I""),""SELECT Col7 WHERE Col3 = '""&amp;BE168&amp;""'"", 0), 1, 1),""NO ENCONTRADO"")"),"")</f>
        <v/>
      </c>
      <c r="BJ168" s="16">
        <f t="shared" si="11"/>
        <v>0</v>
      </c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4"/>
      <c r="BX168" s="14"/>
      <c r="BY168" s="14"/>
      <c r="BZ168" s="14"/>
      <c r="CA168" s="14"/>
      <c r="CB168" s="14"/>
      <c r="CC168" s="14"/>
      <c r="CD168" s="14"/>
      <c r="CE168" s="14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</row>
    <row r="169">
      <c r="A169" s="158">
        <v>4.0</v>
      </c>
      <c r="B169" s="159" t="s">
        <v>336</v>
      </c>
      <c r="C169" s="160" t="s">
        <v>282</v>
      </c>
      <c r="D169" s="161" t="str">
        <f t="shared" si="8"/>
        <v>4-12-C</v>
      </c>
      <c r="E169" s="162">
        <v>45827.0</v>
      </c>
      <c r="F169" s="163" t="s">
        <v>625</v>
      </c>
      <c r="G169" s="164" t="s">
        <v>111</v>
      </c>
      <c r="H169" s="165" t="s">
        <v>112</v>
      </c>
      <c r="I169" s="166">
        <v>72.0</v>
      </c>
      <c r="J169" s="167" t="s">
        <v>43</v>
      </c>
      <c r="K169" s="32" t="str">
        <f t="shared" si="2"/>
        <v>OCUPADO</v>
      </c>
      <c r="L169" s="33">
        <f t="shared" si="10"/>
        <v>168</v>
      </c>
      <c r="M169" s="33" t="s">
        <v>23</v>
      </c>
      <c r="N169" s="33"/>
      <c r="O169" s="169" t="s">
        <v>270</v>
      </c>
      <c r="P169" s="12"/>
      <c r="Q169" s="12"/>
      <c r="R169" s="12"/>
      <c r="S169" s="12"/>
      <c r="T169" s="12"/>
      <c r="U169" s="12"/>
      <c r="V169" s="12"/>
      <c r="AB169" s="12"/>
      <c r="AC169" s="12" t="str">
        <f>IFERROR(__xludf.DUMMYFUNCTION("""COMPUTED_VALUE"""),"R-8-B6")</f>
        <v>R-8-B6</v>
      </c>
      <c r="AD169" s="12" t="str">
        <f>IFERROR(__xludf.DUMMYFUNCTION("""COMPUTED_VALUE"""),"FAFE7L")</f>
        <v>FAFE7L</v>
      </c>
      <c r="AE169" s="12" t="str">
        <f>IFERROR(__xludf.DUMMYFUNCTION("""COMPUTED_VALUE"""),"Freidora de Aire Family Edition 7L")</f>
        <v>Freidora de Aire Family Edition 7L</v>
      </c>
      <c r="AF169" s="30">
        <f>IFERROR(__xludf.DUMMYFUNCTION("""COMPUTED_VALUE"""),2.0)</f>
        <v>2</v>
      </c>
      <c r="AG169" s="12" t="str">
        <f>IFERROR(__xludf.DUMMYFUNCTION("""COMPUTED_VALUE"""),"Devoluciones")</f>
        <v>Devoluciones</v>
      </c>
      <c r="AH169" s="12"/>
      <c r="AI169" s="12" t="str">
        <f>IFERROR(__xludf.DUMMYFUNCTION("""COMPUTED_VALUE"""),"8")</f>
        <v>8</v>
      </c>
      <c r="AJ169" s="12" t="str">
        <f>IFERROR(__xludf.DUMMYFUNCTION("""COMPUTED_VALUE"""),"B6")</f>
        <v>B6</v>
      </c>
      <c r="AK169" s="12">
        <f>IFERROR(__xludf.DUMMYFUNCTION("""COMPUTED_VALUE"""),297.0)</f>
        <v>297</v>
      </c>
      <c r="AL169" s="12" t="str">
        <f>IFERROR(__xludf.DUMMYFUNCTION("""COMPUTED_VALUE"""),"KITCHEN-IT")</f>
        <v>KITCHEN-IT</v>
      </c>
      <c r="AM169" s="12"/>
      <c r="AN169" s="12"/>
      <c r="AO169" s="12"/>
      <c r="AP169" s="12"/>
      <c r="AQ169" s="12"/>
      <c r="BC169" s="12"/>
      <c r="BD169" s="12"/>
      <c r="BE169" s="14"/>
      <c r="BF169" s="12"/>
      <c r="BG169" s="12"/>
      <c r="BH169" s="12" t="str">
        <f>IFERROR(__xludf.DUMMYFUNCTION("IFERROR(INDEX(QUERY(IMPORTRANGE(""1T7HG8KEs-Ob7f3M5atEVN9Yn7IeORGp0QGvggB62ELw"",""Maestro!A:I""),""SELECT Col8 WHERE Col3 = '""&amp;BE169&amp;""'"", 0), 1, 1),""NO ENCONTRADO"")"),"")</f>
        <v/>
      </c>
      <c r="BI169" s="12" t="str">
        <f>IFERROR(__xludf.DUMMYFUNCTION("IFERROR(INDEX(QUERY(IMPORTRANGE(""1T7HG8KEs-Ob7f3M5atEVN9Yn7IeORGp0QGvggB62ELw"",""Maestro!A:I""),""SELECT Col7 WHERE Col3 = '""&amp;BE169&amp;""'"", 0), 1, 1),""NO ENCONTRADO"")"),"")</f>
        <v/>
      </c>
      <c r="BJ169" s="16">
        <f t="shared" si="11"/>
        <v>0</v>
      </c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4"/>
      <c r="BX169" s="14"/>
      <c r="BY169" s="14"/>
      <c r="BZ169" s="14"/>
      <c r="CA169" s="14"/>
      <c r="CB169" s="14"/>
      <c r="CC169" s="14"/>
      <c r="CD169" s="14"/>
      <c r="CE169" s="14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</row>
    <row r="170">
      <c r="A170" s="158">
        <v>4.0</v>
      </c>
      <c r="B170" s="159" t="s">
        <v>336</v>
      </c>
      <c r="C170" s="160" t="s">
        <v>285</v>
      </c>
      <c r="D170" s="161" t="str">
        <f t="shared" si="8"/>
        <v>4-12-D</v>
      </c>
      <c r="E170" s="162">
        <v>45827.0</v>
      </c>
      <c r="F170" s="163" t="s">
        <v>625</v>
      </c>
      <c r="G170" s="164" t="s">
        <v>111</v>
      </c>
      <c r="H170" s="165" t="s">
        <v>112</v>
      </c>
      <c r="I170" s="166">
        <v>72.0</v>
      </c>
      <c r="J170" s="167" t="s">
        <v>43</v>
      </c>
      <c r="K170" s="27" t="str">
        <f t="shared" si="2"/>
        <v>OCUPADO</v>
      </c>
      <c r="L170" s="28">
        <f t="shared" si="10"/>
        <v>169</v>
      </c>
      <c r="M170" s="28" t="s">
        <v>23</v>
      </c>
      <c r="N170" s="109"/>
      <c r="O170" s="168" t="s">
        <v>270</v>
      </c>
      <c r="P170" s="12"/>
      <c r="Q170" s="12"/>
      <c r="R170" s="12"/>
      <c r="S170" s="12"/>
      <c r="T170" s="12"/>
      <c r="U170" s="12"/>
      <c r="V170" s="12"/>
      <c r="AB170" s="12"/>
      <c r="AC170" s="12" t="str">
        <f>IFERROR(__xludf.DUMMYFUNCTION("""COMPUTED_VALUE"""),"R-8-B7")</f>
        <v>R-8-B7</v>
      </c>
      <c r="AD170" s="12" t="str">
        <f>IFERROR(__xludf.DUMMYFUNCTION("""COMPUTED_VALUE"""),"FAPE5L")</f>
        <v>FAPE5L</v>
      </c>
      <c r="AE170" s="12" t="str">
        <f>IFERROR(__xludf.DUMMYFUNCTION("""COMPUTED_VALUE"""),"Freidora de Aire Plus Edition 5L")</f>
        <v>Freidora de Aire Plus Edition 5L</v>
      </c>
      <c r="AF170" s="30">
        <f>IFERROR(__xludf.DUMMYFUNCTION("""COMPUTED_VALUE"""),6.0)</f>
        <v>6</v>
      </c>
      <c r="AG170" s="12" t="str">
        <f>IFERROR(__xludf.DUMMYFUNCTION("""COMPUTED_VALUE"""),"Devoluciones")</f>
        <v>Devoluciones</v>
      </c>
      <c r="AH170" s="12"/>
      <c r="AI170" s="12" t="str">
        <f>IFERROR(__xludf.DUMMYFUNCTION("""COMPUTED_VALUE"""),"8")</f>
        <v>8</v>
      </c>
      <c r="AJ170" s="12" t="str">
        <f>IFERROR(__xludf.DUMMYFUNCTION("""COMPUTED_VALUE"""),"B7")</f>
        <v>B7</v>
      </c>
      <c r="AK170" s="12">
        <f>IFERROR(__xludf.DUMMYFUNCTION("""COMPUTED_VALUE"""),298.0)</f>
        <v>298</v>
      </c>
      <c r="AL170" s="12" t="str">
        <f>IFERROR(__xludf.DUMMYFUNCTION("""COMPUTED_VALUE"""),"KITCHEN-IT")</f>
        <v>KITCHEN-IT</v>
      </c>
      <c r="AM170" s="12"/>
      <c r="AN170" s="12"/>
      <c r="AO170" s="12"/>
      <c r="AP170" s="12"/>
      <c r="AQ170" s="12"/>
      <c r="BC170" s="12"/>
      <c r="BD170" s="12"/>
      <c r="BE170" s="14"/>
      <c r="BF170" s="12"/>
      <c r="BG170" s="12"/>
      <c r="BH170" s="12" t="str">
        <f>IFERROR(__xludf.DUMMYFUNCTION("IFERROR(INDEX(QUERY(IMPORTRANGE(""1T7HG8KEs-Ob7f3M5atEVN9Yn7IeORGp0QGvggB62ELw"",""Maestro!A:I""),""SELECT Col8 WHERE Col3 = '""&amp;BE170&amp;""'"", 0), 1, 1),""NO ENCONTRADO"")"),"")</f>
        <v/>
      </c>
      <c r="BI170" s="12" t="str">
        <f>IFERROR(__xludf.DUMMYFUNCTION("IFERROR(INDEX(QUERY(IMPORTRANGE(""1T7HG8KEs-Ob7f3M5atEVN9Yn7IeORGp0QGvggB62ELw"",""Maestro!A:I""),""SELECT Col7 WHERE Col3 = '""&amp;BE170&amp;""'"", 0), 1, 1),""NO ENCONTRADO"")"),"")</f>
        <v/>
      </c>
      <c r="BJ170" s="16">
        <f t="shared" si="11"/>
        <v>0</v>
      </c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4"/>
      <c r="BX170" s="14"/>
      <c r="BY170" s="14"/>
      <c r="BZ170" s="14"/>
      <c r="CA170" s="14"/>
      <c r="CB170" s="14"/>
      <c r="CC170" s="14"/>
      <c r="CD170" s="14"/>
      <c r="CE170" s="14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</row>
    <row r="171">
      <c r="A171" s="158">
        <v>4.0</v>
      </c>
      <c r="B171" s="159" t="s">
        <v>350</v>
      </c>
      <c r="C171" s="160" t="s">
        <v>269</v>
      </c>
      <c r="D171" s="161" t="str">
        <f t="shared" si="8"/>
        <v>4-13-A</v>
      </c>
      <c r="E171" s="162">
        <v>45827.0</v>
      </c>
      <c r="F171" s="163" t="s">
        <v>625</v>
      </c>
      <c r="G171" s="164" t="s">
        <v>111</v>
      </c>
      <c r="H171" s="165" t="s">
        <v>112</v>
      </c>
      <c r="I171" s="166">
        <v>72.0</v>
      </c>
      <c r="J171" s="167" t="s">
        <v>43</v>
      </c>
      <c r="K171" s="32" t="str">
        <f t="shared" si="2"/>
        <v>OCUPADO</v>
      </c>
      <c r="L171" s="33">
        <f t="shared" si="10"/>
        <v>170</v>
      </c>
      <c r="M171" s="33" t="s">
        <v>23</v>
      </c>
      <c r="N171" s="33"/>
      <c r="O171" s="169" t="s">
        <v>270</v>
      </c>
      <c r="P171" s="12"/>
      <c r="Q171" s="12"/>
      <c r="R171" s="12"/>
      <c r="S171" s="12"/>
      <c r="T171" s="12"/>
      <c r="U171" s="12"/>
      <c r="V171" s="12"/>
      <c r="AB171" s="12"/>
      <c r="AC171" s="12" t="str">
        <f>IFERROR(__xludf.DUMMYFUNCTION("""COMPUTED_VALUE"""),"R-8-B9")</f>
        <v>R-8-B9</v>
      </c>
      <c r="AD171" s="12" t="str">
        <f>IFERROR(__xludf.DUMMYFUNCTION("""COMPUTED_VALUE"""),"HEGE18L")</f>
        <v>HEGE18L</v>
      </c>
      <c r="AE171" s="12" t="str">
        <f>IFERROR(__xludf.DUMMYFUNCTION("""COMPUTED_VALUE"""),"Hervidor Glass Edition 1.8L")</f>
        <v>Hervidor Glass Edition 1.8L</v>
      </c>
      <c r="AF171" s="30">
        <f>IFERROR(__xludf.DUMMYFUNCTION("""COMPUTED_VALUE"""),1.0)</f>
        <v>1</v>
      </c>
      <c r="AG171" s="12" t="str">
        <f>IFERROR(__xludf.DUMMYFUNCTION("""COMPUTED_VALUE"""),"Devoluciones")</f>
        <v>Devoluciones</v>
      </c>
      <c r="AH171" s="12"/>
      <c r="AI171" s="12" t="str">
        <f>IFERROR(__xludf.DUMMYFUNCTION("""COMPUTED_VALUE"""),"8")</f>
        <v>8</v>
      </c>
      <c r="AJ171" s="12" t="str">
        <f>IFERROR(__xludf.DUMMYFUNCTION("""COMPUTED_VALUE"""),"B9")</f>
        <v>B9</v>
      </c>
      <c r="AK171" s="12">
        <f>IFERROR(__xludf.DUMMYFUNCTION("""COMPUTED_VALUE"""),300.0)</f>
        <v>300</v>
      </c>
      <c r="AL171" s="12" t="str">
        <f>IFERROR(__xludf.DUMMYFUNCTION("""COMPUTED_VALUE"""),"KITCHEN-IT")</f>
        <v>KITCHEN-IT</v>
      </c>
      <c r="AM171" s="12"/>
      <c r="AN171" s="12"/>
      <c r="AO171" s="12"/>
      <c r="AP171" s="12"/>
      <c r="AQ171" s="12"/>
      <c r="BC171" s="12"/>
      <c r="BD171" s="12"/>
      <c r="BE171" s="14"/>
      <c r="BF171" s="12"/>
      <c r="BG171" s="12"/>
      <c r="BH171" s="12" t="str">
        <f>IFERROR(__xludf.DUMMYFUNCTION("IFERROR(INDEX(QUERY(IMPORTRANGE(""1T7HG8KEs-Ob7f3M5atEVN9Yn7IeORGp0QGvggB62ELw"",""Maestro!A:I""),""SELECT Col8 WHERE Col3 = '""&amp;BE171&amp;""'"", 0), 1, 1),""NO ENCONTRADO"")"),"")</f>
        <v/>
      </c>
      <c r="BI171" s="12" t="str">
        <f>IFERROR(__xludf.DUMMYFUNCTION("IFERROR(INDEX(QUERY(IMPORTRANGE(""1T7HG8KEs-Ob7f3M5atEVN9Yn7IeORGp0QGvggB62ELw"",""Maestro!A:I""),""SELECT Col7 WHERE Col3 = '""&amp;BE171&amp;""'"", 0), 1, 1),""NO ENCONTRADO"")"),"")</f>
        <v/>
      </c>
      <c r="BJ171" s="16">
        <f t="shared" si="11"/>
        <v>0</v>
      </c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4"/>
      <c r="BX171" s="14"/>
      <c r="BY171" s="14"/>
      <c r="BZ171" s="14"/>
      <c r="CA171" s="14"/>
      <c r="CB171" s="14"/>
      <c r="CC171" s="14"/>
      <c r="CD171" s="14"/>
      <c r="CE171" s="14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</row>
    <row r="172">
      <c r="A172" s="158">
        <v>4.0</v>
      </c>
      <c r="B172" s="159" t="s">
        <v>350</v>
      </c>
      <c r="C172" s="160" t="s">
        <v>277</v>
      </c>
      <c r="D172" s="161" t="str">
        <f t="shared" si="8"/>
        <v>4-13-B</v>
      </c>
      <c r="E172" s="162">
        <v>45827.0</v>
      </c>
      <c r="F172" s="163" t="s">
        <v>625</v>
      </c>
      <c r="G172" s="164" t="s">
        <v>111</v>
      </c>
      <c r="H172" s="165" t="s">
        <v>112</v>
      </c>
      <c r="I172" s="166">
        <v>72.0</v>
      </c>
      <c r="J172" s="167" t="s">
        <v>43</v>
      </c>
      <c r="K172" s="27" t="str">
        <f t="shared" si="2"/>
        <v>OCUPADO</v>
      </c>
      <c r="L172" s="28">
        <f t="shared" si="10"/>
        <v>171</v>
      </c>
      <c r="M172" s="28" t="s">
        <v>23</v>
      </c>
      <c r="N172" s="28"/>
      <c r="O172" s="168" t="s">
        <v>270</v>
      </c>
      <c r="P172" s="12"/>
      <c r="Q172" s="12"/>
      <c r="R172" s="12"/>
      <c r="S172" s="12"/>
      <c r="T172" s="12"/>
      <c r="U172" s="12"/>
      <c r="V172" s="12"/>
      <c r="AB172" s="12"/>
      <c r="AC172" s="12" t="str">
        <f>IFERROR(__xludf.DUMMYFUNCTION("""COMPUTED_VALUE"""),"R-8-B10")</f>
        <v>R-8-B10</v>
      </c>
      <c r="AD172" s="12" t="str">
        <f>IFERROR(__xludf.DUMMYFUNCTION("""COMPUTED_VALUE"""),"LIPS850")</f>
        <v>LIPS850</v>
      </c>
      <c r="AE172" s="12" t="str">
        <f>IFERROR(__xludf.DUMMYFUNCTION("""COMPUTED_VALUE"""),"Licuadora Professional Series 850W")</f>
        <v>Licuadora Professional Series 850W</v>
      </c>
      <c r="AF172" s="30">
        <f>IFERROR(__xludf.DUMMYFUNCTION("""COMPUTED_VALUE"""),1.0)</f>
        <v>1</v>
      </c>
      <c r="AG172" s="12" t="str">
        <f>IFERROR(__xludf.DUMMYFUNCTION("""COMPUTED_VALUE"""),"Devoluciones")</f>
        <v>Devoluciones</v>
      </c>
      <c r="AH172" s="12"/>
      <c r="AI172" s="12" t="str">
        <f>IFERROR(__xludf.DUMMYFUNCTION("""COMPUTED_VALUE"""),"8")</f>
        <v>8</v>
      </c>
      <c r="AJ172" s="12" t="str">
        <f>IFERROR(__xludf.DUMMYFUNCTION("""COMPUTED_VALUE"""),"B10")</f>
        <v>B10</v>
      </c>
      <c r="AK172" s="12">
        <f>IFERROR(__xludf.DUMMYFUNCTION("""COMPUTED_VALUE"""),301.0)</f>
        <v>301</v>
      </c>
      <c r="AL172" s="12" t="str">
        <f>IFERROR(__xludf.DUMMYFUNCTION("""COMPUTED_VALUE"""),"KITCHEN-IT")</f>
        <v>KITCHEN-IT</v>
      </c>
      <c r="AM172" s="12"/>
      <c r="AN172" s="12"/>
      <c r="AO172" s="12"/>
      <c r="AP172" s="12"/>
      <c r="AQ172" s="12"/>
      <c r="BC172" s="12"/>
      <c r="BD172" s="12"/>
      <c r="BE172" s="14"/>
      <c r="BF172" s="12"/>
      <c r="BG172" s="12"/>
      <c r="BH172" s="12" t="str">
        <f>IFERROR(__xludf.DUMMYFUNCTION("IFERROR(INDEX(QUERY(IMPORTRANGE(""1T7HG8KEs-Ob7f3M5atEVN9Yn7IeORGp0QGvggB62ELw"",""Maestro!A:I""),""SELECT Col8 WHERE Col3 = '""&amp;BE172&amp;""'"", 0), 1, 1),""NO ENCONTRADO"")"),"")</f>
        <v/>
      </c>
      <c r="BI172" s="12" t="str">
        <f>IFERROR(__xludf.DUMMYFUNCTION("IFERROR(INDEX(QUERY(IMPORTRANGE(""1T7HG8KEs-Ob7f3M5atEVN9Yn7IeORGp0QGvggB62ELw"",""Maestro!A:I""),""SELECT Col7 WHERE Col3 = '""&amp;BE172&amp;""'"", 0), 1, 1),""NO ENCONTRADO"")"),"")</f>
        <v/>
      </c>
      <c r="BJ172" s="16">
        <f t="shared" si="11"/>
        <v>0</v>
      </c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4"/>
      <c r="BX172" s="14"/>
      <c r="BY172" s="14"/>
      <c r="BZ172" s="14"/>
      <c r="CA172" s="14"/>
      <c r="CB172" s="14"/>
      <c r="CC172" s="14"/>
      <c r="CD172" s="14"/>
      <c r="CE172" s="14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</row>
    <row r="173">
      <c r="A173" s="158">
        <v>4.0</v>
      </c>
      <c r="B173" s="159" t="s">
        <v>350</v>
      </c>
      <c r="C173" s="160" t="s">
        <v>282</v>
      </c>
      <c r="D173" s="161" t="str">
        <f t="shared" si="8"/>
        <v>4-13-C</v>
      </c>
      <c r="E173" s="162">
        <v>45827.0</v>
      </c>
      <c r="F173" s="163" t="s">
        <v>625</v>
      </c>
      <c r="G173" s="164" t="s">
        <v>111</v>
      </c>
      <c r="H173" s="165" t="s">
        <v>112</v>
      </c>
      <c r="I173" s="166">
        <v>29.0</v>
      </c>
      <c r="J173" s="167" t="s">
        <v>43</v>
      </c>
      <c r="K173" s="32" t="str">
        <f t="shared" si="2"/>
        <v>OCUPADO</v>
      </c>
      <c r="L173" s="33">
        <f t="shared" si="10"/>
        <v>172</v>
      </c>
      <c r="M173" s="33" t="s">
        <v>23</v>
      </c>
      <c r="N173" s="33"/>
      <c r="O173" s="169" t="s">
        <v>270</v>
      </c>
      <c r="P173" s="12"/>
      <c r="Q173" s="12"/>
      <c r="R173" s="12"/>
      <c r="S173" s="12"/>
      <c r="T173" s="12"/>
      <c r="U173" s="12"/>
      <c r="V173" s="12"/>
      <c r="AB173" s="12"/>
      <c r="AC173" s="12" t="str">
        <f>IFERROR(__xludf.DUMMYFUNCTION("""COMPUTED_VALUE"""),"T-1-1")</f>
        <v>T-1-1</v>
      </c>
      <c r="AD173" s="12" t="str">
        <f>IFERROR(__xludf.DUMMYFUNCTION("""COMPUTED_VALUE"""),"692012X")</f>
        <v>692012X</v>
      </c>
      <c r="AE173" s="12" t="str">
        <f>IFERROR(__xludf.DUMMYFUNCTION("""COMPUTED_VALUE"""),"CAJA CARTON CORRUGADO 50x40x30 ")</f>
        <v>CAJA CARTON CORRUGADO 50x40x30 </v>
      </c>
      <c r="AF173" s="30">
        <f>IFERROR(__xludf.DUMMYFUNCTION("""COMPUTED_VALUE"""),225.0)</f>
        <v>225</v>
      </c>
      <c r="AG173" s="12" t="str">
        <f>IFERROR(__xludf.DUMMYFUNCTION("""COMPUTED_VALUE"""),"PROVEEDOR")</f>
        <v>PROVEEDOR</v>
      </c>
      <c r="AH173" s="12"/>
      <c r="AI173" s="12" t="str">
        <f>IFERROR(__xludf.DUMMYFUNCTION("""COMPUTED_VALUE"""),"1")</f>
        <v>1</v>
      </c>
      <c r="AJ173" s="12" t="str">
        <f>IFERROR(__xludf.DUMMYFUNCTION("""COMPUTED_VALUE"""),"1")</f>
        <v>1</v>
      </c>
      <c r="AK173" s="12">
        <f>IFERROR(__xludf.DUMMYFUNCTION("""COMPUTED_VALUE"""),308.0)</f>
        <v>308</v>
      </c>
      <c r="AL173" s="12" t="str">
        <f>IFERROR(__xludf.DUMMYFUNCTION("""COMPUTED_VALUE"""),"SUMMIT")</f>
        <v>SUMMIT</v>
      </c>
      <c r="AM173" s="12"/>
      <c r="AN173" s="12"/>
      <c r="AO173" s="12"/>
      <c r="AP173" s="12"/>
      <c r="AQ173" s="12"/>
      <c r="BC173" s="12"/>
      <c r="BD173" s="12"/>
      <c r="BE173" s="14"/>
      <c r="BF173" s="12"/>
      <c r="BG173" s="12"/>
      <c r="BH173" s="12" t="str">
        <f>IFERROR(__xludf.DUMMYFUNCTION("IFERROR(INDEX(QUERY(IMPORTRANGE(""1T7HG8KEs-Ob7f3M5atEVN9Yn7IeORGp0QGvggB62ELw"",""Maestro!A:I""),""SELECT Col8 WHERE Col3 = '""&amp;BE173&amp;""'"", 0), 1, 1),""NO ENCONTRADO"")"),"")</f>
        <v/>
      </c>
      <c r="BI173" s="12" t="str">
        <f>IFERROR(__xludf.DUMMYFUNCTION("IFERROR(INDEX(QUERY(IMPORTRANGE(""1T7HG8KEs-Ob7f3M5atEVN9Yn7IeORGp0QGvggB62ELw"",""Maestro!A:I""),""SELECT Col7 WHERE Col3 = '""&amp;BE173&amp;""'"", 0), 1, 1),""NO ENCONTRADO"")"),"")</f>
        <v/>
      </c>
      <c r="BJ173" s="16">
        <f t="shared" si="11"/>
        <v>0</v>
      </c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4"/>
      <c r="BX173" s="14"/>
      <c r="BY173" s="14"/>
      <c r="BZ173" s="14"/>
      <c r="CA173" s="14"/>
      <c r="CB173" s="14"/>
      <c r="CC173" s="14"/>
      <c r="CD173" s="14"/>
      <c r="CE173" s="14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</row>
    <row r="174">
      <c r="A174" s="158">
        <v>4.0</v>
      </c>
      <c r="B174" s="159" t="s">
        <v>350</v>
      </c>
      <c r="C174" s="160" t="s">
        <v>285</v>
      </c>
      <c r="D174" s="161" t="str">
        <f t="shared" si="8"/>
        <v>4-13-D</v>
      </c>
      <c r="E174" s="103"/>
      <c r="F174" s="171"/>
      <c r="G174" s="105"/>
      <c r="H174" s="106"/>
      <c r="I174" s="107"/>
      <c r="J174" s="108"/>
      <c r="K174" s="27" t="str">
        <f t="shared" si="2"/>
        <v>DISPONIBLE</v>
      </c>
      <c r="L174" s="28">
        <f t="shared" si="10"/>
        <v>173</v>
      </c>
      <c r="M174" s="28" t="s">
        <v>23</v>
      </c>
      <c r="N174" s="28"/>
      <c r="O174" s="168"/>
      <c r="P174" s="12"/>
      <c r="Q174" s="12"/>
      <c r="R174" s="12"/>
      <c r="S174" s="12"/>
      <c r="T174" s="12"/>
      <c r="U174" s="12"/>
      <c r="V174" s="12"/>
      <c r="AB174" s="12"/>
      <c r="AC174" s="12" t="str">
        <f>IFERROR(__xludf.DUMMYFUNCTION("""COMPUTED_VALUE"""),"T-1-2")</f>
        <v>T-1-2</v>
      </c>
      <c r="AD174" s="12" t="str">
        <f>IFERROR(__xludf.DUMMYFUNCTION("""COMPUTED_VALUE"""),"HPBE22")</f>
        <v>HPBE22</v>
      </c>
      <c r="AE174" s="12" t="str">
        <f>IFERROR(__xludf.DUMMYFUNCTION("""COMPUTED_VALUE"""),"Horno Pizza a la Piedra Black Edition")</f>
        <v>Horno Pizza a la Piedra Black Edition</v>
      </c>
      <c r="AF174" s="30">
        <f>IFERROR(__xludf.DUMMYFUNCTION("""COMPUTED_VALUE"""),212.0)</f>
        <v>212</v>
      </c>
      <c r="AG174" s="12" t="str">
        <f>IFERROR(__xludf.DUMMYFUNCTION("""COMPUTED_VALUE"""),"Contenedor")</f>
        <v>Contenedor</v>
      </c>
      <c r="AH174" s="12"/>
      <c r="AI174" s="12" t="str">
        <f>IFERROR(__xludf.DUMMYFUNCTION("""COMPUTED_VALUE"""),"1")</f>
        <v>1</v>
      </c>
      <c r="AJ174" s="12" t="str">
        <f>IFERROR(__xludf.DUMMYFUNCTION("""COMPUTED_VALUE"""),"2")</f>
        <v>2</v>
      </c>
      <c r="AK174" s="12">
        <f>IFERROR(__xludf.DUMMYFUNCTION("""COMPUTED_VALUE"""),309.0)</f>
        <v>309</v>
      </c>
      <c r="AL174" s="12" t="str">
        <f>IFERROR(__xludf.DUMMYFUNCTION("""COMPUTED_VALUE"""),"KITCHEN-IT")</f>
        <v>KITCHEN-IT</v>
      </c>
      <c r="AM174" s="12"/>
      <c r="AN174" s="12"/>
      <c r="AO174" s="12"/>
      <c r="AP174" s="12"/>
      <c r="AQ174" s="12"/>
      <c r="BC174" s="12"/>
      <c r="BD174" s="12"/>
      <c r="BE174" s="14"/>
      <c r="BF174" s="12"/>
      <c r="BG174" s="12"/>
      <c r="BH174" s="12" t="str">
        <f>IFERROR(__xludf.DUMMYFUNCTION("IFERROR(INDEX(QUERY(IMPORTRANGE(""1T7HG8KEs-Ob7f3M5atEVN9Yn7IeORGp0QGvggB62ELw"",""Maestro!A:I""),""SELECT Col8 WHERE Col3 = '""&amp;BE174&amp;""'"", 0), 1, 1),""NO ENCONTRADO"")"),"")</f>
        <v/>
      </c>
      <c r="BI174" s="12" t="str">
        <f>IFERROR(__xludf.DUMMYFUNCTION("IFERROR(INDEX(QUERY(IMPORTRANGE(""1T7HG8KEs-Ob7f3M5atEVN9Yn7IeORGp0QGvggB62ELw"",""Maestro!A:I""),""SELECT Col7 WHERE Col3 = '""&amp;BE174&amp;""'"", 0), 1, 1),""NO ENCONTRADO"")"),"")</f>
        <v/>
      </c>
      <c r="BJ174" s="16">
        <f t="shared" si="11"/>
        <v>0</v>
      </c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4"/>
      <c r="BX174" s="14"/>
      <c r="BY174" s="14"/>
      <c r="BZ174" s="14"/>
      <c r="CA174" s="14"/>
      <c r="CB174" s="14"/>
      <c r="CC174" s="14"/>
      <c r="CD174" s="14"/>
      <c r="CE174" s="14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</row>
    <row r="175">
      <c r="A175" s="158">
        <v>4.0</v>
      </c>
      <c r="B175" s="159" t="s">
        <v>362</v>
      </c>
      <c r="C175" s="160" t="s">
        <v>269</v>
      </c>
      <c r="D175" s="161" t="str">
        <f t="shared" si="8"/>
        <v>4-14-A</v>
      </c>
      <c r="E175" s="162">
        <v>45821.0</v>
      </c>
      <c r="F175" s="163" t="s">
        <v>647</v>
      </c>
      <c r="G175" s="164" t="s">
        <v>178</v>
      </c>
      <c r="H175" s="165" t="s">
        <v>179</v>
      </c>
      <c r="I175" s="166">
        <v>110.0</v>
      </c>
      <c r="J175" s="167" t="s">
        <v>43</v>
      </c>
      <c r="K175" s="32" t="str">
        <f t="shared" si="2"/>
        <v>OCUPADO</v>
      </c>
      <c r="L175" s="33">
        <f t="shared" si="10"/>
        <v>174</v>
      </c>
      <c r="M175" s="33" t="s">
        <v>23</v>
      </c>
      <c r="N175" s="33"/>
      <c r="O175" s="169" t="s">
        <v>270</v>
      </c>
      <c r="P175" s="12"/>
      <c r="Q175" s="12"/>
      <c r="R175" s="12"/>
      <c r="S175" s="12"/>
      <c r="T175" s="12"/>
      <c r="U175" s="12"/>
      <c r="V175" s="12"/>
      <c r="AB175" s="12"/>
      <c r="AC175" s="12" t="str">
        <f>IFERROR(__xludf.DUMMYFUNCTION("""COMPUTED_VALUE"""),"T-1-3")</f>
        <v>T-1-3</v>
      </c>
      <c r="AD175" s="12" t="str">
        <f>IFERROR(__xludf.DUMMYFUNCTION("""COMPUTED_VALUE"""),"HEBE25L")</f>
        <v>HEBE25L</v>
      </c>
      <c r="AE175" s="12" t="str">
        <f>IFERROR(__xludf.DUMMYFUNCTION("""COMPUTED_VALUE"""),"Hervidor Big Edition 2.5L")</f>
        <v>Hervidor Big Edition 2.5L</v>
      </c>
      <c r="AF175" s="30">
        <f>IFERROR(__xludf.DUMMYFUNCTION("""COMPUTED_VALUE"""),84.0)</f>
        <v>84</v>
      </c>
      <c r="AG175" s="12" t="str">
        <f>IFERROR(__xludf.DUMMYFUNCTION("""COMPUTED_VALUE"""),"Contenedor")</f>
        <v>Contenedor</v>
      </c>
      <c r="AH175" s="12"/>
      <c r="AI175" s="12" t="str">
        <f>IFERROR(__xludf.DUMMYFUNCTION("""COMPUTED_VALUE"""),"1")</f>
        <v>1</v>
      </c>
      <c r="AJ175" s="12" t="str">
        <f>IFERROR(__xludf.DUMMYFUNCTION("""COMPUTED_VALUE"""),"3")</f>
        <v>3</v>
      </c>
      <c r="AK175" s="12">
        <f>IFERROR(__xludf.DUMMYFUNCTION("""COMPUTED_VALUE"""),310.0)</f>
        <v>310</v>
      </c>
      <c r="AL175" s="12" t="str">
        <f>IFERROR(__xludf.DUMMYFUNCTION("""COMPUTED_VALUE"""),"KITCHEN-IT")</f>
        <v>KITCHEN-IT</v>
      </c>
      <c r="AM175" s="12"/>
      <c r="AN175" s="12"/>
      <c r="AO175" s="12"/>
      <c r="AP175" s="12"/>
      <c r="AQ175" s="12"/>
      <c r="BC175" s="12"/>
      <c r="BD175" s="12"/>
      <c r="BE175" s="14"/>
      <c r="BF175" s="12"/>
      <c r="BG175" s="12"/>
      <c r="BH175" s="12" t="str">
        <f>IFERROR(__xludf.DUMMYFUNCTION("IFERROR(INDEX(QUERY(IMPORTRANGE(""1T7HG8KEs-Ob7f3M5atEVN9Yn7IeORGp0QGvggB62ELw"",""Maestro!A:I""),""SELECT Col8 WHERE Col3 = '""&amp;BE175&amp;""'"", 0), 1, 1),""NO ENCONTRADO"")"),"")</f>
        <v/>
      </c>
      <c r="BI175" s="12" t="str">
        <f>IFERROR(__xludf.DUMMYFUNCTION("IFERROR(INDEX(QUERY(IMPORTRANGE(""1T7HG8KEs-Ob7f3M5atEVN9Yn7IeORGp0QGvggB62ELw"",""Maestro!A:I""),""SELECT Col7 WHERE Col3 = '""&amp;BE175&amp;""'"", 0), 1, 1),""NO ENCONTRADO"")"),"")</f>
        <v/>
      </c>
      <c r="BJ175" s="16">
        <f t="shared" si="11"/>
        <v>0</v>
      </c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4"/>
      <c r="BX175" s="14"/>
      <c r="BY175" s="14"/>
      <c r="BZ175" s="14"/>
      <c r="CA175" s="14"/>
      <c r="CB175" s="14"/>
      <c r="CC175" s="14"/>
      <c r="CD175" s="14"/>
      <c r="CE175" s="14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</row>
    <row r="176">
      <c r="A176" s="158">
        <v>4.0</v>
      </c>
      <c r="B176" s="159" t="s">
        <v>362</v>
      </c>
      <c r="C176" s="160" t="s">
        <v>277</v>
      </c>
      <c r="D176" s="161" t="str">
        <f t="shared" si="8"/>
        <v>4-14-B</v>
      </c>
      <c r="E176" s="162">
        <v>45821.0</v>
      </c>
      <c r="F176" s="170" t="s">
        <v>647</v>
      </c>
      <c r="G176" s="164" t="s">
        <v>178</v>
      </c>
      <c r="H176" s="165" t="s">
        <v>179</v>
      </c>
      <c r="I176" s="166">
        <v>110.0</v>
      </c>
      <c r="J176" s="167" t="s">
        <v>43</v>
      </c>
      <c r="K176" s="27" t="str">
        <f t="shared" si="2"/>
        <v>OCUPADO</v>
      </c>
      <c r="L176" s="28">
        <f t="shared" si="10"/>
        <v>175</v>
      </c>
      <c r="M176" s="28" t="s">
        <v>23</v>
      </c>
      <c r="N176" s="28"/>
      <c r="O176" s="168" t="s">
        <v>270</v>
      </c>
      <c r="P176" s="12"/>
      <c r="Q176" s="12"/>
      <c r="R176" s="12"/>
      <c r="S176" s="12"/>
      <c r="T176" s="12"/>
      <c r="U176" s="12"/>
      <c r="V176" s="12"/>
      <c r="AB176" s="12"/>
      <c r="AC176" s="12" t="str">
        <f>IFERROR(__xludf.DUMMYFUNCTION("""COMPUTED_VALUE"""),"T-1-4")</f>
        <v>T-1-4</v>
      </c>
      <c r="AD176" s="12" t="str">
        <f>IFERROR(__xludf.DUMMYFUNCTION("""COMPUTED_VALUE"""),"692012X")</f>
        <v>692012X</v>
      </c>
      <c r="AE176" s="12" t="str">
        <f>IFERROR(__xludf.DUMMYFUNCTION("""COMPUTED_VALUE"""),"CAJA CARTON CORRUGADO 50x40x30 ")</f>
        <v>CAJA CARTON CORRUGADO 50x40x30 </v>
      </c>
      <c r="AF176" s="30">
        <f>IFERROR(__xludf.DUMMYFUNCTION("""COMPUTED_VALUE"""),225.0)</f>
        <v>225</v>
      </c>
      <c r="AG176" s="12" t="str">
        <f>IFERROR(__xludf.DUMMYFUNCTION("""COMPUTED_VALUE"""),"PROVEEDOR")</f>
        <v>PROVEEDOR</v>
      </c>
      <c r="AH176" s="12"/>
      <c r="AI176" s="12" t="str">
        <f>IFERROR(__xludf.DUMMYFUNCTION("""COMPUTED_VALUE"""),"1")</f>
        <v>1</v>
      </c>
      <c r="AJ176" s="12" t="str">
        <f>IFERROR(__xludf.DUMMYFUNCTION("""COMPUTED_VALUE"""),"4")</f>
        <v>4</v>
      </c>
      <c r="AK176" s="12">
        <f>IFERROR(__xludf.DUMMYFUNCTION("""COMPUTED_VALUE"""),311.0)</f>
        <v>311</v>
      </c>
      <c r="AL176" s="12" t="str">
        <f>IFERROR(__xludf.DUMMYFUNCTION("""COMPUTED_VALUE"""),"SUMMIT")</f>
        <v>SUMMIT</v>
      </c>
      <c r="AM176" s="12"/>
      <c r="AN176" s="12"/>
      <c r="AO176" s="12"/>
      <c r="AP176" s="12"/>
      <c r="AQ176" s="12"/>
      <c r="BC176" s="12"/>
      <c r="BD176" s="12"/>
      <c r="BE176" s="14"/>
      <c r="BF176" s="12"/>
      <c r="BG176" s="12"/>
      <c r="BH176" s="12" t="str">
        <f>IFERROR(__xludf.DUMMYFUNCTION("IFERROR(INDEX(QUERY(IMPORTRANGE(""1T7HG8KEs-Ob7f3M5atEVN9Yn7IeORGp0QGvggB62ELw"",""Maestro!A:I""),""SELECT Col8 WHERE Col3 = '""&amp;BE176&amp;""'"", 0), 1, 1),""NO ENCONTRADO"")"),"")</f>
        <v/>
      </c>
      <c r="BI176" s="12" t="str">
        <f>IFERROR(__xludf.DUMMYFUNCTION("IFERROR(INDEX(QUERY(IMPORTRANGE(""1T7HG8KEs-Ob7f3M5atEVN9Yn7IeORGp0QGvggB62ELw"",""Maestro!A:I""),""SELECT Col7 WHERE Col3 = '""&amp;BE176&amp;""'"", 0), 1, 1),""NO ENCONTRADO"")"),"")</f>
        <v/>
      </c>
      <c r="BJ176" s="16">
        <f t="shared" si="11"/>
        <v>0</v>
      </c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4"/>
      <c r="BX176" s="14"/>
      <c r="BY176" s="14"/>
      <c r="BZ176" s="14"/>
      <c r="CA176" s="14"/>
      <c r="CB176" s="14"/>
      <c r="CC176" s="14"/>
      <c r="CD176" s="14"/>
      <c r="CE176" s="14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</row>
    <row r="177">
      <c r="A177" s="158">
        <v>4.0</v>
      </c>
      <c r="B177" s="159" t="s">
        <v>362</v>
      </c>
      <c r="C177" s="160" t="s">
        <v>282</v>
      </c>
      <c r="D177" s="161" t="str">
        <f t="shared" si="8"/>
        <v>4-14-C</v>
      </c>
      <c r="E177" s="162">
        <v>45821.0</v>
      </c>
      <c r="F177" s="170" t="s">
        <v>647</v>
      </c>
      <c r="G177" s="164" t="s">
        <v>178</v>
      </c>
      <c r="H177" s="165" t="s">
        <v>179</v>
      </c>
      <c r="I177" s="166">
        <v>82.0</v>
      </c>
      <c r="J177" s="167" t="s">
        <v>43</v>
      </c>
      <c r="K177" s="32" t="str">
        <f t="shared" si="2"/>
        <v>OCUPADO</v>
      </c>
      <c r="L177" s="33">
        <f t="shared" si="10"/>
        <v>176</v>
      </c>
      <c r="M177" s="33" t="s">
        <v>23</v>
      </c>
      <c r="N177" s="33"/>
      <c r="O177" s="169" t="s">
        <v>270</v>
      </c>
      <c r="P177" s="12"/>
      <c r="Q177" s="12"/>
      <c r="R177" s="12"/>
      <c r="S177" s="12"/>
      <c r="T177" s="12"/>
      <c r="U177" s="12"/>
      <c r="V177" s="12"/>
      <c r="AB177" s="12"/>
      <c r="AC177" s="12" t="str">
        <f>IFERROR(__xludf.DUMMYFUNCTION("""COMPUTED_VALUE"""),"T-1-5")</f>
        <v>T-1-5</v>
      </c>
      <c r="AD177" s="12" t="str">
        <f>IFERROR(__xludf.DUMMYFUNCTION("""COMPUTED_VALUE"""),"LPP800W")</f>
        <v>LPP800W</v>
      </c>
      <c r="AE177" s="12" t="str">
        <f>IFERROR(__xludf.DUMMYFUNCTION("""COMPUTED_VALUE"""),"Licuadora Power Pro 800W")</f>
        <v>Licuadora Power Pro 800W</v>
      </c>
      <c r="AF177" s="30">
        <f>IFERROR(__xludf.DUMMYFUNCTION("""COMPUTED_VALUE"""),169.0)</f>
        <v>169</v>
      </c>
      <c r="AG177" s="12" t="str">
        <f>IFERROR(__xludf.DUMMYFUNCTION("""COMPUTED_VALUE"""),"Contenedor")</f>
        <v>Contenedor</v>
      </c>
      <c r="AH177" s="12"/>
      <c r="AI177" s="12" t="str">
        <f>IFERROR(__xludf.DUMMYFUNCTION("""COMPUTED_VALUE"""),"1")</f>
        <v>1</v>
      </c>
      <c r="AJ177" s="12" t="str">
        <f>IFERROR(__xludf.DUMMYFUNCTION("""COMPUTED_VALUE"""),"5")</f>
        <v>5</v>
      </c>
      <c r="AK177" s="12">
        <f>IFERROR(__xludf.DUMMYFUNCTION("""COMPUTED_VALUE"""),312.0)</f>
        <v>312</v>
      </c>
      <c r="AL177" s="12" t="str">
        <f>IFERROR(__xludf.DUMMYFUNCTION("""COMPUTED_VALUE"""),"KITCHEN-IT")</f>
        <v>KITCHEN-IT</v>
      </c>
      <c r="AM177" s="12"/>
      <c r="AN177" s="12"/>
      <c r="AO177" s="12"/>
      <c r="AP177" s="12"/>
      <c r="AQ177" s="12"/>
      <c r="BC177" s="12"/>
      <c r="BD177" s="12"/>
      <c r="BE177" s="14"/>
      <c r="BF177" s="12"/>
      <c r="BG177" s="12"/>
      <c r="BH177" s="12" t="str">
        <f>IFERROR(__xludf.DUMMYFUNCTION("IFERROR(INDEX(QUERY(IMPORTRANGE(""1T7HG8KEs-Ob7f3M5atEVN9Yn7IeORGp0QGvggB62ELw"",""Maestro!A:I""),""SELECT Col8 WHERE Col3 = '""&amp;BE177&amp;""'"", 0), 1, 1),""NO ENCONTRADO"")"),"")</f>
        <v/>
      </c>
      <c r="BI177" s="12" t="str">
        <f>IFERROR(__xludf.DUMMYFUNCTION("IFERROR(INDEX(QUERY(IMPORTRANGE(""1T7HG8KEs-Ob7f3M5atEVN9Yn7IeORGp0QGvggB62ELw"",""Maestro!A:I""),""SELECT Col7 WHERE Col3 = '""&amp;BE177&amp;""'"", 0), 1, 1),""NO ENCONTRADO"")"),"")</f>
        <v/>
      </c>
      <c r="BJ177" s="16">
        <f t="shared" si="11"/>
        <v>0</v>
      </c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4"/>
      <c r="BX177" s="14"/>
      <c r="BY177" s="14"/>
      <c r="BZ177" s="14"/>
      <c r="CA177" s="14"/>
      <c r="CB177" s="14"/>
      <c r="CC177" s="14"/>
      <c r="CD177" s="14"/>
      <c r="CE177" s="14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</row>
    <row r="178">
      <c r="A178" s="158">
        <v>4.0</v>
      </c>
      <c r="B178" s="159" t="s">
        <v>362</v>
      </c>
      <c r="C178" s="160" t="s">
        <v>285</v>
      </c>
      <c r="D178" s="161" t="str">
        <f t="shared" si="8"/>
        <v>4-14-D</v>
      </c>
      <c r="E178" s="103"/>
      <c r="F178" s="104"/>
      <c r="G178" s="105"/>
      <c r="H178" s="106"/>
      <c r="I178" s="107"/>
      <c r="J178" s="108"/>
      <c r="K178" s="27" t="str">
        <f t="shared" si="2"/>
        <v>DISPONIBLE</v>
      </c>
      <c r="L178" s="28">
        <f t="shared" si="10"/>
        <v>177</v>
      </c>
      <c r="M178" s="28" t="s">
        <v>23</v>
      </c>
      <c r="N178" s="28"/>
      <c r="O178" s="168"/>
      <c r="P178" s="12"/>
      <c r="Q178" s="12"/>
      <c r="R178" s="12"/>
      <c r="S178" s="12"/>
      <c r="T178" s="12"/>
      <c r="U178" s="12"/>
      <c r="V178" s="12"/>
      <c r="AB178" s="12"/>
      <c r="AC178" s="12" t="str">
        <f>IFERROR(__xludf.DUMMYFUNCTION("""COMPUTED_VALUE"""),"T-1-6")</f>
        <v>T-1-6</v>
      </c>
      <c r="AD178" s="12" t="str">
        <f>IFERROR(__xludf.DUMMYFUNCTION("""COMPUTED_VALUE"""),"691084")</f>
        <v>691084</v>
      </c>
      <c r="AE178" s="12" t="str">
        <f>IFERROR(__xludf.DUMMYFUNCTION("""COMPUTED_VALUE"""),"ROLLO CARTON ACOLCHADO 40CMx5MT")</f>
        <v>ROLLO CARTON ACOLCHADO 40CMx5MT</v>
      </c>
      <c r="AF178" s="30">
        <f>IFERROR(__xludf.DUMMYFUNCTION("""COMPUTED_VALUE"""),56.0)</f>
        <v>56</v>
      </c>
      <c r="AG178" s="12" t="str">
        <f>IFERROR(__xludf.DUMMYFUNCTION("""COMPUTED_VALUE"""),"PROVEEDOR")</f>
        <v>PROVEEDOR</v>
      </c>
      <c r="AH178" s="12"/>
      <c r="AI178" s="12" t="str">
        <f>IFERROR(__xludf.DUMMYFUNCTION("""COMPUTED_VALUE"""),"1")</f>
        <v>1</v>
      </c>
      <c r="AJ178" s="12" t="str">
        <f>IFERROR(__xludf.DUMMYFUNCTION("""COMPUTED_VALUE"""),"6")</f>
        <v>6</v>
      </c>
      <c r="AK178" s="12">
        <f>IFERROR(__xludf.DUMMYFUNCTION("""COMPUTED_VALUE"""),313.0)</f>
        <v>313</v>
      </c>
      <c r="AL178" s="12" t="str">
        <f>IFERROR(__xludf.DUMMYFUNCTION("""COMPUTED_VALUE"""),"SUMMIT")</f>
        <v>SUMMIT</v>
      </c>
      <c r="AM178" s="12"/>
      <c r="AN178" s="12"/>
      <c r="AO178" s="12"/>
      <c r="AP178" s="12"/>
      <c r="AQ178" s="12"/>
      <c r="BC178" s="12"/>
      <c r="BD178" s="12"/>
      <c r="BE178" s="14"/>
      <c r="BF178" s="12"/>
      <c r="BG178" s="12"/>
      <c r="BH178" s="12" t="str">
        <f>IFERROR(__xludf.DUMMYFUNCTION("IFERROR(INDEX(QUERY(IMPORTRANGE(""1T7HG8KEs-Ob7f3M5atEVN9Yn7IeORGp0QGvggB62ELw"",""Maestro!A:I""),""SELECT Col8 WHERE Col3 = '""&amp;BE178&amp;""'"", 0), 1, 1),""NO ENCONTRADO"")"),"")</f>
        <v/>
      </c>
      <c r="BI178" s="12" t="str">
        <f>IFERROR(__xludf.DUMMYFUNCTION("IFERROR(INDEX(QUERY(IMPORTRANGE(""1T7HG8KEs-Ob7f3M5atEVN9Yn7IeORGp0QGvggB62ELw"",""Maestro!A:I""),""SELECT Col7 WHERE Col3 = '""&amp;BE178&amp;""'"", 0), 1, 1),""NO ENCONTRADO"")"),"")</f>
        <v/>
      </c>
      <c r="BJ178" s="16">
        <f t="shared" si="11"/>
        <v>0</v>
      </c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4"/>
      <c r="BX178" s="14"/>
      <c r="BY178" s="14"/>
      <c r="BZ178" s="14"/>
      <c r="CA178" s="14"/>
      <c r="CB178" s="14"/>
      <c r="CC178" s="14"/>
      <c r="CD178" s="14"/>
      <c r="CE178" s="14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</row>
    <row r="179">
      <c r="A179" s="158">
        <v>4.0</v>
      </c>
      <c r="B179" s="159" t="s">
        <v>372</v>
      </c>
      <c r="C179" s="160" t="s">
        <v>269</v>
      </c>
      <c r="D179" s="161" t="str">
        <f t="shared" si="8"/>
        <v>4-15-A</v>
      </c>
      <c r="E179" s="162">
        <v>45827.0</v>
      </c>
      <c r="F179" s="163" t="s">
        <v>652</v>
      </c>
      <c r="G179" s="164" t="s">
        <v>196</v>
      </c>
      <c r="H179" s="165" t="s">
        <v>197</v>
      </c>
      <c r="I179" s="166">
        <v>63.0</v>
      </c>
      <c r="J179" s="167" t="s">
        <v>43</v>
      </c>
      <c r="K179" s="32" t="str">
        <f t="shared" si="2"/>
        <v>OCUPADO</v>
      </c>
      <c r="L179" s="33">
        <f t="shared" si="10"/>
        <v>178</v>
      </c>
      <c r="M179" s="33" t="s">
        <v>23</v>
      </c>
      <c r="N179" s="122"/>
      <c r="O179" s="169" t="s">
        <v>270</v>
      </c>
      <c r="P179" s="12"/>
      <c r="Q179" s="12"/>
      <c r="R179" s="12"/>
      <c r="S179" s="12"/>
      <c r="T179" s="12"/>
      <c r="U179" s="12"/>
      <c r="V179" s="12"/>
      <c r="AB179" s="12"/>
      <c r="AC179" s="12" t="str">
        <f>IFERROR(__xludf.DUMMYFUNCTION("""COMPUTED_VALUE"""),"T-1-7")</f>
        <v>T-1-7</v>
      </c>
      <c r="AD179" s="12" t="str">
        <f>IFERROR(__xludf.DUMMYFUNCTION("""COMPUTED_VALUE"""),"HESS60")</f>
        <v>HESS60</v>
      </c>
      <c r="AE179" s="12" t="str">
        <f>IFERROR(__xludf.DUMMYFUNCTION("""COMPUTED_VALUE"""),"Horno Eléctrico Silver Series 60L")</f>
        <v>Horno Eléctrico Silver Series 60L</v>
      </c>
      <c r="AF179" s="30">
        <f>IFERROR(__xludf.DUMMYFUNCTION("""COMPUTED_VALUE"""),3.0)</f>
        <v>3</v>
      </c>
      <c r="AG179" s="12" t="str">
        <f>IFERROR(__xludf.DUMMYFUNCTION("""COMPUTED_VALUE"""),"Contenedor")</f>
        <v>Contenedor</v>
      </c>
      <c r="AH179" s="12"/>
      <c r="AI179" s="12" t="str">
        <f>IFERROR(__xludf.DUMMYFUNCTION("""COMPUTED_VALUE"""),"1")</f>
        <v>1</v>
      </c>
      <c r="AJ179" s="12" t="str">
        <f>IFERROR(__xludf.DUMMYFUNCTION("""COMPUTED_VALUE"""),"7")</f>
        <v>7</v>
      </c>
      <c r="AK179" s="12">
        <f>IFERROR(__xludf.DUMMYFUNCTION("""COMPUTED_VALUE"""),314.0)</f>
        <v>314</v>
      </c>
      <c r="AL179" s="12" t="str">
        <f>IFERROR(__xludf.DUMMYFUNCTION("""COMPUTED_VALUE"""),"KITCHEN-IT")</f>
        <v>KITCHEN-IT</v>
      </c>
      <c r="AM179" s="12"/>
      <c r="AN179" s="12"/>
      <c r="AO179" s="12"/>
      <c r="AP179" s="12"/>
      <c r="AQ179" s="12"/>
      <c r="BC179" s="12"/>
      <c r="BD179" s="12"/>
      <c r="BE179" s="14"/>
      <c r="BF179" s="12"/>
      <c r="BG179" s="12"/>
      <c r="BH179" s="12" t="str">
        <f>IFERROR(__xludf.DUMMYFUNCTION("IFERROR(INDEX(QUERY(IMPORTRANGE(""1T7HG8KEs-Ob7f3M5atEVN9Yn7IeORGp0QGvggB62ELw"",""Maestro!A:I""),""SELECT Col8 WHERE Col3 = '""&amp;BE179&amp;""'"", 0), 1, 1),""NO ENCONTRADO"")"),"")</f>
        <v/>
      </c>
      <c r="BI179" s="12" t="str">
        <f>IFERROR(__xludf.DUMMYFUNCTION("IFERROR(INDEX(QUERY(IMPORTRANGE(""1T7HG8KEs-Ob7f3M5atEVN9Yn7IeORGp0QGvggB62ELw"",""Maestro!A:I""),""SELECT Col7 WHERE Col3 = '""&amp;BE179&amp;""'"", 0), 1, 1),""NO ENCONTRADO"")"),"")</f>
        <v/>
      </c>
      <c r="BJ179" s="16">
        <f t="shared" si="11"/>
        <v>0</v>
      </c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4"/>
      <c r="BX179" s="14"/>
      <c r="BY179" s="14"/>
      <c r="BZ179" s="14"/>
      <c r="CA179" s="14"/>
      <c r="CB179" s="14"/>
      <c r="CC179" s="14"/>
      <c r="CD179" s="14"/>
      <c r="CE179" s="14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</row>
    <row r="180">
      <c r="A180" s="158">
        <v>4.0</v>
      </c>
      <c r="B180" s="159" t="s">
        <v>372</v>
      </c>
      <c r="C180" s="160" t="s">
        <v>277</v>
      </c>
      <c r="D180" s="161" t="str">
        <f t="shared" si="8"/>
        <v>4-15-B</v>
      </c>
      <c r="E180" s="162">
        <v>45827.0</v>
      </c>
      <c r="F180" s="163" t="s">
        <v>652</v>
      </c>
      <c r="G180" s="164" t="s">
        <v>196</v>
      </c>
      <c r="H180" s="165" t="s">
        <v>197</v>
      </c>
      <c r="I180" s="166">
        <v>63.0</v>
      </c>
      <c r="J180" s="167" t="s">
        <v>43</v>
      </c>
      <c r="K180" s="27" t="str">
        <f t="shared" si="2"/>
        <v>OCUPADO</v>
      </c>
      <c r="L180" s="28">
        <f t="shared" si="10"/>
        <v>179</v>
      </c>
      <c r="M180" s="28" t="s">
        <v>23</v>
      </c>
      <c r="N180" s="109"/>
      <c r="O180" s="168" t="s">
        <v>270</v>
      </c>
      <c r="P180" s="12"/>
      <c r="Q180" s="12"/>
      <c r="R180" s="12"/>
      <c r="S180" s="12"/>
      <c r="T180" s="12"/>
      <c r="U180" s="12"/>
      <c r="V180" s="12"/>
      <c r="AB180" s="12"/>
      <c r="AC180" s="12" t="str">
        <f>IFERROR(__xludf.DUMMYFUNCTION("""COMPUTED_VALUE"""),"T-1-8")</f>
        <v>T-1-8</v>
      </c>
      <c r="AD180" s="12" t="str">
        <f>IFERROR(__xludf.DUMMYFUNCTION("""COMPUTED_VALUE"""),"FAFE7L")</f>
        <v>FAFE7L</v>
      </c>
      <c r="AE180" s="12" t="str">
        <f>IFERROR(__xludf.DUMMYFUNCTION("""COMPUTED_VALUE"""),"Freidora de Aire Family Edition 7L")</f>
        <v>Freidora de Aire Family Edition 7L</v>
      </c>
      <c r="AF180" s="30">
        <f>IFERROR(__xludf.DUMMYFUNCTION("""COMPUTED_VALUE"""),44.0)</f>
        <v>44</v>
      </c>
      <c r="AG180" s="12" t="str">
        <f>IFERROR(__xludf.DUMMYFUNCTION("""COMPUTED_VALUE"""),"Contenedor")</f>
        <v>Contenedor</v>
      </c>
      <c r="AH180" s="12"/>
      <c r="AI180" s="12" t="str">
        <f>IFERROR(__xludf.DUMMYFUNCTION("""COMPUTED_VALUE"""),"1")</f>
        <v>1</v>
      </c>
      <c r="AJ180" s="12" t="str">
        <f>IFERROR(__xludf.DUMMYFUNCTION("""COMPUTED_VALUE"""),"8")</f>
        <v>8</v>
      </c>
      <c r="AK180" s="12">
        <f>IFERROR(__xludf.DUMMYFUNCTION("""COMPUTED_VALUE"""),315.0)</f>
        <v>315</v>
      </c>
      <c r="AL180" s="12" t="str">
        <f>IFERROR(__xludf.DUMMYFUNCTION("""COMPUTED_VALUE"""),"KITCHEN-IT")</f>
        <v>KITCHEN-IT</v>
      </c>
      <c r="AM180" s="12"/>
      <c r="AN180" s="12"/>
      <c r="AO180" s="12"/>
      <c r="AP180" s="12"/>
      <c r="AQ180" s="12"/>
      <c r="BC180" s="12"/>
      <c r="BD180" s="12"/>
      <c r="BE180" s="14"/>
      <c r="BF180" s="12"/>
      <c r="BG180" s="12"/>
      <c r="BH180" s="12" t="str">
        <f>IFERROR(__xludf.DUMMYFUNCTION("IFERROR(INDEX(QUERY(IMPORTRANGE(""1T7HG8KEs-Ob7f3M5atEVN9Yn7IeORGp0QGvggB62ELw"",""Maestro!A:I""),""SELECT Col8 WHERE Col3 = '""&amp;BE180&amp;""'"", 0), 1, 1),""NO ENCONTRADO"")"),"")</f>
        <v/>
      </c>
      <c r="BI180" s="12" t="str">
        <f>IFERROR(__xludf.DUMMYFUNCTION("IFERROR(INDEX(QUERY(IMPORTRANGE(""1T7HG8KEs-Ob7f3M5atEVN9Yn7IeORGp0QGvggB62ELw"",""Maestro!A:I""),""SELECT Col7 WHERE Col3 = '""&amp;BE180&amp;""'"", 0), 1, 1),""NO ENCONTRADO"")"),"")</f>
        <v/>
      </c>
      <c r="BJ180" s="16">
        <f t="shared" si="11"/>
        <v>0</v>
      </c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4"/>
      <c r="BX180" s="14"/>
      <c r="BY180" s="14"/>
      <c r="BZ180" s="14"/>
      <c r="CA180" s="14"/>
      <c r="CB180" s="14"/>
      <c r="CC180" s="14"/>
      <c r="CD180" s="14"/>
      <c r="CE180" s="14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</row>
    <row r="181">
      <c r="A181" s="158">
        <v>4.0</v>
      </c>
      <c r="B181" s="159" t="s">
        <v>372</v>
      </c>
      <c r="C181" s="160" t="s">
        <v>282</v>
      </c>
      <c r="D181" s="161" t="str">
        <f t="shared" si="8"/>
        <v>4-15-C</v>
      </c>
      <c r="E181" s="162">
        <v>45827.0</v>
      </c>
      <c r="F181" s="163" t="s">
        <v>652</v>
      </c>
      <c r="G181" s="164" t="s">
        <v>196</v>
      </c>
      <c r="H181" s="165" t="s">
        <v>197</v>
      </c>
      <c r="I181" s="166">
        <v>61.0</v>
      </c>
      <c r="J181" s="167" t="s">
        <v>43</v>
      </c>
      <c r="K181" s="32" t="str">
        <f t="shared" si="2"/>
        <v>OCUPADO</v>
      </c>
      <c r="L181" s="33">
        <f t="shared" si="10"/>
        <v>180</v>
      </c>
      <c r="M181" s="33" t="s">
        <v>23</v>
      </c>
      <c r="N181" s="122"/>
      <c r="O181" s="169" t="s">
        <v>270</v>
      </c>
      <c r="P181" s="12"/>
      <c r="Q181" s="12"/>
      <c r="R181" s="12"/>
      <c r="S181" s="12"/>
      <c r="T181" s="12"/>
      <c r="U181" s="12"/>
      <c r="V181" s="12"/>
      <c r="AB181" s="12"/>
      <c r="AC181" s="12" t="str">
        <f>IFERROR(__xludf.DUMMYFUNCTION("""COMPUTED_VALUE"""),"T-1-9")</f>
        <v>T-1-9</v>
      </c>
      <c r="AD181" s="12" t="str">
        <f>IFERROR(__xludf.DUMMYFUNCTION("""COMPUTED_VALUE"""),"ELAF41")</f>
        <v>ELAF41</v>
      </c>
      <c r="AE181" s="12" t="str">
        <f>IFERROR(__xludf.DUMMYFUNCTION("""COMPUTED_VALUE"""),"Espumador Aerofoam 4 en 1")</f>
        <v>Espumador Aerofoam 4 en 1</v>
      </c>
      <c r="AF181" s="30">
        <f>IFERROR(__xludf.DUMMYFUNCTION("""COMPUTED_VALUE"""),189.0)</f>
        <v>189</v>
      </c>
      <c r="AG181" s="12" t="str">
        <f>IFERROR(__xludf.DUMMYFUNCTION("""COMPUTED_VALUE"""),"Contenedor")</f>
        <v>Contenedor</v>
      </c>
      <c r="AH181" s="12"/>
      <c r="AI181" s="12" t="str">
        <f>IFERROR(__xludf.DUMMYFUNCTION("""COMPUTED_VALUE"""),"1")</f>
        <v>1</v>
      </c>
      <c r="AJ181" s="12" t="str">
        <f>IFERROR(__xludf.DUMMYFUNCTION("""COMPUTED_VALUE"""),"9")</f>
        <v>9</v>
      </c>
      <c r="AK181" s="12">
        <f>IFERROR(__xludf.DUMMYFUNCTION("""COMPUTED_VALUE"""),316.0)</f>
        <v>316</v>
      </c>
      <c r="AL181" s="12" t="str">
        <f>IFERROR(__xludf.DUMMYFUNCTION("""COMPUTED_VALUE"""),"KITCHEN-IT")</f>
        <v>KITCHEN-IT</v>
      </c>
      <c r="AM181" s="12"/>
      <c r="AN181" s="12"/>
      <c r="AO181" s="12"/>
      <c r="AP181" s="12"/>
      <c r="AQ181" s="12"/>
      <c r="BC181" s="12"/>
      <c r="BD181" s="12"/>
      <c r="BE181" s="14"/>
      <c r="BF181" s="12"/>
      <c r="BG181" s="12"/>
      <c r="BH181" s="12" t="str">
        <f>IFERROR(__xludf.DUMMYFUNCTION("IFERROR(INDEX(QUERY(IMPORTRANGE(""1T7HG8KEs-Ob7f3M5atEVN9Yn7IeORGp0QGvggB62ELw"",""Maestro!A:I""),""SELECT Col8 WHERE Col3 = '""&amp;BE181&amp;""'"", 0), 1, 1),""NO ENCONTRADO"")"),"")</f>
        <v/>
      </c>
      <c r="BI181" s="12" t="str">
        <f>IFERROR(__xludf.DUMMYFUNCTION("IFERROR(INDEX(QUERY(IMPORTRANGE(""1T7HG8KEs-Ob7f3M5atEVN9Yn7IeORGp0QGvggB62ELw"",""Maestro!A:I""),""SELECT Col7 WHERE Col3 = '""&amp;BE181&amp;""'"", 0), 1, 1),""NO ENCONTRADO"")"),"")</f>
        <v/>
      </c>
      <c r="BJ181" s="16">
        <f t="shared" si="11"/>
        <v>0</v>
      </c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4"/>
      <c r="BX181" s="14"/>
      <c r="BY181" s="14"/>
      <c r="BZ181" s="14"/>
      <c r="CA181" s="14"/>
      <c r="CB181" s="14"/>
      <c r="CC181" s="14"/>
      <c r="CD181" s="14"/>
      <c r="CE181" s="14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</row>
    <row r="182">
      <c r="A182" s="158">
        <v>4.0</v>
      </c>
      <c r="B182" s="159" t="s">
        <v>372</v>
      </c>
      <c r="C182" s="160" t="s">
        <v>285</v>
      </c>
      <c r="D182" s="161" t="str">
        <f t="shared" si="8"/>
        <v>4-15-D</v>
      </c>
      <c r="E182" s="103"/>
      <c r="F182" s="104"/>
      <c r="G182" s="105"/>
      <c r="H182" s="106"/>
      <c r="I182" s="107"/>
      <c r="J182" s="108"/>
      <c r="K182" s="27" t="str">
        <f t="shared" si="2"/>
        <v>DISPONIBLE</v>
      </c>
      <c r="L182" s="28">
        <f t="shared" si="10"/>
        <v>181</v>
      </c>
      <c r="M182" s="28" t="s">
        <v>23</v>
      </c>
      <c r="N182" s="109"/>
      <c r="O182" s="168"/>
      <c r="P182" s="12"/>
      <c r="Q182" s="12"/>
      <c r="R182" s="12"/>
      <c r="S182" s="12"/>
      <c r="T182" s="12"/>
      <c r="U182" s="12"/>
      <c r="V182" s="12"/>
      <c r="AB182" s="12"/>
      <c r="AC182" s="12" t="str">
        <f>IFERROR(__xludf.DUMMYFUNCTION("""COMPUTED_VALUE"""),"T-1-10")</f>
        <v>T-1-10</v>
      </c>
      <c r="AD182" s="12" t="str">
        <f>IFERROR(__xludf.DUMMYFUNCTION("""COMPUTED_VALUE"""),"692029X")</f>
        <v>692029X</v>
      </c>
      <c r="AE182" s="12" t="str">
        <f>IFERROR(__xludf.DUMMYFUNCTION("""COMPUTED_VALUE"""),"CAJA CARTON CORRUGADO 60x40x40 ")</f>
        <v>CAJA CARTON CORRUGADO 60x40x40 </v>
      </c>
      <c r="AF182" s="30">
        <f>IFERROR(__xludf.DUMMYFUNCTION("""COMPUTED_VALUE"""),200.0)</f>
        <v>200</v>
      </c>
      <c r="AG182" s="12" t="str">
        <f>IFERROR(__xludf.DUMMYFUNCTION("""COMPUTED_VALUE"""),"PROVEEDOR")</f>
        <v>PROVEEDOR</v>
      </c>
      <c r="AH182" s="12"/>
      <c r="AI182" s="12" t="str">
        <f>IFERROR(__xludf.DUMMYFUNCTION("""COMPUTED_VALUE"""),"1")</f>
        <v>1</v>
      </c>
      <c r="AJ182" s="12" t="str">
        <f>IFERROR(__xludf.DUMMYFUNCTION("""COMPUTED_VALUE"""),"10")</f>
        <v>10</v>
      </c>
      <c r="AK182" s="12">
        <f>IFERROR(__xludf.DUMMYFUNCTION("""COMPUTED_VALUE"""),317.0)</f>
        <v>317</v>
      </c>
      <c r="AL182" s="12" t="str">
        <f>IFERROR(__xludf.DUMMYFUNCTION("""COMPUTED_VALUE"""),"SUMMIT")</f>
        <v>SUMMIT</v>
      </c>
      <c r="AM182" s="12"/>
      <c r="AN182" s="12"/>
      <c r="AO182" s="12"/>
      <c r="AP182" s="12"/>
      <c r="AQ182" s="12"/>
      <c r="BC182" s="12"/>
      <c r="BD182" s="12"/>
      <c r="BE182" s="14"/>
      <c r="BF182" s="12"/>
      <c r="BG182" s="12"/>
      <c r="BH182" s="12" t="str">
        <f>IFERROR(__xludf.DUMMYFUNCTION("IFERROR(INDEX(QUERY(IMPORTRANGE(""1T7HG8KEs-Ob7f3M5atEVN9Yn7IeORGp0QGvggB62ELw"",""Maestro!A:I""),""SELECT Col8 WHERE Col3 = '""&amp;BE182&amp;""'"", 0), 1, 1),""NO ENCONTRADO"")"),"")</f>
        <v/>
      </c>
      <c r="BI182" s="12" t="str">
        <f>IFERROR(__xludf.DUMMYFUNCTION("IFERROR(INDEX(QUERY(IMPORTRANGE(""1T7HG8KEs-Ob7f3M5atEVN9Yn7IeORGp0QGvggB62ELw"",""Maestro!A:I""),""SELECT Col7 WHERE Col3 = '""&amp;BE182&amp;""'"", 0), 1, 1),""NO ENCONTRADO"")"),"")</f>
        <v/>
      </c>
      <c r="BJ182" s="16">
        <f t="shared" si="11"/>
        <v>0</v>
      </c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4"/>
      <c r="BX182" s="14"/>
      <c r="BY182" s="14"/>
      <c r="BZ182" s="14"/>
      <c r="CA182" s="14"/>
      <c r="CB182" s="14"/>
      <c r="CC182" s="14"/>
      <c r="CD182" s="14"/>
      <c r="CE182" s="14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</row>
    <row r="183">
      <c r="A183" s="158">
        <v>4.0</v>
      </c>
      <c r="B183" s="159" t="s">
        <v>382</v>
      </c>
      <c r="C183" s="160" t="s">
        <v>269</v>
      </c>
      <c r="D183" s="161" t="str">
        <f t="shared" si="8"/>
        <v>4-16-A</v>
      </c>
      <c r="E183" s="162">
        <v>45827.0</v>
      </c>
      <c r="F183" s="163" t="s">
        <v>652</v>
      </c>
      <c r="G183" s="164" t="s">
        <v>196</v>
      </c>
      <c r="H183" s="165" t="s">
        <v>197</v>
      </c>
      <c r="I183" s="166">
        <v>63.0</v>
      </c>
      <c r="J183" s="167" t="s">
        <v>43</v>
      </c>
      <c r="K183" s="32" t="str">
        <f t="shared" si="2"/>
        <v>OCUPADO</v>
      </c>
      <c r="L183" s="33">
        <f t="shared" si="10"/>
        <v>182</v>
      </c>
      <c r="M183" s="33" t="s">
        <v>23</v>
      </c>
      <c r="N183" s="33"/>
      <c r="O183" s="169" t="s">
        <v>270</v>
      </c>
      <c r="P183" s="12"/>
      <c r="Q183" s="12"/>
      <c r="R183" s="12"/>
      <c r="S183" s="12"/>
      <c r="T183" s="12"/>
      <c r="U183" s="12"/>
      <c r="V183" s="12"/>
      <c r="AB183" s="12"/>
      <c r="AC183" s="12" t="str">
        <f>IFERROR(__xludf.DUMMYFUNCTION("""COMPUTED_VALUE"""),"T-1-11")</f>
        <v>T-1-11</v>
      </c>
      <c r="AD183" s="12" t="str">
        <f>IFERROR(__xludf.DUMMYFUNCTION("""COMPUTED_VALUE"""),"692029X")</f>
        <v>692029X</v>
      </c>
      <c r="AE183" s="12" t="str">
        <f>IFERROR(__xludf.DUMMYFUNCTION("""COMPUTED_VALUE"""),"CAJA CARTON CORRUGADO 60x40x40 ")</f>
        <v>CAJA CARTON CORRUGADO 60x40x40 </v>
      </c>
      <c r="AF183" s="30">
        <f>IFERROR(__xludf.DUMMYFUNCTION("""COMPUTED_VALUE"""),200.0)</f>
        <v>200</v>
      </c>
      <c r="AG183" s="12" t="str">
        <f>IFERROR(__xludf.DUMMYFUNCTION("""COMPUTED_VALUE"""),"PROVEEDOR")</f>
        <v>PROVEEDOR</v>
      </c>
      <c r="AH183" s="12"/>
      <c r="AI183" s="12" t="str">
        <f>IFERROR(__xludf.DUMMYFUNCTION("""COMPUTED_VALUE"""),"1")</f>
        <v>1</v>
      </c>
      <c r="AJ183" s="12" t="str">
        <f>IFERROR(__xludf.DUMMYFUNCTION("""COMPUTED_VALUE"""),"11")</f>
        <v>11</v>
      </c>
      <c r="AK183" s="12">
        <f>IFERROR(__xludf.DUMMYFUNCTION("""COMPUTED_VALUE"""),318.0)</f>
        <v>318</v>
      </c>
      <c r="AL183" s="12" t="str">
        <f>IFERROR(__xludf.DUMMYFUNCTION("""COMPUTED_VALUE"""),"SUMMIT")</f>
        <v>SUMMIT</v>
      </c>
      <c r="AM183" s="12"/>
      <c r="AN183" s="12"/>
      <c r="AO183" s="12"/>
      <c r="AP183" s="12"/>
      <c r="AQ183" s="12"/>
      <c r="BC183" s="12"/>
      <c r="BD183" s="12"/>
      <c r="BE183" s="14"/>
      <c r="BF183" s="12"/>
      <c r="BG183" s="12"/>
      <c r="BH183" s="12" t="str">
        <f>IFERROR(__xludf.DUMMYFUNCTION("IFERROR(INDEX(QUERY(IMPORTRANGE(""1T7HG8KEs-Ob7f3M5atEVN9Yn7IeORGp0QGvggB62ELw"",""Maestro!A:I""),""SELECT Col8 WHERE Col3 = '""&amp;BE183&amp;""'"", 0), 1, 1),""NO ENCONTRADO"")"),"")</f>
        <v/>
      </c>
      <c r="BI183" s="12" t="str">
        <f>IFERROR(__xludf.DUMMYFUNCTION("IFERROR(INDEX(QUERY(IMPORTRANGE(""1T7HG8KEs-Ob7f3M5atEVN9Yn7IeORGp0QGvggB62ELw"",""Maestro!A:I""),""SELECT Col7 WHERE Col3 = '""&amp;BE183&amp;""'"", 0), 1, 1),""NO ENCONTRADO"")"),"")</f>
        <v/>
      </c>
      <c r="BJ183" s="16">
        <f t="shared" si="11"/>
        <v>0</v>
      </c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4"/>
      <c r="BX183" s="14"/>
      <c r="BY183" s="14"/>
      <c r="BZ183" s="14"/>
      <c r="CA183" s="14"/>
      <c r="CB183" s="14"/>
      <c r="CC183" s="14"/>
      <c r="CD183" s="14"/>
      <c r="CE183" s="14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</row>
    <row r="184">
      <c r="A184" s="158">
        <v>4.0</v>
      </c>
      <c r="B184" s="159" t="s">
        <v>382</v>
      </c>
      <c r="C184" s="160" t="s">
        <v>277</v>
      </c>
      <c r="D184" s="161" t="str">
        <f t="shared" si="8"/>
        <v>4-16-B</v>
      </c>
      <c r="E184" s="162">
        <v>45827.0</v>
      </c>
      <c r="F184" s="163" t="s">
        <v>652</v>
      </c>
      <c r="G184" s="164" t="s">
        <v>196</v>
      </c>
      <c r="H184" s="165" t="s">
        <v>197</v>
      </c>
      <c r="I184" s="166">
        <v>63.0</v>
      </c>
      <c r="J184" s="167" t="s">
        <v>43</v>
      </c>
      <c r="K184" s="27" t="str">
        <f t="shared" si="2"/>
        <v>OCUPADO</v>
      </c>
      <c r="L184" s="28">
        <f t="shared" si="10"/>
        <v>183</v>
      </c>
      <c r="M184" s="28" t="s">
        <v>23</v>
      </c>
      <c r="N184" s="28"/>
      <c r="O184" s="168" t="s">
        <v>270</v>
      </c>
      <c r="P184" s="12"/>
      <c r="Q184" s="12"/>
      <c r="R184" s="12"/>
      <c r="S184" s="12"/>
      <c r="T184" s="12"/>
      <c r="U184" s="12"/>
      <c r="V184" s="12"/>
      <c r="AB184" s="12"/>
      <c r="AC184" s="12" t="str">
        <f>IFERROR(__xludf.DUMMYFUNCTION("""COMPUTED_VALUE"""),"T-1-12")</f>
        <v>T-1-12</v>
      </c>
      <c r="AD184" s="12" t="str">
        <f>IFERROR(__xludf.DUMMYFUNCTION("""COMPUTED_VALUE"""),"692029X")</f>
        <v>692029X</v>
      </c>
      <c r="AE184" s="12" t="str">
        <f>IFERROR(__xludf.DUMMYFUNCTION("""COMPUTED_VALUE"""),"CAJA CARTON CORRUGADO 60x40x40 ")</f>
        <v>CAJA CARTON CORRUGADO 60x40x40 </v>
      </c>
      <c r="AF184" s="30">
        <f>IFERROR(__xludf.DUMMYFUNCTION("""COMPUTED_VALUE"""),150.0)</f>
        <v>150</v>
      </c>
      <c r="AG184" s="12" t="str">
        <f>IFERROR(__xludf.DUMMYFUNCTION("""COMPUTED_VALUE"""),"PROVEEDOR")</f>
        <v>PROVEEDOR</v>
      </c>
      <c r="AH184" s="12"/>
      <c r="AI184" s="12" t="str">
        <f>IFERROR(__xludf.DUMMYFUNCTION("""COMPUTED_VALUE"""),"1")</f>
        <v>1</v>
      </c>
      <c r="AJ184" s="12" t="str">
        <f>IFERROR(__xludf.DUMMYFUNCTION("""COMPUTED_VALUE"""),"12")</f>
        <v>12</v>
      </c>
      <c r="AK184" s="12">
        <f>IFERROR(__xludf.DUMMYFUNCTION("""COMPUTED_VALUE"""),319.0)</f>
        <v>319</v>
      </c>
      <c r="AL184" s="12" t="str">
        <f>IFERROR(__xludf.DUMMYFUNCTION("""COMPUTED_VALUE"""),"SUMMIT")</f>
        <v>SUMMIT</v>
      </c>
      <c r="AM184" s="12"/>
      <c r="AN184" s="12"/>
      <c r="AO184" s="12"/>
      <c r="AP184" s="12"/>
      <c r="AQ184" s="12"/>
      <c r="BC184" s="12"/>
      <c r="BD184" s="12"/>
      <c r="BE184" s="14"/>
      <c r="BF184" s="12"/>
      <c r="BG184" s="12"/>
      <c r="BH184" s="12" t="str">
        <f>IFERROR(__xludf.DUMMYFUNCTION("IFERROR(INDEX(QUERY(IMPORTRANGE(""1T7HG8KEs-Ob7f3M5atEVN9Yn7IeORGp0QGvggB62ELw"",""Maestro!A:I""),""SELECT Col8 WHERE Col3 = '""&amp;BE184&amp;""'"", 0), 1, 1),""NO ENCONTRADO"")"),"")</f>
        <v/>
      </c>
      <c r="BI184" s="12" t="str">
        <f>IFERROR(__xludf.DUMMYFUNCTION("IFERROR(INDEX(QUERY(IMPORTRANGE(""1T7HG8KEs-Ob7f3M5atEVN9Yn7IeORGp0QGvggB62ELw"",""Maestro!A:I""),""SELECT Col7 WHERE Col3 = '""&amp;BE184&amp;""'"", 0), 1, 1),""NO ENCONTRADO"")"),"")</f>
        <v/>
      </c>
      <c r="BJ184" s="16">
        <f t="shared" si="11"/>
        <v>0</v>
      </c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4"/>
      <c r="BX184" s="14"/>
      <c r="BY184" s="14"/>
      <c r="BZ184" s="14"/>
      <c r="CA184" s="14"/>
      <c r="CB184" s="14"/>
      <c r="CC184" s="14"/>
      <c r="CD184" s="14"/>
      <c r="CE184" s="14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</row>
    <row r="185">
      <c r="A185" s="158">
        <v>4.0</v>
      </c>
      <c r="B185" s="159" t="s">
        <v>382</v>
      </c>
      <c r="C185" s="160" t="s">
        <v>282</v>
      </c>
      <c r="D185" s="161" t="str">
        <f t="shared" si="8"/>
        <v>4-16-C</v>
      </c>
      <c r="E185" s="162">
        <v>45827.0</v>
      </c>
      <c r="F185" s="163" t="s">
        <v>652</v>
      </c>
      <c r="G185" s="164" t="s">
        <v>196</v>
      </c>
      <c r="H185" s="165" t="s">
        <v>197</v>
      </c>
      <c r="I185" s="166">
        <v>63.0</v>
      </c>
      <c r="J185" s="167" t="s">
        <v>43</v>
      </c>
      <c r="K185" s="32" t="str">
        <f t="shared" si="2"/>
        <v>OCUPADO</v>
      </c>
      <c r="L185" s="33">
        <f t="shared" si="10"/>
        <v>184</v>
      </c>
      <c r="M185" s="33" t="s">
        <v>23</v>
      </c>
      <c r="N185" s="33">
        <v>0.0</v>
      </c>
      <c r="O185" s="169" t="s">
        <v>270</v>
      </c>
      <c r="P185" s="12"/>
      <c r="Q185" s="12"/>
      <c r="R185" s="12"/>
      <c r="S185" s="12"/>
      <c r="T185" s="12"/>
      <c r="U185" s="12"/>
      <c r="V185" s="12"/>
      <c r="AB185" s="12"/>
      <c r="AC185" s="12" t="str">
        <f>IFERROR(__xludf.DUMMYFUNCTION("""COMPUTED_VALUE"""),"T-1-13")</f>
        <v>T-1-13</v>
      </c>
      <c r="AD185" s="12" t="str">
        <f>IFERROR(__xludf.DUMMYFUNCTION("""COMPUTED_VALUE"""),"692012X")</f>
        <v>692012X</v>
      </c>
      <c r="AE185" s="12" t="str">
        <f>IFERROR(__xludf.DUMMYFUNCTION("""COMPUTED_VALUE"""),"CAJA CARTON CORRUGADO 50x40x30 ")</f>
        <v>CAJA CARTON CORRUGADO 50x40x30 </v>
      </c>
      <c r="AF185" s="30">
        <f>IFERROR(__xludf.DUMMYFUNCTION("""COMPUTED_VALUE"""),225.0)</f>
        <v>225</v>
      </c>
      <c r="AG185" s="12" t="str">
        <f>IFERROR(__xludf.DUMMYFUNCTION("""COMPUTED_VALUE"""),"PROVEEDOR")</f>
        <v>PROVEEDOR</v>
      </c>
      <c r="AH185" s="12"/>
      <c r="AI185" s="12" t="str">
        <f>IFERROR(__xludf.DUMMYFUNCTION("""COMPUTED_VALUE"""),"1")</f>
        <v>1</v>
      </c>
      <c r="AJ185" s="12" t="str">
        <f>IFERROR(__xludf.DUMMYFUNCTION("""COMPUTED_VALUE"""),"13")</f>
        <v>13</v>
      </c>
      <c r="AK185" s="12">
        <f>IFERROR(__xludf.DUMMYFUNCTION("""COMPUTED_VALUE"""),320.0)</f>
        <v>320</v>
      </c>
      <c r="AL185" s="12" t="str">
        <f>IFERROR(__xludf.DUMMYFUNCTION("""COMPUTED_VALUE"""),"SUMMIT")</f>
        <v>SUMMIT</v>
      </c>
      <c r="AM185" s="12"/>
      <c r="AN185" s="12"/>
      <c r="AO185" s="12"/>
      <c r="AP185" s="12"/>
      <c r="AQ185" s="12"/>
      <c r="BC185" s="12"/>
      <c r="BD185" s="12"/>
      <c r="BE185" s="14"/>
      <c r="BF185" s="12"/>
      <c r="BG185" s="12"/>
      <c r="BH185" s="12" t="str">
        <f>IFERROR(__xludf.DUMMYFUNCTION("IFERROR(INDEX(QUERY(IMPORTRANGE(""1T7HG8KEs-Ob7f3M5atEVN9Yn7IeORGp0QGvggB62ELw"",""Maestro!A:I""),""SELECT Col8 WHERE Col3 = '""&amp;BE185&amp;""'"", 0), 1, 1),""NO ENCONTRADO"")"),"")</f>
        <v/>
      </c>
      <c r="BI185" s="12" t="str">
        <f>IFERROR(__xludf.DUMMYFUNCTION("IFERROR(INDEX(QUERY(IMPORTRANGE(""1T7HG8KEs-Ob7f3M5atEVN9Yn7IeORGp0QGvggB62ELw"",""Maestro!A:I""),""SELECT Col7 WHERE Col3 = '""&amp;BE185&amp;""'"", 0), 1, 1),""NO ENCONTRADO"")"),"")</f>
        <v/>
      </c>
      <c r="BJ185" s="16">
        <f t="shared" si="11"/>
        <v>0</v>
      </c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4"/>
      <c r="BX185" s="14"/>
      <c r="BY185" s="14"/>
      <c r="BZ185" s="14"/>
      <c r="CA185" s="14"/>
      <c r="CB185" s="14"/>
      <c r="CC185" s="14"/>
      <c r="CD185" s="14"/>
      <c r="CE185" s="14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</row>
    <row r="186">
      <c r="A186" s="158">
        <v>4.0</v>
      </c>
      <c r="B186" s="159" t="s">
        <v>382</v>
      </c>
      <c r="C186" s="160" t="s">
        <v>285</v>
      </c>
      <c r="D186" s="161" t="str">
        <f t="shared" si="8"/>
        <v>4-16-D</v>
      </c>
      <c r="E186" s="162">
        <v>45827.0</v>
      </c>
      <c r="F186" s="170" t="s">
        <v>652</v>
      </c>
      <c r="G186" s="164" t="s">
        <v>196</v>
      </c>
      <c r="H186" s="165" t="s">
        <v>197</v>
      </c>
      <c r="I186" s="166">
        <v>63.0</v>
      </c>
      <c r="J186" s="167" t="s">
        <v>43</v>
      </c>
      <c r="K186" s="27" t="str">
        <f t="shared" si="2"/>
        <v>OCUPADO</v>
      </c>
      <c r="L186" s="28">
        <f t="shared" si="10"/>
        <v>185</v>
      </c>
      <c r="M186" s="28" t="s">
        <v>23</v>
      </c>
      <c r="N186" s="28"/>
      <c r="O186" s="168" t="s">
        <v>270</v>
      </c>
      <c r="P186" s="12"/>
      <c r="Q186" s="12"/>
      <c r="R186" s="12"/>
      <c r="S186" s="12"/>
      <c r="T186" s="12"/>
      <c r="U186" s="12"/>
      <c r="V186" s="12"/>
      <c r="AB186" s="12"/>
      <c r="AC186" s="12" t="str">
        <f>IFERROR(__xludf.DUMMYFUNCTION("""COMPUTED_VALUE"""),"T-1-14")</f>
        <v>T-1-14</v>
      </c>
      <c r="AD186" s="12" t="str">
        <f>IFERROR(__xludf.DUMMYFUNCTION("""COMPUTED_VALUE"""),"692012X")</f>
        <v>692012X</v>
      </c>
      <c r="AE186" s="12" t="str">
        <f>IFERROR(__xludf.DUMMYFUNCTION("""COMPUTED_VALUE"""),"CAJA CARTON CORRUGADO 50x40x30 ")</f>
        <v>CAJA CARTON CORRUGADO 50x40x30 </v>
      </c>
      <c r="AF186" s="30">
        <f>IFERROR(__xludf.DUMMYFUNCTION("""COMPUTED_VALUE"""),225.0)</f>
        <v>225</v>
      </c>
      <c r="AG186" s="12" t="str">
        <f>IFERROR(__xludf.DUMMYFUNCTION("""COMPUTED_VALUE"""),"PROVEEDOR")</f>
        <v>PROVEEDOR</v>
      </c>
      <c r="AH186" s="12"/>
      <c r="AI186" s="12" t="str">
        <f>IFERROR(__xludf.DUMMYFUNCTION("""COMPUTED_VALUE"""),"1")</f>
        <v>1</v>
      </c>
      <c r="AJ186" s="12" t="str">
        <f>IFERROR(__xludf.DUMMYFUNCTION("""COMPUTED_VALUE"""),"14")</f>
        <v>14</v>
      </c>
      <c r="AK186" s="12">
        <f>IFERROR(__xludf.DUMMYFUNCTION("""COMPUTED_VALUE"""),321.0)</f>
        <v>321</v>
      </c>
      <c r="AL186" s="12" t="str">
        <f>IFERROR(__xludf.DUMMYFUNCTION("""COMPUTED_VALUE"""),"SUMMIT")</f>
        <v>SUMMIT</v>
      </c>
      <c r="AM186" s="12"/>
      <c r="AN186" s="12"/>
      <c r="AO186" s="12"/>
      <c r="AP186" s="12"/>
      <c r="AQ186" s="12"/>
      <c r="BC186" s="12"/>
      <c r="BD186" s="12"/>
      <c r="BE186" s="14"/>
      <c r="BF186" s="12"/>
      <c r="BG186" s="12"/>
      <c r="BH186" s="12" t="str">
        <f>IFERROR(__xludf.DUMMYFUNCTION("IFERROR(INDEX(QUERY(IMPORTRANGE(""1T7HG8KEs-Ob7f3M5atEVN9Yn7IeORGp0QGvggB62ELw"",""Maestro!A:I""),""SELECT Col8 WHERE Col3 = '""&amp;BE186&amp;""'"", 0), 1, 1),""NO ENCONTRADO"")"),"")</f>
        <v/>
      </c>
      <c r="BI186" s="12" t="str">
        <f>IFERROR(__xludf.DUMMYFUNCTION("IFERROR(INDEX(QUERY(IMPORTRANGE(""1T7HG8KEs-Ob7f3M5atEVN9Yn7IeORGp0QGvggB62ELw"",""Maestro!A:I""),""SELECT Col7 WHERE Col3 = '""&amp;BE186&amp;""'"", 0), 1, 1),""NO ENCONTRADO"")"),"")</f>
        <v/>
      </c>
      <c r="BJ186" s="16">
        <f t="shared" si="11"/>
        <v>0</v>
      </c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4"/>
      <c r="BX186" s="14"/>
      <c r="BY186" s="14"/>
      <c r="BZ186" s="14"/>
      <c r="CA186" s="14"/>
      <c r="CB186" s="14"/>
      <c r="CC186" s="14"/>
      <c r="CD186" s="14"/>
      <c r="CE186" s="14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</row>
    <row r="187">
      <c r="A187" s="158">
        <v>4.0</v>
      </c>
      <c r="B187" s="159" t="s">
        <v>396</v>
      </c>
      <c r="C187" s="160" t="s">
        <v>269</v>
      </c>
      <c r="D187" s="161" t="str">
        <f t="shared" si="8"/>
        <v>4-17-A</v>
      </c>
      <c r="E187" s="162">
        <v>45827.0</v>
      </c>
      <c r="F187" s="163" t="s">
        <v>652</v>
      </c>
      <c r="G187" s="164" t="s">
        <v>196</v>
      </c>
      <c r="H187" s="165" t="s">
        <v>197</v>
      </c>
      <c r="I187" s="166">
        <v>63.0</v>
      </c>
      <c r="J187" s="167" t="s">
        <v>43</v>
      </c>
      <c r="K187" s="32" t="str">
        <f t="shared" si="2"/>
        <v>OCUPADO</v>
      </c>
      <c r="L187" s="33">
        <f t="shared" si="10"/>
        <v>186</v>
      </c>
      <c r="M187" s="33" t="s">
        <v>23</v>
      </c>
      <c r="N187" s="33"/>
      <c r="O187" s="169" t="s">
        <v>270</v>
      </c>
      <c r="P187" s="12"/>
      <c r="Q187" s="12"/>
      <c r="R187" s="12"/>
      <c r="S187" s="12"/>
      <c r="T187" s="12"/>
      <c r="U187" s="12"/>
      <c r="V187" s="12"/>
      <c r="AB187" s="12"/>
      <c r="AC187" s="12" t="str">
        <f>IFERROR(__xludf.DUMMYFUNCTION("""COMPUTED_VALUE"""),"T-1-15")</f>
        <v>T-1-15</v>
      </c>
      <c r="AD187" s="12" t="str">
        <f>IFERROR(__xludf.DUMMYFUNCTION("""COMPUTED_VALUE"""),"692012X")</f>
        <v>692012X</v>
      </c>
      <c r="AE187" s="12" t="str">
        <f>IFERROR(__xludf.DUMMYFUNCTION("""COMPUTED_VALUE"""),"CAJA CARTON CORRUGADO 50x40x30 ")</f>
        <v>CAJA CARTON CORRUGADO 50x40x30 </v>
      </c>
      <c r="AF187" s="30">
        <f>IFERROR(__xludf.DUMMYFUNCTION("""COMPUTED_VALUE"""),225.0)</f>
        <v>225</v>
      </c>
      <c r="AG187" s="12" t="str">
        <f>IFERROR(__xludf.DUMMYFUNCTION("""COMPUTED_VALUE"""),"PROVEEDOR")</f>
        <v>PROVEEDOR</v>
      </c>
      <c r="AH187" s="12"/>
      <c r="AI187" s="12" t="str">
        <f>IFERROR(__xludf.DUMMYFUNCTION("""COMPUTED_VALUE"""),"1")</f>
        <v>1</v>
      </c>
      <c r="AJ187" s="12" t="str">
        <f>IFERROR(__xludf.DUMMYFUNCTION("""COMPUTED_VALUE"""),"15")</f>
        <v>15</v>
      </c>
      <c r="AK187" s="12">
        <f>IFERROR(__xludf.DUMMYFUNCTION("""COMPUTED_VALUE"""),322.0)</f>
        <v>322</v>
      </c>
      <c r="AL187" s="12" t="str">
        <f>IFERROR(__xludf.DUMMYFUNCTION("""COMPUTED_VALUE"""),"SUMMIT")</f>
        <v>SUMMIT</v>
      </c>
      <c r="AM187" s="12"/>
      <c r="AN187" s="12"/>
      <c r="AO187" s="12"/>
      <c r="AP187" s="12"/>
      <c r="AQ187" s="12"/>
      <c r="BC187" s="12"/>
      <c r="BD187" s="12"/>
      <c r="BE187" s="14"/>
      <c r="BF187" s="12"/>
      <c r="BG187" s="12"/>
      <c r="BH187" s="12" t="str">
        <f>IFERROR(__xludf.DUMMYFUNCTION("IFERROR(INDEX(QUERY(IMPORTRANGE(""1T7HG8KEs-Ob7f3M5atEVN9Yn7IeORGp0QGvggB62ELw"",""Maestro!A:I""),""SELECT Col8 WHERE Col3 = '""&amp;BE187&amp;""'"", 0), 1, 1),""NO ENCONTRADO"")"),"")</f>
        <v/>
      </c>
      <c r="BI187" s="12" t="str">
        <f>IFERROR(__xludf.DUMMYFUNCTION("IFERROR(INDEX(QUERY(IMPORTRANGE(""1T7HG8KEs-Ob7f3M5atEVN9Yn7IeORGp0QGvggB62ELw"",""Maestro!A:I""),""SELECT Col7 WHERE Col3 = '""&amp;BE187&amp;""'"", 0), 1, 1),""NO ENCONTRADO"")"),"")</f>
        <v/>
      </c>
      <c r="BJ187" s="16">
        <f t="shared" si="11"/>
        <v>0</v>
      </c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4"/>
      <c r="BX187" s="14"/>
      <c r="BY187" s="14"/>
      <c r="BZ187" s="14"/>
      <c r="CA187" s="14"/>
      <c r="CB187" s="14"/>
      <c r="CC187" s="14"/>
      <c r="CD187" s="14"/>
      <c r="CE187" s="14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</row>
    <row r="188">
      <c r="A188" s="158">
        <v>4.0</v>
      </c>
      <c r="B188" s="159" t="s">
        <v>396</v>
      </c>
      <c r="C188" s="160" t="s">
        <v>277</v>
      </c>
      <c r="D188" s="161" t="str">
        <f t="shared" si="8"/>
        <v>4-17-B</v>
      </c>
      <c r="E188" s="162">
        <v>45827.0</v>
      </c>
      <c r="F188" s="163" t="s">
        <v>652</v>
      </c>
      <c r="G188" s="164" t="s">
        <v>196</v>
      </c>
      <c r="H188" s="165" t="s">
        <v>197</v>
      </c>
      <c r="I188" s="166">
        <v>63.0</v>
      </c>
      <c r="J188" s="167" t="s">
        <v>43</v>
      </c>
      <c r="K188" s="27" t="str">
        <f t="shared" si="2"/>
        <v>OCUPADO</v>
      </c>
      <c r="L188" s="28">
        <f t="shared" si="10"/>
        <v>187</v>
      </c>
      <c r="M188" s="28" t="s">
        <v>23</v>
      </c>
      <c r="N188" s="28"/>
      <c r="O188" s="168" t="s">
        <v>270</v>
      </c>
      <c r="P188" s="12"/>
      <c r="Q188" s="12"/>
      <c r="R188" s="12"/>
      <c r="S188" s="12"/>
      <c r="T188" s="12"/>
      <c r="U188" s="12"/>
      <c r="V188" s="12"/>
      <c r="AB188" s="12"/>
      <c r="AC188" s="12" t="str">
        <f>IFERROR(__xludf.DUMMYFUNCTION("""COMPUTED_VALUE"""),"T-1-16")</f>
        <v>T-1-16</v>
      </c>
      <c r="AD188" s="12" t="str">
        <f>IFERROR(__xludf.DUMMYFUNCTION("""COMPUTED_VALUE"""),"692012X")</f>
        <v>692012X</v>
      </c>
      <c r="AE188" s="12" t="str">
        <f>IFERROR(__xludf.DUMMYFUNCTION("""COMPUTED_VALUE"""),"CAJA CARTON CORRUGADO 50x40x30 ")</f>
        <v>CAJA CARTON CORRUGADO 50x40x30 </v>
      </c>
      <c r="AF188" s="30">
        <f>IFERROR(__xludf.DUMMYFUNCTION("""COMPUTED_VALUE"""),225.0)</f>
        <v>225</v>
      </c>
      <c r="AG188" s="12" t="str">
        <f>IFERROR(__xludf.DUMMYFUNCTION("""COMPUTED_VALUE"""),"PROVEEDOR")</f>
        <v>PROVEEDOR</v>
      </c>
      <c r="AH188" s="12"/>
      <c r="AI188" s="12" t="str">
        <f>IFERROR(__xludf.DUMMYFUNCTION("""COMPUTED_VALUE"""),"1")</f>
        <v>1</v>
      </c>
      <c r="AJ188" s="12" t="str">
        <f>IFERROR(__xludf.DUMMYFUNCTION("""COMPUTED_VALUE"""),"16")</f>
        <v>16</v>
      </c>
      <c r="AK188" s="12">
        <f>IFERROR(__xludf.DUMMYFUNCTION("""COMPUTED_VALUE"""),323.0)</f>
        <v>323</v>
      </c>
      <c r="AL188" s="12" t="str">
        <f>IFERROR(__xludf.DUMMYFUNCTION("""COMPUTED_VALUE"""),"SUMMIT")</f>
        <v>SUMMIT</v>
      </c>
      <c r="AM188" s="12"/>
      <c r="AN188" s="12"/>
      <c r="AO188" s="12"/>
      <c r="AP188" s="12"/>
      <c r="AQ188" s="12"/>
      <c r="BC188" s="12"/>
      <c r="BD188" s="12"/>
      <c r="BE188" s="14"/>
      <c r="BF188" s="12"/>
      <c r="BG188" s="12"/>
      <c r="BH188" s="12" t="str">
        <f>IFERROR(__xludf.DUMMYFUNCTION("IFERROR(INDEX(QUERY(IMPORTRANGE(""1T7HG8KEs-Ob7f3M5atEVN9Yn7IeORGp0QGvggB62ELw"",""Maestro!A:I""),""SELECT Col8 WHERE Col3 = '""&amp;BE188&amp;""'"", 0), 1, 1),""NO ENCONTRADO"")"),"")</f>
        <v/>
      </c>
      <c r="BI188" s="12" t="str">
        <f>IFERROR(__xludf.DUMMYFUNCTION("IFERROR(INDEX(QUERY(IMPORTRANGE(""1T7HG8KEs-Ob7f3M5atEVN9Yn7IeORGp0QGvggB62ELw"",""Maestro!A:I""),""SELECT Col7 WHERE Col3 = '""&amp;BE188&amp;""'"", 0), 1, 1),""NO ENCONTRADO"")"),"")</f>
        <v/>
      </c>
      <c r="BJ188" s="16">
        <f t="shared" si="11"/>
        <v>0</v>
      </c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4"/>
      <c r="BX188" s="14"/>
      <c r="BY188" s="14"/>
      <c r="BZ188" s="14"/>
      <c r="CA188" s="14"/>
      <c r="CB188" s="14"/>
      <c r="CC188" s="14"/>
      <c r="CD188" s="14"/>
      <c r="CE188" s="14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</row>
    <row r="189">
      <c r="A189" s="158">
        <v>4.0</v>
      </c>
      <c r="B189" s="159" t="s">
        <v>396</v>
      </c>
      <c r="C189" s="160" t="s">
        <v>282</v>
      </c>
      <c r="D189" s="161" t="str">
        <f t="shared" si="8"/>
        <v>4-17-C</v>
      </c>
      <c r="E189" s="162">
        <v>45827.0</v>
      </c>
      <c r="F189" s="163" t="s">
        <v>652</v>
      </c>
      <c r="G189" s="164" t="s">
        <v>196</v>
      </c>
      <c r="H189" s="165" t="s">
        <v>197</v>
      </c>
      <c r="I189" s="166">
        <v>63.0</v>
      </c>
      <c r="J189" s="167" t="s">
        <v>43</v>
      </c>
      <c r="K189" s="32" t="str">
        <f t="shared" si="2"/>
        <v>OCUPADO</v>
      </c>
      <c r="L189" s="33">
        <f t="shared" si="10"/>
        <v>188</v>
      </c>
      <c r="M189" s="33" t="s">
        <v>23</v>
      </c>
      <c r="N189" s="33">
        <v>22.0</v>
      </c>
      <c r="O189" s="169" t="s">
        <v>270</v>
      </c>
      <c r="P189" s="12"/>
      <c r="Q189" s="12"/>
      <c r="R189" s="12"/>
      <c r="S189" s="12"/>
      <c r="T189" s="12"/>
      <c r="U189" s="12"/>
      <c r="V189" s="12"/>
      <c r="AB189" s="12"/>
      <c r="AC189" s="12" t="str">
        <f>IFERROR(__xludf.DUMMYFUNCTION("""COMPUTED_VALUE"""),"T-1-17")</f>
        <v>T-1-17</v>
      </c>
      <c r="AD189" s="12" t="str">
        <f>IFERROR(__xludf.DUMMYFUNCTION("""COMPUTED_VALUE"""),"692012X")</f>
        <v>692012X</v>
      </c>
      <c r="AE189" s="12" t="str">
        <f>IFERROR(__xludf.DUMMYFUNCTION("""COMPUTED_VALUE"""),"CAJA CARTON CORRUGADO 50x40x30 ")</f>
        <v>CAJA CARTON CORRUGADO 50x40x30 </v>
      </c>
      <c r="AF189" s="30">
        <f>IFERROR(__xludf.DUMMYFUNCTION("""COMPUTED_VALUE"""),225.0)</f>
        <v>225</v>
      </c>
      <c r="AG189" s="12" t="str">
        <f>IFERROR(__xludf.DUMMYFUNCTION("""COMPUTED_VALUE"""),"PROVEEDOR")</f>
        <v>PROVEEDOR</v>
      </c>
      <c r="AH189" s="12"/>
      <c r="AI189" s="12" t="str">
        <f>IFERROR(__xludf.DUMMYFUNCTION("""COMPUTED_VALUE"""),"1")</f>
        <v>1</v>
      </c>
      <c r="AJ189" s="12" t="str">
        <f>IFERROR(__xludf.DUMMYFUNCTION("""COMPUTED_VALUE"""),"17")</f>
        <v>17</v>
      </c>
      <c r="AK189" s="12">
        <f>IFERROR(__xludf.DUMMYFUNCTION("""COMPUTED_VALUE"""),324.0)</f>
        <v>324</v>
      </c>
      <c r="AL189" s="12" t="str">
        <f>IFERROR(__xludf.DUMMYFUNCTION("""COMPUTED_VALUE"""),"SUMMIT")</f>
        <v>SUMMIT</v>
      </c>
      <c r="AM189" s="12"/>
      <c r="AN189" s="12"/>
      <c r="AO189" s="12"/>
      <c r="AP189" s="12"/>
      <c r="AQ189" s="12"/>
      <c r="BC189" s="12"/>
      <c r="BD189" s="12"/>
      <c r="BE189" s="14"/>
      <c r="BF189" s="12"/>
      <c r="BG189" s="12"/>
      <c r="BH189" s="12" t="str">
        <f>IFERROR(__xludf.DUMMYFUNCTION("IFERROR(INDEX(QUERY(IMPORTRANGE(""1T7HG8KEs-Ob7f3M5atEVN9Yn7IeORGp0QGvggB62ELw"",""Maestro!A:I""),""SELECT Col8 WHERE Col3 = '""&amp;BE189&amp;""'"", 0), 1, 1),""NO ENCONTRADO"")"),"")</f>
        <v/>
      </c>
      <c r="BI189" s="12" t="str">
        <f>IFERROR(__xludf.DUMMYFUNCTION("IFERROR(INDEX(QUERY(IMPORTRANGE(""1T7HG8KEs-Ob7f3M5atEVN9Yn7IeORGp0QGvggB62ELw"",""Maestro!A:I""),""SELECT Col7 WHERE Col3 = '""&amp;BE189&amp;""'"", 0), 1, 1),""NO ENCONTRADO"")"),"")</f>
        <v/>
      </c>
      <c r="BJ189" s="16">
        <f t="shared" si="11"/>
        <v>0</v>
      </c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4"/>
      <c r="BX189" s="14"/>
      <c r="BY189" s="14"/>
      <c r="BZ189" s="14"/>
      <c r="CA189" s="14"/>
      <c r="CB189" s="14"/>
      <c r="CC189" s="14"/>
      <c r="CD189" s="14"/>
      <c r="CE189" s="14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</row>
    <row r="190">
      <c r="A190" s="158">
        <v>4.0</v>
      </c>
      <c r="B190" s="159" t="s">
        <v>396</v>
      </c>
      <c r="C190" s="160" t="s">
        <v>285</v>
      </c>
      <c r="D190" s="161" t="str">
        <f t="shared" si="8"/>
        <v>4-17-D</v>
      </c>
      <c r="E190" s="162">
        <v>45827.0</v>
      </c>
      <c r="F190" s="163" t="s">
        <v>652</v>
      </c>
      <c r="G190" s="164" t="s">
        <v>196</v>
      </c>
      <c r="H190" s="165" t="s">
        <v>197</v>
      </c>
      <c r="I190" s="166">
        <v>63.0</v>
      </c>
      <c r="J190" s="167" t="s">
        <v>43</v>
      </c>
      <c r="K190" s="27" t="str">
        <f t="shared" si="2"/>
        <v>OCUPADO</v>
      </c>
      <c r="L190" s="28">
        <f t="shared" si="10"/>
        <v>189</v>
      </c>
      <c r="M190" s="28" t="s">
        <v>23</v>
      </c>
      <c r="N190" s="28"/>
      <c r="O190" s="168" t="s">
        <v>270</v>
      </c>
      <c r="P190" s="12"/>
      <c r="Q190" s="12"/>
      <c r="R190" s="12"/>
      <c r="S190" s="12"/>
      <c r="T190" s="12"/>
      <c r="U190" s="12"/>
      <c r="V190" s="12"/>
      <c r="AB190" s="12"/>
      <c r="AC190" s="12" t="str">
        <f>IFERROR(__xludf.DUMMYFUNCTION("""COMPUTED_VALUE"""),"T-1-18")</f>
        <v>T-1-18</v>
      </c>
      <c r="AD190" s="12" t="str">
        <f>IFERROR(__xludf.DUMMYFUNCTION("""COMPUTED_VALUE"""),"692036X")</f>
        <v>692036X</v>
      </c>
      <c r="AE190" s="12" t="str">
        <f>IFERROR(__xludf.DUMMYFUNCTION("""COMPUTED_VALUE"""),"CAJA CARTON CORRUGADO 47x31x31 ")</f>
        <v>CAJA CARTON CORRUGADO 47x31x31 </v>
      </c>
      <c r="AF190" s="30">
        <f>IFERROR(__xludf.DUMMYFUNCTION("""COMPUTED_VALUE"""),350.0)</f>
        <v>350</v>
      </c>
      <c r="AG190" s="12" t="str">
        <f>IFERROR(__xludf.DUMMYFUNCTION("""COMPUTED_VALUE"""),"PROVEEDOR")</f>
        <v>PROVEEDOR</v>
      </c>
      <c r="AH190" s="12"/>
      <c r="AI190" s="12" t="str">
        <f>IFERROR(__xludf.DUMMYFUNCTION("""COMPUTED_VALUE"""),"1")</f>
        <v>1</v>
      </c>
      <c r="AJ190" s="12" t="str">
        <f>IFERROR(__xludf.DUMMYFUNCTION("""COMPUTED_VALUE"""),"18")</f>
        <v>18</v>
      </c>
      <c r="AK190" s="12">
        <f>IFERROR(__xludf.DUMMYFUNCTION("""COMPUTED_VALUE"""),325.0)</f>
        <v>325</v>
      </c>
      <c r="AL190" s="12" t="str">
        <f>IFERROR(__xludf.DUMMYFUNCTION("""COMPUTED_VALUE"""),"SUMMIT")</f>
        <v>SUMMIT</v>
      </c>
      <c r="AM190" s="12"/>
      <c r="AN190" s="12"/>
      <c r="AO190" s="12"/>
      <c r="AP190" s="12"/>
      <c r="AQ190" s="12"/>
      <c r="BC190" s="12"/>
      <c r="BD190" s="12"/>
      <c r="BE190" s="14"/>
      <c r="BF190" s="12"/>
      <c r="BG190" s="12"/>
      <c r="BH190" s="12" t="str">
        <f>IFERROR(__xludf.DUMMYFUNCTION("IFERROR(INDEX(QUERY(IMPORTRANGE(""1T7HG8KEs-Ob7f3M5atEVN9Yn7IeORGp0QGvggB62ELw"",""Maestro!A:I""),""SELECT Col8 WHERE Col3 = '""&amp;BE190&amp;""'"", 0), 1, 1),""NO ENCONTRADO"")"),"")</f>
        <v/>
      </c>
      <c r="BI190" s="12" t="str">
        <f>IFERROR(__xludf.DUMMYFUNCTION("IFERROR(INDEX(QUERY(IMPORTRANGE(""1T7HG8KEs-Ob7f3M5atEVN9Yn7IeORGp0QGvggB62ELw"",""Maestro!A:I""),""SELECT Col7 WHERE Col3 = '""&amp;BE190&amp;""'"", 0), 1, 1),""NO ENCONTRADO"")"),"")</f>
        <v/>
      </c>
      <c r="BJ190" s="16">
        <f t="shared" si="11"/>
        <v>0</v>
      </c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4"/>
      <c r="BX190" s="14"/>
      <c r="BY190" s="14"/>
      <c r="BZ190" s="14"/>
      <c r="CA190" s="14"/>
      <c r="CB190" s="14"/>
      <c r="CC190" s="14"/>
      <c r="CD190" s="14"/>
      <c r="CE190" s="14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</row>
    <row r="191">
      <c r="A191" s="158">
        <v>4.0</v>
      </c>
      <c r="B191" s="159" t="s">
        <v>411</v>
      </c>
      <c r="C191" s="160" t="s">
        <v>269</v>
      </c>
      <c r="D191" s="161" t="str">
        <f t="shared" si="8"/>
        <v>4-18-A</v>
      </c>
      <c r="E191" s="162">
        <v>45824.0</v>
      </c>
      <c r="F191" s="163" t="s">
        <v>666</v>
      </c>
      <c r="G191" s="164" t="s">
        <v>249</v>
      </c>
      <c r="H191" s="165" t="s">
        <v>250</v>
      </c>
      <c r="I191" s="166">
        <v>300.0</v>
      </c>
      <c r="J191" s="167" t="s">
        <v>43</v>
      </c>
      <c r="K191" s="32" t="str">
        <f t="shared" si="2"/>
        <v>OCUPADO</v>
      </c>
      <c r="L191" s="33">
        <f t="shared" si="10"/>
        <v>190</v>
      </c>
      <c r="M191" s="33" t="s">
        <v>23</v>
      </c>
      <c r="N191" s="122"/>
      <c r="O191" s="169" t="s">
        <v>270</v>
      </c>
      <c r="P191" s="12"/>
      <c r="Q191" s="12"/>
      <c r="R191" s="12"/>
      <c r="S191" s="12"/>
      <c r="T191" s="12"/>
      <c r="U191" s="12"/>
      <c r="V191" s="12"/>
      <c r="AB191" s="12"/>
      <c r="AC191" s="12" t="str">
        <f>IFERROR(__xludf.DUMMYFUNCTION("""COMPUTED_VALUE"""),"T-1-19")</f>
        <v>T-1-19</v>
      </c>
      <c r="AD191" s="12" t="str">
        <f>IFERROR(__xludf.DUMMYFUNCTION("""COMPUTED_VALUE"""),"692036X")</f>
        <v>692036X</v>
      </c>
      <c r="AE191" s="12" t="str">
        <f>IFERROR(__xludf.DUMMYFUNCTION("""COMPUTED_VALUE"""),"CAJA CARTON CORRUGADO 47x31x31 ")</f>
        <v>CAJA CARTON CORRUGADO 47x31x31 </v>
      </c>
      <c r="AF191" s="30">
        <f>IFERROR(__xludf.DUMMYFUNCTION("""COMPUTED_VALUE"""),350.0)</f>
        <v>350</v>
      </c>
      <c r="AG191" s="12" t="str">
        <f>IFERROR(__xludf.DUMMYFUNCTION("""COMPUTED_VALUE"""),"PROVEEDOR")</f>
        <v>PROVEEDOR</v>
      </c>
      <c r="AH191" s="12"/>
      <c r="AI191" s="12" t="str">
        <f>IFERROR(__xludf.DUMMYFUNCTION("""COMPUTED_VALUE"""),"1")</f>
        <v>1</v>
      </c>
      <c r="AJ191" s="12" t="str">
        <f>IFERROR(__xludf.DUMMYFUNCTION("""COMPUTED_VALUE"""),"19")</f>
        <v>19</v>
      </c>
      <c r="AK191" s="12">
        <f>IFERROR(__xludf.DUMMYFUNCTION("""COMPUTED_VALUE"""),326.0)</f>
        <v>326</v>
      </c>
      <c r="AL191" s="12" t="str">
        <f>IFERROR(__xludf.DUMMYFUNCTION("""COMPUTED_VALUE"""),"SUMMIT")</f>
        <v>SUMMIT</v>
      </c>
      <c r="AM191" s="12"/>
      <c r="AN191" s="12"/>
      <c r="AO191" s="12"/>
      <c r="AP191" s="12"/>
      <c r="AQ191" s="12"/>
      <c r="BC191" s="12"/>
      <c r="BD191" s="12"/>
      <c r="BE191" s="14"/>
      <c r="BF191" s="12"/>
      <c r="BG191" s="12"/>
      <c r="BH191" s="12" t="str">
        <f>IFERROR(__xludf.DUMMYFUNCTION("IFERROR(INDEX(QUERY(IMPORTRANGE(""1T7HG8KEs-Ob7f3M5atEVN9Yn7IeORGp0QGvggB62ELw"",""Maestro!A:I""),""SELECT Col8 WHERE Col3 = '""&amp;BE191&amp;""'"", 0), 1, 1),""NO ENCONTRADO"")"),"")</f>
        <v/>
      </c>
      <c r="BI191" s="12" t="str">
        <f>IFERROR(__xludf.DUMMYFUNCTION("IFERROR(INDEX(QUERY(IMPORTRANGE(""1T7HG8KEs-Ob7f3M5atEVN9Yn7IeORGp0QGvggB62ELw"",""Maestro!A:I""),""SELECT Col7 WHERE Col3 = '""&amp;BE191&amp;""'"", 0), 1, 1),""NO ENCONTRADO"")"),"")</f>
        <v/>
      </c>
      <c r="BJ191" s="16">
        <f t="shared" si="11"/>
        <v>0</v>
      </c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4"/>
      <c r="BX191" s="14"/>
      <c r="BY191" s="14"/>
      <c r="BZ191" s="14"/>
      <c r="CA191" s="14"/>
      <c r="CB191" s="14"/>
      <c r="CC191" s="14"/>
      <c r="CD191" s="14"/>
      <c r="CE191" s="14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</row>
    <row r="192">
      <c r="A192" s="158">
        <v>4.0</v>
      </c>
      <c r="B192" s="159" t="s">
        <v>411</v>
      </c>
      <c r="C192" s="160" t="s">
        <v>277</v>
      </c>
      <c r="D192" s="161" t="str">
        <f t="shared" si="8"/>
        <v>4-18-B</v>
      </c>
      <c r="E192" s="162">
        <v>45824.0</v>
      </c>
      <c r="F192" s="163" t="s">
        <v>666</v>
      </c>
      <c r="G192" s="164" t="s">
        <v>249</v>
      </c>
      <c r="H192" s="165" t="s">
        <v>250</v>
      </c>
      <c r="I192" s="166">
        <v>300.0</v>
      </c>
      <c r="J192" s="167" t="s">
        <v>43</v>
      </c>
      <c r="K192" s="27" t="str">
        <f t="shared" si="2"/>
        <v>OCUPADO</v>
      </c>
      <c r="L192" s="28">
        <f t="shared" si="10"/>
        <v>191</v>
      </c>
      <c r="M192" s="28" t="s">
        <v>23</v>
      </c>
      <c r="N192" s="109"/>
      <c r="O192" s="168" t="s">
        <v>270</v>
      </c>
      <c r="P192" s="12"/>
      <c r="Q192" s="12"/>
      <c r="R192" s="12"/>
      <c r="S192" s="12"/>
      <c r="T192" s="12"/>
      <c r="U192" s="12"/>
      <c r="V192" s="12"/>
      <c r="AB192" s="12"/>
      <c r="AC192" s="12" t="str">
        <f>IFERROR(__xludf.DUMMYFUNCTION("""COMPUTED_VALUE"""),"T-1-20")</f>
        <v>T-1-20</v>
      </c>
      <c r="AD192" s="12" t="str">
        <f>IFERROR(__xludf.DUMMYFUNCTION("""COMPUTED_VALUE"""),"692036X")</f>
        <v>692036X</v>
      </c>
      <c r="AE192" s="12" t="str">
        <f>IFERROR(__xludf.DUMMYFUNCTION("""COMPUTED_VALUE"""),"CAJA CARTON CORRUGADO 47x31x31 ")</f>
        <v>CAJA CARTON CORRUGADO 47x31x31 </v>
      </c>
      <c r="AF192" s="30">
        <f>IFERROR(__xludf.DUMMYFUNCTION("""COMPUTED_VALUE"""),350.0)</f>
        <v>350</v>
      </c>
      <c r="AG192" s="12" t="str">
        <f>IFERROR(__xludf.DUMMYFUNCTION("""COMPUTED_VALUE"""),"PROVEEDOR")</f>
        <v>PROVEEDOR</v>
      </c>
      <c r="AH192" s="12"/>
      <c r="AI192" s="12" t="str">
        <f>IFERROR(__xludf.DUMMYFUNCTION("""COMPUTED_VALUE"""),"1")</f>
        <v>1</v>
      </c>
      <c r="AJ192" s="12" t="str">
        <f>IFERROR(__xludf.DUMMYFUNCTION("""COMPUTED_VALUE"""),"20")</f>
        <v>20</v>
      </c>
      <c r="AK192" s="12">
        <f>IFERROR(__xludf.DUMMYFUNCTION("""COMPUTED_VALUE"""),327.0)</f>
        <v>327</v>
      </c>
      <c r="AL192" s="12" t="str">
        <f>IFERROR(__xludf.DUMMYFUNCTION("""COMPUTED_VALUE"""),"SUMMIT")</f>
        <v>SUMMIT</v>
      </c>
      <c r="AM192" s="12"/>
      <c r="AN192" s="12"/>
      <c r="AO192" s="12"/>
      <c r="AP192" s="12"/>
      <c r="AQ192" s="12"/>
      <c r="BC192" s="12"/>
      <c r="BD192" s="12"/>
      <c r="BE192" s="14"/>
      <c r="BF192" s="12"/>
      <c r="BG192" s="12"/>
      <c r="BH192" s="12" t="str">
        <f>IFERROR(__xludf.DUMMYFUNCTION("IFERROR(INDEX(QUERY(IMPORTRANGE(""1T7HG8KEs-Ob7f3M5atEVN9Yn7IeORGp0QGvggB62ELw"",""Maestro!A:I""),""SELECT Col8 WHERE Col3 = '""&amp;BE192&amp;""'"", 0), 1, 1),""NO ENCONTRADO"")"),"")</f>
        <v/>
      </c>
      <c r="BI192" s="12" t="str">
        <f>IFERROR(__xludf.DUMMYFUNCTION("IFERROR(INDEX(QUERY(IMPORTRANGE(""1T7HG8KEs-Ob7f3M5atEVN9Yn7IeORGp0QGvggB62ELw"",""Maestro!A:I""),""SELECT Col7 WHERE Col3 = '""&amp;BE192&amp;""'"", 0), 1, 1),""NO ENCONTRADO"")"),"")</f>
        <v/>
      </c>
      <c r="BJ192" s="16">
        <f t="shared" si="11"/>
        <v>0</v>
      </c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4"/>
      <c r="BX192" s="14"/>
      <c r="BY192" s="14"/>
      <c r="BZ192" s="14"/>
      <c r="CA192" s="14"/>
      <c r="CB192" s="14"/>
      <c r="CC192" s="14"/>
      <c r="CD192" s="14"/>
      <c r="CE192" s="14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</row>
    <row r="193">
      <c r="A193" s="158">
        <v>4.0</v>
      </c>
      <c r="B193" s="159" t="s">
        <v>411</v>
      </c>
      <c r="C193" s="160" t="s">
        <v>282</v>
      </c>
      <c r="D193" s="161" t="str">
        <f t="shared" si="8"/>
        <v>4-18-C</v>
      </c>
      <c r="E193" s="162">
        <v>45824.0</v>
      </c>
      <c r="F193" s="163" t="s">
        <v>666</v>
      </c>
      <c r="G193" s="164" t="s">
        <v>249</v>
      </c>
      <c r="H193" s="165" t="s">
        <v>250</v>
      </c>
      <c r="I193" s="166">
        <v>300.0</v>
      </c>
      <c r="J193" s="167" t="s">
        <v>43</v>
      </c>
      <c r="K193" s="32" t="str">
        <f t="shared" si="2"/>
        <v>OCUPADO</v>
      </c>
      <c r="L193" s="33">
        <f t="shared" si="10"/>
        <v>192</v>
      </c>
      <c r="M193" s="33" t="s">
        <v>23</v>
      </c>
      <c r="N193" s="122"/>
      <c r="O193" s="169" t="s">
        <v>270</v>
      </c>
      <c r="P193" s="12"/>
      <c r="Q193" s="12"/>
      <c r="R193" s="12"/>
      <c r="S193" s="12"/>
      <c r="T193" s="12"/>
      <c r="U193" s="12"/>
      <c r="V193" s="12"/>
      <c r="AB193" s="12"/>
      <c r="AC193" s="12" t="str">
        <f>IFERROR(__xludf.DUMMYFUNCTION("""COMPUTED_VALUE"""),"T-1-21")</f>
        <v>T-1-21</v>
      </c>
      <c r="AD193" s="12" t="str">
        <f>IFERROR(__xludf.DUMMYFUNCTION("""COMPUTED_VALUE"""),"600482X")</f>
        <v>600482X</v>
      </c>
      <c r="AE193" s="12" t="str">
        <f>IFERROR(__xludf.DUMMYFUNCTION("""COMPUTED_VALUE"""),"CAJA CARTON CON ASAS 40X30X30 CM  EASY")</f>
        <v>CAJA CARTON CON ASAS 40X30X30 CM  EASY</v>
      </c>
      <c r="AF193" s="30">
        <f>IFERROR(__xludf.DUMMYFUNCTION("""COMPUTED_VALUE"""),340.0)</f>
        <v>340</v>
      </c>
      <c r="AG193" s="12" t="str">
        <f>IFERROR(__xludf.DUMMYFUNCTION("""COMPUTED_VALUE"""),"PROVEEDOR")</f>
        <v>PROVEEDOR</v>
      </c>
      <c r="AH193" s="12"/>
      <c r="AI193" s="12" t="str">
        <f>IFERROR(__xludf.DUMMYFUNCTION("""COMPUTED_VALUE"""),"1")</f>
        <v>1</v>
      </c>
      <c r="AJ193" s="12" t="str">
        <f>IFERROR(__xludf.DUMMYFUNCTION("""COMPUTED_VALUE"""),"21")</f>
        <v>21</v>
      </c>
      <c r="AK193" s="12">
        <f>IFERROR(__xludf.DUMMYFUNCTION("""COMPUTED_VALUE"""),328.0)</f>
        <v>328</v>
      </c>
      <c r="AL193" s="12" t="str">
        <f>IFERROR(__xludf.DUMMYFUNCTION("""COMPUTED_VALUE"""),"SUMMIT")</f>
        <v>SUMMIT</v>
      </c>
      <c r="AM193" s="12"/>
      <c r="AN193" s="12"/>
      <c r="AO193" s="12"/>
      <c r="AP193" s="12"/>
      <c r="AQ193" s="12"/>
      <c r="BC193" s="12"/>
      <c r="BD193" s="12"/>
      <c r="BE193" s="14"/>
      <c r="BF193" s="12"/>
      <c r="BG193" s="12"/>
      <c r="BH193" s="12" t="str">
        <f>IFERROR(__xludf.DUMMYFUNCTION("IFERROR(INDEX(QUERY(IMPORTRANGE(""1T7HG8KEs-Ob7f3M5atEVN9Yn7IeORGp0QGvggB62ELw"",""Maestro!A:I""),""SELECT Col8 WHERE Col3 = '""&amp;BE193&amp;""'"", 0), 1, 1),""NO ENCONTRADO"")"),"")</f>
        <v/>
      </c>
      <c r="BI193" s="12" t="str">
        <f>IFERROR(__xludf.DUMMYFUNCTION("IFERROR(INDEX(QUERY(IMPORTRANGE(""1T7HG8KEs-Ob7f3M5atEVN9Yn7IeORGp0QGvggB62ELw"",""Maestro!A:I""),""SELECT Col7 WHERE Col3 = '""&amp;BE193&amp;""'"", 0), 1, 1),""NO ENCONTRADO"")"),"")</f>
        <v/>
      </c>
      <c r="BJ193" s="16">
        <f t="shared" si="11"/>
        <v>0</v>
      </c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4"/>
      <c r="BX193" s="14"/>
      <c r="BY193" s="14"/>
      <c r="BZ193" s="14"/>
      <c r="CA193" s="14"/>
      <c r="CB193" s="14"/>
      <c r="CC193" s="14"/>
      <c r="CD193" s="14"/>
      <c r="CE193" s="14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</row>
    <row r="194">
      <c r="A194" s="158">
        <v>4.0</v>
      </c>
      <c r="B194" s="159" t="s">
        <v>411</v>
      </c>
      <c r="C194" s="160" t="s">
        <v>285</v>
      </c>
      <c r="D194" s="161" t="str">
        <f t="shared" si="8"/>
        <v>4-18-D</v>
      </c>
      <c r="E194" s="162">
        <v>45824.0</v>
      </c>
      <c r="F194" s="170" t="s">
        <v>666</v>
      </c>
      <c r="G194" s="164" t="s">
        <v>249</v>
      </c>
      <c r="H194" s="165" t="s">
        <v>250</v>
      </c>
      <c r="I194" s="166">
        <v>300.0</v>
      </c>
      <c r="J194" s="167" t="s">
        <v>43</v>
      </c>
      <c r="K194" s="27" t="str">
        <f t="shared" si="2"/>
        <v>OCUPADO</v>
      </c>
      <c r="L194" s="28">
        <f t="shared" si="10"/>
        <v>193</v>
      </c>
      <c r="M194" s="28" t="s">
        <v>23</v>
      </c>
      <c r="N194" s="109"/>
      <c r="O194" s="168" t="s">
        <v>270</v>
      </c>
      <c r="P194" s="12"/>
      <c r="Q194" s="12"/>
      <c r="R194" s="12"/>
      <c r="S194" s="12"/>
      <c r="T194" s="12"/>
      <c r="U194" s="12"/>
      <c r="V194" s="12"/>
      <c r="AB194" s="12"/>
      <c r="AC194" s="12" t="str">
        <f>IFERROR(__xludf.DUMMYFUNCTION("""COMPUTED_VALUE"""),"T-1-22")</f>
        <v>T-1-22</v>
      </c>
      <c r="AD194" s="12" t="str">
        <f>IFERROR(__xludf.DUMMYFUNCTION("""COMPUTED_VALUE"""),"600482X")</f>
        <v>600482X</v>
      </c>
      <c r="AE194" s="12" t="str">
        <f>IFERROR(__xludf.DUMMYFUNCTION("""COMPUTED_VALUE"""),"CAJA CARTON CON ASAS 40X30X30 CM  EASY")</f>
        <v>CAJA CARTON CON ASAS 40X30X30 CM  EASY</v>
      </c>
      <c r="AF194" s="30">
        <f>IFERROR(__xludf.DUMMYFUNCTION("""COMPUTED_VALUE"""),400.0)</f>
        <v>400</v>
      </c>
      <c r="AG194" s="12" t="str">
        <f>IFERROR(__xludf.DUMMYFUNCTION("""COMPUTED_VALUE"""),"PROVEEDOR")</f>
        <v>PROVEEDOR</v>
      </c>
      <c r="AH194" s="12"/>
      <c r="AI194" s="12" t="str">
        <f>IFERROR(__xludf.DUMMYFUNCTION("""COMPUTED_VALUE"""),"1")</f>
        <v>1</v>
      </c>
      <c r="AJ194" s="12" t="str">
        <f>IFERROR(__xludf.DUMMYFUNCTION("""COMPUTED_VALUE"""),"22")</f>
        <v>22</v>
      </c>
      <c r="AK194" s="12">
        <f>IFERROR(__xludf.DUMMYFUNCTION("""COMPUTED_VALUE"""),329.0)</f>
        <v>329</v>
      </c>
      <c r="AL194" s="12" t="str">
        <f>IFERROR(__xludf.DUMMYFUNCTION("""COMPUTED_VALUE"""),"SUMMIT")</f>
        <v>SUMMIT</v>
      </c>
      <c r="AM194" s="12"/>
      <c r="AN194" s="12"/>
      <c r="AO194" s="12"/>
      <c r="AP194" s="12"/>
      <c r="AQ194" s="12"/>
      <c r="BC194" s="12"/>
      <c r="BD194" s="12"/>
      <c r="BE194" s="14"/>
      <c r="BF194" s="12"/>
      <c r="BG194" s="12"/>
      <c r="BH194" s="12" t="str">
        <f>IFERROR(__xludf.DUMMYFUNCTION("IFERROR(INDEX(QUERY(IMPORTRANGE(""1T7HG8KEs-Ob7f3M5atEVN9Yn7IeORGp0QGvggB62ELw"",""Maestro!A:I""),""SELECT Col8 WHERE Col3 = '""&amp;BE194&amp;""'"", 0), 1, 1),""NO ENCONTRADO"")"),"")</f>
        <v/>
      </c>
      <c r="BI194" s="12" t="str">
        <f>IFERROR(__xludf.DUMMYFUNCTION("IFERROR(INDEX(QUERY(IMPORTRANGE(""1T7HG8KEs-Ob7f3M5atEVN9Yn7IeORGp0QGvggB62ELw"",""Maestro!A:I""),""SELECT Col7 WHERE Col3 = '""&amp;BE194&amp;""'"", 0), 1, 1),""NO ENCONTRADO"")"),"")</f>
        <v/>
      </c>
      <c r="BJ194" s="16">
        <f t="shared" si="11"/>
        <v>0</v>
      </c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4"/>
      <c r="BX194" s="14"/>
      <c r="BY194" s="14"/>
      <c r="BZ194" s="14"/>
      <c r="CA194" s="14"/>
      <c r="CB194" s="14"/>
      <c r="CC194" s="14"/>
      <c r="CD194" s="14"/>
      <c r="CE194" s="14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</row>
    <row r="195">
      <c r="A195" s="158">
        <v>4.0</v>
      </c>
      <c r="B195" s="159" t="s">
        <v>425</v>
      </c>
      <c r="C195" s="160" t="s">
        <v>269</v>
      </c>
      <c r="D195" s="161" t="str">
        <f t="shared" si="8"/>
        <v>4-19-A</v>
      </c>
      <c r="E195" s="162">
        <v>45656.0</v>
      </c>
      <c r="F195" s="163" t="s">
        <v>19</v>
      </c>
      <c r="G195" s="164" t="s">
        <v>272</v>
      </c>
      <c r="H195" s="165" t="s">
        <v>273</v>
      </c>
      <c r="I195" s="166">
        <v>288.0</v>
      </c>
      <c r="J195" s="167" t="s">
        <v>274</v>
      </c>
      <c r="K195" s="32" t="str">
        <f t="shared" si="2"/>
        <v>OCUPADO</v>
      </c>
      <c r="L195" s="33">
        <f t="shared" si="10"/>
        <v>194</v>
      </c>
      <c r="M195" s="33" t="s">
        <v>23</v>
      </c>
      <c r="N195" s="122"/>
      <c r="O195" s="169" t="s">
        <v>270</v>
      </c>
      <c r="P195" s="12"/>
      <c r="Q195" s="12"/>
      <c r="R195" s="12"/>
      <c r="S195" s="12"/>
      <c r="T195" s="12"/>
      <c r="U195" s="12"/>
      <c r="V195" s="12"/>
      <c r="AB195" s="12"/>
      <c r="AC195" s="12" t="str">
        <f>IFERROR(__xludf.DUMMYFUNCTION("""COMPUTED_VALUE"""),"T-1-23")</f>
        <v>T-1-23</v>
      </c>
      <c r="AD195" s="12" t="str">
        <f>IFERROR(__xludf.DUMMYFUNCTION("""COMPUTED_VALUE"""),"600482X")</f>
        <v>600482X</v>
      </c>
      <c r="AE195" s="12" t="str">
        <f>IFERROR(__xludf.DUMMYFUNCTION("""COMPUTED_VALUE"""),"CAJA CARTON CON ASAS 40X30X30 CM  EASY")</f>
        <v>CAJA CARTON CON ASAS 40X30X30 CM  EASY</v>
      </c>
      <c r="AF195" s="30">
        <f>IFERROR(__xludf.DUMMYFUNCTION("""COMPUTED_VALUE"""),400.0)</f>
        <v>400</v>
      </c>
      <c r="AG195" s="12" t="str">
        <f>IFERROR(__xludf.DUMMYFUNCTION("""COMPUTED_VALUE"""),"PROVEEDOR")</f>
        <v>PROVEEDOR</v>
      </c>
      <c r="AH195" s="12"/>
      <c r="AI195" s="12" t="str">
        <f>IFERROR(__xludf.DUMMYFUNCTION("""COMPUTED_VALUE"""),"1")</f>
        <v>1</v>
      </c>
      <c r="AJ195" s="12" t="str">
        <f>IFERROR(__xludf.DUMMYFUNCTION("""COMPUTED_VALUE"""),"23")</f>
        <v>23</v>
      </c>
      <c r="AK195" s="12">
        <f>IFERROR(__xludf.DUMMYFUNCTION("""COMPUTED_VALUE"""),330.0)</f>
        <v>330</v>
      </c>
      <c r="AL195" s="12" t="str">
        <f>IFERROR(__xludf.DUMMYFUNCTION("""COMPUTED_VALUE"""),"SUMMIT")</f>
        <v>SUMMIT</v>
      </c>
      <c r="AM195" s="12"/>
      <c r="AN195" s="12"/>
      <c r="AO195" s="12"/>
      <c r="AP195" s="12"/>
      <c r="AQ195" s="12"/>
      <c r="BC195" s="12"/>
      <c r="BD195" s="12"/>
      <c r="BE195" s="14"/>
      <c r="BF195" s="12"/>
      <c r="BG195" s="12"/>
      <c r="BH195" s="12" t="str">
        <f>IFERROR(__xludf.DUMMYFUNCTION("IFERROR(INDEX(QUERY(IMPORTRANGE(""1T7HG8KEs-Ob7f3M5atEVN9Yn7IeORGp0QGvggB62ELw"",""Maestro!A:I""),""SELECT Col8 WHERE Col3 = '""&amp;BE195&amp;""'"", 0), 1, 1),""NO ENCONTRADO"")"),"")</f>
        <v/>
      </c>
      <c r="BI195" s="12" t="str">
        <f>IFERROR(__xludf.DUMMYFUNCTION("IFERROR(INDEX(QUERY(IMPORTRANGE(""1T7HG8KEs-Ob7f3M5atEVN9Yn7IeORGp0QGvggB62ELw"",""Maestro!A:I""),""SELECT Col7 WHERE Col3 = '""&amp;BE195&amp;""'"", 0), 1, 1),""NO ENCONTRADO"")"),"")</f>
        <v/>
      </c>
      <c r="BJ195" s="16">
        <f t="shared" si="11"/>
        <v>0</v>
      </c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4"/>
      <c r="BX195" s="14"/>
      <c r="BY195" s="14"/>
      <c r="BZ195" s="14"/>
      <c r="CA195" s="14"/>
      <c r="CB195" s="14"/>
      <c r="CC195" s="14"/>
      <c r="CD195" s="14"/>
      <c r="CE195" s="14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</row>
    <row r="196">
      <c r="A196" s="158">
        <v>4.0</v>
      </c>
      <c r="B196" s="159" t="s">
        <v>425</v>
      </c>
      <c r="C196" s="160" t="s">
        <v>277</v>
      </c>
      <c r="D196" s="161" t="str">
        <f t="shared" si="8"/>
        <v>4-19-B</v>
      </c>
      <c r="E196" s="162">
        <v>45758.0</v>
      </c>
      <c r="F196" s="170" t="s">
        <v>675</v>
      </c>
      <c r="G196" s="164" t="s">
        <v>272</v>
      </c>
      <c r="H196" s="165" t="s">
        <v>273</v>
      </c>
      <c r="I196" s="166">
        <v>209.0</v>
      </c>
      <c r="J196" s="167" t="s">
        <v>43</v>
      </c>
      <c r="K196" s="27" t="str">
        <f t="shared" si="2"/>
        <v>OCUPADO</v>
      </c>
      <c r="L196" s="28">
        <f t="shared" si="10"/>
        <v>195</v>
      </c>
      <c r="M196" s="28" t="s">
        <v>23</v>
      </c>
      <c r="N196" s="28"/>
      <c r="O196" s="168" t="s">
        <v>270</v>
      </c>
      <c r="P196" s="12"/>
      <c r="Q196" s="12"/>
      <c r="R196" s="12"/>
      <c r="S196" s="12"/>
      <c r="T196" s="12"/>
      <c r="U196" s="12"/>
      <c r="V196" s="12"/>
      <c r="AB196" s="12"/>
      <c r="AC196" s="12" t="str">
        <f>IFERROR(__xludf.DUMMYFUNCTION("""COMPUTED_VALUE"""),"T-1-24")</f>
        <v>T-1-24</v>
      </c>
      <c r="AD196" s="12" t="str">
        <f>IFERROR(__xludf.DUMMYFUNCTION("""COMPUTED_VALUE"""),"600482X")</f>
        <v>600482X</v>
      </c>
      <c r="AE196" s="12" t="str">
        <f>IFERROR(__xludf.DUMMYFUNCTION("""COMPUTED_VALUE"""),"CAJA CARTON CON ASAS 40X30X30 CM  EASY")</f>
        <v>CAJA CARTON CON ASAS 40X30X30 CM  EASY</v>
      </c>
      <c r="AF196" s="30">
        <f>IFERROR(__xludf.DUMMYFUNCTION("""COMPUTED_VALUE"""),400.0)</f>
        <v>400</v>
      </c>
      <c r="AG196" s="12" t="str">
        <f>IFERROR(__xludf.DUMMYFUNCTION("""COMPUTED_VALUE"""),"PROVEEDOR")</f>
        <v>PROVEEDOR</v>
      </c>
      <c r="AH196" s="12"/>
      <c r="AI196" s="12" t="str">
        <f>IFERROR(__xludf.DUMMYFUNCTION("""COMPUTED_VALUE"""),"1")</f>
        <v>1</v>
      </c>
      <c r="AJ196" s="12" t="str">
        <f>IFERROR(__xludf.DUMMYFUNCTION("""COMPUTED_VALUE"""),"24")</f>
        <v>24</v>
      </c>
      <c r="AK196" s="12">
        <f>IFERROR(__xludf.DUMMYFUNCTION("""COMPUTED_VALUE"""),331.0)</f>
        <v>331</v>
      </c>
      <c r="AL196" s="12" t="str">
        <f>IFERROR(__xludf.DUMMYFUNCTION("""COMPUTED_VALUE"""),"SUMMIT")</f>
        <v>SUMMIT</v>
      </c>
      <c r="AM196" s="12"/>
      <c r="AN196" s="12"/>
      <c r="AO196" s="12"/>
      <c r="AP196" s="12"/>
      <c r="AQ196" s="12"/>
      <c r="BC196" s="12"/>
      <c r="BD196" s="12"/>
      <c r="BE196" s="14"/>
      <c r="BF196" s="12"/>
      <c r="BG196" s="12"/>
      <c r="BH196" s="12" t="str">
        <f>IFERROR(__xludf.DUMMYFUNCTION("IFERROR(INDEX(QUERY(IMPORTRANGE(""1T7HG8KEs-Ob7f3M5atEVN9Yn7IeORGp0QGvggB62ELw"",""Maestro!A:I""),""SELECT Col8 WHERE Col3 = '""&amp;BE196&amp;""'"", 0), 1, 1),""NO ENCONTRADO"")"),"")</f>
        <v/>
      </c>
      <c r="BI196" s="12" t="str">
        <f>IFERROR(__xludf.DUMMYFUNCTION("IFERROR(INDEX(QUERY(IMPORTRANGE(""1T7HG8KEs-Ob7f3M5atEVN9Yn7IeORGp0QGvggB62ELw"",""Maestro!A:I""),""SELECT Col7 WHERE Col3 = '""&amp;BE196&amp;""'"", 0), 1, 1),""NO ENCONTRADO"")"),"")</f>
        <v/>
      </c>
      <c r="BJ196" s="16">
        <f t="shared" si="11"/>
        <v>0</v>
      </c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4"/>
      <c r="BX196" s="14"/>
      <c r="BY196" s="14"/>
      <c r="BZ196" s="14"/>
      <c r="CA196" s="14"/>
      <c r="CB196" s="14"/>
      <c r="CC196" s="14"/>
      <c r="CD196" s="14"/>
      <c r="CE196" s="14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</row>
    <row r="197">
      <c r="A197" s="158">
        <v>4.0</v>
      </c>
      <c r="B197" s="159" t="s">
        <v>425</v>
      </c>
      <c r="C197" s="160" t="s">
        <v>282</v>
      </c>
      <c r="D197" s="161" t="str">
        <f t="shared" si="8"/>
        <v>4-19-C</v>
      </c>
      <c r="E197" s="162">
        <v>45827.0</v>
      </c>
      <c r="F197" s="170" t="s">
        <v>625</v>
      </c>
      <c r="G197" s="164" t="s">
        <v>111</v>
      </c>
      <c r="H197" s="165" t="s">
        <v>112</v>
      </c>
      <c r="I197" s="166">
        <v>45.0</v>
      </c>
      <c r="J197" s="167" t="s">
        <v>43</v>
      </c>
      <c r="K197" s="32" t="str">
        <f t="shared" si="2"/>
        <v>OCUPADO</v>
      </c>
      <c r="L197" s="33">
        <f t="shared" si="10"/>
        <v>196</v>
      </c>
      <c r="M197" s="33" t="s">
        <v>23</v>
      </c>
      <c r="N197" s="33"/>
      <c r="O197" s="169" t="s">
        <v>270</v>
      </c>
      <c r="P197" s="12"/>
      <c r="Q197" s="12"/>
      <c r="R197" s="12"/>
      <c r="S197" s="12"/>
      <c r="T197" s="12"/>
      <c r="U197" s="12"/>
      <c r="V197" s="12"/>
      <c r="AB197" s="12"/>
      <c r="AC197" s="12" t="str">
        <f>IFERROR(__xludf.DUMMYFUNCTION("""COMPUTED_VALUE"""),"T-1-25")</f>
        <v>T-1-25</v>
      </c>
      <c r="AD197" s="12" t="str">
        <f>IFERROR(__xludf.DUMMYFUNCTION("""COMPUTED_VALUE"""),"FAME12L")</f>
        <v>FAME12L</v>
      </c>
      <c r="AE197" s="12" t="str">
        <f>IFERROR(__xludf.DUMMYFUNCTION("""COMPUTED_VALUE"""),"Freidora de Aire Max Edition 12L")</f>
        <v>Freidora de Aire Max Edition 12L</v>
      </c>
      <c r="AF197" s="30">
        <f>IFERROR(__xludf.DUMMYFUNCTION("""COMPUTED_VALUE"""),63.0)</f>
        <v>63</v>
      </c>
      <c r="AG197" s="12" t="str">
        <f>IFERROR(__xludf.DUMMYFUNCTION("""COMPUTED_VALUE"""),"Contenedor")</f>
        <v>Contenedor</v>
      </c>
      <c r="AH197" s="12"/>
      <c r="AI197" s="12" t="str">
        <f>IFERROR(__xludf.DUMMYFUNCTION("""COMPUTED_VALUE"""),"1")</f>
        <v>1</v>
      </c>
      <c r="AJ197" s="12" t="str">
        <f>IFERROR(__xludf.DUMMYFUNCTION("""COMPUTED_VALUE"""),"25")</f>
        <v>25</v>
      </c>
      <c r="AK197" s="12">
        <f>IFERROR(__xludf.DUMMYFUNCTION("""COMPUTED_VALUE"""),332.0)</f>
        <v>332</v>
      </c>
      <c r="AL197" s="12" t="str">
        <f>IFERROR(__xludf.DUMMYFUNCTION("""COMPUTED_VALUE"""),"KITCHEN-IT")</f>
        <v>KITCHEN-IT</v>
      </c>
      <c r="AM197" s="12"/>
      <c r="AN197" s="12"/>
      <c r="AO197" s="12"/>
      <c r="AP197" s="12"/>
      <c r="AQ197" s="12"/>
      <c r="BC197" s="12"/>
      <c r="BD197" s="12"/>
      <c r="BE197" s="14"/>
      <c r="BF197" s="12"/>
      <c r="BG197" s="12"/>
      <c r="BH197" s="12" t="str">
        <f>IFERROR(__xludf.DUMMYFUNCTION("IFERROR(INDEX(QUERY(IMPORTRANGE(""1T7HG8KEs-Ob7f3M5atEVN9Yn7IeORGp0QGvggB62ELw"",""Maestro!A:I""),""SELECT Col8 WHERE Col3 = '""&amp;BE197&amp;""'"", 0), 1, 1),""NO ENCONTRADO"")"),"")</f>
        <v/>
      </c>
      <c r="BI197" s="12" t="str">
        <f>IFERROR(__xludf.DUMMYFUNCTION("IFERROR(INDEX(QUERY(IMPORTRANGE(""1T7HG8KEs-Ob7f3M5atEVN9Yn7IeORGp0QGvggB62ELw"",""Maestro!A:I""),""SELECT Col7 WHERE Col3 = '""&amp;BE197&amp;""'"", 0), 1, 1),""NO ENCONTRADO"")"),"")</f>
        <v/>
      </c>
      <c r="BJ197" s="16">
        <f t="shared" si="11"/>
        <v>0</v>
      </c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4"/>
      <c r="BX197" s="14"/>
      <c r="BY197" s="14"/>
      <c r="BZ197" s="14"/>
      <c r="CA197" s="14"/>
      <c r="CB197" s="14"/>
      <c r="CC197" s="14"/>
      <c r="CD197" s="14"/>
      <c r="CE197" s="14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</row>
    <row r="198">
      <c r="A198" s="158">
        <v>4.0</v>
      </c>
      <c r="B198" s="159" t="s">
        <v>425</v>
      </c>
      <c r="C198" s="160" t="s">
        <v>285</v>
      </c>
      <c r="D198" s="161" t="str">
        <f t="shared" si="8"/>
        <v>4-19-D</v>
      </c>
      <c r="E198" s="162">
        <v>45827.0</v>
      </c>
      <c r="F198" s="170" t="s">
        <v>625</v>
      </c>
      <c r="G198" s="164" t="s">
        <v>111</v>
      </c>
      <c r="H198" s="165" t="s">
        <v>112</v>
      </c>
      <c r="I198" s="166">
        <v>45.0</v>
      </c>
      <c r="J198" s="167" t="s">
        <v>43</v>
      </c>
      <c r="K198" s="27" t="str">
        <f t="shared" si="2"/>
        <v>OCUPADO</v>
      </c>
      <c r="L198" s="28">
        <f t="shared" si="10"/>
        <v>197</v>
      </c>
      <c r="M198" s="28" t="s">
        <v>23</v>
      </c>
      <c r="N198" s="28"/>
      <c r="O198" s="168" t="s">
        <v>270</v>
      </c>
      <c r="P198" s="12"/>
      <c r="Q198" s="12"/>
      <c r="R198" s="12"/>
      <c r="S198" s="12"/>
      <c r="T198" s="12"/>
      <c r="U198" s="12"/>
      <c r="V198" s="12"/>
      <c r="AB198" s="12"/>
      <c r="AC198" s="12" t="str">
        <f>IFERROR(__xludf.DUMMYFUNCTION("""COMPUTED_VALUE"""),"T-1-26")</f>
        <v>T-1-26</v>
      </c>
      <c r="AD198" s="12" t="str">
        <f>IFERROR(__xludf.DUMMYFUNCTION("""COMPUTED_VALUE"""),"FADE9L")</f>
        <v>FADE9L</v>
      </c>
      <c r="AE198" s="12" t="str">
        <f>IFERROR(__xludf.DUMMYFUNCTION("""COMPUTED_VALUE"""),"Freidora de Aire Dual Edition 9L")</f>
        <v>Freidora de Aire Dual Edition 9L</v>
      </c>
      <c r="AF198" s="30">
        <f>IFERROR(__xludf.DUMMYFUNCTION("""COMPUTED_VALUE"""),11.0)</f>
        <v>11</v>
      </c>
      <c r="AG198" s="12" t="str">
        <f>IFERROR(__xludf.DUMMYFUNCTION("""COMPUTED_VALUE"""),"Contenedor")</f>
        <v>Contenedor</v>
      </c>
      <c r="AH198" s="12"/>
      <c r="AI198" s="12" t="str">
        <f>IFERROR(__xludf.DUMMYFUNCTION("""COMPUTED_VALUE"""),"1")</f>
        <v>1</v>
      </c>
      <c r="AJ198" s="12" t="str">
        <f>IFERROR(__xludf.DUMMYFUNCTION("""COMPUTED_VALUE"""),"26")</f>
        <v>26</v>
      </c>
      <c r="AK198" s="12">
        <f>IFERROR(__xludf.DUMMYFUNCTION("""COMPUTED_VALUE"""),333.0)</f>
        <v>333</v>
      </c>
      <c r="AL198" s="12" t="str">
        <f>IFERROR(__xludf.DUMMYFUNCTION("""COMPUTED_VALUE"""),"KITCHEN-IT")</f>
        <v>KITCHEN-IT</v>
      </c>
      <c r="AM198" s="12"/>
      <c r="AN198" s="12"/>
      <c r="AO198" s="12"/>
      <c r="AP198" s="12"/>
      <c r="AQ198" s="12"/>
      <c r="BC198" s="12"/>
      <c r="BD198" s="12"/>
      <c r="BE198" s="14"/>
      <c r="BF198" s="12"/>
      <c r="BG198" s="12"/>
      <c r="BH198" s="12" t="str">
        <f>IFERROR(__xludf.DUMMYFUNCTION("IFERROR(INDEX(QUERY(IMPORTRANGE(""1T7HG8KEs-Ob7f3M5atEVN9Yn7IeORGp0QGvggB62ELw"",""Maestro!A:I""),""SELECT Col8 WHERE Col3 = '""&amp;BE198&amp;""'"", 0), 1, 1),""NO ENCONTRADO"")"),"")</f>
        <v/>
      </c>
      <c r="BI198" s="12" t="str">
        <f>IFERROR(__xludf.DUMMYFUNCTION("IFERROR(INDEX(QUERY(IMPORTRANGE(""1T7HG8KEs-Ob7f3M5atEVN9Yn7IeORGp0QGvggB62ELw"",""Maestro!A:I""),""SELECT Col7 WHERE Col3 = '""&amp;BE198&amp;""'"", 0), 1, 1),""NO ENCONTRADO"")"),"")</f>
        <v/>
      </c>
      <c r="BJ198" s="16">
        <f t="shared" si="11"/>
        <v>0</v>
      </c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4"/>
      <c r="BX198" s="14"/>
      <c r="BY198" s="14"/>
      <c r="BZ198" s="14"/>
      <c r="CA198" s="14"/>
      <c r="CB198" s="14"/>
      <c r="CC198" s="14"/>
      <c r="CD198" s="14"/>
      <c r="CE198" s="14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</row>
    <row r="199">
      <c r="A199" s="172">
        <v>4.0</v>
      </c>
      <c r="B199" s="159" t="s">
        <v>451</v>
      </c>
      <c r="C199" s="159" t="s">
        <v>269</v>
      </c>
      <c r="D199" s="161" t="str">
        <f t="shared" si="8"/>
        <v>4-20-A</v>
      </c>
      <c r="E199" s="103"/>
      <c r="F199" s="104"/>
      <c r="G199" s="105"/>
      <c r="H199" s="106"/>
      <c r="I199" s="107"/>
      <c r="J199" s="108"/>
      <c r="K199" s="32" t="str">
        <f t="shared" si="2"/>
        <v>DISPONIBLE</v>
      </c>
      <c r="L199" s="33">
        <f t="shared" ref="L199:L206" si="12">IF(B195&lt;&gt;"", ROW(A195), "")
</f>
        <v>195</v>
      </c>
      <c r="M199" s="33" t="s">
        <v>23</v>
      </c>
      <c r="N199" s="122"/>
      <c r="O199" s="169"/>
      <c r="P199" s="12"/>
      <c r="Q199" s="12"/>
      <c r="R199" s="12"/>
      <c r="S199" s="12"/>
      <c r="T199" s="12"/>
      <c r="U199" s="12"/>
      <c r="V199" s="12"/>
      <c r="AB199" s="12"/>
      <c r="AC199" s="12" t="str">
        <f>IFERROR(__xludf.DUMMYFUNCTION("""COMPUTED_VALUE"""),"T-1-27")</f>
        <v>T-1-27</v>
      </c>
      <c r="AD199" s="12" t="str">
        <f>IFERROR(__xludf.DUMMYFUNCTION("""COMPUTED_VALUE"""),"HESS60")</f>
        <v>HESS60</v>
      </c>
      <c r="AE199" s="12" t="str">
        <f>IFERROR(__xludf.DUMMYFUNCTION("""COMPUTED_VALUE"""),"Horno Eléctrico Silver Series 60L")</f>
        <v>Horno Eléctrico Silver Series 60L</v>
      </c>
      <c r="AF199" s="30">
        <f>IFERROR(__xludf.DUMMYFUNCTION("""COMPUTED_VALUE"""),2.0)</f>
        <v>2</v>
      </c>
      <c r="AG199" s="12" t="str">
        <f>IFERROR(__xludf.DUMMYFUNCTION("""COMPUTED_VALUE"""),"Contenedor")</f>
        <v>Contenedor</v>
      </c>
      <c r="AH199" s="12"/>
      <c r="AI199" s="12" t="str">
        <f>IFERROR(__xludf.DUMMYFUNCTION("""COMPUTED_VALUE"""),"1")</f>
        <v>1</v>
      </c>
      <c r="AJ199" s="12" t="str">
        <f>IFERROR(__xludf.DUMMYFUNCTION("""COMPUTED_VALUE"""),"27")</f>
        <v>27</v>
      </c>
      <c r="AK199" s="12">
        <f>IFERROR(__xludf.DUMMYFUNCTION("""COMPUTED_VALUE"""),334.0)</f>
        <v>334</v>
      </c>
      <c r="AL199" s="12" t="str">
        <f>IFERROR(__xludf.DUMMYFUNCTION("""COMPUTED_VALUE"""),"KITCHEN-IT")</f>
        <v>KITCHEN-IT</v>
      </c>
      <c r="AM199" s="12"/>
      <c r="AN199" s="12"/>
      <c r="AO199" s="12"/>
      <c r="AP199" s="12"/>
      <c r="AQ199" s="12"/>
      <c r="BC199" s="12"/>
      <c r="BD199" s="12"/>
      <c r="BE199" s="14"/>
      <c r="BF199" s="12"/>
      <c r="BG199" s="12"/>
      <c r="BH199" s="12"/>
      <c r="BI199" s="12"/>
      <c r="BJ199" s="16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4"/>
      <c r="BX199" s="14"/>
      <c r="BY199" s="14"/>
      <c r="BZ199" s="14"/>
      <c r="CA199" s="14"/>
      <c r="CB199" s="14"/>
      <c r="CC199" s="14"/>
      <c r="CD199" s="14"/>
      <c r="CE199" s="14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</row>
    <row r="200">
      <c r="A200" s="172">
        <v>4.0</v>
      </c>
      <c r="B200" s="159" t="s">
        <v>451</v>
      </c>
      <c r="C200" s="159" t="s">
        <v>277</v>
      </c>
      <c r="D200" s="161" t="str">
        <f t="shared" si="8"/>
        <v>4-20-B</v>
      </c>
      <c r="E200" s="162">
        <v>45821.0</v>
      </c>
      <c r="F200" s="170" t="s">
        <v>647</v>
      </c>
      <c r="G200" s="164" t="s">
        <v>178</v>
      </c>
      <c r="H200" s="165" t="s">
        <v>179</v>
      </c>
      <c r="I200" s="166">
        <v>96.0</v>
      </c>
      <c r="J200" s="167" t="s">
        <v>43</v>
      </c>
      <c r="K200" s="27" t="str">
        <f t="shared" si="2"/>
        <v>OCUPADO</v>
      </c>
      <c r="L200" s="28">
        <f t="shared" si="12"/>
        <v>196</v>
      </c>
      <c r="M200" s="28" t="s">
        <v>23</v>
      </c>
      <c r="N200" s="28"/>
      <c r="O200" s="168" t="s">
        <v>270</v>
      </c>
      <c r="P200" s="12"/>
      <c r="Q200" s="12"/>
      <c r="R200" s="12"/>
      <c r="S200" s="12"/>
      <c r="T200" s="12"/>
      <c r="U200" s="12"/>
      <c r="V200" s="12"/>
      <c r="AB200" s="12"/>
      <c r="AC200" s="12" t="str">
        <f>IFERROR(__xludf.DUMMYFUNCTION("""COMPUTED_VALUE"""),"T-1-28")</f>
        <v>T-1-28</v>
      </c>
      <c r="AD200" s="12" t="str">
        <f>IFERROR(__xludf.DUMMYFUNCTION("""COMPUTED_VALUE"""),"600505X")</f>
        <v>600505X</v>
      </c>
      <c r="AE200" s="12" t="str">
        <f>IFERROR(__xludf.DUMMYFUNCTION("""COMPUTED_VALUE"""),"CAJA CARTON CON ASAS 70X30X30 CM EASY")</f>
        <v>CAJA CARTON CON ASAS 70X30X30 CM EASY</v>
      </c>
      <c r="AF200" s="30">
        <f>IFERROR(__xludf.DUMMYFUNCTION("""COMPUTED_VALUE"""),290.0)</f>
        <v>290</v>
      </c>
      <c r="AG200" s="12" t="str">
        <f>IFERROR(__xludf.DUMMYFUNCTION("""COMPUTED_VALUE"""),"PROVEEDOR")</f>
        <v>PROVEEDOR</v>
      </c>
      <c r="AH200" s="12"/>
      <c r="AI200" s="12" t="str">
        <f>IFERROR(__xludf.DUMMYFUNCTION("""COMPUTED_VALUE"""),"1")</f>
        <v>1</v>
      </c>
      <c r="AJ200" s="12" t="str">
        <f>IFERROR(__xludf.DUMMYFUNCTION("""COMPUTED_VALUE"""),"28")</f>
        <v>28</v>
      </c>
      <c r="AK200" s="12">
        <f>IFERROR(__xludf.DUMMYFUNCTION("""COMPUTED_VALUE"""),335.0)</f>
        <v>335</v>
      </c>
      <c r="AL200" s="12" t="str">
        <f>IFERROR(__xludf.DUMMYFUNCTION("""COMPUTED_VALUE"""),"SUMMIT")</f>
        <v>SUMMIT</v>
      </c>
      <c r="AM200" s="12"/>
      <c r="AN200" s="12"/>
      <c r="AO200" s="12"/>
      <c r="AP200" s="12"/>
      <c r="AQ200" s="12"/>
      <c r="BC200" s="12"/>
      <c r="BD200" s="12"/>
      <c r="BE200" s="14"/>
      <c r="BF200" s="12"/>
      <c r="BG200" s="12"/>
      <c r="BH200" s="12"/>
      <c r="BI200" s="12"/>
      <c r="BJ200" s="16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4"/>
      <c r="BX200" s="14"/>
      <c r="BY200" s="14"/>
      <c r="BZ200" s="14"/>
      <c r="CA200" s="14"/>
      <c r="CB200" s="14"/>
      <c r="CC200" s="14"/>
      <c r="CD200" s="14"/>
      <c r="CE200" s="14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</row>
    <row r="201">
      <c r="A201" s="172">
        <v>4.0</v>
      </c>
      <c r="B201" s="159" t="s">
        <v>451</v>
      </c>
      <c r="C201" s="159" t="s">
        <v>282</v>
      </c>
      <c r="D201" s="161" t="str">
        <f t="shared" si="8"/>
        <v>4-20-C</v>
      </c>
      <c r="E201" s="162">
        <v>45821.0</v>
      </c>
      <c r="F201" s="170" t="s">
        <v>647</v>
      </c>
      <c r="G201" s="164" t="s">
        <v>178</v>
      </c>
      <c r="H201" s="165" t="s">
        <v>179</v>
      </c>
      <c r="I201" s="166">
        <v>96.0</v>
      </c>
      <c r="J201" s="167" t="s">
        <v>43</v>
      </c>
      <c r="K201" s="32" t="str">
        <f t="shared" si="2"/>
        <v>OCUPADO</v>
      </c>
      <c r="L201" s="33">
        <f t="shared" si="12"/>
        <v>197</v>
      </c>
      <c r="M201" s="33" t="s">
        <v>23</v>
      </c>
      <c r="N201" s="122"/>
      <c r="O201" s="169" t="s">
        <v>270</v>
      </c>
      <c r="P201" s="12"/>
      <c r="Q201" s="12"/>
      <c r="R201" s="12"/>
      <c r="S201" s="12"/>
      <c r="T201" s="12"/>
      <c r="U201" s="12"/>
      <c r="V201" s="12"/>
      <c r="AB201" s="12"/>
      <c r="AC201" s="12" t="str">
        <f>IFERROR(__xludf.DUMMYFUNCTION("""COMPUTED_VALUE"""),"T-1-29")</f>
        <v>T-1-29</v>
      </c>
      <c r="AD201" s="12" t="str">
        <f>IFERROR(__xludf.DUMMYFUNCTION("""COMPUTED_VALUE"""),"600505X")</f>
        <v>600505X</v>
      </c>
      <c r="AE201" s="12" t="str">
        <f>IFERROR(__xludf.DUMMYFUNCTION("""COMPUTED_VALUE"""),"CAJA CARTON CON ASAS 70X30X30 CM EASY")</f>
        <v>CAJA CARTON CON ASAS 70X30X30 CM EASY</v>
      </c>
      <c r="AF201" s="30">
        <f>IFERROR(__xludf.DUMMYFUNCTION("""COMPUTED_VALUE"""),350.0)</f>
        <v>350</v>
      </c>
      <c r="AG201" s="12" t="str">
        <f>IFERROR(__xludf.DUMMYFUNCTION("""COMPUTED_VALUE"""),"PROVEEDOR")</f>
        <v>PROVEEDOR</v>
      </c>
      <c r="AH201" s="12"/>
      <c r="AI201" s="12" t="str">
        <f>IFERROR(__xludf.DUMMYFUNCTION("""COMPUTED_VALUE"""),"1")</f>
        <v>1</v>
      </c>
      <c r="AJ201" s="12" t="str">
        <f>IFERROR(__xludf.DUMMYFUNCTION("""COMPUTED_VALUE"""),"29")</f>
        <v>29</v>
      </c>
      <c r="AK201" s="12">
        <f>IFERROR(__xludf.DUMMYFUNCTION("""COMPUTED_VALUE"""),336.0)</f>
        <v>336</v>
      </c>
      <c r="AL201" s="12" t="str">
        <f>IFERROR(__xludf.DUMMYFUNCTION("""COMPUTED_VALUE"""),"SUMMIT")</f>
        <v>SUMMIT</v>
      </c>
      <c r="AM201" s="12"/>
      <c r="AN201" s="12"/>
      <c r="AO201" s="12"/>
      <c r="AP201" s="12"/>
      <c r="AQ201" s="12"/>
      <c r="BC201" s="12"/>
      <c r="BD201" s="12"/>
      <c r="BE201" s="14"/>
      <c r="BF201" s="12"/>
      <c r="BG201" s="12"/>
      <c r="BH201" s="12"/>
      <c r="BI201" s="12"/>
      <c r="BJ201" s="16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4"/>
      <c r="BX201" s="14"/>
      <c r="BY201" s="14"/>
      <c r="BZ201" s="14"/>
      <c r="CA201" s="14"/>
      <c r="CB201" s="14"/>
      <c r="CC201" s="14"/>
      <c r="CD201" s="14"/>
      <c r="CE201" s="14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</row>
    <row r="202">
      <c r="A202" s="172">
        <v>4.0</v>
      </c>
      <c r="B202" s="159" t="s">
        <v>451</v>
      </c>
      <c r="C202" s="159" t="s">
        <v>285</v>
      </c>
      <c r="D202" s="161" t="str">
        <f t="shared" si="8"/>
        <v>4-20-D</v>
      </c>
      <c r="E202" s="162">
        <v>45827.0</v>
      </c>
      <c r="F202" s="170" t="s">
        <v>625</v>
      </c>
      <c r="G202" s="164" t="s">
        <v>111</v>
      </c>
      <c r="H202" s="165" t="s">
        <v>112</v>
      </c>
      <c r="I202" s="166">
        <v>45.0</v>
      </c>
      <c r="J202" s="167" t="s">
        <v>43</v>
      </c>
      <c r="K202" s="27" t="str">
        <f t="shared" si="2"/>
        <v>OCUPADO</v>
      </c>
      <c r="L202" s="28">
        <f t="shared" si="12"/>
        <v>198</v>
      </c>
      <c r="M202" s="28" t="s">
        <v>23</v>
      </c>
      <c r="N202" s="109"/>
      <c r="O202" s="168" t="s">
        <v>270</v>
      </c>
      <c r="P202" s="12"/>
      <c r="Q202" s="12"/>
      <c r="R202" s="12"/>
      <c r="S202" s="12"/>
      <c r="T202" s="12"/>
      <c r="U202" s="12"/>
      <c r="V202" s="12"/>
      <c r="AB202" s="12"/>
      <c r="AC202" s="12" t="str">
        <f>IFERROR(__xludf.DUMMYFUNCTION("""COMPUTED_VALUE"""),"T-1-30")</f>
        <v>T-1-30</v>
      </c>
      <c r="AD202" s="12" t="str">
        <f>IFERROR(__xludf.DUMMYFUNCTION("""COMPUTED_VALUE"""),"600505X")</f>
        <v>600505X</v>
      </c>
      <c r="AE202" s="12" t="str">
        <f>IFERROR(__xludf.DUMMYFUNCTION("""COMPUTED_VALUE"""),"CAJA CARTON CON ASAS 70X30X30 CM EASY")</f>
        <v>CAJA CARTON CON ASAS 70X30X30 CM EASY</v>
      </c>
      <c r="AF202" s="30">
        <f>IFERROR(__xludf.DUMMYFUNCTION("""COMPUTED_VALUE"""),350.0)</f>
        <v>350</v>
      </c>
      <c r="AG202" s="12" t="str">
        <f>IFERROR(__xludf.DUMMYFUNCTION("""COMPUTED_VALUE"""),"PROVEEDOR")</f>
        <v>PROVEEDOR</v>
      </c>
      <c r="AH202" s="12"/>
      <c r="AI202" s="12" t="str">
        <f>IFERROR(__xludf.DUMMYFUNCTION("""COMPUTED_VALUE"""),"1")</f>
        <v>1</v>
      </c>
      <c r="AJ202" s="12" t="str">
        <f>IFERROR(__xludf.DUMMYFUNCTION("""COMPUTED_VALUE"""),"30")</f>
        <v>30</v>
      </c>
      <c r="AK202" s="12">
        <f>IFERROR(__xludf.DUMMYFUNCTION("""COMPUTED_VALUE"""),337.0)</f>
        <v>337</v>
      </c>
      <c r="AL202" s="12" t="str">
        <f>IFERROR(__xludf.DUMMYFUNCTION("""COMPUTED_VALUE"""),"SUMMIT")</f>
        <v>SUMMIT</v>
      </c>
      <c r="AM202" s="12"/>
      <c r="AN202" s="12"/>
      <c r="AO202" s="12"/>
      <c r="AP202" s="12"/>
      <c r="AQ202" s="12"/>
      <c r="BC202" s="12"/>
      <c r="BD202" s="12"/>
      <c r="BE202" s="14"/>
      <c r="BF202" s="12"/>
      <c r="BG202" s="12"/>
      <c r="BH202" s="12"/>
      <c r="BI202" s="12"/>
      <c r="BJ202" s="16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4"/>
      <c r="BX202" s="14"/>
      <c r="BY202" s="14"/>
      <c r="BZ202" s="14"/>
      <c r="CA202" s="14"/>
      <c r="CB202" s="14"/>
      <c r="CC202" s="14"/>
      <c r="CD202" s="14"/>
      <c r="CE202" s="14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</row>
    <row r="203">
      <c r="A203" s="172">
        <v>4.0</v>
      </c>
      <c r="B203" s="159" t="s">
        <v>467</v>
      </c>
      <c r="C203" s="159" t="s">
        <v>269</v>
      </c>
      <c r="D203" s="161" t="str">
        <f t="shared" si="8"/>
        <v>4-21-A</v>
      </c>
      <c r="E203" s="173">
        <v>45733.0</v>
      </c>
      <c r="F203" s="174" t="s">
        <v>19</v>
      </c>
      <c r="G203" s="175" t="s">
        <v>128</v>
      </c>
      <c r="H203" s="176" t="s">
        <v>252</v>
      </c>
      <c r="I203" s="177">
        <v>667.0</v>
      </c>
      <c r="J203" s="178" t="s">
        <v>22</v>
      </c>
      <c r="K203" s="32" t="str">
        <f t="shared" si="2"/>
        <v>OCUPADO</v>
      </c>
      <c r="L203" s="33">
        <f t="shared" si="12"/>
        <v>199</v>
      </c>
      <c r="M203" s="33" t="s">
        <v>23</v>
      </c>
      <c r="N203" s="33" t="s">
        <v>165</v>
      </c>
      <c r="O203" s="169" t="s">
        <v>24</v>
      </c>
      <c r="P203" s="12"/>
      <c r="Q203" s="12"/>
      <c r="R203" s="12"/>
      <c r="S203" s="12"/>
      <c r="T203" s="12"/>
      <c r="U203" s="12"/>
      <c r="V203" s="12"/>
      <c r="AB203" s="12"/>
      <c r="AC203" s="12" t="str">
        <f>IFERROR(__xludf.DUMMYFUNCTION("""COMPUTED_VALUE"""),"T-1-31")</f>
        <v>T-1-31</v>
      </c>
      <c r="AD203" s="12" t="str">
        <f>IFERROR(__xludf.DUMMYFUNCTION("""COMPUTED_VALUE"""),"692029X")</f>
        <v>692029X</v>
      </c>
      <c r="AE203" s="12" t="str">
        <f>IFERROR(__xludf.DUMMYFUNCTION("""COMPUTED_VALUE"""),"CAJA CARTON CORRUGADO 60x40x40 ")</f>
        <v>CAJA CARTON CORRUGADO 60x40x40 </v>
      </c>
      <c r="AF203" s="30">
        <f>IFERROR(__xludf.DUMMYFUNCTION("""COMPUTED_VALUE"""),400.0)</f>
        <v>400</v>
      </c>
      <c r="AG203" s="12" t="str">
        <f>IFERROR(__xludf.DUMMYFUNCTION("""COMPUTED_VALUE"""),"PROVEEDOR")</f>
        <v>PROVEEDOR</v>
      </c>
      <c r="AH203" s="12"/>
      <c r="AI203" s="12" t="str">
        <f>IFERROR(__xludf.DUMMYFUNCTION("""COMPUTED_VALUE"""),"1")</f>
        <v>1</v>
      </c>
      <c r="AJ203" s="12" t="str">
        <f>IFERROR(__xludf.DUMMYFUNCTION("""COMPUTED_VALUE"""),"31")</f>
        <v>31</v>
      </c>
      <c r="AK203" s="12">
        <f>IFERROR(__xludf.DUMMYFUNCTION("""COMPUTED_VALUE"""),338.0)</f>
        <v>338</v>
      </c>
      <c r="AL203" s="12" t="str">
        <f>IFERROR(__xludf.DUMMYFUNCTION("""COMPUTED_VALUE"""),"SUMMIT")</f>
        <v>SUMMIT</v>
      </c>
      <c r="AM203" s="12"/>
      <c r="AN203" s="12"/>
      <c r="AO203" s="12"/>
      <c r="AP203" s="12"/>
      <c r="AQ203" s="12"/>
      <c r="BC203" s="12"/>
      <c r="BD203" s="12"/>
      <c r="BE203" s="14"/>
      <c r="BF203" s="12"/>
      <c r="BG203" s="12"/>
      <c r="BH203" s="12"/>
      <c r="BI203" s="12"/>
      <c r="BJ203" s="16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4"/>
      <c r="BX203" s="14"/>
      <c r="BY203" s="14"/>
      <c r="BZ203" s="14"/>
      <c r="CA203" s="14"/>
      <c r="CB203" s="14"/>
      <c r="CC203" s="14"/>
      <c r="CD203" s="14"/>
      <c r="CE203" s="14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</row>
    <row r="204">
      <c r="A204" s="172">
        <v>4.0</v>
      </c>
      <c r="B204" s="159" t="s">
        <v>467</v>
      </c>
      <c r="C204" s="159" t="s">
        <v>277</v>
      </c>
      <c r="D204" s="161" t="str">
        <f t="shared" si="8"/>
        <v>4-21-B</v>
      </c>
      <c r="E204" s="162">
        <v>45818.0</v>
      </c>
      <c r="F204" s="163" t="s">
        <v>121</v>
      </c>
      <c r="G204" s="164" t="s">
        <v>77</v>
      </c>
      <c r="H204" s="165" t="s">
        <v>78</v>
      </c>
      <c r="I204" s="166">
        <v>600.0</v>
      </c>
      <c r="J204" s="167" t="s">
        <v>22</v>
      </c>
      <c r="K204" s="27" t="str">
        <f t="shared" si="2"/>
        <v>OCUPADO</v>
      </c>
      <c r="L204" s="28">
        <f t="shared" si="12"/>
        <v>200</v>
      </c>
      <c r="M204" s="28" t="s">
        <v>23</v>
      </c>
      <c r="N204" s="109"/>
      <c r="O204" s="168" t="s">
        <v>24</v>
      </c>
      <c r="P204" s="12"/>
      <c r="Q204" s="12"/>
      <c r="R204" s="12"/>
      <c r="S204" s="12"/>
      <c r="T204" s="12"/>
      <c r="U204" s="12"/>
      <c r="V204" s="12"/>
      <c r="AB204" s="12"/>
      <c r="AC204" s="12" t="str">
        <f>IFERROR(__xludf.DUMMYFUNCTION("""COMPUTED_VALUE"""),"T-1-32")</f>
        <v>T-1-32</v>
      </c>
      <c r="AD204" s="12" t="str">
        <f>IFERROR(__xludf.DUMMYFUNCTION("""COMPUTED_VALUE"""),"600505X")</f>
        <v>600505X</v>
      </c>
      <c r="AE204" s="12" t="str">
        <f>IFERROR(__xludf.DUMMYFUNCTION("""COMPUTED_VALUE"""),"CAJA CARTON CON ASAS 70X30X30 CM EASY")</f>
        <v>CAJA CARTON CON ASAS 70X30X30 CM EASY</v>
      </c>
      <c r="AF204" s="30">
        <f>IFERROR(__xludf.DUMMYFUNCTION("""COMPUTED_VALUE"""),350.0)</f>
        <v>350</v>
      </c>
      <c r="AG204" s="12" t="str">
        <f>IFERROR(__xludf.DUMMYFUNCTION("""COMPUTED_VALUE"""),"PROVEEDOR")</f>
        <v>PROVEEDOR</v>
      </c>
      <c r="AH204" s="12"/>
      <c r="AI204" s="12" t="str">
        <f>IFERROR(__xludf.DUMMYFUNCTION("""COMPUTED_VALUE"""),"1")</f>
        <v>1</v>
      </c>
      <c r="AJ204" s="12" t="str">
        <f>IFERROR(__xludf.DUMMYFUNCTION("""COMPUTED_VALUE"""),"32")</f>
        <v>32</v>
      </c>
      <c r="AK204" s="12">
        <f>IFERROR(__xludf.DUMMYFUNCTION("""COMPUTED_VALUE"""),339.0)</f>
        <v>339</v>
      </c>
      <c r="AL204" s="12" t="str">
        <f>IFERROR(__xludf.DUMMYFUNCTION("""COMPUTED_VALUE"""),"SUMMIT")</f>
        <v>SUMMIT</v>
      </c>
      <c r="AM204" s="12"/>
      <c r="AN204" s="12"/>
      <c r="AO204" s="12"/>
      <c r="AP204" s="12"/>
      <c r="AQ204" s="12"/>
      <c r="BC204" s="12"/>
      <c r="BD204" s="12"/>
      <c r="BE204" s="14"/>
      <c r="BF204" s="12"/>
      <c r="BG204" s="12"/>
      <c r="BH204" s="12"/>
      <c r="BI204" s="12"/>
      <c r="BJ204" s="16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4"/>
      <c r="BX204" s="14"/>
      <c r="BY204" s="14"/>
      <c r="BZ204" s="14"/>
      <c r="CA204" s="14"/>
      <c r="CB204" s="14"/>
      <c r="CC204" s="14"/>
      <c r="CD204" s="14"/>
      <c r="CE204" s="14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</row>
    <row r="205">
      <c r="A205" s="172">
        <v>4.0</v>
      </c>
      <c r="B205" s="159" t="s">
        <v>467</v>
      </c>
      <c r="C205" s="159" t="s">
        <v>282</v>
      </c>
      <c r="D205" s="161" t="str">
        <f t="shared" si="8"/>
        <v>4-21-C</v>
      </c>
      <c r="E205" s="173">
        <v>45818.0</v>
      </c>
      <c r="F205" s="174" t="s">
        <v>98</v>
      </c>
      <c r="G205" s="175" t="s">
        <v>63</v>
      </c>
      <c r="H205" s="176" t="s">
        <v>64</v>
      </c>
      <c r="I205" s="177">
        <v>718.0</v>
      </c>
      <c r="J205" s="178" t="s">
        <v>22</v>
      </c>
      <c r="K205" s="32" t="str">
        <f t="shared" si="2"/>
        <v>OCUPADO</v>
      </c>
      <c r="L205" s="33">
        <f t="shared" si="12"/>
        <v>201</v>
      </c>
      <c r="M205" s="33" t="s">
        <v>23</v>
      </c>
      <c r="N205" s="122"/>
      <c r="O205" s="169" t="s">
        <v>24</v>
      </c>
      <c r="P205" s="12"/>
      <c r="Q205" s="12"/>
      <c r="R205" s="12"/>
      <c r="S205" s="12"/>
      <c r="T205" s="12"/>
      <c r="U205" s="12"/>
      <c r="V205" s="12"/>
      <c r="AB205" s="12"/>
      <c r="AC205" s="12" t="str">
        <f>IFERROR(__xludf.DUMMYFUNCTION("""COMPUTED_VALUE"""),"T-1-33")</f>
        <v>T-1-33</v>
      </c>
      <c r="AD205" s="12" t="str">
        <f>IFERROR(__xludf.DUMMYFUNCTION("""COMPUTED_VALUE"""),"600505X")</f>
        <v>600505X</v>
      </c>
      <c r="AE205" s="12" t="str">
        <f>IFERROR(__xludf.DUMMYFUNCTION("""COMPUTED_VALUE"""),"CAJA CARTON CON ASAS 70X30X30 CM EASY")</f>
        <v>CAJA CARTON CON ASAS 70X30X30 CM EASY</v>
      </c>
      <c r="AF205" s="30">
        <f>IFERROR(__xludf.DUMMYFUNCTION("""COMPUTED_VALUE"""),350.0)</f>
        <v>350</v>
      </c>
      <c r="AG205" s="12" t="str">
        <f>IFERROR(__xludf.DUMMYFUNCTION("""COMPUTED_VALUE"""),"PROVEEDOR")</f>
        <v>PROVEEDOR</v>
      </c>
      <c r="AH205" s="12"/>
      <c r="AI205" s="12" t="str">
        <f>IFERROR(__xludf.DUMMYFUNCTION("""COMPUTED_VALUE"""),"1")</f>
        <v>1</v>
      </c>
      <c r="AJ205" s="12" t="str">
        <f>IFERROR(__xludf.DUMMYFUNCTION("""COMPUTED_VALUE"""),"33")</f>
        <v>33</v>
      </c>
      <c r="AK205" s="12">
        <f>IFERROR(__xludf.DUMMYFUNCTION("""COMPUTED_VALUE"""),340.0)</f>
        <v>340</v>
      </c>
      <c r="AL205" s="12" t="str">
        <f>IFERROR(__xludf.DUMMYFUNCTION("""COMPUTED_VALUE"""),"SUMMIT")</f>
        <v>SUMMIT</v>
      </c>
      <c r="AM205" s="12"/>
      <c r="AN205" s="12"/>
      <c r="AO205" s="12"/>
      <c r="AP205" s="12"/>
      <c r="AQ205" s="12"/>
      <c r="BC205" s="12"/>
      <c r="BD205" s="12"/>
      <c r="BE205" s="14"/>
      <c r="BF205" s="12"/>
      <c r="BG205" s="12"/>
      <c r="BH205" s="12"/>
      <c r="BI205" s="12"/>
      <c r="BJ205" s="16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4"/>
      <c r="BX205" s="14"/>
      <c r="BY205" s="14"/>
      <c r="BZ205" s="14"/>
      <c r="CA205" s="14"/>
      <c r="CB205" s="14"/>
      <c r="CC205" s="14"/>
      <c r="CD205" s="14"/>
      <c r="CE205" s="14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</row>
    <row r="206">
      <c r="A206" s="172">
        <v>4.0</v>
      </c>
      <c r="B206" s="159" t="s">
        <v>467</v>
      </c>
      <c r="C206" s="159" t="s">
        <v>285</v>
      </c>
      <c r="D206" s="161" t="str">
        <f t="shared" si="8"/>
        <v>4-21-D</v>
      </c>
      <c r="E206" s="162">
        <v>45818.0</v>
      </c>
      <c r="F206" s="170" t="s">
        <v>121</v>
      </c>
      <c r="G206" s="164" t="s">
        <v>77</v>
      </c>
      <c r="H206" s="165" t="s">
        <v>78</v>
      </c>
      <c r="I206" s="166">
        <v>996.0</v>
      </c>
      <c r="J206" s="167" t="s">
        <v>22</v>
      </c>
      <c r="K206" s="27" t="str">
        <f t="shared" si="2"/>
        <v>OCUPADO</v>
      </c>
      <c r="L206" s="28">
        <f t="shared" si="12"/>
        <v>202</v>
      </c>
      <c r="M206" s="28" t="s">
        <v>23</v>
      </c>
      <c r="N206" s="109"/>
      <c r="O206" s="168" t="s">
        <v>24</v>
      </c>
      <c r="P206" s="12"/>
      <c r="Q206" s="12"/>
      <c r="R206" s="12"/>
      <c r="S206" s="12"/>
      <c r="T206" s="12"/>
      <c r="U206" s="12"/>
      <c r="V206" s="12"/>
      <c r="AB206" s="12"/>
      <c r="AC206" s="12" t="str">
        <f>IFERROR(__xludf.DUMMYFUNCTION("""COMPUTED_VALUE"""),"T-1-34")</f>
        <v>T-1-34</v>
      </c>
      <c r="AD206" s="12" t="str">
        <f>IFERROR(__xludf.DUMMYFUNCTION("""COMPUTED_VALUE"""),"600505X")</f>
        <v>600505X</v>
      </c>
      <c r="AE206" s="12" t="str">
        <f>IFERROR(__xludf.DUMMYFUNCTION("""COMPUTED_VALUE"""),"CAJA CARTON CON ASAS 70X30X30 CM EASY")</f>
        <v>CAJA CARTON CON ASAS 70X30X30 CM EASY</v>
      </c>
      <c r="AF206" s="30">
        <f>IFERROR(__xludf.DUMMYFUNCTION("""COMPUTED_VALUE"""),350.0)</f>
        <v>350</v>
      </c>
      <c r="AG206" s="12" t="str">
        <f>IFERROR(__xludf.DUMMYFUNCTION("""COMPUTED_VALUE"""),"PROVEEDOR")</f>
        <v>PROVEEDOR</v>
      </c>
      <c r="AH206" s="12"/>
      <c r="AI206" s="12" t="str">
        <f>IFERROR(__xludf.DUMMYFUNCTION("""COMPUTED_VALUE"""),"1")</f>
        <v>1</v>
      </c>
      <c r="AJ206" s="12" t="str">
        <f>IFERROR(__xludf.DUMMYFUNCTION("""COMPUTED_VALUE"""),"34")</f>
        <v>34</v>
      </c>
      <c r="AK206" s="12">
        <f>IFERROR(__xludf.DUMMYFUNCTION("""COMPUTED_VALUE"""),341.0)</f>
        <v>341</v>
      </c>
      <c r="AL206" s="12" t="str">
        <f>IFERROR(__xludf.DUMMYFUNCTION("""COMPUTED_VALUE"""),"SUMMIT")</f>
        <v>SUMMIT</v>
      </c>
      <c r="AM206" s="12"/>
      <c r="AN206" s="12"/>
      <c r="AO206" s="12"/>
      <c r="AP206" s="12"/>
      <c r="AQ206" s="12"/>
      <c r="BC206" s="12"/>
      <c r="BD206" s="12"/>
      <c r="BE206" s="14"/>
      <c r="BF206" s="12"/>
      <c r="BG206" s="12"/>
      <c r="BH206" s="12" t="str">
        <f>IFERROR(__xludf.DUMMYFUNCTION("IFERROR(INDEX(QUERY(IMPORTRANGE(""1T7HG8KEs-Ob7f3M5atEVN9Yn7IeORGp0QGvggB62ELw"",""Maestro!A:I""),""SELECT Col8 WHERE Col3 = '""&amp;BE206&amp;""'"", 0), 1, 1),""NO ENCONTRADO"")"),"")</f>
        <v/>
      </c>
      <c r="BI206" s="12" t="str">
        <f>IFERROR(__xludf.DUMMYFUNCTION("IFERROR(INDEX(QUERY(IMPORTRANGE(""1T7HG8KEs-Ob7f3M5atEVN9Yn7IeORGp0QGvggB62ELw"",""Maestro!A:I""),""SELECT Col7 WHERE Col3 = '""&amp;BE206&amp;""'"", 0), 1, 1),""NO ENCONTRADO"")"),"")</f>
        <v/>
      </c>
      <c r="BJ206" s="16">
        <f t="shared" ref="BJ206:BJ282" si="13">IFERROR(ROUND(IF(BH206="D",BG206/BI206,BG206*BI206),0),1)</f>
        <v>0</v>
      </c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4"/>
      <c r="BX206" s="14"/>
      <c r="BY206" s="14"/>
      <c r="BZ206" s="14"/>
      <c r="CA206" s="14"/>
      <c r="CB206" s="14"/>
      <c r="CC206" s="14"/>
      <c r="CD206" s="14"/>
      <c r="CE206" s="14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</row>
    <row r="207">
      <c r="A207" s="158">
        <v>4.0</v>
      </c>
      <c r="B207" s="159" t="s">
        <v>254</v>
      </c>
      <c r="C207" s="160" t="s">
        <v>119</v>
      </c>
      <c r="D207" s="161" t="str">
        <f t="shared" si="8"/>
        <v>4-R-1A</v>
      </c>
      <c r="E207" s="162">
        <v>45810.0</v>
      </c>
      <c r="F207" s="163" t="s">
        <v>675</v>
      </c>
      <c r="G207" s="164" t="s">
        <v>314</v>
      </c>
      <c r="H207" s="165" t="s">
        <v>315</v>
      </c>
      <c r="I207" s="166">
        <v>26.0</v>
      </c>
      <c r="J207" s="167" t="s">
        <v>43</v>
      </c>
      <c r="K207" s="32" t="str">
        <f t="shared" si="2"/>
        <v>OCUPADO</v>
      </c>
      <c r="L207" s="33">
        <f>IF(B198&lt;&gt;"", ROW(A198), "")
</f>
        <v>198</v>
      </c>
      <c r="M207" s="33" t="s">
        <v>501</v>
      </c>
      <c r="N207" s="122"/>
      <c r="O207" s="169" t="s">
        <v>270</v>
      </c>
      <c r="P207" s="12"/>
      <c r="Q207" s="12"/>
      <c r="R207" s="12"/>
      <c r="S207" s="12"/>
      <c r="T207" s="12"/>
      <c r="U207" s="12"/>
      <c r="V207" s="12"/>
      <c r="AB207" s="12"/>
      <c r="AC207" s="12" t="str">
        <f>IFERROR(__xludf.DUMMYFUNCTION("""COMPUTED_VALUE"""),"T-1-35")</f>
        <v>T-1-35</v>
      </c>
      <c r="AD207" s="12" t="str">
        <f>IFERROR(__xludf.DUMMYFUNCTION("""COMPUTED_VALUE"""),"600482X")</f>
        <v>600482X</v>
      </c>
      <c r="AE207" s="12" t="str">
        <f>IFERROR(__xludf.DUMMYFUNCTION("""COMPUTED_VALUE"""),"CAJA CARTON CON ASAS 40X30X30 CM  EASY")</f>
        <v>CAJA CARTON CON ASAS 40X30X30 CM  EASY</v>
      </c>
      <c r="AF207" s="30">
        <f>IFERROR(__xludf.DUMMYFUNCTION("""COMPUTED_VALUE"""),400.0)</f>
        <v>400</v>
      </c>
      <c r="AG207" s="12" t="str">
        <f>IFERROR(__xludf.DUMMYFUNCTION("""COMPUTED_VALUE"""),"PROVEEDOR")</f>
        <v>PROVEEDOR</v>
      </c>
      <c r="AH207" s="12"/>
      <c r="AI207" s="12" t="str">
        <f>IFERROR(__xludf.DUMMYFUNCTION("""COMPUTED_VALUE"""),"1")</f>
        <v>1</v>
      </c>
      <c r="AJ207" s="12" t="str">
        <f>IFERROR(__xludf.DUMMYFUNCTION("""COMPUTED_VALUE"""),"35")</f>
        <v>35</v>
      </c>
      <c r="AK207" s="12">
        <f>IFERROR(__xludf.DUMMYFUNCTION("""COMPUTED_VALUE"""),342.0)</f>
        <v>342</v>
      </c>
      <c r="AL207" s="12" t="str">
        <f>IFERROR(__xludf.DUMMYFUNCTION("""COMPUTED_VALUE"""),"SUMMIT")</f>
        <v>SUMMIT</v>
      </c>
      <c r="AM207" s="12"/>
      <c r="AN207" s="12"/>
      <c r="AO207" s="12"/>
      <c r="AP207" s="12"/>
      <c r="AQ207" s="12"/>
      <c r="BC207" s="12"/>
      <c r="BD207" s="12"/>
      <c r="BE207" s="14"/>
      <c r="BF207" s="12"/>
      <c r="BG207" s="12"/>
      <c r="BH207" s="12" t="str">
        <f>IFERROR(__xludf.DUMMYFUNCTION("IFERROR(INDEX(QUERY(IMPORTRANGE(""1T7HG8KEs-Ob7f3M5atEVN9Yn7IeORGp0QGvggB62ELw"",""Maestro!A:I""),""SELECT Col8 WHERE Col3 = '""&amp;BE207&amp;""'"", 0), 1, 1),""NO ENCONTRADO"")"),"")</f>
        <v/>
      </c>
      <c r="BI207" s="12" t="str">
        <f>IFERROR(__xludf.DUMMYFUNCTION("IFERROR(INDEX(QUERY(IMPORTRANGE(""1T7HG8KEs-Ob7f3M5atEVN9Yn7IeORGp0QGvggB62ELw"",""Maestro!A:I""),""SELECT Col7 WHERE Col3 = '""&amp;BE207&amp;""'"", 0), 1, 1),""NO ENCONTRADO"")"),"")</f>
        <v/>
      </c>
      <c r="BJ207" s="16">
        <f t="shared" si="13"/>
        <v>0</v>
      </c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4"/>
      <c r="BX207" s="14"/>
      <c r="BY207" s="14"/>
      <c r="BZ207" s="14"/>
      <c r="CA207" s="14"/>
      <c r="CB207" s="14"/>
      <c r="CC207" s="14"/>
      <c r="CD207" s="14"/>
      <c r="CE207" s="14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</row>
    <row r="208">
      <c r="A208" s="158">
        <v>4.0</v>
      </c>
      <c r="B208" s="159" t="s">
        <v>254</v>
      </c>
      <c r="C208" s="160" t="s">
        <v>132</v>
      </c>
      <c r="D208" s="161" t="str">
        <f t="shared" si="8"/>
        <v>4-R-1B</v>
      </c>
      <c r="E208" s="162">
        <v>45820.0</v>
      </c>
      <c r="F208" s="163" t="s">
        <v>19</v>
      </c>
      <c r="G208" s="164" t="s">
        <v>346</v>
      </c>
      <c r="H208" s="165" t="s">
        <v>347</v>
      </c>
      <c r="I208" s="166">
        <v>576.0</v>
      </c>
      <c r="J208" s="167" t="s">
        <v>274</v>
      </c>
      <c r="K208" s="27" t="str">
        <f t="shared" si="2"/>
        <v>OCUPADO</v>
      </c>
      <c r="L208" s="28">
        <f t="shared" ref="L208:L284" si="14">IF(B207&lt;&gt;"", ROW(A207), "")
</f>
        <v>207</v>
      </c>
      <c r="M208" s="28" t="s">
        <v>501</v>
      </c>
      <c r="N208" s="28"/>
      <c r="O208" s="168" t="s">
        <v>270</v>
      </c>
      <c r="P208" s="12"/>
      <c r="Q208" s="12"/>
      <c r="R208" s="12"/>
      <c r="S208" s="12"/>
      <c r="T208" s="12"/>
      <c r="U208" s="12"/>
      <c r="V208" s="12"/>
      <c r="AB208" s="12"/>
      <c r="AC208" s="12" t="str">
        <f>IFERROR(__xludf.DUMMYFUNCTION("""COMPUTED_VALUE"""),"T-1-36")</f>
        <v>T-1-36</v>
      </c>
      <c r="AD208" s="12" t="str">
        <f>IFERROR(__xludf.DUMMYFUNCTION("""COMPUTED_VALUE"""),"600499X")</f>
        <v>600499X</v>
      </c>
      <c r="AE208" s="12" t="str">
        <f>IFERROR(__xludf.DUMMYFUNCTION("""COMPUTED_VALUE"""),"CAJA CARTON CON ASAS 50X30X30 CM EASY")</f>
        <v>CAJA CARTON CON ASAS 50X30X30 CM EASY</v>
      </c>
      <c r="AF208" s="30">
        <f>IFERROR(__xludf.DUMMYFUNCTION("""COMPUTED_VALUE"""),400.0)</f>
        <v>400</v>
      </c>
      <c r="AG208" s="12" t="str">
        <f>IFERROR(__xludf.DUMMYFUNCTION("""COMPUTED_VALUE"""),"PROVEEDOR")</f>
        <v>PROVEEDOR</v>
      </c>
      <c r="AH208" s="12"/>
      <c r="AI208" s="12" t="str">
        <f>IFERROR(__xludf.DUMMYFUNCTION("""COMPUTED_VALUE"""),"1")</f>
        <v>1</v>
      </c>
      <c r="AJ208" s="12" t="str">
        <f>IFERROR(__xludf.DUMMYFUNCTION("""COMPUTED_VALUE"""),"36")</f>
        <v>36</v>
      </c>
      <c r="AK208" s="12">
        <f>IFERROR(__xludf.DUMMYFUNCTION("""COMPUTED_VALUE"""),343.0)</f>
        <v>343</v>
      </c>
      <c r="AL208" s="12" t="str">
        <f>IFERROR(__xludf.DUMMYFUNCTION("""COMPUTED_VALUE"""),"SUMMIT")</f>
        <v>SUMMIT</v>
      </c>
      <c r="AM208" s="12"/>
      <c r="AN208" s="12"/>
      <c r="AO208" s="12"/>
      <c r="AP208" s="12"/>
      <c r="AQ208" s="12"/>
      <c r="BC208" s="12"/>
      <c r="BD208" s="12"/>
      <c r="BE208" s="14"/>
      <c r="BF208" s="12"/>
      <c r="BG208" s="12"/>
      <c r="BH208" s="12" t="str">
        <f>IFERROR(__xludf.DUMMYFUNCTION("IFERROR(INDEX(QUERY(IMPORTRANGE(""1T7HG8KEs-Ob7f3M5atEVN9Yn7IeORGp0QGvggB62ELw"",""Maestro!A:I""),""SELECT Col8 WHERE Col3 = '""&amp;BE208&amp;""'"", 0), 1, 1),""NO ENCONTRADO"")"),"")</f>
        <v/>
      </c>
      <c r="BI208" s="12" t="str">
        <f>IFERROR(__xludf.DUMMYFUNCTION("IFERROR(INDEX(QUERY(IMPORTRANGE(""1T7HG8KEs-Ob7f3M5atEVN9Yn7IeORGp0QGvggB62ELw"",""Maestro!A:I""),""SELECT Col7 WHERE Col3 = '""&amp;BE208&amp;""'"", 0), 1, 1),""NO ENCONTRADO"")"),"")</f>
        <v/>
      </c>
      <c r="BJ208" s="16">
        <f t="shared" si="13"/>
        <v>0</v>
      </c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4"/>
      <c r="BX208" s="14"/>
      <c r="BY208" s="14"/>
      <c r="BZ208" s="14"/>
      <c r="CA208" s="14"/>
      <c r="CB208" s="14"/>
      <c r="CC208" s="14"/>
      <c r="CD208" s="14"/>
      <c r="CE208" s="14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</row>
    <row r="209">
      <c r="A209" s="158">
        <v>4.0</v>
      </c>
      <c r="B209" s="159" t="s">
        <v>254</v>
      </c>
      <c r="C209" s="160" t="s">
        <v>560</v>
      </c>
      <c r="D209" s="161" t="str">
        <f t="shared" si="8"/>
        <v>4-R-1C</v>
      </c>
      <c r="E209" s="162">
        <v>45820.0</v>
      </c>
      <c r="F209" s="163" t="s">
        <v>19</v>
      </c>
      <c r="G209" s="164" t="s">
        <v>346</v>
      </c>
      <c r="H209" s="165" t="s">
        <v>347</v>
      </c>
      <c r="I209" s="166">
        <v>260.0</v>
      </c>
      <c r="J209" s="167" t="s">
        <v>274</v>
      </c>
      <c r="K209" s="32" t="str">
        <f t="shared" si="2"/>
        <v>OCUPADO</v>
      </c>
      <c r="L209" s="33">
        <f t="shared" si="14"/>
        <v>208</v>
      </c>
      <c r="M209" s="33" t="s">
        <v>501</v>
      </c>
      <c r="N209" s="33"/>
      <c r="O209" s="169" t="s">
        <v>270</v>
      </c>
      <c r="P209" s="12"/>
      <c r="Q209" s="12"/>
      <c r="R209" s="12"/>
      <c r="S209" s="12"/>
      <c r="T209" s="12"/>
      <c r="U209" s="12"/>
      <c r="V209" s="12"/>
      <c r="AB209" s="12"/>
      <c r="AC209" s="12" t="str">
        <f>IFERROR(__xludf.DUMMYFUNCTION("""COMPUTED_VALUE"""),"T-1-37")</f>
        <v>T-1-37</v>
      </c>
      <c r="AD209" s="12" t="str">
        <f>IFERROR(__xludf.DUMMYFUNCTION("""COMPUTED_VALUE"""),"691084")</f>
        <v>691084</v>
      </c>
      <c r="AE209" s="12" t="str">
        <f>IFERROR(__xludf.DUMMYFUNCTION("""COMPUTED_VALUE"""),"ROLLO CARTON ACOLCHADO 40CMx5MT")</f>
        <v>ROLLO CARTON ACOLCHADO 40CMx5MT</v>
      </c>
      <c r="AF209" s="30">
        <f>IFERROR(__xludf.DUMMYFUNCTION("""COMPUTED_VALUE"""),100.0)</f>
        <v>100</v>
      </c>
      <c r="AG209" s="12" t="str">
        <f>IFERROR(__xludf.DUMMYFUNCTION("""COMPUTED_VALUE"""),"PROVEEDOR")</f>
        <v>PROVEEDOR</v>
      </c>
      <c r="AH209" s="12"/>
      <c r="AI209" s="12" t="str">
        <f>IFERROR(__xludf.DUMMYFUNCTION("""COMPUTED_VALUE"""),"1")</f>
        <v>1</v>
      </c>
      <c r="AJ209" s="12" t="str">
        <f>IFERROR(__xludf.DUMMYFUNCTION("""COMPUTED_VALUE"""),"37")</f>
        <v>37</v>
      </c>
      <c r="AK209" s="12">
        <f>IFERROR(__xludf.DUMMYFUNCTION("""COMPUTED_VALUE"""),344.0)</f>
        <v>344</v>
      </c>
      <c r="AL209" s="12" t="str">
        <f>IFERROR(__xludf.DUMMYFUNCTION("""COMPUTED_VALUE"""),"SUMMIT")</f>
        <v>SUMMIT</v>
      </c>
      <c r="AM209" s="12"/>
      <c r="AN209" s="12"/>
      <c r="AO209" s="12"/>
      <c r="AP209" s="12"/>
      <c r="AQ209" s="12"/>
      <c r="BC209" s="12"/>
      <c r="BD209" s="12"/>
      <c r="BE209" s="14"/>
      <c r="BF209" s="12"/>
      <c r="BG209" s="12"/>
      <c r="BH209" s="12" t="str">
        <f>IFERROR(__xludf.DUMMYFUNCTION("IFERROR(INDEX(QUERY(IMPORTRANGE(""1T7HG8KEs-Ob7f3M5atEVN9Yn7IeORGp0QGvggB62ELw"",""Maestro!A:I""),""SELECT Col8 WHERE Col3 = '""&amp;BE209&amp;""'"", 0), 1, 1),""NO ENCONTRADO"")"),"")</f>
        <v/>
      </c>
      <c r="BI209" s="12" t="str">
        <f>IFERROR(__xludf.DUMMYFUNCTION("IFERROR(INDEX(QUERY(IMPORTRANGE(""1T7HG8KEs-Ob7f3M5atEVN9Yn7IeORGp0QGvggB62ELw"",""Maestro!A:I""),""SELECT Col7 WHERE Col3 = '""&amp;BE209&amp;""'"", 0), 1, 1),""NO ENCONTRADO"")"),"")</f>
        <v/>
      </c>
      <c r="BJ209" s="16">
        <f t="shared" si="13"/>
        <v>0</v>
      </c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4"/>
      <c r="BX209" s="14"/>
      <c r="BY209" s="14"/>
      <c r="BZ209" s="14"/>
      <c r="CA209" s="14"/>
      <c r="CB209" s="14"/>
      <c r="CC209" s="14"/>
      <c r="CD209" s="14"/>
      <c r="CE209" s="14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</row>
    <row r="210">
      <c r="A210" s="158">
        <v>4.0</v>
      </c>
      <c r="B210" s="159" t="s">
        <v>254</v>
      </c>
      <c r="C210" s="160" t="s">
        <v>124</v>
      </c>
      <c r="D210" s="161" t="str">
        <f t="shared" si="8"/>
        <v>4-R-2A</v>
      </c>
      <c r="E210" s="103"/>
      <c r="F210" s="171"/>
      <c r="G210" s="105"/>
      <c r="H210" s="106"/>
      <c r="I210" s="107"/>
      <c r="J210" s="108"/>
      <c r="K210" s="27" t="str">
        <f t="shared" si="2"/>
        <v>DISPONIBLE</v>
      </c>
      <c r="L210" s="28">
        <f t="shared" si="14"/>
        <v>209</v>
      </c>
      <c r="M210" s="28" t="s">
        <v>501</v>
      </c>
      <c r="N210" s="28"/>
      <c r="O210" s="168"/>
      <c r="P210" s="12"/>
      <c r="Q210" s="12"/>
      <c r="R210" s="12"/>
      <c r="S210" s="12"/>
      <c r="T210" s="12"/>
      <c r="U210" s="12"/>
      <c r="V210" s="12"/>
      <c r="AB210" s="12"/>
      <c r="AC210" s="12" t="str">
        <f>IFERROR(__xludf.DUMMYFUNCTION("""COMPUTED_VALUE"""),"T-1-38")</f>
        <v>T-1-38</v>
      </c>
      <c r="AD210" s="12" t="str">
        <f>IFERROR(__xludf.DUMMYFUNCTION("""COMPUTED_VALUE"""),"605678")</f>
        <v>605678</v>
      </c>
      <c r="AE210" s="12" t="str">
        <f>IFERROR(__xludf.DUMMYFUNCTION("""COMPUTED_VALUE"""),"ROLLO CARTON CORRUGADO 1.20X73Mt aprox. 25K")</f>
        <v>ROLLO CARTON CORRUGADO 1.20X73Mt aprox. 25K</v>
      </c>
      <c r="AF210" s="30">
        <f>IFERROR(__xludf.DUMMYFUNCTION("""COMPUTED_VALUE"""),50.0)</f>
        <v>50</v>
      </c>
      <c r="AG210" s="12" t="str">
        <f>IFERROR(__xludf.DUMMYFUNCTION("""COMPUTED_VALUE"""),"PROVEEDOR")</f>
        <v>PROVEEDOR</v>
      </c>
      <c r="AH210" s="12"/>
      <c r="AI210" s="12" t="str">
        <f>IFERROR(__xludf.DUMMYFUNCTION("""COMPUTED_VALUE"""),"1")</f>
        <v>1</v>
      </c>
      <c r="AJ210" s="12" t="str">
        <f>IFERROR(__xludf.DUMMYFUNCTION("""COMPUTED_VALUE"""),"38")</f>
        <v>38</v>
      </c>
      <c r="AK210" s="12">
        <f>IFERROR(__xludf.DUMMYFUNCTION("""COMPUTED_VALUE"""),345.0)</f>
        <v>345</v>
      </c>
      <c r="AL210" s="12" t="str">
        <f>IFERROR(__xludf.DUMMYFUNCTION("""COMPUTED_VALUE"""),"SUMMIT")</f>
        <v>SUMMIT</v>
      </c>
      <c r="AM210" s="12"/>
      <c r="AN210" s="12"/>
      <c r="AO210" s="12"/>
      <c r="AP210" s="12"/>
      <c r="AQ210" s="12"/>
      <c r="BC210" s="12"/>
      <c r="BD210" s="12"/>
      <c r="BE210" s="14"/>
      <c r="BF210" s="12"/>
      <c r="BG210" s="12"/>
      <c r="BH210" s="12" t="str">
        <f>IFERROR(__xludf.DUMMYFUNCTION("IFERROR(INDEX(QUERY(IMPORTRANGE(""1T7HG8KEs-Ob7f3M5atEVN9Yn7IeORGp0QGvggB62ELw"",""Maestro!A:I""),""SELECT Col8 WHERE Col3 = '""&amp;BE210&amp;""'"", 0), 1, 1),""NO ENCONTRADO"")"),"")</f>
        <v/>
      </c>
      <c r="BI210" s="12" t="str">
        <f>IFERROR(__xludf.DUMMYFUNCTION("IFERROR(INDEX(QUERY(IMPORTRANGE(""1T7HG8KEs-Ob7f3M5atEVN9Yn7IeORGp0QGvggB62ELw"",""Maestro!A:I""),""SELECT Col7 WHERE Col3 = '""&amp;BE210&amp;""'"", 0), 1, 1),""NO ENCONTRADO"")"),"")</f>
        <v/>
      </c>
      <c r="BJ210" s="16">
        <f t="shared" si="13"/>
        <v>0</v>
      </c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4"/>
      <c r="BX210" s="14"/>
      <c r="BY210" s="14"/>
      <c r="BZ210" s="14"/>
      <c r="CA210" s="14"/>
      <c r="CB210" s="14"/>
      <c r="CC210" s="14"/>
      <c r="CD210" s="14"/>
      <c r="CE210" s="14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</row>
    <row r="211">
      <c r="A211" s="158">
        <v>4.0</v>
      </c>
      <c r="B211" s="159" t="s">
        <v>254</v>
      </c>
      <c r="C211" s="160" t="s">
        <v>140</v>
      </c>
      <c r="D211" s="161" t="str">
        <f t="shared" si="8"/>
        <v>4-R-2B</v>
      </c>
      <c r="E211" s="162">
        <v>45688.0</v>
      </c>
      <c r="F211" s="163" t="s">
        <v>702</v>
      </c>
      <c r="G211" s="164" t="s">
        <v>330</v>
      </c>
      <c r="H211" s="165" t="s">
        <v>331</v>
      </c>
      <c r="I211" s="166">
        <v>53.0</v>
      </c>
      <c r="J211" s="167" t="s">
        <v>43</v>
      </c>
      <c r="K211" s="32" t="str">
        <f t="shared" si="2"/>
        <v>OCUPADO</v>
      </c>
      <c r="L211" s="33">
        <f t="shared" si="14"/>
        <v>210</v>
      </c>
      <c r="M211" s="33" t="s">
        <v>501</v>
      </c>
      <c r="N211" s="33"/>
      <c r="O211" s="169" t="s">
        <v>270</v>
      </c>
      <c r="P211" s="12"/>
      <c r="Q211" s="12"/>
      <c r="R211" s="12"/>
      <c r="S211" s="12"/>
      <c r="T211" s="12"/>
      <c r="U211" s="12"/>
      <c r="V211" s="12"/>
      <c r="AB211" s="12"/>
      <c r="AC211" s="12" t="str">
        <f>IFERROR(__xludf.DUMMYFUNCTION("""COMPUTED_VALUE"""),"T-1-39")</f>
        <v>T-1-39</v>
      </c>
      <c r="AD211" s="12" t="str">
        <f>IFERROR(__xludf.DUMMYFUNCTION("""COMPUTED_VALUE"""),"692012X")</f>
        <v>692012X</v>
      </c>
      <c r="AE211" s="12" t="str">
        <f>IFERROR(__xludf.DUMMYFUNCTION("""COMPUTED_VALUE"""),"CAJA CARTON CORRUGADO 50x40x30 ")</f>
        <v>CAJA CARTON CORRUGADO 50x40x30 </v>
      </c>
      <c r="AF211" s="30">
        <f>IFERROR(__xludf.DUMMYFUNCTION("""COMPUTED_VALUE"""),137.0)</f>
        <v>137</v>
      </c>
      <c r="AG211" s="12" t="str">
        <f>IFERROR(__xludf.DUMMYFUNCTION("""COMPUTED_VALUE"""),"PROVEEDOR")</f>
        <v>PROVEEDOR</v>
      </c>
      <c r="AH211" s="12"/>
      <c r="AI211" s="12" t="str">
        <f>IFERROR(__xludf.DUMMYFUNCTION("""COMPUTED_VALUE"""),"1")</f>
        <v>1</v>
      </c>
      <c r="AJ211" s="12" t="str">
        <f>IFERROR(__xludf.DUMMYFUNCTION("""COMPUTED_VALUE"""),"39")</f>
        <v>39</v>
      </c>
      <c r="AK211" s="12">
        <f>IFERROR(__xludf.DUMMYFUNCTION("""COMPUTED_VALUE"""),346.0)</f>
        <v>346</v>
      </c>
      <c r="AL211" s="12" t="str">
        <f>IFERROR(__xludf.DUMMYFUNCTION("""COMPUTED_VALUE"""),"SUMMIT")</f>
        <v>SUMMIT</v>
      </c>
      <c r="AM211" s="12"/>
      <c r="AN211" s="12"/>
      <c r="AO211" s="12"/>
      <c r="AP211" s="12"/>
      <c r="AQ211" s="12"/>
      <c r="BC211" s="12"/>
      <c r="BD211" s="12"/>
      <c r="BE211" s="14"/>
      <c r="BF211" s="12"/>
      <c r="BG211" s="12"/>
      <c r="BH211" s="12" t="str">
        <f>IFERROR(__xludf.DUMMYFUNCTION("IFERROR(INDEX(QUERY(IMPORTRANGE(""1T7HG8KEs-Ob7f3M5atEVN9Yn7IeORGp0QGvggB62ELw"",""Maestro!A:I""),""SELECT Col8 WHERE Col3 = '""&amp;BE211&amp;""'"", 0), 1, 1),""NO ENCONTRADO"")"),"")</f>
        <v/>
      </c>
      <c r="BI211" s="12" t="str">
        <f>IFERROR(__xludf.DUMMYFUNCTION("IFERROR(INDEX(QUERY(IMPORTRANGE(""1T7HG8KEs-Ob7f3M5atEVN9Yn7IeORGp0QGvggB62ELw"",""Maestro!A:I""),""SELECT Col7 WHERE Col3 = '""&amp;BE211&amp;""'"", 0), 1, 1),""NO ENCONTRADO"")"),"")</f>
        <v/>
      </c>
      <c r="BJ211" s="16">
        <f t="shared" si="13"/>
        <v>0</v>
      </c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4"/>
      <c r="BX211" s="14"/>
      <c r="BY211" s="14"/>
      <c r="BZ211" s="14"/>
      <c r="CA211" s="14"/>
      <c r="CB211" s="14"/>
      <c r="CC211" s="14"/>
      <c r="CD211" s="14"/>
      <c r="CE211" s="14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</row>
    <row r="212">
      <c r="A212" s="158">
        <v>4.0</v>
      </c>
      <c r="B212" s="159" t="s">
        <v>254</v>
      </c>
      <c r="C212" s="160" t="s">
        <v>130</v>
      </c>
      <c r="D212" s="161" t="str">
        <f t="shared" si="8"/>
        <v>4-R-3A</v>
      </c>
      <c r="E212" s="103"/>
      <c r="F212" s="104"/>
      <c r="G212" s="105"/>
      <c r="H212" s="106"/>
      <c r="I212" s="107"/>
      <c r="J212" s="108"/>
      <c r="K212" s="27" t="str">
        <f t="shared" si="2"/>
        <v>DISPONIBLE</v>
      </c>
      <c r="L212" s="28">
        <f t="shared" si="14"/>
        <v>211</v>
      </c>
      <c r="M212" s="28" t="s">
        <v>501</v>
      </c>
      <c r="N212" s="28">
        <v>13.0</v>
      </c>
      <c r="O212" s="168"/>
      <c r="P212" s="12"/>
      <c r="Q212" s="12"/>
      <c r="R212" s="12"/>
      <c r="S212" s="12"/>
      <c r="T212" s="12"/>
      <c r="U212" s="12"/>
      <c r="V212" s="12"/>
      <c r="AB212" s="12"/>
      <c r="AC212" s="12" t="str">
        <f>IFERROR(__xludf.DUMMYFUNCTION("""COMPUTED_VALUE"""),"T-1-40")</f>
        <v>T-1-40</v>
      </c>
      <c r="AD212" s="12" t="str">
        <f>IFERROR(__xludf.DUMMYFUNCTION("""COMPUTED_VALUE"""),"692012X")</f>
        <v>692012X</v>
      </c>
      <c r="AE212" s="12" t="str">
        <f>IFERROR(__xludf.DUMMYFUNCTION("""COMPUTED_VALUE"""),"CAJA CARTON CORRUGADO 50x40x30 ")</f>
        <v>CAJA CARTON CORRUGADO 50x40x30 </v>
      </c>
      <c r="AF212" s="30">
        <f>IFERROR(__xludf.DUMMYFUNCTION("""COMPUTED_VALUE"""),225.0)</f>
        <v>225</v>
      </c>
      <c r="AG212" s="12" t="str">
        <f>IFERROR(__xludf.DUMMYFUNCTION("""COMPUTED_VALUE"""),"PROVEEDOR")</f>
        <v>PROVEEDOR</v>
      </c>
      <c r="AH212" s="12"/>
      <c r="AI212" s="12" t="str">
        <f>IFERROR(__xludf.DUMMYFUNCTION("""COMPUTED_VALUE"""),"1")</f>
        <v>1</v>
      </c>
      <c r="AJ212" s="12" t="str">
        <f>IFERROR(__xludf.DUMMYFUNCTION("""COMPUTED_VALUE"""),"40")</f>
        <v>40</v>
      </c>
      <c r="AK212" s="12">
        <f>IFERROR(__xludf.DUMMYFUNCTION("""COMPUTED_VALUE"""),347.0)</f>
        <v>347</v>
      </c>
      <c r="AL212" s="12" t="str">
        <f>IFERROR(__xludf.DUMMYFUNCTION("""COMPUTED_VALUE"""),"SUMMIT")</f>
        <v>SUMMIT</v>
      </c>
      <c r="AM212" s="12"/>
      <c r="AN212" s="12"/>
      <c r="AO212" s="12"/>
      <c r="AP212" s="12"/>
      <c r="AQ212" s="12"/>
      <c r="BC212" s="12"/>
      <c r="BD212" s="12"/>
      <c r="BE212" s="14"/>
      <c r="BF212" s="12"/>
      <c r="BG212" s="12"/>
      <c r="BH212" s="12" t="str">
        <f>IFERROR(__xludf.DUMMYFUNCTION("IFERROR(INDEX(QUERY(IMPORTRANGE(""1T7HG8KEs-Ob7f3M5atEVN9Yn7IeORGp0QGvggB62ELw"",""Maestro!A:I""),""SELECT Col8 WHERE Col3 = '""&amp;BE212&amp;""'"", 0), 1, 1),""NO ENCONTRADO"")"),"")</f>
        <v/>
      </c>
      <c r="BI212" s="12" t="str">
        <f>IFERROR(__xludf.DUMMYFUNCTION("IFERROR(INDEX(QUERY(IMPORTRANGE(""1T7HG8KEs-Ob7f3M5atEVN9Yn7IeORGp0QGvggB62ELw"",""Maestro!A:I""),""SELECT Col7 WHERE Col3 = '""&amp;BE212&amp;""'"", 0), 1, 1),""NO ENCONTRADO"")"),"")</f>
        <v/>
      </c>
      <c r="BJ212" s="16">
        <f t="shared" si="13"/>
        <v>0</v>
      </c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4"/>
      <c r="BX212" s="14"/>
      <c r="BY212" s="14"/>
      <c r="BZ212" s="14"/>
      <c r="CA212" s="14"/>
      <c r="CB212" s="14"/>
      <c r="CC212" s="14"/>
      <c r="CD212" s="14"/>
      <c r="CE212" s="14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</row>
    <row r="213">
      <c r="A213" s="158">
        <v>4.0</v>
      </c>
      <c r="B213" s="159" t="s">
        <v>254</v>
      </c>
      <c r="C213" s="160" t="s">
        <v>148</v>
      </c>
      <c r="D213" s="161" t="str">
        <f t="shared" si="8"/>
        <v>4-R-3B</v>
      </c>
      <c r="E213" s="162">
        <v>45810.0</v>
      </c>
      <c r="F213" s="163" t="s">
        <v>705</v>
      </c>
      <c r="G213" s="164" t="s">
        <v>238</v>
      </c>
      <c r="H213" s="165" t="s">
        <v>239</v>
      </c>
      <c r="I213" s="166">
        <v>169.0</v>
      </c>
      <c r="J213" s="167" t="s">
        <v>43</v>
      </c>
      <c r="K213" s="32" t="str">
        <f t="shared" si="2"/>
        <v>OCUPADO</v>
      </c>
      <c r="L213" s="33">
        <f t="shared" si="14"/>
        <v>212</v>
      </c>
      <c r="M213" s="33" t="s">
        <v>501</v>
      </c>
      <c r="N213" s="33"/>
      <c r="O213" s="169" t="s">
        <v>270</v>
      </c>
      <c r="P213" s="12"/>
      <c r="Q213" s="12"/>
      <c r="R213" s="12"/>
      <c r="S213" s="12"/>
      <c r="T213" s="12"/>
      <c r="U213" s="12"/>
      <c r="V213" s="12"/>
      <c r="AB213" s="12"/>
      <c r="AC213" s="12" t="str">
        <f>IFERROR(__xludf.DUMMYFUNCTION("""COMPUTED_VALUE"""),"ZEST-1-1")</f>
        <v>ZEST-1-1</v>
      </c>
      <c r="AD213" s="12" t="str">
        <f>IFERROR(__xludf.DUMMYFUNCTION("""COMPUTED_VALUE"""),"600574XX")</f>
        <v>600574XX</v>
      </c>
      <c r="AE213" s="12" t="str">
        <f>IFERROR(__xludf.DUMMYFUNCTION("""COMPUTED_VALUE"""),"PDQ BOTELLAS VASOS")</f>
        <v>PDQ BOTELLAS VASOS</v>
      </c>
      <c r="AF213" s="30">
        <f>IFERROR(__xludf.DUMMYFUNCTION("""COMPUTED_VALUE"""),46.0)</f>
        <v>46</v>
      </c>
      <c r="AG213" s="12" t="str">
        <f>IFERROR(__xludf.DUMMYFUNCTION("""COMPUTED_VALUE"""),"PROVEEDOR")</f>
        <v>PROVEEDOR</v>
      </c>
      <c r="AH213" s="12"/>
      <c r="AI213" s="12" t="str">
        <f>IFERROR(__xludf.DUMMYFUNCTION("""COMPUTED_VALUE"""),"1")</f>
        <v>1</v>
      </c>
      <c r="AJ213" s="12" t="str">
        <f>IFERROR(__xludf.DUMMYFUNCTION("""COMPUTED_VALUE"""),"1")</f>
        <v>1</v>
      </c>
      <c r="AK213" s="12">
        <f>IFERROR(__xludf.DUMMYFUNCTION("""COMPUTED_VALUE"""),378.0)</f>
        <v>378</v>
      </c>
      <c r="AL213" s="12" t="str">
        <f>IFERROR(__xludf.DUMMYFUNCTION("""COMPUTED_VALUE"""),"SUMMIT")</f>
        <v>SUMMIT</v>
      </c>
      <c r="AM213" s="12"/>
      <c r="AN213" s="12"/>
      <c r="AO213" s="12"/>
      <c r="AP213" s="12"/>
      <c r="AQ213" s="12"/>
      <c r="BC213" s="12"/>
      <c r="BD213" s="12"/>
      <c r="BE213" s="14"/>
      <c r="BF213" s="12"/>
      <c r="BG213" s="12"/>
      <c r="BH213" s="12" t="str">
        <f>IFERROR(__xludf.DUMMYFUNCTION("IFERROR(INDEX(QUERY(IMPORTRANGE(""1T7HG8KEs-Ob7f3M5atEVN9Yn7IeORGp0QGvggB62ELw"",""Maestro!A:I""),""SELECT Col8 WHERE Col3 = '""&amp;BE213&amp;""'"", 0), 1, 1),""NO ENCONTRADO"")"),"")</f>
        <v/>
      </c>
      <c r="BI213" s="12" t="str">
        <f>IFERROR(__xludf.DUMMYFUNCTION("IFERROR(INDEX(QUERY(IMPORTRANGE(""1T7HG8KEs-Ob7f3M5atEVN9Yn7IeORGp0QGvggB62ELw"",""Maestro!A:I""),""SELECT Col7 WHERE Col3 = '""&amp;BE213&amp;""'"", 0), 1, 1),""NO ENCONTRADO"")"),"")</f>
        <v/>
      </c>
      <c r="BJ213" s="16">
        <f t="shared" si="13"/>
        <v>0</v>
      </c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4"/>
      <c r="BX213" s="14"/>
      <c r="BY213" s="14"/>
      <c r="BZ213" s="14"/>
      <c r="CA213" s="14"/>
      <c r="CB213" s="14"/>
      <c r="CC213" s="14"/>
      <c r="CD213" s="14"/>
      <c r="CE213" s="14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</row>
    <row r="214">
      <c r="A214" s="158">
        <v>4.0</v>
      </c>
      <c r="B214" s="159" t="s">
        <v>254</v>
      </c>
      <c r="C214" s="160" t="s">
        <v>145</v>
      </c>
      <c r="D214" s="161" t="str">
        <f t="shared" si="8"/>
        <v>4-R-4A</v>
      </c>
      <c r="E214" s="72"/>
      <c r="F214" s="73"/>
      <c r="G214" s="105"/>
      <c r="H214" s="106"/>
      <c r="I214" s="107"/>
      <c r="J214" s="108"/>
      <c r="K214" s="27" t="str">
        <f t="shared" si="2"/>
        <v>DISPONIBLE</v>
      </c>
      <c r="L214" s="28">
        <f t="shared" si="14"/>
        <v>213</v>
      </c>
      <c r="M214" s="28" t="s">
        <v>501</v>
      </c>
      <c r="N214" s="28"/>
      <c r="O214" s="168"/>
      <c r="P214" s="12"/>
      <c r="Q214" s="12"/>
      <c r="R214" s="12"/>
      <c r="S214" s="12"/>
      <c r="T214" s="12"/>
      <c r="U214" s="12"/>
      <c r="V214" s="12"/>
      <c r="AB214" s="12"/>
      <c r="AC214" s="12" t="str">
        <f>IFERROR(__xludf.DUMMYFUNCTION("""COMPUTED_VALUE"""),"ZEST-1-2")</f>
        <v>ZEST-1-2</v>
      </c>
      <c r="AD214" s="12" t="str">
        <f>IFERROR(__xludf.DUMMYFUNCTION("""COMPUTED_VALUE"""),"691084")</f>
        <v>691084</v>
      </c>
      <c r="AE214" s="12" t="str">
        <f>IFERROR(__xludf.DUMMYFUNCTION("""COMPUTED_VALUE"""),"ROLLO CARTON ACOLCHADO 40cmx5mt")</f>
        <v>ROLLO CARTON ACOLCHADO 40cmx5mt</v>
      </c>
      <c r="AF214" s="30">
        <f>IFERROR(__xludf.DUMMYFUNCTION("""COMPUTED_VALUE"""),3.0)</f>
        <v>3</v>
      </c>
      <c r="AG214" s="12" t="str">
        <f>IFERROR(__xludf.DUMMYFUNCTION("""COMPUTED_VALUE"""),"PRODUCTO TERMINADO")</f>
        <v>PRODUCTO TERMINADO</v>
      </c>
      <c r="AH214" s="12"/>
      <c r="AI214" s="12" t="str">
        <f>IFERROR(__xludf.DUMMYFUNCTION("""COMPUTED_VALUE"""),"1")</f>
        <v>1</v>
      </c>
      <c r="AJ214" s="12" t="str">
        <f>IFERROR(__xludf.DUMMYFUNCTION("""COMPUTED_VALUE"""),"2")</f>
        <v>2</v>
      </c>
      <c r="AK214" s="12">
        <f>IFERROR(__xludf.DUMMYFUNCTION("""COMPUTED_VALUE"""),379.0)</f>
        <v>379</v>
      </c>
      <c r="AL214" s="12" t="str">
        <f>IFERROR(__xludf.DUMMYFUNCTION("""COMPUTED_VALUE"""),"SUMMIT")</f>
        <v>SUMMIT</v>
      </c>
      <c r="AM214" s="12"/>
      <c r="AN214" s="12"/>
      <c r="AO214" s="12"/>
      <c r="AP214" s="12"/>
      <c r="AQ214" s="12"/>
      <c r="BC214" s="12"/>
      <c r="BD214" s="12"/>
      <c r="BE214" s="14"/>
      <c r="BF214" s="12"/>
      <c r="BG214" s="12"/>
      <c r="BH214" s="12" t="str">
        <f>IFERROR(__xludf.DUMMYFUNCTION("IFERROR(INDEX(QUERY(IMPORTRANGE(""1T7HG8KEs-Ob7f3M5atEVN9Yn7IeORGp0QGvggB62ELw"",""Maestro!A:I""),""SELECT Col8 WHERE Col3 = '""&amp;BE214&amp;""'"", 0), 1, 1),""NO ENCONTRADO"")"),"")</f>
        <v/>
      </c>
      <c r="BI214" s="12" t="str">
        <f>IFERROR(__xludf.DUMMYFUNCTION("IFERROR(INDEX(QUERY(IMPORTRANGE(""1T7HG8KEs-Ob7f3M5atEVN9Yn7IeORGp0QGvggB62ELw"",""Maestro!A:I""),""SELECT Col7 WHERE Col3 = '""&amp;BE214&amp;""'"", 0), 1, 1),""NO ENCONTRADO"")"),"")</f>
        <v/>
      </c>
      <c r="BJ214" s="16">
        <f t="shared" si="13"/>
        <v>0</v>
      </c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4"/>
      <c r="BX214" s="14"/>
      <c r="BY214" s="14"/>
      <c r="BZ214" s="14"/>
      <c r="CA214" s="14"/>
      <c r="CB214" s="14"/>
      <c r="CC214" s="14"/>
      <c r="CD214" s="14"/>
      <c r="CE214" s="14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</row>
    <row r="215">
      <c r="A215" s="158">
        <v>4.0</v>
      </c>
      <c r="B215" s="159" t="s">
        <v>254</v>
      </c>
      <c r="C215" s="160" t="s">
        <v>181</v>
      </c>
      <c r="D215" s="161" t="str">
        <f t="shared" si="8"/>
        <v>4-R-4B</v>
      </c>
      <c r="E215" s="78">
        <v>45827.0</v>
      </c>
      <c r="F215" s="88" t="s">
        <v>652</v>
      </c>
      <c r="G215" s="164" t="s">
        <v>196</v>
      </c>
      <c r="H215" s="165" t="s">
        <v>197</v>
      </c>
      <c r="I215" s="166">
        <v>75.0</v>
      </c>
      <c r="J215" s="167" t="s">
        <v>43</v>
      </c>
      <c r="K215" s="32" t="str">
        <f t="shared" si="2"/>
        <v>OCUPADO</v>
      </c>
      <c r="L215" s="33">
        <f t="shared" si="14"/>
        <v>214</v>
      </c>
      <c r="M215" s="33" t="s">
        <v>501</v>
      </c>
      <c r="N215" s="122"/>
      <c r="O215" s="169" t="s">
        <v>270</v>
      </c>
      <c r="P215" s="12"/>
      <c r="Q215" s="12"/>
      <c r="R215" s="12"/>
      <c r="S215" s="12"/>
      <c r="T215" s="12"/>
      <c r="U215" s="12"/>
      <c r="V215" s="12"/>
      <c r="AB215" s="12"/>
      <c r="AC215" s="12" t="str">
        <f>IFERROR(__xludf.DUMMYFUNCTION("""COMPUTED_VALUE"""),"ZEST-1-5")</f>
        <v>ZEST-1-5</v>
      </c>
      <c r="AD215" s="12" t="str">
        <f>IFERROR(__xludf.DUMMYFUNCTION("""COMPUTED_VALUE"""),"600523XX")</f>
        <v>600523XX</v>
      </c>
      <c r="AE215" s="12" t="str">
        <f>IFERROR(__xludf.DUMMYFUNCTION("""COMPUTED_VALUE"""),"PDQ FUNDA PANAL")</f>
        <v>PDQ FUNDA PANAL</v>
      </c>
      <c r="AF215" s="30">
        <f>IFERROR(__xludf.DUMMYFUNCTION("""COMPUTED_VALUE"""),10.0)</f>
        <v>10</v>
      </c>
      <c r="AG215" s="12" t="str">
        <f>IFERROR(__xludf.DUMMYFUNCTION("""COMPUTED_VALUE"""),"PROVEEDOR")</f>
        <v>PROVEEDOR</v>
      </c>
      <c r="AH215" s="12"/>
      <c r="AI215" s="12" t="str">
        <f>IFERROR(__xludf.DUMMYFUNCTION("""COMPUTED_VALUE"""),"1")</f>
        <v>1</v>
      </c>
      <c r="AJ215" s="12" t="str">
        <f>IFERROR(__xludf.DUMMYFUNCTION("""COMPUTED_VALUE"""),"5")</f>
        <v>5</v>
      </c>
      <c r="AK215" s="12">
        <f>IFERROR(__xludf.DUMMYFUNCTION("""COMPUTED_VALUE"""),382.0)</f>
        <v>382</v>
      </c>
      <c r="AL215" s="12" t="str">
        <f>IFERROR(__xludf.DUMMYFUNCTION("""COMPUTED_VALUE"""),"SUMMIT")</f>
        <v>SUMMIT</v>
      </c>
      <c r="AM215" s="12"/>
      <c r="AN215" s="12"/>
      <c r="AO215" s="12"/>
      <c r="AP215" s="12"/>
      <c r="AQ215" s="12"/>
      <c r="BC215" s="12"/>
      <c r="BD215" s="12"/>
      <c r="BE215" s="14"/>
      <c r="BF215" s="12"/>
      <c r="BG215" s="12"/>
      <c r="BH215" s="12" t="str">
        <f>IFERROR(__xludf.DUMMYFUNCTION("IFERROR(INDEX(QUERY(IMPORTRANGE(""1T7HG8KEs-Ob7f3M5atEVN9Yn7IeORGp0QGvggB62ELw"",""Maestro!A:I""),""SELECT Col8 WHERE Col3 = '""&amp;BE215&amp;""'"", 0), 1, 1),""NO ENCONTRADO"")"),"")</f>
        <v/>
      </c>
      <c r="BI215" s="12" t="str">
        <f>IFERROR(__xludf.DUMMYFUNCTION("IFERROR(INDEX(QUERY(IMPORTRANGE(""1T7HG8KEs-Ob7f3M5atEVN9Yn7IeORGp0QGvggB62ELw"",""Maestro!A:I""),""SELECT Col7 WHERE Col3 = '""&amp;BE215&amp;""'"", 0), 1, 1),""NO ENCONTRADO"")"),"")</f>
        <v/>
      </c>
      <c r="BJ215" s="16">
        <f t="shared" si="13"/>
        <v>0</v>
      </c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4"/>
      <c r="BX215" s="14"/>
      <c r="BY215" s="14"/>
      <c r="BZ215" s="14"/>
      <c r="CA215" s="14"/>
      <c r="CB215" s="14"/>
      <c r="CC215" s="14"/>
      <c r="CD215" s="14"/>
      <c r="CE215" s="14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</row>
    <row r="216">
      <c r="A216" s="158">
        <v>4.0</v>
      </c>
      <c r="B216" s="159" t="s">
        <v>254</v>
      </c>
      <c r="C216" s="160" t="s">
        <v>188</v>
      </c>
      <c r="D216" s="161" t="str">
        <f t="shared" si="8"/>
        <v>4-R-5A</v>
      </c>
      <c r="E216" s="162">
        <v>45821.0</v>
      </c>
      <c r="F216" s="163" t="s">
        <v>19</v>
      </c>
      <c r="G216" s="164" t="s">
        <v>294</v>
      </c>
      <c r="H216" s="165" t="s">
        <v>295</v>
      </c>
      <c r="I216" s="166">
        <v>4.0</v>
      </c>
      <c r="J216" s="167" t="s">
        <v>274</v>
      </c>
      <c r="K216" s="27" t="str">
        <f t="shared" si="2"/>
        <v>OCUPADO</v>
      </c>
      <c r="L216" s="28">
        <f t="shared" si="14"/>
        <v>215</v>
      </c>
      <c r="M216" s="28" t="s">
        <v>501</v>
      </c>
      <c r="N216" s="109"/>
      <c r="O216" s="168" t="s">
        <v>270</v>
      </c>
      <c r="P216" s="12"/>
      <c r="Q216" s="12"/>
      <c r="R216" s="12"/>
      <c r="S216" s="12"/>
      <c r="T216" s="12"/>
      <c r="U216" s="12"/>
      <c r="V216" s="12"/>
      <c r="AB216" s="12"/>
      <c r="AC216" s="12" t="str">
        <f>IFERROR(__xludf.DUMMYFUNCTION("""COMPUTED_VALUE"""),"ZEST-2-1")</f>
        <v>ZEST-2-1</v>
      </c>
      <c r="AD216" s="12" t="str">
        <f>IFERROR(__xludf.DUMMYFUNCTION("""COMPUTED_VALUE"""),"600523XX")</f>
        <v>600523XX</v>
      </c>
      <c r="AE216" s="12" t="str">
        <f>IFERROR(__xludf.DUMMYFUNCTION("""COMPUTED_VALUE"""),"PDQ FUNDA PANAL")</f>
        <v>PDQ FUNDA PANAL</v>
      </c>
      <c r="AF216" s="30">
        <f>IFERROR(__xludf.DUMMYFUNCTION("""COMPUTED_VALUE"""),9.0)</f>
        <v>9</v>
      </c>
      <c r="AG216" s="12" t="str">
        <f>IFERROR(__xludf.DUMMYFUNCTION("""COMPUTED_VALUE"""),"PROVEEDOR")</f>
        <v>PROVEEDOR</v>
      </c>
      <c r="AH216" s="12"/>
      <c r="AI216" s="12" t="str">
        <f>IFERROR(__xludf.DUMMYFUNCTION("""COMPUTED_VALUE"""),"2")</f>
        <v>2</v>
      </c>
      <c r="AJ216" s="12" t="str">
        <f>IFERROR(__xludf.DUMMYFUNCTION("""COMPUTED_VALUE"""),"1")</f>
        <v>1</v>
      </c>
      <c r="AK216" s="12">
        <f>IFERROR(__xludf.DUMMYFUNCTION("""COMPUTED_VALUE"""),383.0)</f>
        <v>383</v>
      </c>
      <c r="AL216" s="12" t="str">
        <f>IFERROR(__xludf.DUMMYFUNCTION("""COMPUTED_VALUE"""),"SUMMIT")</f>
        <v>SUMMIT</v>
      </c>
      <c r="AM216" s="12"/>
      <c r="AN216" s="12"/>
      <c r="AO216" s="12"/>
      <c r="AP216" s="12"/>
      <c r="AQ216" s="12"/>
      <c r="BC216" s="12"/>
      <c r="BD216" s="12"/>
      <c r="BE216" s="14"/>
      <c r="BF216" s="12"/>
      <c r="BG216" s="12"/>
      <c r="BH216" s="12" t="str">
        <f>IFERROR(__xludf.DUMMYFUNCTION("IFERROR(INDEX(QUERY(IMPORTRANGE(""1T7HG8KEs-Ob7f3M5atEVN9Yn7IeORGp0QGvggB62ELw"",""Maestro!A:I""),""SELECT Col8 WHERE Col3 = '""&amp;BE216&amp;""'"", 0), 1, 1),""NO ENCONTRADO"")"),"")</f>
        <v/>
      </c>
      <c r="BI216" s="12" t="str">
        <f>IFERROR(__xludf.DUMMYFUNCTION("IFERROR(INDEX(QUERY(IMPORTRANGE(""1T7HG8KEs-Ob7f3M5atEVN9Yn7IeORGp0QGvggB62ELw"",""Maestro!A:I""),""SELECT Col7 WHERE Col3 = '""&amp;BE216&amp;""'"", 0), 1, 1),""NO ENCONTRADO"")"),"")</f>
        <v/>
      </c>
      <c r="BJ216" s="16">
        <f t="shared" si="13"/>
        <v>0</v>
      </c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4"/>
      <c r="BX216" s="14"/>
      <c r="BY216" s="14"/>
      <c r="BZ216" s="14"/>
      <c r="CA216" s="14"/>
      <c r="CB216" s="14"/>
      <c r="CC216" s="14"/>
      <c r="CD216" s="14"/>
      <c r="CE216" s="14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</row>
    <row r="217">
      <c r="A217" s="158">
        <v>4.0</v>
      </c>
      <c r="B217" s="159" t="s">
        <v>254</v>
      </c>
      <c r="C217" s="160" t="s">
        <v>192</v>
      </c>
      <c r="D217" s="161" t="str">
        <f t="shared" si="8"/>
        <v>4-R-5B</v>
      </c>
      <c r="E217" s="162">
        <v>45821.0</v>
      </c>
      <c r="F217" s="163" t="s">
        <v>559</v>
      </c>
      <c r="G217" s="164" t="s">
        <v>41</v>
      </c>
      <c r="H217" s="165" t="s">
        <v>42</v>
      </c>
      <c r="I217" s="166">
        <v>17.0</v>
      </c>
      <c r="J217" s="167" t="s">
        <v>43</v>
      </c>
      <c r="K217" s="32" t="str">
        <f t="shared" si="2"/>
        <v>OCUPADO</v>
      </c>
      <c r="L217" s="33">
        <f t="shared" si="14"/>
        <v>216</v>
      </c>
      <c r="M217" s="33" t="s">
        <v>501</v>
      </c>
      <c r="N217" s="33">
        <v>13.0</v>
      </c>
      <c r="O217" s="169" t="s">
        <v>270</v>
      </c>
      <c r="P217" s="12"/>
      <c r="Q217" s="12"/>
      <c r="R217" s="12"/>
      <c r="S217" s="12"/>
      <c r="T217" s="12"/>
      <c r="U217" s="12"/>
      <c r="V217" s="12"/>
      <c r="AB217" s="12"/>
      <c r="AC217" s="12" t="str">
        <f>IFERROR(__xludf.DUMMYFUNCTION("""COMPUTED_VALUE"""),"ZEST-2-5")</f>
        <v>ZEST-2-5</v>
      </c>
      <c r="AD217" s="12" t="str">
        <f>IFERROR(__xludf.DUMMYFUNCTION("""COMPUTED_VALUE"""),"600523XX")</f>
        <v>600523XX</v>
      </c>
      <c r="AE217" s="12" t="str">
        <f>IFERROR(__xludf.DUMMYFUNCTION("""COMPUTED_VALUE"""),"PDQ FUNDA PANAL")</f>
        <v>PDQ FUNDA PANAL</v>
      </c>
      <c r="AF217" s="30">
        <f>IFERROR(__xludf.DUMMYFUNCTION("""COMPUTED_VALUE"""),10.0)</f>
        <v>10</v>
      </c>
      <c r="AG217" s="12" t="str">
        <f>IFERROR(__xludf.DUMMYFUNCTION("""COMPUTED_VALUE"""),"PROVEEDOR")</f>
        <v>PROVEEDOR</v>
      </c>
      <c r="AH217" s="12"/>
      <c r="AI217" s="12" t="str">
        <f>IFERROR(__xludf.DUMMYFUNCTION("""COMPUTED_VALUE"""),"2")</f>
        <v>2</v>
      </c>
      <c r="AJ217" s="12" t="str">
        <f>IFERROR(__xludf.DUMMYFUNCTION("""COMPUTED_VALUE"""),"5")</f>
        <v>5</v>
      </c>
      <c r="AK217" s="12">
        <f>IFERROR(__xludf.DUMMYFUNCTION("""COMPUTED_VALUE"""),387.0)</f>
        <v>387</v>
      </c>
      <c r="AL217" s="12" t="str">
        <f>IFERROR(__xludf.DUMMYFUNCTION("""COMPUTED_VALUE"""),"SUMMIT")</f>
        <v>SUMMIT</v>
      </c>
      <c r="AM217" s="12"/>
      <c r="AN217" s="12"/>
      <c r="AO217" s="12"/>
      <c r="AP217" s="12"/>
      <c r="AQ217" s="12"/>
      <c r="BC217" s="12"/>
      <c r="BD217" s="12"/>
      <c r="BE217" s="14"/>
      <c r="BF217" s="12"/>
      <c r="BG217" s="12"/>
      <c r="BH217" s="12" t="str">
        <f>IFERROR(__xludf.DUMMYFUNCTION("IFERROR(INDEX(QUERY(IMPORTRANGE(""1T7HG8KEs-Ob7f3M5atEVN9Yn7IeORGp0QGvggB62ELw"",""Maestro!A:I""),""SELECT Col8 WHERE Col3 = '""&amp;BE217&amp;""'"", 0), 1, 1),""NO ENCONTRADO"")"),"")</f>
        <v/>
      </c>
      <c r="BI217" s="12" t="str">
        <f>IFERROR(__xludf.DUMMYFUNCTION("IFERROR(INDEX(QUERY(IMPORTRANGE(""1T7HG8KEs-Ob7f3M5atEVN9Yn7IeORGp0QGvggB62ELw"",""Maestro!A:I""),""SELECT Col7 WHERE Col3 = '""&amp;BE217&amp;""'"", 0), 1, 1),""NO ENCONTRADO"")"),"")</f>
        <v/>
      </c>
      <c r="BJ217" s="16">
        <f t="shared" si="13"/>
        <v>0</v>
      </c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4"/>
      <c r="BX217" s="14"/>
      <c r="BY217" s="14"/>
      <c r="BZ217" s="14"/>
      <c r="CA217" s="14"/>
      <c r="CB217" s="14"/>
      <c r="CC217" s="14"/>
      <c r="CD217" s="14"/>
      <c r="CE217" s="14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</row>
    <row r="218">
      <c r="A218" s="158">
        <v>4.0</v>
      </c>
      <c r="B218" s="159" t="s">
        <v>254</v>
      </c>
      <c r="C218" s="160" t="s">
        <v>570</v>
      </c>
      <c r="D218" s="161" t="str">
        <f t="shared" si="8"/>
        <v>4-R-6A</v>
      </c>
      <c r="E218" s="162">
        <v>45821.0</v>
      </c>
      <c r="F218" s="163" t="s">
        <v>19</v>
      </c>
      <c r="G218" s="164" t="s">
        <v>294</v>
      </c>
      <c r="H218" s="165" t="s">
        <v>295</v>
      </c>
      <c r="I218" s="166">
        <v>10.0</v>
      </c>
      <c r="J218" s="167" t="s">
        <v>274</v>
      </c>
      <c r="K218" s="27" t="str">
        <f t="shared" si="2"/>
        <v>OCUPADO</v>
      </c>
      <c r="L218" s="28">
        <f t="shared" si="14"/>
        <v>217</v>
      </c>
      <c r="M218" s="28" t="s">
        <v>501</v>
      </c>
      <c r="N218" s="109"/>
      <c r="O218" s="168" t="s">
        <v>270</v>
      </c>
      <c r="P218" s="12"/>
      <c r="Q218" s="12"/>
      <c r="R218" s="12"/>
      <c r="S218" s="12"/>
      <c r="T218" s="12"/>
      <c r="U218" s="12"/>
      <c r="V218" s="12"/>
      <c r="AB218" s="12"/>
      <c r="AC218" s="12" t="str">
        <f>IFERROR(__xludf.DUMMYFUNCTION("""COMPUTED_VALUE"""),"ZEST-3-4")</f>
        <v>ZEST-3-4</v>
      </c>
      <c r="AD218" s="12" t="str">
        <f>IFERROR(__xludf.DUMMYFUNCTION("""COMPUTED_VALUE"""),"600574XX")</f>
        <v>600574XX</v>
      </c>
      <c r="AE218" s="12" t="str">
        <f>IFERROR(__xludf.DUMMYFUNCTION("""COMPUTED_VALUE"""),"PDQ BOTELLAS VASOS")</f>
        <v>PDQ BOTELLAS VASOS</v>
      </c>
      <c r="AF218" s="30">
        <f>IFERROR(__xludf.DUMMYFUNCTION("""COMPUTED_VALUE"""),2.0)</f>
        <v>2</v>
      </c>
      <c r="AG218" s="12" t="str">
        <f>IFERROR(__xludf.DUMMYFUNCTION("""COMPUTED_VALUE"""),"PROVEEDOR")</f>
        <v>PROVEEDOR</v>
      </c>
      <c r="AH218" s="12"/>
      <c r="AI218" s="12" t="str">
        <f>IFERROR(__xludf.DUMMYFUNCTION("""COMPUTED_VALUE"""),"3")</f>
        <v>3</v>
      </c>
      <c r="AJ218" s="12" t="str">
        <f>IFERROR(__xludf.DUMMYFUNCTION("""COMPUTED_VALUE"""),"4")</f>
        <v>4</v>
      </c>
      <c r="AK218" s="12">
        <f>IFERROR(__xludf.DUMMYFUNCTION("""COMPUTED_VALUE"""),391.0)</f>
        <v>391</v>
      </c>
      <c r="AL218" s="12" t="str">
        <f>IFERROR(__xludf.DUMMYFUNCTION("""COMPUTED_VALUE"""),"SUMMIT")</f>
        <v>SUMMIT</v>
      </c>
      <c r="AM218" s="12"/>
      <c r="AN218" s="12"/>
      <c r="AO218" s="12"/>
      <c r="AP218" s="12"/>
      <c r="AQ218" s="12"/>
      <c r="BC218" s="12"/>
      <c r="BD218" s="12"/>
      <c r="BE218" s="14"/>
      <c r="BF218" s="12"/>
      <c r="BG218" s="12"/>
      <c r="BH218" s="12" t="str">
        <f>IFERROR(__xludf.DUMMYFUNCTION("IFERROR(INDEX(QUERY(IMPORTRANGE(""1T7HG8KEs-Ob7f3M5atEVN9Yn7IeORGp0QGvggB62ELw"",""Maestro!A:I""),""SELECT Col8 WHERE Col3 = '""&amp;BE218&amp;""'"", 0), 1, 1),""NO ENCONTRADO"")"),"")</f>
        <v/>
      </c>
      <c r="BI218" s="12" t="str">
        <f>IFERROR(__xludf.DUMMYFUNCTION("IFERROR(INDEX(QUERY(IMPORTRANGE(""1T7HG8KEs-Ob7f3M5atEVN9Yn7IeORGp0QGvggB62ELw"",""Maestro!A:I""),""SELECT Col7 WHERE Col3 = '""&amp;BE218&amp;""'"", 0), 1, 1),""NO ENCONTRADO"")"),"")</f>
        <v/>
      </c>
      <c r="BJ218" s="16">
        <f t="shared" si="13"/>
        <v>0</v>
      </c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4"/>
      <c r="BX218" s="14"/>
      <c r="BY218" s="14"/>
      <c r="BZ218" s="14"/>
      <c r="CA218" s="14"/>
      <c r="CB218" s="14"/>
      <c r="CC218" s="14"/>
      <c r="CD218" s="14"/>
      <c r="CE218" s="14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</row>
    <row r="219">
      <c r="A219" s="158">
        <v>4.0</v>
      </c>
      <c r="B219" s="159" t="s">
        <v>254</v>
      </c>
      <c r="C219" s="160" t="s">
        <v>573</v>
      </c>
      <c r="D219" s="161" t="str">
        <f t="shared" si="8"/>
        <v>4-R-6B</v>
      </c>
      <c r="E219" s="162">
        <v>45810.0</v>
      </c>
      <c r="F219" s="163" t="s">
        <v>712</v>
      </c>
      <c r="G219" s="164" t="s">
        <v>309</v>
      </c>
      <c r="H219" s="165" t="s">
        <v>310</v>
      </c>
      <c r="I219" s="166">
        <v>121.0</v>
      </c>
      <c r="J219" s="167" t="s">
        <v>43</v>
      </c>
      <c r="K219" s="32" t="str">
        <f t="shared" si="2"/>
        <v>OCUPADO</v>
      </c>
      <c r="L219" s="33">
        <f t="shared" si="14"/>
        <v>218</v>
      </c>
      <c r="M219" s="33" t="s">
        <v>501</v>
      </c>
      <c r="N219" s="33"/>
      <c r="O219" s="169" t="s">
        <v>270</v>
      </c>
      <c r="P219" s="12"/>
      <c r="Q219" s="12"/>
      <c r="R219" s="12"/>
      <c r="S219" s="12"/>
      <c r="T219" s="12"/>
      <c r="U219" s="12"/>
      <c r="V219" s="12"/>
      <c r="AB219" s="12"/>
      <c r="AC219" s="12" t="str">
        <f>IFERROR(__xludf.DUMMYFUNCTION("""COMPUTED_VALUE"""),"ZEST-3-5")</f>
        <v>ZEST-3-5</v>
      </c>
      <c r="AD219" s="12" t="str">
        <f>IFERROR(__xludf.DUMMYFUNCTION("""COMPUTED_VALUE"""),"600523XX")</f>
        <v>600523XX</v>
      </c>
      <c r="AE219" s="12" t="str">
        <f>IFERROR(__xludf.DUMMYFUNCTION("""COMPUTED_VALUE"""),"PDQ FUNDA PANAL")</f>
        <v>PDQ FUNDA PANAL</v>
      </c>
      <c r="AF219" s="30">
        <f>IFERROR(__xludf.DUMMYFUNCTION("""COMPUTED_VALUE"""),8.0)</f>
        <v>8</v>
      </c>
      <c r="AG219" s="12" t="str">
        <f>IFERROR(__xludf.DUMMYFUNCTION("""COMPUTED_VALUE"""),"PROVEEDOR")</f>
        <v>PROVEEDOR</v>
      </c>
      <c r="AH219" s="12"/>
      <c r="AI219" s="12" t="str">
        <f>IFERROR(__xludf.DUMMYFUNCTION("""COMPUTED_VALUE"""),"3")</f>
        <v>3</v>
      </c>
      <c r="AJ219" s="12" t="str">
        <f>IFERROR(__xludf.DUMMYFUNCTION("""COMPUTED_VALUE"""),"5")</f>
        <v>5</v>
      </c>
      <c r="AK219" s="12">
        <f>IFERROR(__xludf.DUMMYFUNCTION("""COMPUTED_VALUE"""),392.0)</f>
        <v>392</v>
      </c>
      <c r="AL219" s="12" t="str">
        <f>IFERROR(__xludf.DUMMYFUNCTION("""COMPUTED_VALUE"""),"SUMMIT")</f>
        <v>SUMMIT</v>
      </c>
      <c r="AM219" s="12"/>
      <c r="AN219" s="12"/>
      <c r="AO219" s="12"/>
      <c r="AP219" s="12"/>
      <c r="AQ219" s="12"/>
      <c r="BC219" s="12"/>
      <c r="BD219" s="12"/>
      <c r="BE219" s="14"/>
      <c r="BF219" s="12"/>
      <c r="BG219" s="12"/>
      <c r="BH219" s="12" t="str">
        <f>IFERROR(__xludf.DUMMYFUNCTION("IFERROR(INDEX(QUERY(IMPORTRANGE(""1T7HG8KEs-Ob7f3M5atEVN9Yn7IeORGp0QGvggB62ELw"",""Maestro!A:I""),""SELECT Col8 WHERE Col3 = '""&amp;BE219&amp;""'"", 0), 1, 1),""NO ENCONTRADO"")"),"")</f>
        <v/>
      </c>
      <c r="BI219" s="12" t="str">
        <f>IFERROR(__xludf.DUMMYFUNCTION("IFERROR(INDEX(QUERY(IMPORTRANGE(""1T7HG8KEs-Ob7f3M5atEVN9Yn7IeORGp0QGvggB62ELw"",""Maestro!A:I""),""SELECT Col7 WHERE Col3 = '""&amp;BE219&amp;""'"", 0), 1, 1),""NO ENCONTRADO"")"),"")</f>
        <v/>
      </c>
      <c r="BJ219" s="16">
        <f t="shared" si="13"/>
        <v>0</v>
      </c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4"/>
      <c r="BX219" s="14"/>
      <c r="BY219" s="14"/>
      <c r="BZ219" s="14"/>
      <c r="CA219" s="14"/>
      <c r="CB219" s="14"/>
      <c r="CC219" s="14"/>
      <c r="CD219" s="14"/>
      <c r="CE219" s="14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</row>
    <row r="220">
      <c r="A220" s="158">
        <v>4.0</v>
      </c>
      <c r="B220" s="159" t="s">
        <v>254</v>
      </c>
      <c r="C220" s="160" t="s">
        <v>576</v>
      </c>
      <c r="D220" s="161" t="str">
        <f t="shared" si="8"/>
        <v>4-R-7A</v>
      </c>
      <c r="E220" s="162">
        <v>45821.0</v>
      </c>
      <c r="F220" s="163" t="s">
        <v>714</v>
      </c>
      <c r="G220" s="164" t="s">
        <v>354</v>
      </c>
      <c r="H220" s="165" t="s">
        <v>355</v>
      </c>
      <c r="I220" s="166">
        <v>9.0</v>
      </c>
      <c r="J220" s="167" t="s">
        <v>463</v>
      </c>
      <c r="K220" s="27" t="str">
        <f t="shared" si="2"/>
        <v>OCUPADO</v>
      </c>
      <c r="L220" s="28">
        <f t="shared" si="14"/>
        <v>219</v>
      </c>
      <c r="M220" s="28" t="s">
        <v>501</v>
      </c>
      <c r="N220" s="28"/>
      <c r="O220" s="168" t="s">
        <v>270</v>
      </c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4"/>
      <c r="BF220" s="12"/>
      <c r="BG220" s="12"/>
      <c r="BH220" s="12" t="str">
        <f>IFERROR(__xludf.DUMMYFUNCTION("IFERROR(INDEX(QUERY(IMPORTRANGE(""1T7HG8KEs-Ob7f3M5atEVN9Yn7IeORGp0QGvggB62ELw"",""Maestro!A:I""),""SELECT Col8 WHERE Col3 = '""&amp;BE220&amp;""'"", 0), 1, 1),""NO ENCONTRADO"")"),"")</f>
        <v/>
      </c>
      <c r="BI220" s="12" t="str">
        <f>IFERROR(__xludf.DUMMYFUNCTION("IFERROR(INDEX(QUERY(IMPORTRANGE(""1T7HG8KEs-Ob7f3M5atEVN9Yn7IeORGp0QGvggB62ELw"",""Maestro!A:I""),""SELECT Col7 WHERE Col3 = '""&amp;BE220&amp;""'"", 0), 1, 1),""NO ENCONTRADO"")"),"")</f>
        <v/>
      </c>
      <c r="BJ220" s="16">
        <f t="shared" si="13"/>
        <v>0</v>
      </c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4"/>
      <c r="BX220" s="14"/>
      <c r="BY220" s="14"/>
      <c r="BZ220" s="14"/>
      <c r="CA220" s="14"/>
      <c r="CB220" s="14"/>
      <c r="CC220" s="14"/>
      <c r="CD220" s="14"/>
      <c r="CE220" s="14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</row>
    <row r="221">
      <c r="A221" s="158">
        <v>4.0</v>
      </c>
      <c r="B221" s="159" t="s">
        <v>254</v>
      </c>
      <c r="C221" s="160" t="s">
        <v>580</v>
      </c>
      <c r="D221" s="161" t="str">
        <f t="shared" si="8"/>
        <v>4-R-7B</v>
      </c>
      <c r="E221" s="78">
        <v>45827.0</v>
      </c>
      <c r="F221" s="88" t="s">
        <v>652</v>
      </c>
      <c r="G221" s="80" t="s">
        <v>196</v>
      </c>
      <c r="H221" s="81" t="s">
        <v>197</v>
      </c>
      <c r="I221" s="82">
        <v>75.0</v>
      </c>
      <c r="J221" s="179" t="s">
        <v>43</v>
      </c>
      <c r="K221" s="32" t="str">
        <f t="shared" si="2"/>
        <v>OCUPADO</v>
      </c>
      <c r="L221" s="33">
        <f t="shared" si="14"/>
        <v>220</v>
      </c>
      <c r="M221" s="33" t="s">
        <v>501</v>
      </c>
      <c r="N221" s="122"/>
      <c r="O221" s="169" t="s">
        <v>270</v>
      </c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4"/>
      <c r="BF221" s="12"/>
      <c r="BG221" s="12"/>
      <c r="BH221" s="12" t="str">
        <f>IFERROR(__xludf.DUMMYFUNCTION("IFERROR(INDEX(QUERY(IMPORTRANGE(""1T7HG8KEs-Ob7f3M5atEVN9Yn7IeORGp0QGvggB62ELw"",""Maestro!A:I""),""SELECT Col8 WHERE Col3 = '""&amp;BE221&amp;""'"", 0), 1, 1),""NO ENCONTRADO"")"),"")</f>
        <v/>
      </c>
      <c r="BI221" s="12" t="str">
        <f>IFERROR(__xludf.DUMMYFUNCTION("IFERROR(INDEX(QUERY(IMPORTRANGE(""1T7HG8KEs-Ob7f3M5atEVN9Yn7IeORGp0QGvggB62ELw"",""Maestro!A:I""),""SELECT Col7 WHERE Col3 = '""&amp;BE221&amp;""'"", 0), 1, 1),""NO ENCONTRADO"")"),"")</f>
        <v/>
      </c>
      <c r="BJ221" s="16">
        <f t="shared" si="13"/>
        <v>0</v>
      </c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4"/>
      <c r="BX221" s="14"/>
      <c r="BY221" s="14"/>
      <c r="BZ221" s="14"/>
      <c r="CA221" s="14"/>
      <c r="CB221" s="14"/>
      <c r="CC221" s="14"/>
      <c r="CD221" s="14"/>
      <c r="CE221" s="14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</row>
    <row r="222">
      <c r="A222" s="158">
        <v>4.0</v>
      </c>
      <c r="B222" s="159" t="s">
        <v>254</v>
      </c>
      <c r="C222" s="160" t="s">
        <v>583</v>
      </c>
      <c r="D222" s="161" t="str">
        <f t="shared" si="8"/>
        <v>4-R-9A</v>
      </c>
      <c r="E222" s="78">
        <v>45785.0</v>
      </c>
      <c r="F222" s="88" t="s">
        <v>567</v>
      </c>
      <c r="G222" s="80" t="s">
        <v>291</v>
      </c>
      <c r="H222" s="81" t="s">
        <v>292</v>
      </c>
      <c r="I222" s="82">
        <v>103.0</v>
      </c>
      <c r="J222" s="179" t="s">
        <v>43</v>
      </c>
      <c r="K222" s="27" t="str">
        <f t="shared" si="2"/>
        <v>OCUPADO</v>
      </c>
      <c r="L222" s="28">
        <f t="shared" si="14"/>
        <v>221</v>
      </c>
      <c r="M222" s="28" t="s">
        <v>501</v>
      </c>
      <c r="N222" s="109"/>
      <c r="O222" s="168" t="s">
        <v>270</v>
      </c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4"/>
      <c r="BF222" s="12"/>
      <c r="BG222" s="12"/>
      <c r="BH222" s="12" t="str">
        <f>IFERROR(__xludf.DUMMYFUNCTION("IFERROR(INDEX(QUERY(IMPORTRANGE(""1T7HG8KEs-Ob7f3M5atEVN9Yn7IeORGp0QGvggB62ELw"",""Maestro!A:I""),""SELECT Col8 WHERE Col3 = '""&amp;BE222&amp;""'"", 0), 1, 1),""NO ENCONTRADO"")"),"")</f>
        <v/>
      </c>
      <c r="BI222" s="12" t="str">
        <f>IFERROR(__xludf.DUMMYFUNCTION("IFERROR(INDEX(QUERY(IMPORTRANGE(""1T7HG8KEs-Ob7f3M5atEVN9Yn7IeORGp0QGvggB62ELw"",""Maestro!A:I""),""SELECT Col7 WHERE Col3 = '""&amp;BE222&amp;""'"", 0), 1, 1),""NO ENCONTRADO"")"),"")</f>
        <v/>
      </c>
      <c r="BJ222" s="16">
        <f t="shared" si="13"/>
        <v>0</v>
      </c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4"/>
      <c r="BX222" s="14"/>
      <c r="BY222" s="14"/>
      <c r="BZ222" s="14"/>
      <c r="CA222" s="14"/>
      <c r="CB222" s="14"/>
      <c r="CC222" s="14"/>
      <c r="CD222" s="14"/>
      <c r="CE222" s="14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</row>
    <row r="223">
      <c r="A223" s="158">
        <v>4.0</v>
      </c>
      <c r="B223" s="159" t="s">
        <v>254</v>
      </c>
      <c r="C223" s="160" t="s">
        <v>586</v>
      </c>
      <c r="D223" s="161" t="str">
        <f t="shared" si="8"/>
        <v>4-R-9B</v>
      </c>
      <c r="E223" s="78">
        <v>45625.0</v>
      </c>
      <c r="F223" s="88" t="s">
        <v>19</v>
      </c>
      <c r="G223" s="80" t="s">
        <v>41</v>
      </c>
      <c r="H223" s="81" t="s">
        <v>42</v>
      </c>
      <c r="I223" s="82">
        <v>40.0</v>
      </c>
      <c r="J223" s="179" t="s">
        <v>43</v>
      </c>
      <c r="K223" s="32" t="str">
        <f t="shared" si="2"/>
        <v>OCUPADO</v>
      </c>
      <c r="L223" s="33">
        <f t="shared" si="14"/>
        <v>222</v>
      </c>
      <c r="M223" s="33" t="s">
        <v>501</v>
      </c>
      <c r="N223" s="122"/>
      <c r="O223" s="169" t="s">
        <v>270</v>
      </c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4"/>
      <c r="BF223" s="12"/>
      <c r="BG223" s="12"/>
      <c r="BH223" s="12" t="str">
        <f>IFERROR(__xludf.DUMMYFUNCTION("IFERROR(INDEX(QUERY(IMPORTRANGE(""1T7HG8KEs-Ob7f3M5atEVN9Yn7IeORGp0QGvggB62ELw"",""Maestro!A:I""),""SELECT Col8 WHERE Col3 = '""&amp;BE223&amp;""'"", 0), 1, 1),""NO ENCONTRADO"")"),"")</f>
        <v/>
      </c>
      <c r="BI223" s="12" t="str">
        <f>IFERROR(__xludf.DUMMYFUNCTION("IFERROR(INDEX(QUERY(IMPORTRANGE(""1T7HG8KEs-Ob7f3M5atEVN9Yn7IeORGp0QGvggB62ELw"",""Maestro!A:I""),""SELECT Col7 WHERE Col3 = '""&amp;BE223&amp;""'"", 0), 1, 1),""NO ENCONTRADO"")"),"")</f>
        <v/>
      </c>
      <c r="BJ223" s="16">
        <f t="shared" si="13"/>
        <v>0</v>
      </c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4"/>
      <c r="BX223" s="14"/>
      <c r="BY223" s="14"/>
      <c r="BZ223" s="14"/>
      <c r="CA223" s="14"/>
      <c r="CB223" s="14"/>
      <c r="CC223" s="14"/>
      <c r="CD223" s="14"/>
      <c r="CE223" s="14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</row>
    <row r="224">
      <c r="A224" s="158">
        <v>4.0</v>
      </c>
      <c r="B224" s="159" t="s">
        <v>254</v>
      </c>
      <c r="C224" s="160" t="s">
        <v>554</v>
      </c>
      <c r="D224" s="161" t="str">
        <f t="shared" si="8"/>
        <v>4-R-10A</v>
      </c>
      <c r="E224" s="78">
        <v>45751.0</v>
      </c>
      <c r="F224" s="88" t="s">
        <v>600</v>
      </c>
      <c r="G224" s="80" t="s">
        <v>325</v>
      </c>
      <c r="H224" s="81" t="s">
        <v>326</v>
      </c>
      <c r="I224" s="82">
        <v>68.0</v>
      </c>
      <c r="J224" s="81" t="s">
        <v>43</v>
      </c>
      <c r="K224" s="27" t="str">
        <f t="shared" si="2"/>
        <v>OCUPADO</v>
      </c>
      <c r="L224" s="28">
        <f t="shared" si="14"/>
        <v>223</v>
      </c>
      <c r="M224" s="28" t="s">
        <v>501</v>
      </c>
      <c r="N224" s="109"/>
      <c r="O224" s="168" t="s">
        <v>270</v>
      </c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4"/>
      <c r="BF224" s="12"/>
      <c r="BG224" s="12"/>
      <c r="BH224" s="12" t="str">
        <f>IFERROR(__xludf.DUMMYFUNCTION("IFERROR(INDEX(QUERY(IMPORTRANGE(""1T7HG8KEs-Ob7f3M5atEVN9Yn7IeORGp0QGvggB62ELw"",""Maestro!A:I""),""SELECT Col8 WHERE Col3 = '""&amp;BE224&amp;""'"", 0), 1, 1),""NO ENCONTRADO"")"),"")</f>
        <v/>
      </c>
      <c r="BI224" s="12" t="str">
        <f>IFERROR(__xludf.DUMMYFUNCTION("IFERROR(INDEX(QUERY(IMPORTRANGE(""1T7HG8KEs-Ob7f3M5atEVN9Yn7IeORGp0QGvggB62ELw"",""Maestro!A:I""),""SELECT Col7 WHERE Col3 = '""&amp;BE224&amp;""'"", 0), 1, 1),""NO ENCONTRADO"")"),"")</f>
        <v/>
      </c>
      <c r="BJ224" s="16">
        <f t="shared" si="13"/>
        <v>0</v>
      </c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4"/>
      <c r="BX224" s="14"/>
      <c r="BY224" s="14"/>
      <c r="BZ224" s="14"/>
      <c r="CA224" s="14"/>
      <c r="CB224" s="14"/>
      <c r="CC224" s="14"/>
      <c r="CD224" s="14"/>
      <c r="CE224" s="14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</row>
    <row r="225">
      <c r="A225" s="180">
        <v>4.0</v>
      </c>
      <c r="B225" s="181" t="s">
        <v>254</v>
      </c>
      <c r="C225" s="182" t="s">
        <v>556</v>
      </c>
      <c r="D225" s="183" t="str">
        <f t="shared" si="8"/>
        <v>4-R-10B</v>
      </c>
      <c r="E225" s="184">
        <v>45751.0</v>
      </c>
      <c r="F225" s="185" t="s">
        <v>600</v>
      </c>
      <c r="G225" s="186" t="s">
        <v>325</v>
      </c>
      <c r="H225" s="187" t="s">
        <v>326</v>
      </c>
      <c r="I225" s="188">
        <v>160.0</v>
      </c>
      <c r="J225" s="187" t="s">
        <v>43</v>
      </c>
      <c r="K225" s="154" t="str">
        <f t="shared" si="2"/>
        <v>OCUPADO</v>
      </c>
      <c r="L225" s="155">
        <f t="shared" si="14"/>
        <v>224</v>
      </c>
      <c r="M225" s="155" t="s">
        <v>501</v>
      </c>
      <c r="N225" s="156"/>
      <c r="O225" s="157" t="s">
        <v>270</v>
      </c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4"/>
      <c r="BF225" s="12"/>
      <c r="BG225" s="12"/>
      <c r="BH225" s="12" t="str">
        <f>IFERROR(__xludf.DUMMYFUNCTION("IFERROR(INDEX(QUERY(IMPORTRANGE(""1T7HG8KEs-Ob7f3M5atEVN9Yn7IeORGp0QGvggB62ELw"",""Maestro!A:I""),""SELECT Col8 WHERE Col3 = '""&amp;BE225&amp;""'"", 0), 1, 1),""NO ENCONTRADO"")"),"")</f>
        <v/>
      </c>
      <c r="BI225" s="12" t="str">
        <f>IFERROR(__xludf.DUMMYFUNCTION("IFERROR(INDEX(QUERY(IMPORTRANGE(""1T7HG8KEs-Ob7f3M5atEVN9Yn7IeORGp0QGvggB62ELw"",""Maestro!A:I""),""SELECT Col7 WHERE Col3 = '""&amp;BE225&amp;""'"", 0), 1, 1),""NO ENCONTRADO"")"),"")</f>
        <v/>
      </c>
      <c r="BJ225" s="16">
        <f t="shared" si="13"/>
        <v>0</v>
      </c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4"/>
      <c r="BX225" s="14"/>
      <c r="BY225" s="14"/>
      <c r="BZ225" s="14"/>
      <c r="CA225" s="14"/>
      <c r="CB225" s="14"/>
      <c r="CC225" s="14"/>
      <c r="CD225" s="14"/>
      <c r="CE225" s="14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</row>
    <row r="226">
      <c r="A226" s="189" t="s">
        <v>480</v>
      </c>
      <c r="B226" s="190" t="s">
        <v>18</v>
      </c>
      <c r="C226" s="190" t="s">
        <v>18</v>
      </c>
      <c r="D226" s="191" t="str">
        <f t="shared" si="8"/>
        <v>ANDEN-1-1</v>
      </c>
      <c r="E226" s="35">
        <v>45820.0</v>
      </c>
      <c r="F226" s="36" t="s">
        <v>715</v>
      </c>
      <c r="G226" s="23" t="s">
        <v>143</v>
      </c>
      <c r="H226" s="38" t="s">
        <v>144</v>
      </c>
      <c r="I226" s="39">
        <v>350.0</v>
      </c>
      <c r="J226" s="38" t="s">
        <v>22</v>
      </c>
      <c r="K226" s="27" t="str">
        <f t="shared" si="2"/>
        <v>OCUPADO</v>
      </c>
      <c r="L226" s="28">
        <f t="shared" si="14"/>
        <v>225</v>
      </c>
      <c r="M226" s="28" t="s">
        <v>23</v>
      </c>
      <c r="N226" s="28">
        <v>0.0</v>
      </c>
      <c r="O226" s="29" t="s">
        <v>24</v>
      </c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4"/>
      <c r="BF226" s="12"/>
      <c r="BG226" s="12"/>
      <c r="BH226" s="12" t="str">
        <f>IFERROR(__xludf.DUMMYFUNCTION("IFERROR(INDEX(QUERY(IMPORTRANGE(""1T7HG8KEs-Ob7f3M5atEVN9Yn7IeORGp0QGvggB62ELw"",""Maestro!A:I""),""SELECT Col8 WHERE Col3 = '""&amp;BE226&amp;""'"", 0), 1, 1),""NO ENCONTRADO"")"),"")</f>
        <v/>
      </c>
      <c r="BI226" s="12" t="str">
        <f>IFERROR(__xludf.DUMMYFUNCTION("IFERROR(INDEX(QUERY(IMPORTRANGE(""1T7HG8KEs-Ob7f3M5atEVN9Yn7IeORGp0QGvggB62ELw"",""Maestro!A:I""),""SELECT Col7 WHERE Col3 = '""&amp;BE226&amp;""'"", 0), 1, 1),""NO ENCONTRADO"")"),"")</f>
        <v/>
      </c>
      <c r="BJ226" s="16">
        <f t="shared" si="13"/>
        <v>0</v>
      </c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4"/>
      <c r="BX226" s="14"/>
      <c r="BY226" s="14"/>
      <c r="BZ226" s="14"/>
      <c r="CA226" s="14"/>
      <c r="CB226" s="14"/>
      <c r="CC226" s="14"/>
      <c r="CD226" s="14"/>
      <c r="CE226" s="14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</row>
    <row r="227">
      <c r="A227" s="189" t="s">
        <v>480</v>
      </c>
      <c r="B227" s="190" t="s">
        <v>18</v>
      </c>
      <c r="C227" s="190" t="s">
        <v>32</v>
      </c>
      <c r="D227" s="191" t="str">
        <f t="shared" si="8"/>
        <v>ANDEN-1-2</v>
      </c>
      <c r="E227" s="35">
        <v>45751.0</v>
      </c>
      <c r="F227" s="36" t="s">
        <v>716</v>
      </c>
      <c r="G227" s="37" t="s">
        <v>46</v>
      </c>
      <c r="H227" s="38" t="s">
        <v>47</v>
      </c>
      <c r="I227" s="39">
        <v>195.0</v>
      </c>
      <c r="J227" s="38" t="s">
        <v>22</v>
      </c>
      <c r="K227" s="32" t="str">
        <f t="shared" si="2"/>
        <v>OCUPADO</v>
      </c>
      <c r="L227" s="33">
        <f t="shared" si="14"/>
        <v>226</v>
      </c>
      <c r="M227" s="33" t="s">
        <v>23</v>
      </c>
      <c r="N227" s="33">
        <v>0.0</v>
      </c>
      <c r="O227" s="34" t="s">
        <v>24</v>
      </c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4"/>
      <c r="BF227" s="12"/>
      <c r="BG227" s="12"/>
      <c r="BH227" s="12" t="str">
        <f>IFERROR(__xludf.DUMMYFUNCTION("IFERROR(INDEX(QUERY(IMPORTRANGE(""1T7HG8KEs-Ob7f3M5atEVN9Yn7IeORGp0QGvggB62ELw"",""Maestro!A:I""),""SELECT Col8 WHERE Col3 = '""&amp;BE227&amp;""'"", 0), 1, 1),""NO ENCONTRADO"")"),"")</f>
        <v/>
      </c>
      <c r="BI227" s="12" t="str">
        <f>IFERROR(__xludf.DUMMYFUNCTION("IFERROR(INDEX(QUERY(IMPORTRANGE(""1T7HG8KEs-Ob7f3M5atEVN9Yn7IeORGp0QGvggB62ELw"",""Maestro!A:I""),""SELECT Col7 WHERE Col3 = '""&amp;BE227&amp;""'"", 0), 1, 1),""NO ENCONTRADO"")"),"")</f>
        <v/>
      </c>
      <c r="BJ227" s="16">
        <f t="shared" si="13"/>
        <v>0</v>
      </c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4"/>
      <c r="BX227" s="14"/>
      <c r="BY227" s="14"/>
      <c r="BZ227" s="14"/>
      <c r="CA227" s="14"/>
      <c r="CB227" s="14"/>
      <c r="CC227" s="14"/>
      <c r="CD227" s="14"/>
      <c r="CE227" s="14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</row>
    <row r="228">
      <c r="A228" s="189" t="s">
        <v>480</v>
      </c>
      <c r="B228" s="190" t="s">
        <v>18</v>
      </c>
      <c r="C228" s="190" t="s">
        <v>44</v>
      </c>
      <c r="D228" s="191" t="str">
        <f t="shared" si="8"/>
        <v>ANDEN-1-3</v>
      </c>
      <c r="E228" s="35">
        <v>45820.0</v>
      </c>
      <c r="F228" s="192" t="s">
        <v>715</v>
      </c>
      <c r="G228" s="37" t="s">
        <v>143</v>
      </c>
      <c r="H228" s="38" t="s">
        <v>144</v>
      </c>
      <c r="I228" s="39">
        <v>350.0</v>
      </c>
      <c r="J228" s="38" t="s">
        <v>22</v>
      </c>
      <c r="K228" s="27" t="str">
        <f t="shared" si="2"/>
        <v>OCUPADO</v>
      </c>
      <c r="L228" s="28">
        <f t="shared" si="14"/>
        <v>227</v>
      </c>
      <c r="M228" s="28" t="s">
        <v>23</v>
      </c>
      <c r="N228" s="28">
        <v>0.0</v>
      </c>
      <c r="O228" s="29" t="s">
        <v>24</v>
      </c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4"/>
      <c r="BF228" s="12"/>
      <c r="BG228" s="12"/>
      <c r="BH228" s="12" t="str">
        <f>IFERROR(__xludf.DUMMYFUNCTION("IFERROR(INDEX(QUERY(IMPORTRANGE(""1T7HG8KEs-Ob7f3M5atEVN9Yn7IeORGp0QGvggB62ELw"",""Maestro!A:I""),""SELECT Col8 WHERE Col3 = '""&amp;BE228&amp;""'"", 0), 1, 1),""NO ENCONTRADO"")"),"")</f>
        <v/>
      </c>
      <c r="BI228" s="12" t="str">
        <f>IFERROR(__xludf.DUMMYFUNCTION("IFERROR(INDEX(QUERY(IMPORTRANGE(""1T7HG8KEs-Ob7f3M5atEVN9Yn7IeORGp0QGvggB62ELw"",""Maestro!A:I""),""SELECT Col7 WHERE Col3 = '""&amp;BE228&amp;""'"", 0), 1, 1),""NO ENCONTRADO"")"),"")</f>
        <v/>
      </c>
      <c r="BJ228" s="16">
        <f t="shared" si="13"/>
        <v>0</v>
      </c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4"/>
      <c r="BX228" s="14"/>
      <c r="BY228" s="14"/>
      <c r="BZ228" s="14"/>
      <c r="CA228" s="14"/>
      <c r="CB228" s="14"/>
      <c r="CC228" s="14"/>
      <c r="CD228" s="14"/>
      <c r="CE228" s="14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</row>
    <row r="229">
      <c r="A229" s="189" t="s">
        <v>480</v>
      </c>
      <c r="B229" s="190" t="s">
        <v>18</v>
      </c>
      <c r="C229" s="190" t="s">
        <v>53</v>
      </c>
      <c r="D229" s="191" t="str">
        <f t="shared" si="8"/>
        <v>ANDEN-1-4</v>
      </c>
      <c r="E229" s="21">
        <v>45820.0</v>
      </c>
      <c r="F229" s="36" t="s">
        <v>715</v>
      </c>
      <c r="G229" s="23" t="s">
        <v>143</v>
      </c>
      <c r="H229" s="38" t="s">
        <v>144</v>
      </c>
      <c r="I229" s="39">
        <v>350.0</v>
      </c>
      <c r="J229" s="38" t="s">
        <v>22</v>
      </c>
      <c r="K229" s="32" t="str">
        <f t="shared" si="2"/>
        <v>OCUPADO</v>
      </c>
      <c r="L229" s="33">
        <f t="shared" si="14"/>
        <v>228</v>
      </c>
      <c r="M229" s="33" t="s">
        <v>23</v>
      </c>
      <c r="N229" s="33">
        <v>0.0</v>
      </c>
      <c r="O229" s="34" t="s">
        <v>24</v>
      </c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4"/>
      <c r="BF229" s="12"/>
      <c r="BG229" s="12"/>
      <c r="BH229" s="12" t="str">
        <f>IFERROR(__xludf.DUMMYFUNCTION("IFERROR(INDEX(QUERY(IMPORTRANGE(""1T7HG8KEs-Ob7f3M5atEVN9Yn7IeORGp0QGvggB62ELw"",""Maestro!A:I""),""SELECT Col8 WHERE Col3 = '""&amp;BE229&amp;""'"", 0), 1, 1),""NO ENCONTRADO"")"),"")</f>
        <v/>
      </c>
      <c r="BI229" s="12" t="str">
        <f>IFERROR(__xludf.DUMMYFUNCTION("IFERROR(INDEX(QUERY(IMPORTRANGE(""1T7HG8KEs-Ob7f3M5atEVN9Yn7IeORGp0QGvggB62ELw"",""Maestro!A:I""),""SELECT Col7 WHERE Col3 = '""&amp;BE229&amp;""'"", 0), 1, 1),""NO ENCONTRADO"")"),"")</f>
        <v/>
      </c>
      <c r="BJ229" s="16">
        <f t="shared" si="13"/>
        <v>0</v>
      </c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4"/>
      <c r="BX229" s="14"/>
      <c r="BY229" s="14"/>
      <c r="BZ229" s="14"/>
      <c r="CA229" s="14"/>
      <c r="CB229" s="14"/>
      <c r="CC229" s="14"/>
      <c r="CD229" s="14"/>
      <c r="CE229" s="14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</row>
    <row r="230">
      <c r="A230" s="189" t="s">
        <v>480</v>
      </c>
      <c r="B230" s="190" t="s">
        <v>18</v>
      </c>
      <c r="C230" s="190" t="s">
        <v>25</v>
      </c>
      <c r="D230" s="191" t="str">
        <f t="shared" si="8"/>
        <v>ANDEN-1-5</v>
      </c>
      <c r="E230" s="193">
        <v>45820.0</v>
      </c>
      <c r="F230" s="194" t="s">
        <v>715</v>
      </c>
      <c r="G230" s="195" t="s">
        <v>143</v>
      </c>
      <c r="H230" s="196" t="s">
        <v>144</v>
      </c>
      <c r="I230" s="197">
        <v>350.0</v>
      </c>
      <c r="J230" s="196" t="s">
        <v>22</v>
      </c>
      <c r="K230" s="27" t="str">
        <f t="shared" si="2"/>
        <v>OCUPADO</v>
      </c>
      <c r="L230" s="28">
        <f t="shared" si="14"/>
        <v>229</v>
      </c>
      <c r="M230" s="28" t="s">
        <v>23</v>
      </c>
      <c r="N230" s="28">
        <v>0.0</v>
      </c>
      <c r="O230" s="29" t="s">
        <v>24</v>
      </c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4"/>
      <c r="BF230" s="12"/>
      <c r="BG230" s="12"/>
      <c r="BH230" s="12" t="str">
        <f>IFERROR(__xludf.DUMMYFUNCTION("IFERROR(INDEX(QUERY(IMPORTRANGE(""1T7HG8KEs-Ob7f3M5atEVN9Yn7IeORGp0QGvggB62ELw"",""Maestro!A:I""),""SELECT Col8 WHERE Col3 = '""&amp;BE230&amp;""'"", 0), 1, 1),""NO ENCONTRADO"")"),"")</f>
        <v/>
      </c>
      <c r="BI230" s="12" t="str">
        <f>IFERROR(__xludf.DUMMYFUNCTION("IFERROR(INDEX(QUERY(IMPORTRANGE(""1T7HG8KEs-Ob7f3M5atEVN9Yn7IeORGp0QGvggB62ELw"",""Maestro!A:I""),""SELECT Col7 WHERE Col3 = '""&amp;BE230&amp;""'"", 0), 1, 1),""NO ENCONTRADO"")"),"")</f>
        <v/>
      </c>
      <c r="BJ230" s="16">
        <f t="shared" si="13"/>
        <v>0</v>
      </c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4"/>
      <c r="BX230" s="14"/>
      <c r="BY230" s="14"/>
      <c r="BZ230" s="14"/>
      <c r="CA230" s="14"/>
      <c r="CB230" s="14"/>
      <c r="CC230" s="14"/>
      <c r="CD230" s="14"/>
      <c r="CE230" s="14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</row>
    <row r="231">
      <c r="A231" s="189" t="s">
        <v>480</v>
      </c>
      <c r="B231" s="190" t="s">
        <v>18</v>
      </c>
      <c r="C231" s="190" t="s">
        <v>36</v>
      </c>
      <c r="D231" s="191" t="str">
        <f t="shared" si="8"/>
        <v>ANDEN-1-6</v>
      </c>
      <c r="E231" s="193">
        <v>45820.0</v>
      </c>
      <c r="F231" s="194" t="s">
        <v>715</v>
      </c>
      <c r="G231" s="195" t="s">
        <v>143</v>
      </c>
      <c r="H231" s="196" t="s">
        <v>144</v>
      </c>
      <c r="I231" s="197">
        <v>350.0</v>
      </c>
      <c r="J231" s="196" t="s">
        <v>22</v>
      </c>
      <c r="K231" s="32" t="str">
        <f t="shared" si="2"/>
        <v>OCUPADO</v>
      </c>
      <c r="L231" s="33">
        <f t="shared" si="14"/>
        <v>230</v>
      </c>
      <c r="M231" s="33" t="s">
        <v>23</v>
      </c>
      <c r="N231" s="33">
        <v>0.0</v>
      </c>
      <c r="O231" s="34" t="s">
        <v>24</v>
      </c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4"/>
      <c r="BF231" s="12"/>
      <c r="BG231" s="12"/>
      <c r="BH231" s="12" t="str">
        <f>IFERROR(__xludf.DUMMYFUNCTION("IFERROR(INDEX(QUERY(IMPORTRANGE(""1T7HG8KEs-Ob7f3M5atEVN9Yn7IeORGp0QGvggB62ELw"",""Maestro!A:I""),""SELECT Col8 WHERE Col3 = '""&amp;BE231&amp;""'"", 0), 1, 1),""NO ENCONTRADO"")"),"")</f>
        <v/>
      </c>
      <c r="BI231" s="12" t="str">
        <f>IFERROR(__xludf.DUMMYFUNCTION("IFERROR(INDEX(QUERY(IMPORTRANGE(""1T7HG8KEs-Ob7f3M5atEVN9Yn7IeORGp0QGvggB62ELw"",""Maestro!A:I""),""SELECT Col7 WHERE Col3 = '""&amp;BE231&amp;""'"", 0), 1, 1),""NO ENCONTRADO"")"),"")</f>
        <v/>
      </c>
      <c r="BJ231" s="16">
        <f t="shared" si="13"/>
        <v>0</v>
      </c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4"/>
      <c r="BX231" s="14"/>
      <c r="BY231" s="14"/>
      <c r="BZ231" s="14"/>
      <c r="CA231" s="14"/>
      <c r="CB231" s="14"/>
      <c r="CC231" s="14"/>
      <c r="CD231" s="14"/>
      <c r="CE231" s="14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</row>
    <row r="232">
      <c r="A232" s="189" t="s">
        <v>480</v>
      </c>
      <c r="B232" s="190" t="s">
        <v>18</v>
      </c>
      <c r="C232" s="190" t="s">
        <v>48</v>
      </c>
      <c r="D232" s="191" t="str">
        <f t="shared" si="8"/>
        <v>ANDEN-1-7</v>
      </c>
      <c r="E232" s="193">
        <v>45751.0</v>
      </c>
      <c r="F232" s="194" t="s">
        <v>98</v>
      </c>
      <c r="G232" s="195" t="s">
        <v>63</v>
      </c>
      <c r="H232" s="196" t="s">
        <v>64</v>
      </c>
      <c r="I232" s="197">
        <v>716.0</v>
      </c>
      <c r="J232" s="196" t="s">
        <v>22</v>
      </c>
      <c r="K232" s="27" t="str">
        <f t="shared" si="2"/>
        <v>OCUPADO</v>
      </c>
      <c r="L232" s="28">
        <f t="shared" si="14"/>
        <v>231</v>
      </c>
      <c r="M232" s="28" t="s">
        <v>23</v>
      </c>
      <c r="N232" s="28" t="s">
        <v>717</v>
      </c>
      <c r="O232" s="29" t="s">
        <v>24</v>
      </c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4"/>
      <c r="BF232" s="12"/>
      <c r="BG232" s="12"/>
      <c r="BH232" s="12" t="str">
        <f>IFERROR(__xludf.DUMMYFUNCTION("IFERROR(INDEX(QUERY(IMPORTRANGE(""1T7HG8KEs-Ob7f3M5atEVN9Yn7IeORGp0QGvggB62ELw"",""Maestro!A:I""),""SELECT Col8 WHERE Col3 = '""&amp;BE232&amp;""'"", 0), 1, 1),""NO ENCONTRADO"")"),"")</f>
        <v/>
      </c>
      <c r="BI232" s="12" t="str">
        <f>IFERROR(__xludf.DUMMYFUNCTION("IFERROR(INDEX(QUERY(IMPORTRANGE(""1T7HG8KEs-Ob7f3M5atEVN9Yn7IeORGp0QGvggB62ELw"",""Maestro!A:I""),""SELECT Col7 WHERE Col3 = '""&amp;BE232&amp;""'"", 0), 1, 1),""NO ENCONTRADO"")"),"")</f>
        <v/>
      </c>
      <c r="BJ232" s="16">
        <f t="shared" si="13"/>
        <v>0</v>
      </c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4"/>
      <c r="BX232" s="14"/>
      <c r="BY232" s="14"/>
      <c r="BZ232" s="14"/>
      <c r="CA232" s="14"/>
      <c r="CB232" s="14"/>
      <c r="CC232" s="14"/>
      <c r="CD232" s="14"/>
      <c r="CE232" s="14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</row>
    <row r="233">
      <c r="A233" s="189" t="s">
        <v>480</v>
      </c>
      <c r="B233" s="190" t="s">
        <v>18</v>
      </c>
      <c r="C233" s="190" t="s">
        <v>465</v>
      </c>
      <c r="D233" s="191" t="str">
        <f t="shared" si="8"/>
        <v>ANDEN-1-8</v>
      </c>
      <c r="E233" s="35">
        <v>45820.0</v>
      </c>
      <c r="F233" s="36" t="s">
        <v>715</v>
      </c>
      <c r="G233" s="23" t="s">
        <v>143</v>
      </c>
      <c r="H233" s="38" t="s">
        <v>144</v>
      </c>
      <c r="I233" s="39">
        <v>350.0</v>
      </c>
      <c r="J233" s="38" t="s">
        <v>22</v>
      </c>
      <c r="K233" s="32" t="str">
        <f t="shared" si="2"/>
        <v>OCUPADO</v>
      </c>
      <c r="L233" s="33">
        <f t="shared" si="14"/>
        <v>232</v>
      </c>
      <c r="M233" s="33" t="s">
        <v>23</v>
      </c>
      <c r="N233" s="33">
        <v>0.0</v>
      </c>
      <c r="O233" s="34" t="s">
        <v>24</v>
      </c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4"/>
      <c r="BF233" s="12"/>
      <c r="BG233" s="12"/>
      <c r="BH233" s="12" t="str">
        <f>IFERROR(__xludf.DUMMYFUNCTION("IFERROR(INDEX(QUERY(IMPORTRANGE(""1T7HG8KEs-Ob7f3M5atEVN9Yn7IeORGp0QGvggB62ELw"",""Maestro!A:I""),""SELECT Col8 WHERE Col3 = '""&amp;BE233&amp;""'"", 0), 1, 1),""NO ENCONTRADO"")"),"")</f>
        <v/>
      </c>
      <c r="BI233" s="12" t="str">
        <f>IFERROR(__xludf.DUMMYFUNCTION("IFERROR(INDEX(QUERY(IMPORTRANGE(""1T7HG8KEs-Ob7f3M5atEVN9Yn7IeORGp0QGvggB62ELw"",""Maestro!A:I""),""SELECT Col7 WHERE Col3 = '""&amp;BE233&amp;""'"", 0), 1, 1),""NO ENCONTRADO"")"),"")</f>
        <v/>
      </c>
      <c r="BJ233" s="16">
        <f t="shared" si="13"/>
        <v>0</v>
      </c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4"/>
      <c r="BX233" s="14"/>
      <c r="BY233" s="14"/>
      <c r="BZ233" s="14"/>
      <c r="CA233" s="14"/>
      <c r="CB233" s="14"/>
      <c r="CC233" s="14"/>
      <c r="CD233" s="14"/>
      <c r="CE233" s="14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</row>
    <row r="234">
      <c r="A234" s="189" t="s">
        <v>480</v>
      </c>
      <c r="B234" s="190" t="s">
        <v>18</v>
      </c>
      <c r="C234" s="190" t="s">
        <v>511</v>
      </c>
      <c r="D234" s="191" t="str">
        <f t="shared" si="8"/>
        <v>ANDEN-1-9</v>
      </c>
      <c r="E234" s="198"/>
      <c r="F234" s="199"/>
      <c r="G234" s="200"/>
      <c r="H234" s="201"/>
      <c r="I234" s="202"/>
      <c r="J234" s="201"/>
      <c r="K234" s="27" t="str">
        <f t="shared" si="2"/>
        <v>DISPONIBLE</v>
      </c>
      <c r="L234" s="28">
        <f t="shared" si="14"/>
        <v>233</v>
      </c>
      <c r="M234" s="28" t="s">
        <v>23</v>
      </c>
      <c r="N234" s="28">
        <v>0.0</v>
      </c>
      <c r="O234" s="29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4"/>
      <c r="BF234" s="12"/>
      <c r="BG234" s="12"/>
      <c r="BH234" s="12" t="str">
        <f>IFERROR(__xludf.DUMMYFUNCTION("IFERROR(INDEX(QUERY(IMPORTRANGE(""1T7HG8KEs-Ob7f3M5atEVN9Yn7IeORGp0QGvggB62ELw"",""Maestro!A:I""),""SELECT Col8 WHERE Col3 = '""&amp;BE234&amp;""'"", 0), 1, 1),""NO ENCONTRADO"")"),"")</f>
        <v/>
      </c>
      <c r="BI234" s="12" t="str">
        <f>IFERROR(__xludf.DUMMYFUNCTION("IFERROR(INDEX(QUERY(IMPORTRANGE(""1T7HG8KEs-Ob7f3M5atEVN9Yn7IeORGp0QGvggB62ELw"",""Maestro!A:I""),""SELECT Col7 WHERE Col3 = '""&amp;BE234&amp;""'"", 0), 1, 1),""NO ENCONTRADO"")"),"")</f>
        <v/>
      </c>
      <c r="BJ234" s="16">
        <f t="shared" si="13"/>
        <v>0</v>
      </c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4"/>
      <c r="BX234" s="14"/>
      <c r="BY234" s="14"/>
      <c r="BZ234" s="14"/>
      <c r="CA234" s="14"/>
      <c r="CB234" s="14"/>
      <c r="CC234" s="14"/>
      <c r="CD234" s="14"/>
      <c r="CE234" s="14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</row>
    <row r="235">
      <c r="A235" s="189" t="s">
        <v>480</v>
      </c>
      <c r="B235" s="190" t="s">
        <v>18</v>
      </c>
      <c r="C235" s="190" t="s">
        <v>296</v>
      </c>
      <c r="D235" s="191" t="str">
        <f t="shared" si="8"/>
        <v>ANDEN-1-10</v>
      </c>
      <c r="E235" s="78">
        <v>45751.0</v>
      </c>
      <c r="F235" s="88" t="s">
        <v>121</v>
      </c>
      <c r="G235" s="80" t="s">
        <v>77</v>
      </c>
      <c r="H235" s="81" t="s">
        <v>78</v>
      </c>
      <c r="I235" s="82">
        <v>700.0</v>
      </c>
      <c r="J235" s="81" t="s">
        <v>22</v>
      </c>
      <c r="K235" s="32" t="str">
        <f t="shared" si="2"/>
        <v>OCUPADO</v>
      </c>
      <c r="L235" s="33">
        <f t="shared" si="14"/>
        <v>234</v>
      </c>
      <c r="M235" s="33" t="s">
        <v>23</v>
      </c>
      <c r="N235" s="33" t="s">
        <v>334</v>
      </c>
      <c r="O235" s="34" t="s">
        <v>24</v>
      </c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4"/>
      <c r="BF235" s="12"/>
      <c r="BG235" s="12"/>
      <c r="BH235" s="12" t="str">
        <f>IFERROR(__xludf.DUMMYFUNCTION("IFERROR(INDEX(QUERY(IMPORTRANGE(""1T7HG8KEs-Ob7f3M5atEVN9Yn7IeORGp0QGvggB62ELw"",""Maestro!A:I""),""SELECT Col8 WHERE Col3 = '""&amp;BE235&amp;""'"", 0), 1, 1),""NO ENCONTRADO"")"),"")</f>
        <v/>
      </c>
      <c r="BI235" s="12" t="str">
        <f>IFERROR(__xludf.DUMMYFUNCTION("IFERROR(INDEX(QUERY(IMPORTRANGE(""1T7HG8KEs-Ob7f3M5atEVN9Yn7IeORGp0QGvggB62ELw"",""Maestro!A:I""),""SELECT Col7 WHERE Col3 = '""&amp;BE235&amp;""'"", 0), 1, 1),""NO ENCONTRADO"")"),"")</f>
        <v/>
      </c>
      <c r="BJ235" s="16">
        <f t="shared" si="13"/>
        <v>0</v>
      </c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4"/>
      <c r="BX235" s="14"/>
      <c r="BY235" s="14"/>
      <c r="BZ235" s="14"/>
      <c r="CA235" s="14"/>
      <c r="CB235" s="14"/>
      <c r="CC235" s="14"/>
      <c r="CD235" s="14"/>
      <c r="CE235" s="14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</row>
    <row r="236">
      <c r="A236" s="189" t="s">
        <v>480</v>
      </c>
      <c r="B236" s="190" t="s">
        <v>18</v>
      </c>
      <c r="C236" s="190" t="s">
        <v>316</v>
      </c>
      <c r="D236" s="203" t="str">
        <f t="shared" si="8"/>
        <v>ANDEN-1-11</v>
      </c>
      <c r="E236" s="204">
        <v>45733.0</v>
      </c>
      <c r="F236" s="36" t="s">
        <v>19</v>
      </c>
      <c r="G236" s="37" t="s">
        <v>114</v>
      </c>
      <c r="H236" s="38" t="s">
        <v>115</v>
      </c>
      <c r="I236" s="39">
        <v>510.0</v>
      </c>
      <c r="J236" s="205" t="s">
        <v>22</v>
      </c>
      <c r="K236" s="27" t="str">
        <f t="shared" si="2"/>
        <v>OCUPADO</v>
      </c>
      <c r="L236" s="28">
        <f t="shared" si="14"/>
        <v>235</v>
      </c>
      <c r="M236" s="28" t="s">
        <v>23</v>
      </c>
      <c r="N236" s="28" t="s">
        <v>334</v>
      </c>
      <c r="O236" s="29" t="s">
        <v>24</v>
      </c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4"/>
      <c r="BF236" s="12"/>
      <c r="BG236" s="12"/>
      <c r="BH236" s="12" t="str">
        <f>IFERROR(__xludf.DUMMYFUNCTION("IFERROR(INDEX(QUERY(IMPORTRANGE(""1T7HG8KEs-Ob7f3M5atEVN9Yn7IeORGp0QGvggB62ELw"",""Maestro!A:I""),""SELECT Col8 WHERE Col3 = '""&amp;BE236&amp;""'"", 0), 1, 1),""NO ENCONTRADO"")"),"")</f>
        <v/>
      </c>
      <c r="BI236" s="12" t="str">
        <f>IFERROR(__xludf.DUMMYFUNCTION("IFERROR(INDEX(QUERY(IMPORTRANGE(""1T7HG8KEs-Ob7f3M5atEVN9Yn7IeORGp0QGvggB62ELw"",""Maestro!A:I""),""SELECT Col7 WHERE Col3 = '""&amp;BE236&amp;""'"", 0), 1, 1),""NO ENCONTRADO"")"),"")</f>
        <v/>
      </c>
      <c r="BJ236" s="16">
        <f t="shared" si="13"/>
        <v>0</v>
      </c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4"/>
      <c r="BX236" s="14"/>
      <c r="BY236" s="14"/>
      <c r="BZ236" s="14"/>
      <c r="CA236" s="14"/>
      <c r="CB236" s="14"/>
      <c r="CC236" s="14"/>
      <c r="CD236" s="14"/>
      <c r="CE236" s="14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</row>
    <row r="237">
      <c r="A237" s="189" t="s">
        <v>480</v>
      </c>
      <c r="B237" s="190" t="s">
        <v>18</v>
      </c>
      <c r="C237" s="190" t="s">
        <v>336</v>
      </c>
      <c r="D237" s="191" t="str">
        <f t="shared" si="8"/>
        <v>ANDEN-1-12</v>
      </c>
      <c r="E237" s="72"/>
      <c r="F237" s="73"/>
      <c r="G237" s="74"/>
      <c r="H237" s="75"/>
      <c r="I237" s="76"/>
      <c r="J237" s="75"/>
      <c r="K237" s="32" t="str">
        <f t="shared" si="2"/>
        <v>DISPONIBLE</v>
      </c>
      <c r="L237" s="33">
        <f t="shared" si="14"/>
        <v>236</v>
      </c>
      <c r="M237" s="33" t="s">
        <v>23</v>
      </c>
      <c r="N237" s="33">
        <v>0.0</v>
      </c>
      <c r="O237" s="34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4"/>
      <c r="BF237" s="12"/>
      <c r="BG237" s="12"/>
      <c r="BH237" s="12" t="str">
        <f>IFERROR(__xludf.DUMMYFUNCTION("IFERROR(INDEX(QUERY(IMPORTRANGE(""1T7HG8KEs-Ob7f3M5atEVN9Yn7IeORGp0QGvggB62ELw"",""Maestro!A:I""),""SELECT Col8 WHERE Col3 = '""&amp;BE237&amp;""'"", 0), 1, 1),""NO ENCONTRADO"")"),"")</f>
        <v/>
      </c>
      <c r="BI237" s="12" t="str">
        <f>IFERROR(__xludf.DUMMYFUNCTION("IFERROR(INDEX(QUERY(IMPORTRANGE(""1T7HG8KEs-Ob7f3M5atEVN9Yn7IeORGp0QGvggB62ELw"",""Maestro!A:I""),""SELECT Col7 WHERE Col3 = '""&amp;BE237&amp;""'"", 0), 1, 1),""NO ENCONTRADO"")"),"")</f>
        <v/>
      </c>
      <c r="BJ237" s="16">
        <f t="shared" si="13"/>
        <v>0</v>
      </c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4"/>
      <c r="BX237" s="14"/>
      <c r="BY237" s="14"/>
      <c r="BZ237" s="14"/>
      <c r="CA237" s="14"/>
      <c r="CB237" s="14"/>
      <c r="CC237" s="14"/>
      <c r="CD237" s="14"/>
      <c r="CE237" s="14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</row>
    <row r="238">
      <c r="A238" s="189" t="s">
        <v>480</v>
      </c>
      <c r="B238" s="190" t="s">
        <v>18</v>
      </c>
      <c r="C238" s="190" t="s">
        <v>350</v>
      </c>
      <c r="D238" s="191" t="str">
        <f t="shared" si="8"/>
        <v>ANDEN-1-13</v>
      </c>
      <c r="E238" s="72"/>
      <c r="F238" s="73"/>
      <c r="G238" s="74"/>
      <c r="H238" s="75"/>
      <c r="I238" s="76"/>
      <c r="J238" s="75"/>
      <c r="K238" s="27" t="str">
        <f t="shared" si="2"/>
        <v>DISPONIBLE</v>
      </c>
      <c r="L238" s="28">
        <f t="shared" si="14"/>
        <v>237</v>
      </c>
      <c r="M238" s="28" t="s">
        <v>23</v>
      </c>
      <c r="N238" s="28">
        <v>0.0</v>
      </c>
      <c r="O238" s="29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4"/>
      <c r="BF238" s="12"/>
      <c r="BG238" s="12"/>
      <c r="BH238" s="12" t="str">
        <f>IFERROR(__xludf.DUMMYFUNCTION("IFERROR(INDEX(QUERY(IMPORTRANGE(""1T7HG8KEs-Ob7f3M5atEVN9Yn7IeORGp0QGvggB62ELw"",""Maestro!A:I""),""SELECT Col8 WHERE Col3 = '""&amp;BE238&amp;""'"", 0), 1, 1),""NO ENCONTRADO"")"),"")</f>
        <v/>
      </c>
      <c r="BI238" s="12" t="str">
        <f>IFERROR(__xludf.DUMMYFUNCTION("IFERROR(INDEX(QUERY(IMPORTRANGE(""1T7HG8KEs-Ob7f3M5atEVN9Yn7IeORGp0QGvggB62ELw"",""Maestro!A:I""),""SELECT Col7 WHERE Col3 = '""&amp;BE238&amp;""'"", 0), 1, 1),""NO ENCONTRADO"")"),"")</f>
        <v/>
      </c>
      <c r="BJ238" s="16">
        <f t="shared" si="13"/>
        <v>0</v>
      </c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4"/>
      <c r="BX238" s="14"/>
      <c r="BY238" s="14"/>
      <c r="BZ238" s="14"/>
      <c r="CA238" s="14"/>
      <c r="CB238" s="14"/>
      <c r="CC238" s="14"/>
      <c r="CD238" s="14"/>
      <c r="CE238" s="14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</row>
    <row r="239">
      <c r="A239" s="189" t="s">
        <v>480</v>
      </c>
      <c r="B239" s="190" t="s">
        <v>18</v>
      </c>
      <c r="C239" s="190" t="s">
        <v>362</v>
      </c>
      <c r="D239" s="191" t="str">
        <f t="shared" si="8"/>
        <v>ANDEN-1-14</v>
      </c>
      <c r="E239" s="78">
        <v>45751.0</v>
      </c>
      <c r="F239" s="88" t="s">
        <v>121</v>
      </c>
      <c r="G239" s="80" t="s">
        <v>77</v>
      </c>
      <c r="H239" s="81" t="s">
        <v>78</v>
      </c>
      <c r="I239" s="82">
        <v>790.0</v>
      </c>
      <c r="J239" s="81" t="s">
        <v>22</v>
      </c>
      <c r="K239" s="32" t="str">
        <f t="shared" si="2"/>
        <v>OCUPADO</v>
      </c>
      <c r="L239" s="33">
        <f t="shared" si="14"/>
        <v>238</v>
      </c>
      <c r="M239" s="33" t="s">
        <v>23</v>
      </c>
      <c r="N239" s="33" t="s">
        <v>717</v>
      </c>
      <c r="O239" s="34" t="s">
        <v>24</v>
      </c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4"/>
      <c r="BF239" s="12"/>
      <c r="BG239" s="12"/>
      <c r="BH239" s="12" t="str">
        <f>IFERROR(__xludf.DUMMYFUNCTION("IFERROR(INDEX(QUERY(IMPORTRANGE(""1T7HG8KEs-Ob7f3M5atEVN9Yn7IeORGp0QGvggB62ELw"",""Maestro!A:I""),""SELECT Col8 WHERE Col3 = '""&amp;BE239&amp;""'"", 0), 1, 1),""NO ENCONTRADO"")"),"")</f>
        <v/>
      </c>
      <c r="BI239" s="12" t="str">
        <f>IFERROR(__xludf.DUMMYFUNCTION("IFERROR(INDEX(QUERY(IMPORTRANGE(""1T7HG8KEs-Ob7f3M5atEVN9Yn7IeORGp0QGvggB62ELw"",""Maestro!A:I""),""SELECT Col7 WHERE Col3 = '""&amp;BE239&amp;""'"", 0), 1, 1),""NO ENCONTRADO"")"),"")</f>
        <v/>
      </c>
      <c r="BJ239" s="16">
        <f t="shared" si="13"/>
        <v>0</v>
      </c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4"/>
      <c r="BX239" s="14"/>
      <c r="BY239" s="14"/>
      <c r="BZ239" s="14"/>
      <c r="CA239" s="14"/>
      <c r="CB239" s="14"/>
      <c r="CC239" s="14"/>
      <c r="CD239" s="14"/>
      <c r="CE239" s="14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</row>
    <row r="240">
      <c r="A240" s="189" t="s">
        <v>480</v>
      </c>
      <c r="B240" s="190" t="s">
        <v>18</v>
      </c>
      <c r="C240" s="190" t="s">
        <v>372</v>
      </c>
      <c r="D240" s="191" t="str">
        <f t="shared" si="8"/>
        <v>ANDEN-1-15</v>
      </c>
      <c r="E240" s="72"/>
      <c r="F240" s="73"/>
      <c r="G240" s="74"/>
      <c r="H240" s="75"/>
      <c r="I240" s="76"/>
      <c r="J240" s="75"/>
      <c r="K240" s="27" t="str">
        <f t="shared" si="2"/>
        <v>DISPONIBLE</v>
      </c>
      <c r="L240" s="28">
        <f t="shared" si="14"/>
        <v>239</v>
      </c>
      <c r="M240" s="28" t="s">
        <v>23</v>
      </c>
      <c r="N240" s="28">
        <v>0.0</v>
      </c>
      <c r="O240" s="29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4"/>
      <c r="BF240" s="12"/>
      <c r="BG240" s="12"/>
      <c r="BH240" s="12" t="str">
        <f>IFERROR(__xludf.DUMMYFUNCTION("IFERROR(INDEX(QUERY(IMPORTRANGE(""1T7HG8KEs-Ob7f3M5atEVN9Yn7IeORGp0QGvggB62ELw"",""Maestro!A:I""),""SELECT Col8 WHERE Col3 = '""&amp;BE240&amp;""'"", 0), 1, 1),""NO ENCONTRADO"")"),"")</f>
        <v/>
      </c>
      <c r="BI240" s="12" t="str">
        <f>IFERROR(__xludf.DUMMYFUNCTION("IFERROR(INDEX(QUERY(IMPORTRANGE(""1T7HG8KEs-Ob7f3M5atEVN9Yn7IeORGp0QGvggB62ELw"",""Maestro!A:I""),""SELECT Col7 WHERE Col3 = '""&amp;BE240&amp;""'"", 0), 1, 1),""NO ENCONTRADO"")"),"")</f>
        <v/>
      </c>
      <c r="BJ240" s="16">
        <f t="shared" si="13"/>
        <v>0</v>
      </c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4"/>
      <c r="BX240" s="14"/>
      <c r="BY240" s="14"/>
      <c r="BZ240" s="14"/>
      <c r="CA240" s="14"/>
      <c r="CB240" s="14"/>
      <c r="CC240" s="14"/>
      <c r="CD240" s="14"/>
      <c r="CE240" s="14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</row>
    <row r="241">
      <c r="A241" s="189" t="s">
        <v>480</v>
      </c>
      <c r="B241" s="190" t="s">
        <v>18</v>
      </c>
      <c r="C241" s="190" t="s">
        <v>382</v>
      </c>
      <c r="D241" s="191" t="str">
        <f t="shared" si="8"/>
        <v>ANDEN-1-16</v>
      </c>
      <c r="E241" s="78">
        <v>45751.0</v>
      </c>
      <c r="F241" s="88" t="s">
        <v>121</v>
      </c>
      <c r="G241" s="80" t="s">
        <v>77</v>
      </c>
      <c r="H241" s="81" t="s">
        <v>78</v>
      </c>
      <c r="I241" s="82">
        <v>600.0</v>
      </c>
      <c r="J241" s="81" t="s">
        <v>22</v>
      </c>
      <c r="K241" s="32" t="str">
        <f t="shared" si="2"/>
        <v>OCUPADO</v>
      </c>
      <c r="L241" s="33">
        <f t="shared" si="14"/>
        <v>240</v>
      </c>
      <c r="M241" s="33" t="s">
        <v>23</v>
      </c>
      <c r="N241" s="33" t="s">
        <v>717</v>
      </c>
      <c r="O241" s="34" t="s">
        <v>24</v>
      </c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4"/>
      <c r="BF241" s="12"/>
      <c r="BG241" s="12"/>
      <c r="BH241" s="12" t="str">
        <f>IFERROR(__xludf.DUMMYFUNCTION("IFERROR(INDEX(QUERY(IMPORTRANGE(""1T7HG8KEs-Ob7f3M5atEVN9Yn7IeORGp0QGvggB62ELw"",""Maestro!A:I""),""SELECT Col8 WHERE Col3 = '""&amp;BE241&amp;""'"", 0), 1, 1),""NO ENCONTRADO"")"),"")</f>
        <v/>
      </c>
      <c r="BI241" s="12" t="str">
        <f>IFERROR(__xludf.DUMMYFUNCTION("IFERROR(INDEX(QUERY(IMPORTRANGE(""1T7HG8KEs-Ob7f3M5atEVN9Yn7IeORGp0QGvggB62ELw"",""Maestro!A:I""),""SELECT Col7 WHERE Col3 = '""&amp;BE241&amp;""'"", 0), 1, 1),""NO ENCONTRADO"")"),"")</f>
        <v/>
      </c>
      <c r="BJ241" s="16">
        <f t="shared" si="13"/>
        <v>0</v>
      </c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4"/>
      <c r="BX241" s="14"/>
      <c r="BY241" s="14"/>
      <c r="BZ241" s="14"/>
      <c r="CA241" s="14"/>
      <c r="CB241" s="14"/>
      <c r="CC241" s="14"/>
      <c r="CD241" s="14"/>
      <c r="CE241" s="14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</row>
    <row r="242">
      <c r="A242" s="189" t="s">
        <v>480</v>
      </c>
      <c r="B242" s="190" t="s">
        <v>18</v>
      </c>
      <c r="C242" s="190" t="s">
        <v>396</v>
      </c>
      <c r="D242" s="191" t="str">
        <f t="shared" si="8"/>
        <v>ANDEN-1-17</v>
      </c>
      <c r="E242" s="72"/>
      <c r="F242" s="73"/>
      <c r="G242" s="74"/>
      <c r="H242" s="75"/>
      <c r="I242" s="76"/>
      <c r="J242" s="75"/>
      <c r="K242" s="27" t="str">
        <f t="shared" si="2"/>
        <v>DISPONIBLE</v>
      </c>
      <c r="L242" s="28">
        <f t="shared" si="14"/>
        <v>241</v>
      </c>
      <c r="M242" s="28" t="s">
        <v>23</v>
      </c>
      <c r="N242" s="28">
        <v>0.0</v>
      </c>
      <c r="O242" s="29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4"/>
      <c r="BF242" s="12"/>
      <c r="BG242" s="12"/>
      <c r="BH242" s="12" t="str">
        <f>IFERROR(__xludf.DUMMYFUNCTION("IFERROR(INDEX(QUERY(IMPORTRANGE(""1T7HG8KEs-Ob7f3M5atEVN9Yn7IeORGp0QGvggB62ELw"",""Maestro!A:I""),""SELECT Col8 WHERE Col3 = '""&amp;BE242&amp;""'"", 0), 1, 1),""NO ENCONTRADO"")"),"")</f>
        <v/>
      </c>
      <c r="BI242" s="12" t="str">
        <f>IFERROR(__xludf.DUMMYFUNCTION("IFERROR(INDEX(QUERY(IMPORTRANGE(""1T7HG8KEs-Ob7f3M5atEVN9Yn7IeORGp0QGvggB62ELw"",""Maestro!A:I""),""SELECT Col7 WHERE Col3 = '""&amp;BE242&amp;""'"", 0), 1, 1),""NO ENCONTRADO"")"),"")</f>
        <v/>
      </c>
      <c r="BJ242" s="16">
        <f t="shared" si="13"/>
        <v>0</v>
      </c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4"/>
      <c r="BX242" s="14"/>
      <c r="BY242" s="14"/>
      <c r="BZ242" s="14"/>
      <c r="CA242" s="14"/>
      <c r="CB242" s="14"/>
      <c r="CC242" s="14"/>
      <c r="CD242" s="14"/>
      <c r="CE242" s="14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</row>
    <row r="243">
      <c r="A243" s="189" t="s">
        <v>480</v>
      </c>
      <c r="B243" s="190" t="s">
        <v>18</v>
      </c>
      <c r="C243" s="190" t="s">
        <v>411</v>
      </c>
      <c r="D243" s="191" t="str">
        <f t="shared" si="8"/>
        <v>ANDEN-1-18</v>
      </c>
      <c r="E243" s="206"/>
      <c r="F243" s="207"/>
      <c r="G243" s="208"/>
      <c r="H243" s="208"/>
      <c r="I243" s="209"/>
      <c r="J243" s="208"/>
      <c r="K243" s="32" t="str">
        <f t="shared" si="2"/>
        <v>DISPONIBLE</v>
      </c>
      <c r="L243" s="33">
        <f t="shared" si="14"/>
        <v>242</v>
      </c>
      <c r="M243" s="33" t="s">
        <v>23</v>
      </c>
      <c r="N243" s="33">
        <v>0.0</v>
      </c>
      <c r="O243" s="34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4"/>
      <c r="BF243" s="12"/>
      <c r="BG243" s="12"/>
      <c r="BH243" s="12" t="str">
        <f>IFERROR(__xludf.DUMMYFUNCTION("IFERROR(INDEX(QUERY(IMPORTRANGE(""1T7HG8KEs-Ob7f3M5atEVN9Yn7IeORGp0QGvggB62ELw"",""Maestro!A:I""),""SELECT Col8 WHERE Col3 = '""&amp;BE243&amp;""'"", 0), 1, 1),""NO ENCONTRADO"")"),"")</f>
        <v/>
      </c>
      <c r="BI243" s="12" t="str">
        <f>IFERROR(__xludf.DUMMYFUNCTION("IFERROR(INDEX(QUERY(IMPORTRANGE(""1T7HG8KEs-Ob7f3M5atEVN9Yn7IeORGp0QGvggB62ELw"",""Maestro!A:I""),""SELECT Col7 WHERE Col3 = '""&amp;BE243&amp;""'"", 0), 1, 1),""NO ENCONTRADO"")"),"")</f>
        <v/>
      </c>
      <c r="BJ243" s="16">
        <f t="shared" si="13"/>
        <v>0</v>
      </c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4"/>
      <c r="BX243" s="14"/>
      <c r="BY243" s="14"/>
      <c r="BZ243" s="14"/>
      <c r="CA243" s="14"/>
      <c r="CB243" s="14"/>
      <c r="CC243" s="14"/>
      <c r="CD243" s="14"/>
      <c r="CE243" s="14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</row>
    <row r="244">
      <c r="A244" s="189" t="s">
        <v>480</v>
      </c>
      <c r="B244" s="190" t="s">
        <v>18</v>
      </c>
      <c r="C244" s="190" t="s">
        <v>425</v>
      </c>
      <c r="D244" s="191" t="str">
        <f t="shared" si="8"/>
        <v>ANDEN-1-19</v>
      </c>
      <c r="E244" s="146"/>
      <c r="F244" s="147"/>
      <c r="G244" s="148"/>
      <c r="H244" s="148"/>
      <c r="I244" s="149"/>
      <c r="J244" s="148"/>
      <c r="K244" s="27" t="str">
        <f t="shared" si="2"/>
        <v>DISPONIBLE</v>
      </c>
      <c r="L244" s="28">
        <f t="shared" si="14"/>
        <v>243</v>
      </c>
      <c r="M244" s="28" t="s">
        <v>23</v>
      </c>
      <c r="N244" s="28">
        <v>0.0</v>
      </c>
      <c r="O244" s="29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4"/>
      <c r="BF244" s="12"/>
      <c r="BG244" s="12"/>
      <c r="BH244" s="12" t="str">
        <f>IFERROR(__xludf.DUMMYFUNCTION("IFERROR(INDEX(QUERY(IMPORTRANGE(""1T7HG8KEs-Ob7f3M5atEVN9Yn7IeORGp0QGvggB62ELw"",""Maestro!A:I""),""SELECT Col8 WHERE Col3 = '""&amp;BE244&amp;""'"", 0), 1, 1),""NO ENCONTRADO"")"),"")</f>
        <v/>
      </c>
      <c r="BI244" s="12" t="str">
        <f>IFERROR(__xludf.DUMMYFUNCTION("IFERROR(INDEX(QUERY(IMPORTRANGE(""1T7HG8KEs-Ob7f3M5atEVN9Yn7IeORGp0QGvggB62ELw"",""Maestro!A:I""),""SELECT Col7 WHERE Col3 = '""&amp;BE244&amp;""'"", 0), 1, 1),""NO ENCONTRADO"")"),"")</f>
        <v/>
      </c>
      <c r="BJ244" s="16">
        <f t="shared" si="13"/>
        <v>0</v>
      </c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4"/>
      <c r="BX244" s="14"/>
      <c r="BY244" s="14"/>
      <c r="BZ244" s="14"/>
      <c r="CA244" s="14"/>
      <c r="CB244" s="14"/>
      <c r="CC244" s="14"/>
      <c r="CD244" s="14"/>
      <c r="CE244" s="14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</row>
    <row r="245">
      <c r="A245" s="189" t="s">
        <v>480</v>
      </c>
      <c r="B245" s="190" t="s">
        <v>18</v>
      </c>
      <c r="C245" s="190" t="s">
        <v>451</v>
      </c>
      <c r="D245" s="191" t="str">
        <f t="shared" si="8"/>
        <v>ANDEN-1-20</v>
      </c>
      <c r="E245" s="146"/>
      <c r="F245" s="147"/>
      <c r="G245" s="148"/>
      <c r="H245" s="148"/>
      <c r="I245" s="149"/>
      <c r="J245" s="148"/>
      <c r="K245" s="32" t="str">
        <f t="shared" si="2"/>
        <v>DISPONIBLE</v>
      </c>
      <c r="L245" s="33">
        <f t="shared" si="14"/>
        <v>244</v>
      </c>
      <c r="M245" s="33" t="s">
        <v>23</v>
      </c>
      <c r="N245" s="33">
        <v>0.0</v>
      </c>
      <c r="O245" s="34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4"/>
      <c r="BF245" s="12"/>
      <c r="BG245" s="12"/>
      <c r="BH245" s="12" t="str">
        <f>IFERROR(__xludf.DUMMYFUNCTION("IFERROR(INDEX(QUERY(IMPORTRANGE(""1T7HG8KEs-Ob7f3M5atEVN9Yn7IeORGp0QGvggB62ELw"",""Maestro!A:I""),""SELECT Col8 WHERE Col3 = '""&amp;BE245&amp;""'"", 0), 1, 1),""NO ENCONTRADO"")"),"")</f>
        <v/>
      </c>
      <c r="BI245" s="12" t="str">
        <f>IFERROR(__xludf.DUMMYFUNCTION("IFERROR(INDEX(QUERY(IMPORTRANGE(""1T7HG8KEs-Ob7f3M5atEVN9Yn7IeORGp0QGvggB62ELw"",""Maestro!A:I""),""SELECT Col7 WHERE Col3 = '""&amp;BE245&amp;""'"", 0), 1, 1),""NO ENCONTRADO"")"),"")</f>
        <v/>
      </c>
      <c r="BJ245" s="16">
        <f t="shared" si="13"/>
        <v>0</v>
      </c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4"/>
      <c r="BX245" s="14"/>
      <c r="BY245" s="14"/>
      <c r="BZ245" s="14"/>
      <c r="CA245" s="14"/>
      <c r="CB245" s="14"/>
      <c r="CC245" s="14"/>
      <c r="CD245" s="14"/>
      <c r="CE245" s="14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</row>
    <row r="246">
      <c r="A246" s="210" t="s">
        <v>480</v>
      </c>
      <c r="B246" s="211" t="s">
        <v>18</v>
      </c>
      <c r="C246" s="211" t="s">
        <v>467</v>
      </c>
      <c r="D246" s="212" t="str">
        <f t="shared" si="8"/>
        <v>ANDEN-1-21</v>
      </c>
      <c r="E246" s="213"/>
      <c r="F246" s="214"/>
      <c r="G246" s="215"/>
      <c r="H246" s="215"/>
      <c r="I246" s="216"/>
      <c r="J246" s="215"/>
      <c r="K246" s="63" t="str">
        <f t="shared" si="2"/>
        <v>DISPONIBLE</v>
      </c>
      <c r="L246" s="64">
        <f t="shared" si="14"/>
        <v>245</v>
      </c>
      <c r="M246" s="64" t="s">
        <v>23</v>
      </c>
      <c r="N246" s="64">
        <v>0.0</v>
      </c>
      <c r="O246" s="66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4"/>
      <c r="BF246" s="12"/>
      <c r="BG246" s="12"/>
      <c r="BH246" s="12" t="str">
        <f>IFERROR(__xludf.DUMMYFUNCTION("IFERROR(INDEX(QUERY(IMPORTRANGE(""1T7HG8KEs-Ob7f3M5atEVN9Yn7IeORGp0QGvggB62ELw"",""Maestro!A:I""),""SELECT Col8 WHERE Col3 = '""&amp;BE246&amp;""'"", 0), 1, 1),""NO ENCONTRADO"")"),"")</f>
        <v/>
      </c>
      <c r="BI246" s="12" t="str">
        <f>IFERROR(__xludf.DUMMYFUNCTION("IFERROR(INDEX(QUERY(IMPORTRANGE(""1T7HG8KEs-Ob7f3M5atEVN9Yn7IeORGp0QGvggB62ELw"",""Maestro!A:I""),""SELECT Col7 WHERE Col3 = '""&amp;BE246&amp;""'"", 0), 1, 1),""NO ENCONTRADO"")"),"")</f>
        <v/>
      </c>
      <c r="BJ246" s="16">
        <f t="shared" si="13"/>
        <v>0</v>
      </c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4"/>
      <c r="BX246" s="14"/>
      <c r="BY246" s="14"/>
      <c r="BZ246" s="14"/>
      <c r="CA246" s="14"/>
      <c r="CB246" s="14"/>
      <c r="CC246" s="14"/>
      <c r="CD246" s="14"/>
      <c r="CE246" s="14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</row>
    <row r="247">
      <c r="A247" s="217" t="s">
        <v>516</v>
      </c>
      <c r="B247" s="218" t="s">
        <v>18</v>
      </c>
      <c r="C247" s="218" t="s">
        <v>18</v>
      </c>
      <c r="D247" s="219" t="str">
        <f t="shared" si="8"/>
        <v>CASINO-1-1</v>
      </c>
      <c r="E247" s="35">
        <v>45771.0</v>
      </c>
      <c r="F247" s="192" t="s">
        <v>19</v>
      </c>
      <c r="G247" s="37" t="s">
        <v>167</v>
      </c>
      <c r="H247" s="99" t="s">
        <v>168</v>
      </c>
      <c r="I247" s="39">
        <v>20.0</v>
      </c>
      <c r="J247" s="38" t="s">
        <v>22</v>
      </c>
      <c r="K247" s="32" t="str">
        <f t="shared" si="2"/>
        <v>OCUPADO</v>
      </c>
      <c r="L247" s="33">
        <f t="shared" si="14"/>
        <v>246</v>
      </c>
      <c r="M247" s="33" t="s">
        <v>23</v>
      </c>
      <c r="N247" s="33" t="s">
        <v>165</v>
      </c>
      <c r="O247" s="34" t="s">
        <v>24</v>
      </c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4"/>
      <c r="BF247" s="12"/>
      <c r="BG247" s="12"/>
      <c r="BH247" s="12" t="str">
        <f>IFERROR(__xludf.DUMMYFUNCTION("IFERROR(INDEX(QUERY(IMPORTRANGE(""1T7HG8KEs-Ob7f3M5atEVN9Yn7IeORGp0QGvggB62ELw"",""Maestro!A:I""),""SELECT Col8 WHERE Col3 = '""&amp;BE247&amp;""'"", 0), 1, 1),""NO ENCONTRADO"")"),"")</f>
        <v/>
      </c>
      <c r="BI247" s="12" t="str">
        <f>IFERROR(__xludf.DUMMYFUNCTION("IFERROR(INDEX(QUERY(IMPORTRANGE(""1T7HG8KEs-Ob7f3M5atEVN9Yn7IeORGp0QGvggB62ELw"",""Maestro!A:I""),""SELECT Col7 WHERE Col3 = '""&amp;BE247&amp;""'"", 0), 1, 1),""NO ENCONTRADO"")"),"")</f>
        <v/>
      </c>
      <c r="BJ247" s="16">
        <f t="shared" si="13"/>
        <v>0</v>
      </c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4"/>
      <c r="BX247" s="14"/>
      <c r="BY247" s="14"/>
      <c r="BZ247" s="14"/>
      <c r="CA247" s="14"/>
      <c r="CB247" s="14"/>
      <c r="CC247" s="14"/>
      <c r="CD247" s="14"/>
      <c r="CE247" s="14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</row>
    <row r="248">
      <c r="A248" s="217" t="s">
        <v>516</v>
      </c>
      <c r="B248" s="218" t="s">
        <v>18</v>
      </c>
      <c r="C248" s="218" t="s">
        <v>32</v>
      </c>
      <c r="D248" s="219" t="str">
        <f t="shared" si="8"/>
        <v>CASINO-1-2</v>
      </c>
      <c r="E248" s="83"/>
      <c r="F248" s="150"/>
      <c r="G248" s="85"/>
      <c r="H248" s="49"/>
      <c r="I248" s="86"/>
      <c r="J248" s="49"/>
      <c r="K248" s="27" t="str">
        <f t="shared" si="2"/>
        <v>DISPONIBLE</v>
      </c>
      <c r="L248" s="28">
        <f t="shared" si="14"/>
        <v>247</v>
      </c>
      <c r="M248" s="28" t="s">
        <v>23</v>
      </c>
      <c r="N248" s="70"/>
      <c r="O248" s="29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4"/>
      <c r="BF248" s="12"/>
      <c r="BG248" s="12"/>
      <c r="BH248" s="12" t="str">
        <f>IFERROR(__xludf.DUMMYFUNCTION("IFERROR(INDEX(QUERY(IMPORTRANGE(""1T7HG8KEs-Ob7f3M5atEVN9Yn7IeORGp0QGvggB62ELw"",""Maestro!A:I""),""SELECT Col8 WHERE Col3 = '""&amp;BE248&amp;""'"", 0), 1, 1),""NO ENCONTRADO"")"),"")</f>
        <v/>
      </c>
      <c r="BI248" s="12" t="str">
        <f>IFERROR(__xludf.DUMMYFUNCTION("IFERROR(INDEX(QUERY(IMPORTRANGE(""1T7HG8KEs-Ob7f3M5atEVN9Yn7IeORGp0QGvggB62ELw"",""Maestro!A:I""),""SELECT Col7 WHERE Col3 = '""&amp;BE248&amp;""'"", 0), 1, 1),""NO ENCONTRADO"")"),"")</f>
        <v/>
      </c>
      <c r="BJ248" s="16">
        <f t="shared" si="13"/>
        <v>0</v>
      </c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4"/>
      <c r="BX248" s="14"/>
      <c r="BY248" s="14"/>
      <c r="BZ248" s="14"/>
      <c r="CA248" s="14"/>
      <c r="CB248" s="14"/>
      <c r="CC248" s="14"/>
      <c r="CD248" s="14"/>
      <c r="CE248" s="14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</row>
    <row r="249">
      <c r="A249" s="217" t="s">
        <v>516</v>
      </c>
      <c r="B249" s="218" t="s">
        <v>18</v>
      </c>
      <c r="C249" s="218" t="s">
        <v>44</v>
      </c>
      <c r="D249" s="219" t="str">
        <f t="shared" si="8"/>
        <v>CASINO-1-3</v>
      </c>
      <c r="E249" s="83"/>
      <c r="F249" s="150"/>
      <c r="G249" s="85"/>
      <c r="H249" s="49"/>
      <c r="I249" s="86"/>
      <c r="J249" s="49"/>
      <c r="K249" s="32" t="str">
        <f t="shared" si="2"/>
        <v>DISPONIBLE</v>
      </c>
      <c r="L249" s="33">
        <f t="shared" si="14"/>
        <v>248</v>
      </c>
      <c r="M249" s="33" t="s">
        <v>23</v>
      </c>
      <c r="N249" s="53"/>
      <c r="O249" s="34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4"/>
      <c r="BF249" s="12"/>
      <c r="BG249" s="12"/>
      <c r="BH249" s="12" t="str">
        <f>IFERROR(__xludf.DUMMYFUNCTION("IFERROR(INDEX(QUERY(IMPORTRANGE(""1T7HG8KEs-Ob7f3M5atEVN9Yn7IeORGp0QGvggB62ELw"",""Maestro!A:I""),""SELECT Col8 WHERE Col3 = '""&amp;BE249&amp;""'"", 0), 1, 1),""NO ENCONTRADO"")"),"")</f>
        <v/>
      </c>
      <c r="BI249" s="12" t="str">
        <f>IFERROR(__xludf.DUMMYFUNCTION("IFERROR(INDEX(QUERY(IMPORTRANGE(""1T7HG8KEs-Ob7f3M5atEVN9Yn7IeORGp0QGvggB62ELw"",""Maestro!A:I""),""SELECT Col7 WHERE Col3 = '""&amp;BE249&amp;""'"", 0), 1, 1),""NO ENCONTRADO"")"),"")</f>
        <v/>
      </c>
      <c r="BJ249" s="16">
        <f t="shared" si="13"/>
        <v>0</v>
      </c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4"/>
      <c r="BX249" s="14"/>
      <c r="BY249" s="14"/>
      <c r="BZ249" s="14"/>
      <c r="CA249" s="14"/>
      <c r="CB249" s="14"/>
      <c r="CC249" s="14"/>
      <c r="CD249" s="14"/>
      <c r="CE249" s="14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</row>
    <row r="250">
      <c r="A250" s="217" t="s">
        <v>516</v>
      </c>
      <c r="B250" s="218" t="s">
        <v>18</v>
      </c>
      <c r="C250" s="218" t="s">
        <v>53</v>
      </c>
      <c r="D250" s="219" t="str">
        <f t="shared" si="8"/>
        <v>CASINO-1-4</v>
      </c>
      <c r="E250" s="83"/>
      <c r="F250" s="150"/>
      <c r="G250" s="85"/>
      <c r="H250" s="49"/>
      <c r="I250" s="86"/>
      <c r="J250" s="49"/>
      <c r="K250" s="27" t="str">
        <f t="shared" si="2"/>
        <v>DISPONIBLE</v>
      </c>
      <c r="L250" s="28">
        <f t="shared" si="14"/>
        <v>249</v>
      </c>
      <c r="M250" s="28" t="s">
        <v>23</v>
      </c>
      <c r="N250" s="70"/>
      <c r="O250" s="29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4"/>
      <c r="BF250" s="12"/>
      <c r="BG250" s="12"/>
      <c r="BH250" s="12" t="str">
        <f>IFERROR(__xludf.DUMMYFUNCTION("IFERROR(INDEX(QUERY(IMPORTRANGE(""1T7HG8KEs-Ob7f3M5atEVN9Yn7IeORGp0QGvggB62ELw"",""Maestro!A:I""),""SELECT Col8 WHERE Col3 = '""&amp;BE250&amp;""'"", 0), 1, 1),""NO ENCONTRADO"")"),"")</f>
        <v/>
      </c>
      <c r="BI250" s="12" t="str">
        <f>IFERROR(__xludf.DUMMYFUNCTION("IFERROR(INDEX(QUERY(IMPORTRANGE(""1T7HG8KEs-Ob7f3M5atEVN9Yn7IeORGp0QGvggB62ELw"",""Maestro!A:I""),""SELECT Col7 WHERE Col3 = '""&amp;BE250&amp;""'"", 0), 1, 1),""NO ENCONTRADO"")"),"")</f>
        <v/>
      </c>
      <c r="BJ250" s="16">
        <f t="shared" si="13"/>
        <v>0</v>
      </c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4"/>
      <c r="BX250" s="14"/>
      <c r="BY250" s="14"/>
      <c r="BZ250" s="14"/>
      <c r="CA250" s="14"/>
      <c r="CB250" s="14"/>
      <c r="CC250" s="14"/>
      <c r="CD250" s="14"/>
      <c r="CE250" s="14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</row>
    <row r="251">
      <c r="A251" s="217" t="s">
        <v>516</v>
      </c>
      <c r="B251" s="218" t="s">
        <v>18</v>
      </c>
      <c r="C251" s="218" t="s">
        <v>25</v>
      </c>
      <c r="D251" s="219" t="str">
        <f t="shared" si="8"/>
        <v>CASINO-1-5</v>
      </c>
      <c r="E251" s="83"/>
      <c r="F251" s="150"/>
      <c r="G251" s="85"/>
      <c r="H251" s="49"/>
      <c r="I251" s="86"/>
      <c r="J251" s="49"/>
      <c r="K251" s="32" t="str">
        <f t="shared" si="2"/>
        <v>DISPONIBLE</v>
      </c>
      <c r="L251" s="33">
        <f t="shared" si="14"/>
        <v>250</v>
      </c>
      <c r="M251" s="33" t="s">
        <v>23</v>
      </c>
      <c r="N251" s="53"/>
      <c r="O251" s="34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4"/>
      <c r="BF251" s="12"/>
      <c r="BG251" s="12"/>
      <c r="BH251" s="12" t="str">
        <f>IFERROR(__xludf.DUMMYFUNCTION("IFERROR(INDEX(QUERY(IMPORTRANGE(""1T7HG8KEs-Ob7f3M5atEVN9Yn7IeORGp0QGvggB62ELw"",""Maestro!A:I""),""SELECT Col8 WHERE Col3 = '""&amp;BE251&amp;""'"", 0), 1, 1),""NO ENCONTRADO"")"),"")</f>
        <v/>
      </c>
      <c r="BI251" s="12" t="str">
        <f>IFERROR(__xludf.DUMMYFUNCTION("IFERROR(INDEX(QUERY(IMPORTRANGE(""1T7HG8KEs-Ob7f3M5atEVN9Yn7IeORGp0QGvggB62ELw"",""Maestro!A:I""),""SELECT Col7 WHERE Col3 = '""&amp;BE251&amp;""'"", 0), 1, 1),""NO ENCONTRADO"")"),"")</f>
        <v/>
      </c>
      <c r="BJ251" s="16">
        <f t="shared" si="13"/>
        <v>0</v>
      </c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4"/>
      <c r="BX251" s="14"/>
      <c r="BY251" s="14"/>
      <c r="BZ251" s="14"/>
      <c r="CA251" s="14"/>
      <c r="CB251" s="14"/>
      <c r="CC251" s="14"/>
      <c r="CD251" s="14"/>
      <c r="CE251" s="14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</row>
    <row r="252">
      <c r="A252" s="217" t="s">
        <v>516</v>
      </c>
      <c r="B252" s="218" t="s">
        <v>18</v>
      </c>
      <c r="C252" s="218" t="s">
        <v>36</v>
      </c>
      <c r="D252" s="219" t="str">
        <f t="shared" si="8"/>
        <v>CASINO-1-6</v>
      </c>
      <c r="E252" s="83"/>
      <c r="F252" s="150"/>
      <c r="G252" s="85"/>
      <c r="H252" s="49"/>
      <c r="I252" s="86"/>
      <c r="J252" s="49"/>
      <c r="K252" s="27" t="str">
        <f t="shared" si="2"/>
        <v>DISPONIBLE</v>
      </c>
      <c r="L252" s="28">
        <f t="shared" si="14"/>
        <v>251</v>
      </c>
      <c r="M252" s="28" t="s">
        <v>23</v>
      </c>
      <c r="N252" s="70"/>
      <c r="O252" s="29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4"/>
      <c r="BF252" s="12"/>
      <c r="BG252" s="12"/>
      <c r="BH252" s="12" t="str">
        <f>IFERROR(__xludf.DUMMYFUNCTION("IFERROR(INDEX(QUERY(IMPORTRANGE(""1T7HG8KEs-Ob7f3M5atEVN9Yn7IeORGp0QGvggB62ELw"",""Maestro!A:I""),""SELECT Col8 WHERE Col3 = '""&amp;BE252&amp;""'"", 0), 1, 1),""NO ENCONTRADO"")"),"")</f>
        <v/>
      </c>
      <c r="BI252" s="12" t="str">
        <f>IFERROR(__xludf.DUMMYFUNCTION("IFERROR(INDEX(QUERY(IMPORTRANGE(""1T7HG8KEs-Ob7f3M5atEVN9Yn7IeORGp0QGvggB62ELw"",""Maestro!A:I""),""SELECT Col7 WHERE Col3 = '""&amp;BE252&amp;""'"", 0), 1, 1),""NO ENCONTRADO"")"),"")</f>
        <v/>
      </c>
      <c r="BJ252" s="16">
        <f t="shared" si="13"/>
        <v>0</v>
      </c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4"/>
      <c r="BX252" s="14"/>
      <c r="BY252" s="14"/>
      <c r="BZ252" s="14"/>
      <c r="CA252" s="14"/>
      <c r="CB252" s="14"/>
      <c r="CC252" s="14"/>
      <c r="CD252" s="14"/>
      <c r="CE252" s="14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</row>
    <row r="253">
      <c r="A253" s="217" t="s">
        <v>516</v>
      </c>
      <c r="B253" s="218" t="s">
        <v>18</v>
      </c>
      <c r="C253" s="218" t="s">
        <v>48</v>
      </c>
      <c r="D253" s="219" t="str">
        <f t="shared" si="8"/>
        <v>CASINO-1-7</v>
      </c>
      <c r="E253" s="83"/>
      <c r="F253" s="84"/>
      <c r="G253" s="46"/>
      <c r="H253" s="49"/>
      <c r="I253" s="86"/>
      <c r="J253" s="49"/>
      <c r="K253" s="32" t="str">
        <f t="shared" si="2"/>
        <v>DISPONIBLE</v>
      </c>
      <c r="L253" s="33">
        <f t="shared" si="14"/>
        <v>252</v>
      </c>
      <c r="M253" s="33" t="s">
        <v>23</v>
      </c>
      <c r="N253" s="53"/>
      <c r="O253" s="34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4"/>
      <c r="BF253" s="12"/>
      <c r="BG253" s="12"/>
      <c r="BH253" s="12" t="str">
        <f>IFERROR(__xludf.DUMMYFUNCTION("IFERROR(INDEX(QUERY(IMPORTRANGE(""1T7HG8KEs-Ob7f3M5atEVN9Yn7IeORGp0QGvggB62ELw"",""Maestro!A:I""),""SELECT Col8 WHERE Col3 = '""&amp;BE253&amp;""'"", 0), 1, 1),""NO ENCONTRADO"")"),"")</f>
        <v/>
      </c>
      <c r="BI253" s="12" t="str">
        <f>IFERROR(__xludf.DUMMYFUNCTION("IFERROR(INDEX(QUERY(IMPORTRANGE(""1T7HG8KEs-Ob7f3M5atEVN9Yn7IeORGp0QGvggB62ELw"",""Maestro!A:I""),""SELECT Col7 WHERE Col3 = '""&amp;BE253&amp;""'"", 0), 1, 1),""NO ENCONTRADO"")"),"")</f>
        <v/>
      </c>
      <c r="BJ253" s="16">
        <f t="shared" si="13"/>
        <v>0</v>
      </c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4"/>
      <c r="BX253" s="14"/>
      <c r="BY253" s="14"/>
      <c r="BZ253" s="14"/>
      <c r="CA253" s="14"/>
      <c r="CB253" s="14"/>
      <c r="CC253" s="14"/>
      <c r="CD253" s="14"/>
      <c r="CE253" s="14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</row>
    <row r="254">
      <c r="A254" s="217" t="s">
        <v>516</v>
      </c>
      <c r="B254" s="218" t="s">
        <v>18</v>
      </c>
      <c r="C254" s="218" t="s">
        <v>465</v>
      </c>
      <c r="D254" s="219" t="str">
        <f t="shared" si="8"/>
        <v>CASINO-1-8</v>
      </c>
      <c r="E254" s="83"/>
      <c r="F254" s="84"/>
      <c r="G254" s="46"/>
      <c r="H254" s="49"/>
      <c r="I254" s="86"/>
      <c r="J254" s="49"/>
      <c r="K254" s="27" t="str">
        <f t="shared" si="2"/>
        <v>DISPONIBLE</v>
      </c>
      <c r="L254" s="28">
        <f t="shared" si="14"/>
        <v>253</v>
      </c>
      <c r="M254" s="28" t="s">
        <v>23</v>
      </c>
      <c r="N254" s="70"/>
      <c r="O254" s="29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4"/>
      <c r="BF254" s="12"/>
      <c r="BG254" s="12"/>
      <c r="BH254" s="12" t="str">
        <f>IFERROR(__xludf.DUMMYFUNCTION("IFERROR(INDEX(QUERY(IMPORTRANGE(""1T7HG8KEs-Ob7f3M5atEVN9Yn7IeORGp0QGvggB62ELw"",""Maestro!A:I""),""SELECT Col8 WHERE Col3 = '""&amp;BE254&amp;""'"", 0), 1, 1),""NO ENCONTRADO"")"),"")</f>
        <v/>
      </c>
      <c r="BI254" s="12" t="str">
        <f>IFERROR(__xludf.DUMMYFUNCTION("IFERROR(INDEX(QUERY(IMPORTRANGE(""1T7HG8KEs-Ob7f3M5atEVN9Yn7IeORGp0QGvggB62ELw"",""Maestro!A:I""),""SELECT Col7 WHERE Col3 = '""&amp;BE254&amp;""'"", 0), 1, 1),""NO ENCONTRADO"")"),"")</f>
        <v/>
      </c>
      <c r="BJ254" s="16">
        <f t="shared" si="13"/>
        <v>0</v>
      </c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4"/>
      <c r="BX254" s="14"/>
      <c r="BY254" s="14"/>
      <c r="BZ254" s="14"/>
      <c r="CA254" s="14"/>
      <c r="CB254" s="14"/>
      <c r="CC254" s="14"/>
      <c r="CD254" s="14"/>
      <c r="CE254" s="14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</row>
    <row r="255">
      <c r="A255" s="217" t="s">
        <v>516</v>
      </c>
      <c r="B255" s="218" t="s">
        <v>18</v>
      </c>
      <c r="C255" s="218" t="s">
        <v>511</v>
      </c>
      <c r="D255" s="219" t="str">
        <f t="shared" si="8"/>
        <v>CASINO-1-9</v>
      </c>
      <c r="E255" s="83"/>
      <c r="F255" s="84"/>
      <c r="G255" s="46"/>
      <c r="H255" s="49"/>
      <c r="I255" s="86"/>
      <c r="J255" s="49"/>
      <c r="K255" s="32" t="str">
        <f t="shared" si="2"/>
        <v>DISPONIBLE</v>
      </c>
      <c r="L255" s="33">
        <f t="shared" si="14"/>
        <v>254</v>
      </c>
      <c r="M255" s="33" t="s">
        <v>23</v>
      </c>
      <c r="N255" s="53"/>
      <c r="O255" s="34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4"/>
      <c r="BF255" s="12"/>
      <c r="BG255" s="12"/>
      <c r="BH255" s="12" t="str">
        <f>IFERROR(__xludf.DUMMYFUNCTION("IFERROR(INDEX(QUERY(IMPORTRANGE(""1T7HG8KEs-Ob7f3M5atEVN9Yn7IeORGp0QGvggB62ELw"",""Maestro!A:I""),""SELECT Col8 WHERE Col3 = '""&amp;BE255&amp;""'"", 0), 1, 1),""NO ENCONTRADO"")"),"")</f>
        <v/>
      </c>
      <c r="BI255" s="12" t="str">
        <f>IFERROR(__xludf.DUMMYFUNCTION("IFERROR(INDEX(QUERY(IMPORTRANGE(""1T7HG8KEs-Ob7f3M5atEVN9Yn7IeORGp0QGvggB62ELw"",""Maestro!A:I""),""SELECT Col7 WHERE Col3 = '""&amp;BE255&amp;""'"", 0), 1, 1),""NO ENCONTRADO"")"),"")</f>
        <v/>
      </c>
      <c r="BJ255" s="16">
        <f t="shared" si="13"/>
        <v>0</v>
      </c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4"/>
      <c r="BX255" s="14"/>
      <c r="BY255" s="14"/>
      <c r="BZ255" s="14"/>
      <c r="CA255" s="14"/>
      <c r="CB255" s="14"/>
      <c r="CC255" s="14"/>
      <c r="CD255" s="14"/>
      <c r="CE255" s="14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</row>
    <row r="256">
      <c r="A256" s="217" t="s">
        <v>516</v>
      </c>
      <c r="B256" s="218" t="s">
        <v>18</v>
      </c>
      <c r="C256" s="218" t="s">
        <v>296</v>
      </c>
      <c r="D256" s="219" t="str">
        <f t="shared" si="8"/>
        <v>CASINO-1-10</v>
      </c>
      <c r="E256" s="83"/>
      <c r="F256" s="84"/>
      <c r="G256" s="46"/>
      <c r="H256" s="49"/>
      <c r="I256" s="86"/>
      <c r="J256" s="49"/>
      <c r="K256" s="27" t="str">
        <f t="shared" si="2"/>
        <v>DISPONIBLE</v>
      </c>
      <c r="L256" s="28">
        <f t="shared" si="14"/>
        <v>255</v>
      </c>
      <c r="M256" s="28" t="s">
        <v>23</v>
      </c>
      <c r="N256" s="70"/>
      <c r="O256" s="29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4"/>
      <c r="BF256" s="12"/>
      <c r="BG256" s="12"/>
      <c r="BH256" s="12" t="str">
        <f>IFERROR(__xludf.DUMMYFUNCTION("IFERROR(INDEX(QUERY(IMPORTRANGE(""1T7HG8KEs-Ob7f3M5atEVN9Yn7IeORGp0QGvggB62ELw"",""Maestro!A:I""),""SELECT Col8 WHERE Col3 = '""&amp;BE256&amp;""'"", 0), 1, 1),""NO ENCONTRADO"")"),"")</f>
        <v/>
      </c>
      <c r="BI256" s="12" t="str">
        <f>IFERROR(__xludf.DUMMYFUNCTION("IFERROR(INDEX(QUERY(IMPORTRANGE(""1T7HG8KEs-Ob7f3M5atEVN9Yn7IeORGp0QGvggB62ELw"",""Maestro!A:I""),""SELECT Col7 WHERE Col3 = '""&amp;BE256&amp;""'"", 0), 1, 1),""NO ENCONTRADO"")"),"")</f>
        <v/>
      </c>
      <c r="BJ256" s="16">
        <f t="shared" si="13"/>
        <v>0</v>
      </c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4"/>
      <c r="BX256" s="14"/>
      <c r="BY256" s="14"/>
      <c r="BZ256" s="14"/>
      <c r="CA256" s="14"/>
      <c r="CB256" s="14"/>
      <c r="CC256" s="14"/>
      <c r="CD256" s="14"/>
      <c r="CE256" s="14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</row>
    <row r="257">
      <c r="A257" s="220" t="s">
        <v>516</v>
      </c>
      <c r="B257" s="221" t="s">
        <v>18</v>
      </c>
      <c r="C257" s="221" t="s">
        <v>316</v>
      </c>
      <c r="D257" s="222" t="str">
        <f t="shared" si="8"/>
        <v>CASINO-1-11</v>
      </c>
      <c r="E257" s="57"/>
      <c r="F257" s="58"/>
      <c r="G257" s="59"/>
      <c r="H257" s="60"/>
      <c r="I257" s="61"/>
      <c r="J257" s="60"/>
      <c r="K257" s="154" t="str">
        <f t="shared" si="2"/>
        <v>DISPONIBLE</v>
      </c>
      <c r="L257" s="155">
        <f t="shared" si="14"/>
        <v>256</v>
      </c>
      <c r="M257" s="155" t="s">
        <v>23</v>
      </c>
      <c r="N257" s="156"/>
      <c r="O257" s="157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4"/>
      <c r="BF257" s="12"/>
      <c r="BG257" s="12"/>
      <c r="BH257" s="12" t="str">
        <f>IFERROR(__xludf.DUMMYFUNCTION("IFERROR(INDEX(QUERY(IMPORTRANGE(""1T7HG8KEs-Ob7f3M5atEVN9Yn7IeORGp0QGvggB62ELw"",""Maestro!A:I""),""SELECT Col8 WHERE Col3 = '""&amp;BE257&amp;""'"", 0), 1, 1),""NO ENCONTRADO"")"),"")</f>
        <v/>
      </c>
      <c r="BI257" s="12" t="str">
        <f>IFERROR(__xludf.DUMMYFUNCTION("IFERROR(INDEX(QUERY(IMPORTRANGE(""1T7HG8KEs-Ob7f3M5atEVN9Yn7IeORGp0QGvggB62ELw"",""Maestro!A:I""),""SELECT Col7 WHERE Col3 = '""&amp;BE257&amp;""'"", 0), 1, 1),""NO ENCONTRADO"")"),"")</f>
        <v/>
      </c>
      <c r="BJ257" s="16">
        <f t="shared" si="13"/>
        <v>0</v>
      </c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4"/>
      <c r="BX257" s="14"/>
      <c r="BY257" s="14"/>
      <c r="BZ257" s="14"/>
      <c r="CA257" s="14"/>
      <c r="CB257" s="14"/>
      <c r="CC257" s="14"/>
      <c r="CD257" s="14"/>
      <c r="CE257" s="14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</row>
    <row r="258">
      <c r="A258" s="223" t="s">
        <v>546</v>
      </c>
      <c r="B258" s="224" t="s">
        <v>18</v>
      </c>
      <c r="C258" s="224" t="s">
        <v>18</v>
      </c>
      <c r="D258" s="225" t="str">
        <f t="shared" si="8"/>
        <v>DEV-1-1</v>
      </c>
      <c r="E258" s="141"/>
      <c r="F258" s="137"/>
      <c r="G258" s="138"/>
      <c r="H258" s="138"/>
      <c r="I258" s="142"/>
      <c r="J258" s="138"/>
      <c r="K258" s="27" t="str">
        <f t="shared" si="2"/>
        <v>DISPONIBLE</v>
      </c>
      <c r="L258" s="28">
        <f t="shared" si="14"/>
        <v>257</v>
      </c>
      <c r="M258" s="226" t="s">
        <v>718</v>
      </c>
      <c r="N258" s="227"/>
      <c r="O258" s="22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4"/>
      <c r="BF258" s="12"/>
      <c r="BG258" s="12"/>
      <c r="BH258" s="12" t="str">
        <f>IFERROR(__xludf.DUMMYFUNCTION("IFERROR(INDEX(QUERY(IMPORTRANGE(""1T7HG8KEs-Ob7f3M5atEVN9Yn7IeORGp0QGvggB62ELw"",""Maestro!A:I""),""SELECT Col8 WHERE Col3 = '""&amp;BE258&amp;""'"", 0), 1, 1),""NO ENCONTRADO"")"),"")</f>
        <v/>
      </c>
      <c r="BI258" s="12" t="str">
        <f>IFERROR(__xludf.DUMMYFUNCTION("IFERROR(INDEX(QUERY(IMPORTRANGE(""1T7HG8KEs-Ob7f3M5atEVN9Yn7IeORGp0QGvggB62ELw"",""Maestro!A:I""),""SELECT Col7 WHERE Col3 = '""&amp;BE258&amp;""'"", 0), 1, 1),""NO ENCONTRADO"")"),"")</f>
        <v/>
      </c>
      <c r="BJ258" s="16">
        <f t="shared" si="13"/>
        <v>0</v>
      </c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4"/>
      <c r="BX258" s="14"/>
      <c r="BY258" s="14"/>
      <c r="BZ258" s="14"/>
      <c r="CA258" s="14"/>
      <c r="CB258" s="14"/>
      <c r="CC258" s="14"/>
      <c r="CD258" s="14"/>
      <c r="CE258" s="14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</row>
    <row r="259">
      <c r="A259" s="223" t="s">
        <v>546</v>
      </c>
      <c r="B259" s="224" t="s">
        <v>18</v>
      </c>
      <c r="C259" s="224" t="s">
        <v>32</v>
      </c>
      <c r="D259" s="225" t="str">
        <f t="shared" si="8"/>
        <v>DEV-1-2</v>
      </c>
      <c r="E259" s="141"/>
      <c r="F259" s="137"/>
      <c r="G259" s="138"/>
      <c r="H259" s="138"/>
      <c r="I259" s="142"/>
      <c r="J259" s="138"/>
      <c r="K259" s="32" t="str">
        <f t="shared" si="2"/>
        <v>DISPONIBLE</v>
      </c>
      <c r="L259" s="33">
        <f t="shared" si="14"/>
        <v>258</v>
      </c>
      <c r="M259" s="229" t="s">
        <v>718</v>
      </c>
      <c r="N259" s="102"/>
      <c r="O259" s="230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4"/>
      <c r="BF259" s="12"/>
      <c r="BG259" s="12"/>
      <c r="BH259" s="12" t="str">
        <f>IFERROR(__xludf.DUMMYFUNCTION("IFERROR(INDEX(QUERY(IMPORTRANGE(""1T7HG8KEs-Ob7f3M5atEVN9Yn7IeORGp0QGvggB62ELw"",""Maestro!A:I""),""SELECT Col8 WHERE Col3 = '""&amp;BE259&amp;""'"", 0), 1, 1),""NO ENCONTRADO"")"),"")</f>
        <v/>
      </c>
      <c r="BI259" s="12" t="str">
        <f>IFERROR(__xludf.DUMMYFUNCTION("IFERROR(INDEX(QUERY(IMPORTRANGE(""1T7HG8KEs-Ob7f3M5atEVN9Yn7IeORGp0QGvggB62ELw"",""Maestro!A:I""),""SELECT Col7 WHERE Col3 = '""&amp;BE259&amp;""'"", 0), 1, 1),""NO ENCONTRADO"")"),"")</f>
        <v/>
      </c>
      <c r="BJ259" s="16">
        <f t="shared" si="13"/>
        <v>0</v>
      </c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4"/>
      <c r="BX259" s="14"/>
      <c r="BY259" s="14"/>
      <c r="BZ259" s="14"/>
      <c r="CA259" s="14"/>
      <c r="CB259" s="14"/>
      <c r="CC259" s="14"/>
      <c r="CD259" s="14"/>
      <c r="CE259" s="14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</row>
    <row r="260">
      <c r="A260" s="223" t="s">
        <v>546</v>
      </c>
      <c r="B260" s="224" t="s">
        <v>18</v>
      </c>
      <c r="C260" s="224" t="s">
        <v>44</v>
      </c>
      <c r="D260" s="225" t="str">
        <f t="shared" si="8"/>
        <v>DEV-1-3</v>
      </c>
      <c r="E260" s="72"/>
      <c r="F260" s="77"/>
      <c r="G260" s="74"/>
      <c r="H260" s="75"/>
      <c r="I260" s="76"/>
      <c r="J260" s="75"/>
      <c r="K260" s="27" t="str">
        <f t="shared" si="2"/>
        <v>DISPONIBLE</v>
      </c>
      <c r="L260" s="28">
        <f t="shared" si="14"/>
        <v>259</v>
      </c>
      <c r="M260" s="226" t="s">
        <v>718</v>
      </c>
      <c r="N260" s="227"/>
      <c r="O260" s="228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4"/>
      <c r="BF260" s="12"/>
      <c r="BG260" s="12"/>
      <c r="BH260" s="12" t="str">
        <f>IFERROR(__xludf.DUMMYFUNCTION("IFERROR(INDEX(QUERY(IMPORTRANGE(""1T7HG8KEs-Ob7f3M5atEVN9Yn7IeORGp0QGvggB62ELw"",""Maestro!A:I""),""SELECT Col8 WHERE Col3 = '""&amp;BE260&amp;""'"", 0), 1, 1),""NO ENCONTRADO"")"),"")</f>
        <v/>
      </c>
      <c r="BI260" s="12" t="str">
        <f>IFERROR(__xludf.DUMMYFUNCTION("IFERROR(INDEX(QUERY(IMPORTRANGE(""1T7HG8KEs-Ob7f3M5atEVN9Yn7IeORGp0QGvggB62ELw"",""Maestro!A:I""),""SELECT Col7 WHERE Col3 = '""&amp;BE260&amp;""'"", 0), 1, 1),""NO ENCONTRADO"")"),"")</f>
        <v/>
      </c>
      <c r="BJ260" s="16">
        <f t="shared" si="13"/>
        <v>0</v>
      </c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4"/>
      <c r="BX260" s="14"/>
      <c r="BY260" s="14"/>
      <c r="BZ260" s="14"/>
      <c r="CA260" s="14"/>
      <c r="CB260" s="14"/>
      <c r="CC260" s="14"/>
      <c r="CD260" s="14"/>
      <c r="CE260" s="14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</row>
    <row r="261">
      <c r="A261" s="223" t="s">
        <v>546</v>
      </c>
      <c r="B261" s="224" t="s">
        <v>18</v>
      </c>
      <c r="C261" s="224" t="s">
        <v>53</v>
      </c>
      <c r="D261" s="225" t="str">
        <f t="shared" si="8"/>
        <v>DEV-1-4</v>
      </c>
      <c r="E261" s="72"/>
      <c r="F261" s="77"/>
      <c r="G261" s="74"/>
      <c r="H261" s="75"/>
      <c r="I261" s="76"/>
      <c r="J261" s="75"/>
      <c r="K261" s="32" t="str">
        <f t="shared" si="2"/>
        <v>DISPONIBLE</v>
      </c>
      <c r="L261" s="33">
        <f t="shared" si="14"/>
        <v>260</v>
      </c>
      <c r="M261" s="229" t="s">
        <v>718</v>
      </c>
      <c r="N261" s="102"/>
      <c r="O261" s="230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4"/>
      <c r="BF261" s="12"/>
      <c r="BG261" s="12"/>
      <c r="BH261" s="12" t="str">
        <f>IFERROR(__xludf.DUMMYFUNCTION("IFERROR(INDEX(QUERY(IMPORTRANGE(""1T7HG8KEs-Ob7f3M5atEVN9Yn7IeORGp0QGvggB62ELw"",""Maestro!A:I""),""SELECT Col8 WHERE Col3 = '""&amp;BE261&amp;""'"", 0), 1, 1),""NO ENCONTRADO"")"),"")</f>
        <v/>
      </c>
      <c r="BI261" s="12" t="str">
        <f>IFERROR(__xludf.DUMMYFUNCTION("IFERROR(INDEX(QUERY(IMPORTRANGE(""1T7HG8KEs-Ob7f3M5atEVN9Yn7IeORGp0QGvggB62ELw"",""Maestro!A:I""),""SELECT Col7 WHERE Col3 = '""&amp;BE261&amp;""'"", 0), 1, 1),""NO ENCONTRADO"")"),"")</f>
        <v/>
      </c>
      <c r="BJ261" s="16">
        <f t="shared" si="13"/>
        <v>0</v>
      </c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4"/>
      <c r="BX261" s="14"/>
      <c r="BY261" s="14"/>
      <c r="BZ261" s="14"/>
      <c r="CA261" s="14"/>
      <c r="CB261" s="14"/>
      <c r="CC261" s="14"/>
      <c r="CD261" s="14"/>
      <c r="CE261" s="14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</row>
    <row r="262">
      <c r="A262" s="223" t="s">
        <v>546</v>
      </c>
      <c r="B262" s="224" t="s">
        <v>18</v>
      </c>
      <c r="C262" s="224" t="s">
        <v>25</v>
      </c>
      <c r="D262" s="225" t="str">
        <f t="shared" si="8"/>
        <v>DEV-1-5</v>
      </c>
      <c r="E262" s="83"/>
      <c r="F262" s="150"/>
      <c r="G262" s="85"/>
      <c r="H262" s="49"/>
      <c r="I262" s="86"/>
      <c r="J262" s="49"/>
      <c r="K262" s="27" t="str">
        <f t="shared" si="2"/>
        <v>DISPONIBLE</v>
      </c>
      <c r="L262" s="28">
        <f t="shared" si="14"/>
        <v>261</v>
      </c>
      <c r="M262" s="226" t="s">
        <v>718</v>
      </c>
      <c r="N262" s="227"/>
      <c r="O262" s="29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4"/>
      <c r="BF262" s="12"/>
      <c r="BG262" s="12"/>
      <c r="BH262" s="12" t="str">
        <f>IFERROR(__xludf.DUMMYFUNCTION("IFERROR(INDEX(QUERY(IMPORTRANGE(""1T7HG8KEs-Ob7f3M5atEVN9Yn7IeORGp0QGvggB62ELw"",""Maestro!A:I""),""SELECT Col8 WHERE Col3 = '""&amp;BE262&amp;""'"", 0), 1, 1),""NO ENCONTRADO"")"),"")</f>
        <v/>
      </c>
      <c r="BI262" s="12" t="str">
        <f>IFERROR(__xludf.DUMMYFUNCTION("IFERROR(INDEX(QUERY(IMPORTRANGE(""1T7HG8KEs-Ob7f3M5atEVN9Yn7IeORGp0QGvggB62ELw"",""Maestro!A:I""),""SELECT Col7 WHERE Col3 = '""&amp;BE262&amp;""'"", 0), 1, 1),""NO ENCONTRADO"")"),"")</f>
        <v/>
      </c>
      <c r="BJ262" s="16">
        <f t="shared" si="13"/>
        <v>0</v>
      </c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4"/>
      <c r="BX262" s="14"/>
      <c r="BY262" s="14"/>
      <c r="BZ262" s="14"/>
      <c r="CA262" s="14"/>
      <c r="CB262" s="14"/>
      <c r="CC262" s="14"/>
      <c r="CD262" s="14"/>
      <c r="CE262" s="14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</row>
    <row r="263">
      <c r="A263" s="223" t="s">
        <v>546</v>
      </c>
      <c r="B263" s="224" t="s">
        <v>18</v>
      </c>
      <c r="C263" s="224" t="s">
        <v>36</v>
      </c>
      <c r="D263" s="225" t="str">
        <f t="shared" si="8"/>
        <v>DEV-1-6</v>
      </c>
      <c r="E263" s="72"/>
      <c r="F263" s="77"/>
      <c r="G263" s="74"/>
      <c r="H263" s="75"/>
      <c r="I263" s="76"/>
      <c r="J263" s="75"/>
      <c r="K263" s="32" t="str">
        <f t="shared" si="2"/>
        <v>DISPONIBLE</v>
      </c>
      <c r="L263" s="33">
        <f t="shared" si="14"/>
        <v>262</v>
      </c>
      <c r="M263" s="229" t="s">
        <v>718</v>
      </c>
      <c r="N263" s="102"/>
      <c r="O263" s="230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4"/>
      <c r="BF263" s="12"/>
      <c r="BG263" s="12"/>
      <c r="BH263" s="12" t="str">
        <f>IFERROR(__xludf.DUMMYFUNCTION("IFERROR(INDEX(QUERY(IMPORTRANGE(""1T7HG8KEs-Ob7f3M5atEVN9Yn7IeORGp0QGvggB62ELw"",""Maestro!A:I""),""SELECT Col8 WHERE Col3 = '""&amp;BE263&amp;""'"", 0), 1, 1),""NO ENCONTRADO"")"),"")</f>
        <v/>
      </c>
      <c r="BI263" s="12" t="str">
        <f>IFERROR(__xludf.DUMMYFUNCTION("IFERROR(INDEX(QUERY(IMPORTRANGE(""1T7HG8KEs-Ob7f3M5atEVN9Yn7IeORGp0QGvggB62ELw"",""Maestro!A:I""),""SELECT Col7 WHERE Col3 = '""&amp;BE263&amp;""'"", 0), 1, 1),""NO ENCONTRADO"")"),"")</f>
        <v/>
      </c>
      <c r="BJ263" s="16">
        <f t="shared" si="13"/>
        <v>0</v>
      </c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4"/>
      <c r="BX263" s="14"/>
      <c r="BY263" s="14"/>
      <c r="BZ263" s="14"/>
      <c r="CA263" s="14"/>
      <c r="CB263" s="14"/>
      <c r="CC263" s="14"/>
      <c r="CD263" s="14"/>
      <c r="CE263" s="14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</row>
    <row r="264">
      <c r="A264" s="223" t="s">
        <v>546</v>
      </c>
      <c r="B264" s="224" t="s">
        <v>18</v>
      </c>
      <c r="C264" s="224" t="s">
        <v>48</v>
      </c>
      <c r="D264" s="225" t="str">
        <f t="shared" si="8"/>
        <v>DEV-1-7</v>
      </c>
      <c r="E264" s="72"/>
      <c r="F264" s="77"/>
      <c r="G264" s="74"/>
      <c r="H264" s="75"/>
      <c r="I264" s="76"/>
      <c r="J264" s="75"/>
      <c r="K264" s="27" t="str">
        <f t="shared" si="2"/>
        <v>DISPONIBLE</v>
      </c>
      <c r="L264" s="28">
        <f t="shared" si="14"/>
        <v>263</v>
      </c>
      <c r="M264" s="226" t="s">
        <v>718</v>
      </c>
      <c r="N264" s="227"/>
      <c r="O264" s="228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4"/>
      <c r="BF264" s="12"/>
      <c r="BG264" s="12"/>
      <c r="BH264" s="12" t="str">
        <f>IFERROR(__xludf.DUMMYFUNCTION("IFERROR(INDEX(QUERY(IMPORTRANGE(""1T7HG8KEs-Ob7f3M5atEVN9Yn7IeORGp0QGvggB62ELw"",""Maestro!A:I""),""SELECT Col8 WHERE Col3 = '""&amp;BE264&amp;""'"", 0), 1, 1),""NO ENCONTRADO"")"),"")</f>
        <v/>
      </c>
      <c r="BI264" s="12" t="str">
        <f>IFERROR(__xludf.DUMMYFUNCTION("IFERROR(INDEX(QUERY(IMPORTRANGE(""1T7HG8KEs-Ob7f3M5atEVN9Yn7IeORGp0QGvggB62ELw"",""Maestro!A:I""),""SELECT Col7 WHERE Col3 = '""&amp;BE264&amp;""'"", 0), 1, 1),""NO ENCONTRADO"")"),"")</f>
        <v/>
      </c>
      <c r="BJ264" s="16">
        <f t="shared" si="13"/>
        <v>0</v>
      </c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4"/>
      <c r="BX264" s="14"/>
      <c r="BY264" s="14"/>
      <c r="BZ264" s="14"/>
      <c r="CA264" s="14"/>
      <c r="CB264" s="14"/>
      <c r="CC264" s="14"/>
      <c r="CD264" s="14"/>
      <c r="CE264" s="14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</row>
    <row r="265">
      <c r="A265" s="223" t="s">
        <v>546</v>
      </c>
      <c r="B265" s="224" t="s">
        <v>18</v>
      </c>
      <c r="C265" s="224" t="s">
        <v>465</v>
      </c>
      <c r="D265" s="225" t="str">
        <f t="shared" si="8"/>
        <v>DEV-1-8</v>
      </c>
      <c r="E265" s="72"/>
      <c r="F265" s="77"/>
      <c r="G265" s="74"/>
      <c r="H265" s="138"/>
      <c r="I265" s="142"/>
      <c r="J265" s="75"/>
      <c r="K265" s="32" t="str">
        <f t="shared" si="2"/>
        <v>DISPONIBLE</v>
      </c>
      <c r="L265" s="33">
        <f t="shared" si="14"/>
        <v>264</v>
      </c>
      <c r="M265" s="229" t="s">
        <v>718</v>
      </c>
      <c r="N265" s="102"/>
      <c r="O265" s="230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4"/>
      <c r="BF265" s="12"/>
      <c r="BG265" s="12"/>
      <c r="BH265" s="12" t="str">
        <f>IFERROR(__xludf.DUMMYFUNCTION("IFERROR(INDEX(QUERY(IMPORTRANGE(""1T7HG8KEs-Ob7f3M5atEVN9Yn7IeORGp0QGvggB62ELw"",""Maestro!A:I""),""SELECT Col8 WHERE Col3 = '""&amp;BE265&amp;""'"", 0), 1, 1),""NO ENCONTRADO"")"),"")</f>
        <v/>
      </c>
      <c r="BI265" s="12" t="str">
        <f>IFERROR(__xludf.DUMMYFUNCTION("IFERROR(INDEX(QUERY(IMPORTRANGE(""1T7HG8KEs-Ob7f3M5atEVN9Yn7IeORGp0QGvggB62ELw"",""Maestro!A:I""),""SELECT Col7 WHERE Col3 = '""&amp;BE265&amp;""'"", 0), 1, 1),""NO ENCONTRADO"")"),"")</f>
        <v/>
      </c>
      <c r="BJ265" s="16">
        <f t="shared" si="13"/>
        <v>0</v>
      </c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4"/>
      <c r="BX265" s="14"/>
      <c r="BY265" s="14"/>
      <c r="BZ265" s="14"/>
      <c r="CA265" s="14"/>
      <c r="CB265" s="14"/>
      <c r="CC265" s="14"/>
      <c r="CD265" s="14"/>
      <c r="CE265" s="14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</row>
    <row r="266">
      <c r="A266" s="231" t="s">
        <v>546</v>
      </c>
      <c r="B266" s="232" t="s">
        <v>18</v>
      </c>
      <c r="C266" s="232" t="s">
        <v>511</v>
      </c>
      <c r="D266" s="233" t="str">
        <f t="shared" si="8"/>
        <v>DEV-1-9</v>
      </c>
      <c r="E266" s="234"/>
      <c r="F266" s="235"/>
      <c r="G266" s="236"/>
      <c r="H266" s="237"/>
      <c r="I266" s="238"/>
      <c r="J266" s="239"/>
      <c r="K266" s="63" t="str">
        <f t="shared" si="2"/>
        <v>DISPONIBLE</v>
      </c>
      <c r="L266" s="64">
        <f t="shared" si="14"/>
        <v>265</v>
      </c>
      <c r="M266" s="240" t="s">
        <v>718</v>
      </c>
      <c r="N266" s="65"/>
      <c r="O266" s="66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4"/>
      <c r="BF266" s="12"/>
      <c r="BG266" s="12"/>
      <c r="BH266" s="12" t="str">
        <f>IFERROR(__xludf.DUMMYFUNCTION("IFERROR(INDEX(QUERY(IMPORTRANGE(""1T7HG8KEs-Ob7f3M5atEVN9Yn7IeORGp0QGvggB62ELw"",""Maestro!A:I""),""SELECT Col8 WHERE Col3 = '""&amp;BE266&amp;""'"", 0), 1, 1),""NO ENCONTRADO"")"),"")</f>
        <v/>
      </c>
      <c r="BI266" s="12" t="str">
        <f>IFERROR(__xludf.DUMMYFUNCTION("IFERROR(INDEX(QUERY(IMPORTRANGE(""1T7HG8KEs-Ob7f3M5atEVN9Yn7IeORGp0QGvggB62ELw"",""Maestro!A:I""),""SELECT Col7 WHERE Col3 = '""&amp;BE266&amp;""'"", 0), 1, 1),""NO ENCONTRADO"")"),"")</f>
        <v/>
      </c>
      <c r="BJ266" s="16">
        <f t="shared" si="13"/>
        <v>0</v>
      </c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4"/>
      <c r="BX266" s="14"/>
      <c r="BY266" s="14"/>
      <c r="BZ266" s="14"/>
      <c r="CA266" s="14"/>
      <c r="CB266" s="14"/>
      <c r="CC266" s="14"/>
      <c r="CD266" s="14"/>
      <c r="CE266" s="14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</row>
    <row r="267">
      <c r="A267" s="241" t="s">
        <v>558</v>
      </c>
      <c r="B267" s="242" t="s">
        <v>18</v>
      </c>
      <c r="C267" s="242" t="s">
        <v>18</v>
      </c>
      <c r="D267" s="243" t="str">
        <f t="shared" si="8"/>
        <v>PATIO-1-1</v>
      </c>
      <c r="E267" s="40">
        <v>45817.0</v>
      </c>
      <c r="F267" s="41" t="s">
        <v>280</v>
      </c>
      <c r="G267" s="244" t="s">
        <v>151</v>
      </c>
      <c r="H267" s="42" t="s">
        <v>152</v>
      </c>
      <c r="I267" s="43">
        <v>200.0</v>
      </c>
      <c r="J267" s="42" t="s">
        <v>22</v>
      </c>
      <c r="K267" s="32" t="str">
        <f t="shared" si="2"/>
        <v>OCUPADO</v>
      </c>
      <c r="L267" s="33">
        <f t="shared" si="14"/>
        <v>266</v>
      </c>
      <c r="M267" s="33" t="s">
        <v>23</v>
      </c>
      <c r="N267" s="33" t="s">
        <v>719</v>
      </c>
      <c r="O267" s="34" t="s">
        <v>24</v>
      </c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4"/>
      <c r="BF267" s="12"/>
      <c r="BG267" s="12"/>
      <c r="BH267" s="12" t="str">
        <f>IFERROR(__xludf.DUMMYFUNCTION("IFERROR(INDEX(QUERY(IMPORTRANGE(""1T7HG8KEs-Ob7f3M5atEVN9Yn7IeORGp0QGvggB62ELw"",""Maestro!A:I""),""SELECT Col8 WHERE Col3 = '""&amp;BE267&amp;""'"", 0), 1, 1),""NO ENCONTRADO"")"),"")</f>
        <v/>
      </c>
      <c r="BI267" s="12" t="str">
        <f>IFERROR(__xludf.DUMMYFUNCTION("IFERROR(INDEX(QUERY(IMPORTRANGE(""1T7HG8KEs-Ob7f3M5atEVN9Yn7IeORGp0QGvggB62ELw"",""Maestro!A:I""),""SELECT Col7 WHERE Col3 = '""&amp;BE267&amp;""'"", 0), 1, 1),""NO ENCONTRADO"")"),"")</f>
        <v/>
      </c>
      <c r="BJ267" s="16">
        <f t="shared" si="13"/>
        <v>0</v>
      </c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4"/>
      <c r="BX267" s="14"/>
      <c r="BY267" s="14"/>
      <c r="BZ267" s="14"/>
      <c r="CA267" s="14"/>
      <c r="CB267" s="14"/>
      <c r="CC267" s="14"/>
      <c r="CD267" s="14"/>
      <c r="CE267" s="14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</row>
    <row r="268">
      <c r="A268" s="241" t="s">
        <v>558</v>
      </c>
      <c r="B268" s="242" t="s">
        <v>18</v>
      </c>
      <c r="C268" s="242" t="s">
        <v>32</v>
      </c>
      <c r="D268" s="243" t="str">
        <f t="shared" si="8"/>
        <v>PATIO-1-2</v>
      </c>
      <c r="E268" s="40">
        <v>45817.0</v>
      </c>
      <c r="F268" s="41" t="s">
        <v>280</v>
      </c>
      <c r="G268" s="244" t="s">
        <v>151</v>
      </c>
      <c r="H268" s="42" t="s">
        <v>152</v>
      </c>
      <c r="I268" s="43">
        <v>200.0</v>
      </c>
      <c r="J268" s="42" t="s">
        <v>22</v>
      </c>
      <c r="K268" s="27" t="str">
        <f t="shared" si="2"/>
        <v>OCUPADO</v>
      </c>
      <c r="L268" s="28">
        <f t="shared" si="14"/>
        <v>267</v>
      </c>
      <c r="M268" s="28" t="s">
        <v>23</v>
      </c>
      <c r="N268" s="28" t="s">
        <v>719</v>
      </c>
      <c r="O268" s="29" t="s">
        <v>24</v>
      </c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4"/>
      <c r="BF268" s="12"/>
      <c r="BG268" s="12"/>
      <c r="BH268" s="12" t="str">
        <f>IFERROR(__xludf.DUMMYFUNCTION("IFERROR(INDEX(QUERY(IMPORTRANGE(""1T7HG8KEs-Ob7f3M5atEVN9Yn7IeORGp0QGvggB62ELw"",""Maestro!A:I""),""SELECT Col8 WHERE Col3 = '""&amp;BE268&amp;""'"", 0), 1, 1),""NO ENCONTRADO"")"),"")</f>
        <v/>
      </c>
      <c r="BI268" s="12" t="str">
        <f>IFERROR(__xludf.DUMMYFUNCTION("IFERROR(INDEX(QUERY(IMPORTRANGE(""1T7HG8KEs-Ob7f3M5atEVN9Yn7IeORGp0QGvggB62ELw"",""Maestro!A:I""),""SELECT Col7 WHERE Col3 = '""&amp;BE268&amp;""'"", 0), 1, 1),""NO ENCONTRADO"")"),"")</f>
        <v/>
      </c>
      <c r="BJ268" s="16">
        <f t="shared" si="13"/>
        <v>0</v>
      </c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4"/>
      <c r="BX268" s="14"/>
      <c r="BY268" s="14"/>
      <c r="BZ268" s="14"/>
      <c r="CA268" s="14"/>
      <c r="CB268" s="14"/>
      <c r="CC268" s="14"/>
      <c r="CD268" s="14"/>
      <c r="CE268" s="14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</row>
    <row r="269">
      <c r="A269" s="241" t="s">
        <v>558</v>
      </c>
      <c r="B269" s="242" t="s">
        <v>18</v>
      </c>
      <c r="C269" s="242" t="s">
        <v>44</v>
      </c>
      <c r="D269" s="243" t="str">
        <f t="shared" si="8"/>
        <v>PATIO-1-3</v>
      </c>
      <c r="E269" s="78">
        <v>45817.0</v>
      </c>
      <c r="F269" s="88" t="s">
        <v>720</v>
      </c>
      <c r="G269" s="80" t="s">
        <v>151</v>
      </c>
      <c r="H269" s="81" t="s">
        <v>152</v>
      </c>
      <c r="I269" s="82">
        <v>200.0</v>
      </c>
      <c r="J269" s="81" t="s">
        <v>22</v>
      </c>
      <c r="K269" s="32" t="str">
        <f t="shared" si="2"/>
        <v>OCUPADO</v>
      </c>
      <c r="L269" s="33">
        <f t="shared" si="14"/>
        <v>268</v>
      </c>
      <c r="M269" s="33" t="s">
        <v>23</v>
      </c>
      <c r="N269" s="33" t="s">
        <v>719</v>
      </c>
      <c r="O269" s="34" t="s">
        <v>24</v>
      </c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4"/>
      <c r="BF269" s="12"/>
      <c r="BG269" s="12"/>
      <c r="BH269" s="12" t="str">
        <f>IFERROR(__xludf.DUMMYFUNCTION("IFERROR(INDEX(QUERY(IMPORTRANGE(""1T7HG8KEs-Ob7f3M5atEVN9Yn7IeORGp0QGvggB62ELw"",""Maestro!A:I""),""SELECT Col8 WHERE Col3 = '""&amp;BE269&amp;""'"", 0), 1, 1),""NO ENCONTRADO"")"),"")</f>
        <v/>
      </c>
      <c r="BI269" s="12" t="str">
        <f>IFERROR(__xludf.DUMMYFUNCTION("IFERROR(INDEX(QUERY(IMPORTRANGE(""1T7HG8KEs-Ob7f3M5atEVN9Yn7IeORGp0QGvggB62ELw"",""Maestro!A:I""),""SELECT Col7 WHERE Col3 = '""&amp;BE269&amp;""'"", 0), 1, 1),""NO ENCONTRADO"")"),"")</f>
        <v/>
      </c>
      <c r="BJ269" s="16">
        <f t="shared" si="13"/>
        <v>0</v>
      </c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4"/>
      <c r="BX269" s="14"/>
      <c r="BY269" s="14"/>
      <c r="BZ269" s="14"/>
      <c r="CA269" s="14"/>
      <c r="CB269" s="14"/>
      <c r="CC269" s="14"/>
      <c r="CD269" s="14"/>
      <c r="CE269" s="14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</row>
    <row r="270">
      <c r="A270" s="241" t="s">
        <v>558</v>
      </c>
      <c r="B270" s="242" t="s">
        <v>18</v>
      </c>
      <c r="C270" s="242" t="s">
        <v>53</v>
      </c>
      <c r="D270" s="243" t="str">
        <f t="shared" si="8"/>
        <v>PATIO-1-4</v>
      </c>
      <c r="E270" s="78">
        <v>45817.0</v>
      </c>
      <c r="F270" s="88" t="s">
        <v>720</v>
      </c>
      <c r="G270" s="80" t="s">
        <v>151</v>
      </c>
      <c r="H270" s="81" t="s">
        <v>152</v>
      </c>
      <c r="I270" s="82">
        <v>200.0</v>
      </c>
      <c r="J270" s="81" t="s">
        <v>22</v>
      </c>
      <c r="K270" s="27" t="str">
        <f t="shared" si="2"/>
        <v>OCUPADO</v>
      </c>
      <c r="L270" s="28">
        <f t="shared" si="14"/>
        <v>269</v>
      </c>
      <c r="M270" s="28" t="s">
        <v>23</v>
      </c>
      <c r="N270" s="28" t="s">
        <v>719</v>
      </c>
      <c r="O270" s="29" t="s">
        <v>24</v>
      </c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4"/>
      <c r="BF270" s="12"/>
      <c r="BG270" s="12"/>
      <c r="BH270" s="12" t="str">
        <f>IFERROR(__xludf.DUMMYFUNCTION("IFERROR(INDEX(QUERY(IMPORTRANGE(""1T7HG8KEs-Ob7f3M5atEVN9Yn7IeORGp0QGvggB62ELw"",""Maestro!A:I""),""SELECT Col8 WHERE Col3 = '""&amp;BE270&amp;""'"", 0), 1, 1),""NO ENCONTRADO"")"),"")</f>
        <v/>
      </c>
      <c r="BI270" s="12" t="str">
        <f>IFERROR(__xludf.DUMMYFUNCTION("IFERROR(INDEX(QUERY(IMPORTRANGE(""1T7HG8KEs-Ob7f3M5atEVN9Yn7IeORGp0QGvggB62ELw"",""Maestro!A:I""),""SELECT Col7 WHERE Col3 = '""&amp;BE270&amp;""'"", 0), 1, 1),""NO ENCONTRADO"")"),"")</f>
        <v/>
      </c>
      <c r="BJ270" s="16">
        <f t="shared" si="13"/>
        <v>0</v>
      </c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4"/>
      <c r="BX270" s="14"/>
      <c r="BY270" s="14"/>
      <c r="BZ270" s="14"/>
      <c r="CA270" s="14"/>
      <c r="CB270" s="14"/>
      <c r="CC270" s="14"/>
      <c r="CD270" s="14"/>
      <c r="CE270" s="14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</row>
    <row r="271">
      <c r="A271" s="241" t="s">
        <v>558</v>
      </c>
      <c r="B271" s="242" t="s">
        <v>18</v>
      </c>
      <c r="C271" s="242" t="s">
        <v>25</v>
      </c>
      <c r="D271" s="243" t="str">
        <f t="shared" si="8"/>
        <v>PATIO-1-5</v>
      </c>
      <c r="E271" s="78">
        <v>45817.0</v>
      </c>
      <c r="F271" s="88" t="s">
        <v>720</v>
      </c>
      <c r="G271" s="80" t="s">
        <v>151</v>
      </c>
      <c r="H271" s="81" t="s">
        <v>152</v>
      </c>
      <c r="I271" s="82">
        <v>200.0</v>
      </c>
      <c r="J271" s="81" t="s">
        <v>22</v>
      </c>
      <c r="K271" s="32" t="str">
        <f t="shared" si="2"/>
        <v>OCUPADO</v>
      </c>
      <c r="L271" s="33">
        <f t="shared" si="14"/>
        <v>270</v>
      </c>
      <c r="M271" s="33" t="s">
        <v>23</v>
      </c>
      <c r="N271" s="33" t="s">
        <v>719</v>
      </c>
      <c r="O271" s="34" t="s">
        <v>24</v>
      </c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4"/>
      <c r="BF271" s="12"/>
      <c r="BG271" s="12"/>
      <c r="BH271" s="12" t="str">
        <f>IFERROR(__xludf.DUMMYFUNCTION("IFERROR(INDEX(QUERY(IMPORTRANGE(""1T7HG8KEs-Ob7f3M5atEVN9Yn7IeORGp0QGvggB62ELw"",""Maestro!A:I""),""SELECT Col8 WHERE Col3 = '""&amp;BE271&amp;""'"", 0), 1, 1),""NO ENCONTRADO"")"),"")</f>
        <v/>
      </c>
      <c r="BI271" s="12" t="str">
        <f>IFERROR(__xludf.DUMMYFUNCTION("IFERROR(INDEX(QUERY(IMPORTRANGE(""1T7HG8KEs-Ob7f3M5atEVN9Yn7IeORGp0QGvggB62ELw"",""Maestro!A:I""),""SELECT Col7 WHERE Col3 = '""&amp;BE271&amp;""'"", 0), 1, 1),""NO ENCONTRADO"")"),"")</f>
        <v/>
      </c>
      <c r="BJ271" s="16">
        <f t="shared" si="13"/>
        <v>0</v>
      </c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4"/>
      <c r="BX271" s="14"/>
      <c r="BY271" s="14"/>
      <c r="BZ271" s="14"/>
      <c r="CA271" s="14"/>
      <c r="CB271" s="14"/>
      <c r="CC271" s="14"/>
      <c r="CD271" s="14"/>
      <c r="CE271" s="14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</row>
    <row r="272">
      <c r="A272" s="241" t="s">
        <v>558</v>
      </c>
      <c r="B272" s="242" t="s">
        <v>18</v>
      </c>
      <c r="C272" s="242" t="s">
        <v>36</v>
      </c>
      <c r="D272" s="243" t="str">
        <f t="shared" si="8"/>
        <v>PATIO-1-6</v>
      </c>
      <c r="E272" s="72"/>
      <c r="F272" s="73"/>
      <c r="G272" s="74"/>
      <c r="H272" s="75"/>
      <c r="I272" s="76"/>
      <c r="J272" s="75"/>
      <c r="K272" s="27" t="str">
        <f t="shared" si="2"/>
        <v>DISPONIBLE</v>
      </c>
      <c r="L272" s="28">
        <f t="shared" si="14"/>
        <v>271</v>
      </c>
      <c r="M272" s="28" t="s">
        <v>23</v>
      </c>
      <c r="N272" s="28"/>
      <c r="O272" s="29" t="s">
        <v>24</v>
      </c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4"/>
      <c r="BF272" s="12"/>
      <c r="BG272" s="12"/>
      <c r="BH272" s="12" t="str">
        <f>IFERROR(__xludf.DUMMYFUNCTION("IFERROR(INDEX(QUERY(IMPORTRANGE(""1T7HG8KEs-Ob7f3M5atEVN9Yn7IeORGp0QGvggB62ELw"",""Maestro!A:I""),""SELECT Col8 WHERE Col3 = '""&amp;BE272&amp;""'"", 0), 1, 1),""NO ENCONTRADO"")"),"")</f>
        <v/>
      </c>
      <c r="BI272" s="12" t="str">
        <f>IFERROR(__xludf.DUMMYFUNCTION("IFERROR(INDEX(QUERY(IMPORTRANGE(""1T7HG8KEs-Ob7f3M5atEVN9Yn7IeORGp0QGvggB62ELw"",""Maestro!A:I""),""SELECT Col7 WHERE Col3 = '""&amp;BE272&amp;""'"", 0), 1, 1),""NO ENCONTRADO"")"),"")</f>
        <v/>
      </c>
      <c r="BJ272" s="16">
        <f t="shared" si="13"/>
        <v>0</v>
      </c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4"/>
      <c r="BX272" s="14"/>
      <c r="BY272" s="14"/>
      <c r="BZ272" s="14"/>
      <c r="CA272" s="14"/>
      <c r="CB272" s="14"/>
      <c r="CC272" s="14"/>
      <c r="CD272" s="14"/>
      <c r="CE272" s="14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</row>
    <row r="273">
      <c r="A273" s="241" t="s">
        <v>558</v>
      </c>
      <c r="B273" s="242" t="s">
        <v>18</v>
      </c>
      <c r="C273" s="242" t="s">
        <v>48</v>
      </c>
      <c r="D273" s="243" t="str">
        <f t="shared" si="8"/>
        <v>PATIO-1-7</v>
      </c>
      <c r="E273" s="72"/>
      <c r="F273" s="77"/>
      <c r="G273" s="245"/>
      <c r="H273" s="75"/>
      <c r="I273" s="76"/>
      <c r="J273" s="75"/>
      <c r="K273" s="32" t="str">
        <f t="shared" si="2"/>
        <v>DISPONIBLE</v>
      </c>
      <c r="L273" s="33">
        <f t="shared" si="14"/>
        <v>272</v>
      </c>
      <c r="M273" s="33" t="s">
        <v>23</v>
      </c>
      <c r="N273" s="53"/>
      <c r="O273" s="34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4"/>
      <c r="BF273" s="12"/>
      <c r="BG273" s="12"/>
      <c r="BH273" s="12" t="str">
        <f>IFERROR(__xludf.DUMMYFUNCTION("IFERROR(INDEX(QUERY(IMPORTRANGE(""1T7HG8KEs-Ob7f3M5atEVN9Yn7IeORGp0QGvggB62ELw"",""Maestro!A:I""),""SELECT Col8 WHERE Col3 = '""&amp;BE273&amp;""'"", 0), 1, 1),""NO ENCONTRADO"")"),"")</f>
        <v/>
      </c>
      <c r="BI273" s="12" t="str">
        <f>IFERROR(__xludf.DUMMYFUNCTION("IFERROR(INDEX(QUERY(IMPORTRANGE(""1T7HG8KEs-Ob7f3M5atEVN9Yn7IeORGp0QGvggB62ELw"",""Maestro!A:I""),""SELECT Col7 WHERE Col3 = '""&amp;BE273&amp;""'"", 0), 1, 1),""NO ENCONTRADO"")"),"")</f>
        <v/>
      </c>
      <c r="BJ273" s="16">
        <f t="shared" si="13"/>
        <v>0</v>
      </c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4"/>
      <c r="BX273" s="14"/>
      <c r="BY273" s="14"/>
      <c r="BZ273" s="14"/>
      <c r="CA273" s="14"/>
      <c r="CB273" s="14"/>
      <c r="CC273" s="14"/>
      <c r="CD273" s="14"/>
      <c r="CE273" s="14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</row>
    <row r="274">
      <c r="A274" s="241" t="s">
        <v>558</v>
      </c>
      <c r="B274" s="242" t="s">
        <v>18</v>
      </c>
      <c r="C274" s="242" t="s">
        <v>465</v>
      </c>
      <c r="D274" s="243" t="str">
        <f t="shared" si="8"/>
        <v>PATIO-1-8</v>
      </c>
      <c r="E274" s="83"/>
      <c r="F274" s="84"/>
      <c r="G274" s="85"/>
      <c r="H274" s="49"/>
      <c r="I274" s="86"/>
      <c r="J274" s="49"/>
      <c r="K274" s="27" t="str">
        <f t="shared" si="2"/>
        <v>DISPONIBLE</v>
      </c>
      <c r="L274" s="28">
        <f t="shared" si="14"/>
        <v>273</v>
      </c>
      <c r="M274" s="28" t="s">
        <v>23</v>
      </c>
      <c r="N274" s="70"/>
      <c r="O274" s="29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4"/>
      <c r="BF274" s="12"/>
      <c r="BG274" s="12"/>
      <c r="BH274" s="12" t="str">
        <f>IFERROR(__xludf.DUMMYFUNCTION("IFERROR(INDEX(QUERY(IMPORTRANGE(""1T7HG8KEs-Ob7f3M5atEVN9Yn7IeORGp0QGvggB62ELw"",""Maestro!A:I""),""SELECT Col8 WHERE Col3 = '""&amp;BE274&amp;""'"", 0), 1, 1),""NO ENCONTRADO"")"),"")</f>
        <v/>
      </c>
      <c r="BI274" s="12" t="str">
        <f>IFERROR(__xludf.DUMMYFUNCTION("IFERROR(INDEX(QUERY(IMPORTRANGE(""1T7HG8KEs-Ob7f3M5atEVN9Yn7IeORGp0QGvggB62ELw"",""Maestro!A:I""),""SELECT Col7 WHERE Col3 = '""&amp;BE274&amp;""'"", 0), 1, 1),""NO ENCONTRADO"")"),"")</f>
        <v/>
      </c>
      <c r="BJ274" s="16">
        <f t="shared" si="13"/>
        <v>0</v>
      </c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4"/>
      <c r="BX274" s="14"/>
      <c r="BY274" s="14"/>
      <c r="BZ274" s="14"/>
      <c r="CA274" s="14"/>
      <c r="CB274" s="14"/>
      <c r="CC274" s="14"/>
      <c r="CD274" s="14"/>
      <c r="CE274" s="14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</row>
    <row r="275">
      <c r="A275" s="241" t="s">
        <v>558</v>
      </c>
      <c r="B275" s="242" t="s">
        <v>18</v>
      </c>
      <c r="C275" s="242" t="s">
        <v>511</v>
      </c>
      <c r="D275" s="243" t="str">
        <f t="shared" si="8"/>
        <v>PATIO-1-9</v>
      </c>
      <c r="E275" s="35">
        <v>45817.0</v>
      </c>
      <c r="F275" s="36" t="s">
        <v>720</v>
      </c>
      <c r="G275" s="37" t="s">
        <v>151</v>
      </c>
      <c r="H275" s="38" t="s">
        <v>152</v>
      </c>
      <c r="I275" s="39">
        <v>200.0</v>
      </c>
      <c r="J275" s="38" t="s">
        <v>22</v>
      </c>
      <c r="K275" s="32" t="str">
        <f t="shared" si="2"/>
        <v>OCUPADO</v>
      </c>
      <c r="L275" s="33">
        <f t="shared" si="14"/>
        <v>274</v>
      </c>
      <c r="M275" s="33" t="s">
        <v>23</v>
      </c>
      <c r="N275" s="33" t="s">
        <v>719</v>
      </c>
      <c r="O275" s="34" t="s">
        <v>24</v>
      </c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4"/>
      <c r="BF275" s="12"/>
      <c r="BG275" s="12"/>
      <c r="BH275" s="12" t="str">
        <f>IFERROR(__xludf.DUMMYFUNCTION("IFERROR(INDEX(QUERY(IMPORTRANGE(""1T7HG8KEs-Ob7f3M5atEVN9Yn7IeORGp0QGvggB62ELw"",""Maestro!A:I""),""SELECT Col8 WHERE Col3 = '""&amp;BE275&amp;""'"", 0), 1, 1),""NO ENCONTRADO"")"),"")</f>
        <v/>
      </c>
      <c r="BI275" s="12" t="str">
        <f>IFERROR(__xludf.DUMMYFUNCTION("IFERROR(INDEX(QUERY(IMPORTRANGE(""1T7HG8KEs-Ob7f3M5atEVN9Yn7IeORGp0QGvggB62ELw"",""Maestro!A:I""),""SELECT Col7 WHERE Col3 = '""&amp;BE275&amp;""'"", 0), 1, 1),""NO ENCONTRADO"")"),"")</f>
        <v/>
      </c>
      <c r="BJ275" s="16">
        <f t="shared" si="13"/>
        <v>0</v>
      </c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4"/>
      <c r="BX275" s="14"/>
      <c r="BY275" s="14"/>
      <c r="BZ275" s="14"/>
      <c r="CA275" s="14"/>
      <c r="CB275" s="14"/>
      <c r="CC275" s="14"/>
      <c r="CD275" s="14"/>
      <c r="CE275" s="14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</row>
    <row r="276">
      <c r="A276" s="241" t="s">
        <v>558</v>
      </c>
      <c r="B276" s="242" t="s">
        <v>18</v>
      </c>
      <c r="C276" s="242" t="s">
        <v>296</v>
      </c>
      <c r="D276" s="243" t="str">
        <f t="shared" si="8"/>
        <v>PATIO-1-10</v>
      </c>
      <c r="E276" s="78">
        <v>45817.0</v>
      </c>
      <c r="F276" s="79" t="s">
        <v>280</v>
      </c>
      <c r="G276" s="246" t="s">
        <v>151</v>
      </c>
      <c r="H276" s="247" t="s">
        <v>152</v>
      </c>
      <c r="I276" s="82">
        <v>200.0</v>
      </c>
      <c r="J276" s="81" t="s">
        <v>22</v>
      </c>
      <c r="K276" s="27" t="str">
        <f t="shared" si="2"/>
        <v>OCUPADO</v>
      </c>
      <c r="L276" s="28">
        <f t="shared" si="14"/>
        <v>275</v>
      </c>
      <c r="M276" s="28" t="s">
        <v>23</v>
      </c>
      <c r="N276" s="28" t="s">
        <v>719</v>
      </c>
      <c r="O276" s="248" t="s">
        <v>24</v>
      </c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4"/>
      <c r="BF276" s="12"/>
      <c r="BG276" s="12"/>
      <c r="BH276" s="12" t="str">
        <f>IFERROR(__xludf.DUMMYFUNCTION("IFERROR(INDEX(QUERY(IMPORTRANGE(""1T7HG8KEs-Ob7f3M5atEVN9Yn7IeORGp0QGvggB62ELw"",""Maestro!A:I""),""SELECT Col8 WHERE Col3 = '""&amp;BE276&amp;""'"", 0), 1, 1),""NO ENCONTRADO"")"),"")</f>
        <v/>
      </c>
      <c r="BI276" s="12" t="str">
        <f>IFERROR(__xludf.DUMMYFUNCTION("IFERROR(INDEX(QUERY(IMPORTRANGE(""1T7HG8KEs-Ob7f3M5atEVN9Yn7IeORGp0QGvggB62ELw"",""Maestro!A:I""),""SELECT Col7 WHERE Col3 = '""&amp;BE276&amp;""'"", 0), 1, 1),""NO ENCONTRADO"")"),"")</f>
        <v/>
      </c>
      <c r="BJ276" s="16">
        <f t="shared" si="13"/>
        <v>0</v>
      </c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4"/>
      <c r="BX276" s="14"/>
      <c r="BY276" s="14"/>
      <c r="BZ276" s="14"/>
      <c r="CA276" s="14"/>
      <c r="CB276" s="14"/>
      <c r="CC276" s="14"/>
      <c r="CD276" s="14"/>
      <c r="CE276" s="14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</row>
    <row r="277">
      <c r="A277" s="241" t="s">
        <v>558</v>
      </c>
      <c r="B277" s="242" t="s">
        <v>18</v>
      </c>
      <c r="C277" s="242" t="s">
        <v>316</v>
      </c>
      <c r="D277" s="243" t="str">
        <f t="shared" si="8"/>
        <v>PATIO-1-11</v>
      </c>
      <c r="E277" s="78">
        <v>45817.0</v>
      </c>
      <c r="F277" s="79" t="s">
        <v>280</v>
      </c>
      <c r="G277" s="246" t="s">
        <v>151</v>
      </c>
      <c r="H277" s="81" t="s">
        <v>152</v>
      </c>
      <c r="I277" s="82">
        <v>200.0</v>
      </c>
      <c r="J277" s="81" t="s">
        <v>22</v>
      </c>
      <c r="K277" s="32" t="str">
        <f t="shared" si="2"/>
        <v>OCUPADO</v>
      </c>
      <c r="L277" s="33">
        <f t="shared" si="14"/>
        <v>276</v>
      </c>
      <c r="M277" s="33" t="s">
        <v>23</v>
      </c>
      <c r="N277" s="33" t="s">
        <v>719</v>
      </c>
      <c r="O277" s="249" t="s">
        <v>24</v>
      </c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4"/>
      <c r="BF277" s="12"/>
      <c r="BG277" s="12"/>
      <c r="BH277" s="12" t="str">
        <f>IFERROR(__xludf.DUMMYFUNCTION("IFERROR(INDEX(QUERY(IMPORTRANGE(""1T7HG8KEs-Ob7f3M5atEVN9Yn7IeORGp0QGvggB62ELw"",""Maestro!A:I""),""SELECT Col8 WHERE Col3 = '""&amp;BE277&amp;""'"", 0), 1, 1),""NO ENCONTRADO"")"),"")</f>
        <v/>
      </c>
      <c r="BI277" s="12" t="str">
        <f>IFERROR(__xludf.DUMMYFUNCTION("IFERROR(INDEX(QUERY(IMPORTRANGE(""1T7HG8KEs-Ob7f3M5atEVN9Yn7IeORGp0QGvggB62ELw"",""Maestro!A:I""),""SELECT Col7 WHERE Col3 = '""&amp;BE277&amp;""'"", 0), 1, 1),""NO ENCONTRADO"")"),"")</f>
        <v/>
      </c>
      <c r="BJ277" s="16">
        <f t="shared" si="13"/>
        <v>0</v>
      </c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4"/>
      <c r="BX277" s="14"/>
      <c r="BY277" s="14"/>
      <c r="BZ277" s="14"/>
      <c r="CA277" s="14"/>
      <c r="CB277" s="14"/>
      <c r="CC277" s="14"/>
      <c r="CD277" s="14"/>
      <c r="CE277" s="14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</row>
    <row r="278">
      <c r="A278" s="241" t="s">
        <v>558</v>
      </c>
      <c r="B278" s="242" t="s">
        <v>18</v>
      </c>
      <c r="C278" s="242" t="s">
        <v>336</v>
      </c>
      <c r="D278" s="243" t="str">
        <f t="shared" si="8"/>
        <v>PATIO-1-12</v>
      </c>
      <c r="E278" s="78">
        <v>45817.0</v>
      </c>
      <c r="F278" s="79" t="s">
        <v>280</v>
      </c>
      <c r="G278" s="246" t="s">
        <v>151</v>
      </c>
      <c r="H278" s="81" t="s">
        <v>152</v>
      </c>
      <c r="I278" s="82">
        <v>200.0</v>
      </c>
      <c r="J278" s="81" t="s">
        <v>22</v>
      </c>
      <c r="K278" s="27" t="str">
        <f t="shared" si="2"/>
        <v>OCUPADO</v>
      </c>
      <c r="L278" s="28">
        <f t="shared" si="14"/>
        <v>277</v>
      </c>
      <c r="M278" s="28" t="s">
        <v>23</v>
      </c>
      <c r="N278" s="28" t="s">
        <v>719</v>
      </c>
      <c r="O278" s="248" t="s">
        <v>24</v>
      </c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4"/>
      <c r="BF278" s="12"/>
      <c r="BG278" s="12"/>
      <c r="BH278" s="12" t="str">
        <f>IFERROR(__xludf.DUMMYFUNCTION("IFERROR(INDEX(QUERY(IMPORTRANGE(""1T7HG8KEs-Ob7f3M5atEVN9Yn7IeORGp0QGvggB62ELw"",""Maestro!A:I""),""SELECT Col8 WHERE Col3 = '""&amp;BE278&amp;""'"", 0), 1, 1),""NO ENCONTRADO"")"),"")</f>
        <v/>
      </c>
      <c r="BI278" s="12" t="str">
        <f>IFERROR(__xludf.DUMMYFUNCTION("IFERROR(INDEX(QUERY(IMPORTRANGE(""1T7HG8KEs-Ob7f3M5atEVN9Yn7IeORGp0QGvggB62ELw"",""Maestro!A:I""),""SELECT Col7 WHERE Col3 = '""&amp;BE278&amp;""'"", 0), 1, 1),""NO ENCONTRADO"")"),"")</f>
        <v/>
      </c>
      <c r="BJ278" s="16">
        <f t="shared" si="13"/>
        <v>0</v>
      </c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4"/>
      <c r="BX278" s="14"/>
      <c r="BY278" s="14"/>
      <c r="BZ278" s="14"/>
      <c r="CA278" s="14"/>
      <c r="CB278" s="14"/>
      <c r="CC278" s="14"/>
      <c r="CD278" s="14"/>
      <c r="CE278" s="14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</row>
    <row r="279">
      <c r="A279" s="241" t="s">
        <v>558</v>
      </c>
      <c r="B279" s="242" t="s">
        <v>18</v>
      </c>
      <c r="C279" s="242" t="s">
        <v>350</v>
      </c>
      <c r="D279" s="243" t="str">
        <f t="shared" si="8"/>
        <v>PATIO-1-13</v>
      </c>
      <c r="E279" s="78">
        <v>45817.0</v>
      </c>
      <c r="F279" s="79" t="s">
        <v>280</v>
      </c>
      <c r="G279" s="246" t="s">
        <v>151</v>
      </c>
      <c r="H279" s="81" t="s">
        <v>152</v>
      </c>
      <c r="I279" s="82">
        <v>200.0</v>
      </c>
      <c r="J279" s="81" t="s">
        <v>22</v>
      </c>
      <c r="K279" s="32" t="str">
        <f t="shared" si="2"/>
        <v>OCUPADO</v>
      </c>
      <c r="L279" s="33">
        <f t="shared" si="14"/>
        <v>278</v>
      </c>
      <c r="M279" s="33" t="s">
        <v>23</v>
      </c>
      <c r="N279" s="33" t="s">
        <v>719</v>
      </c>
      <c r="O279" s="249" t="s">
        <v>24</v>
      </c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4"/>
      <c r="BF279" s="12"/>
      <c r="BG279" s="12"/>
      <c r="BH279" s="12" t="str">
        <f>IFERROR(__xludf.DUMMYFUNCTION("IFERROR(INDEX(QUERY(IMPORTRANGE(""1T7HG8KEs-Ob7f3M5atEVN9Yn7IeORGp0QGvggB62ELw"",""Maestro!A:I""),""SELECT Col8 WHERE Col3 = '""&amp;BE279&amp;""'"", 0), 1, 1),""NO ENCONTRADO"")"),"")</f>
        <v/>
      </c>
      <c r="BI279" s="12" t="str">
        <f>IFERROR(__xludf.DUMMYFUNCTION("IFERROR(INDEX(QUERY(IMPORTRANGE(""1T7HG8KEs-Ob7f3M5atEVN9Yn7IeORGp0QGvggB62ELw"",""Maestro!A:I""),""SELECT Col7 WHERE Col3 = '""&amp;BE279&amp;""'"", 0), 1, 1),""NO ENCONTRADO"")"),"")</f>
        <v/>
      </c>
      <c r="BJ279" s="16">
        <f t="shared" si="13"/>
        <v>0</v>
      </c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4"/>
      <c r="BX279" s="14"/>
      <c r="BY279" s="14"/>
      <c r="BZ279" s="14"/>
      <c r="CA279" s="14"/>
      <c r="CB279" s="14"/>
      <c r="CC279" s="14"/>
      <c r="CD279" s="14"/>
      <c r="CE279" s="14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</row>
    <row r="280">
      <c r="A280" s="241" t="s">
        <v>558</v>
      </c>
      <c r="B280" s="242" t="s">
        <v>18</v>
      </c>
      <c r="C280" s="242" t="s">
        <v>362</v>
      </c>
      <c r="D280" s="243" t="str">
        <f t="shared" si="8"/>
        <v>PATIO-1-14</v>
      </c>
      <c r="E280" s="35">
        <v>45817.0</v>
      </c>
      <c r="F280" s="36" t="s">
        <v>280</v>
      </c>
      <c r="G280" s="37" t="s">
        <v>151</v>
      </c>
      <c r="H280" s="38" t="s">
        <v>152</v>
      </c>
      <c r="I280" s="39">
        <v>200.0</v>
      </c>
      <c r="J280" s="38" t="s">
        <v>22</v>
      </c>
      <c r="K280" s="27" t="str">
        <f t="shared" si="2"/>
        <v>OCUPADO</v>
      </c>
      <c r="L280" s="28">
        <f t="shared" si="14"/>
        <v>279</v>
      </c>
      <c r="M280" s="28" t="s">
        <v>23</v>
      </c>
      <c r="N280" s="28" t="s">
        <v>719</v>
      </c>
      <c r="O280" s="29" t="s">
        <v>24</v>
      </c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4"/>
      <c r="BF280" s="12"/>
      <c r="BG280" s="12"/>
      <c r="BH280" s="12" t="str">
        <f>IFERROR(__xludf.DUMMYFUNCTION("IFERROR(INDEX(QUERY(IMPORTRANGE(""1T7HG8KEs-Ob7f3M5atEVN9Yn7IeORGp0QGvggB62ELw"",""Maestro!A:I""),""SELECT Col8 WHERE Col3 = '""&amp;BE280&amp;""'"", 0), 1, 1),""NO ENCONTRADO"")"),"")</f>
        <v/>
      </c>
      <c r="BI280" s="12" t="str">
        <f>IFERROR(__xludf.DUMMYFUNCTION("IFERROR(INDEX(QUERY(IMPORTRANGE(""1T7HG8KEs-Ob7f3M5atEVN9Yn7IeORGp0QGvggB62ELw"",""Maestro!A:I""),""SELECT Col7 WHERE Col3 = '""&amp;BE280&amp;""'"", 0), 1, 1),""NO ENCONTRADO"")"),"")</f>
        <v/>
      </c>
      <c r="BJ280" s="16">
        <f t="shared" si="13"/>
        <v>0</v>
      </c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4"/>
      <c r="BX280" s="14"/>
      <c r="BY280" s="14"/>
      <c r="BZ280" s="14"/>
      <c r="CA280" s="14"/>
      <c r="CB280" s="14"/>
      <c r="CC280" s="14"/>
      <c r="CD280" s="14"/>
      <c r="CE280" s="14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</row>
    <row r="281">
      <c r="A281" s="241" t="s">
        <v>558</v>
      </c>
      <c r="B281" s="242" t="s">
        <v>18</v>
      </c>
      <c r="C281" s="242" t="s">
        <v>372</v>
      </c>
      <c r="D281" s="243" t="str">
        <f t="shared" si="8"/>
        <v>PATIO-1-15</v>
      </c>
      <c r="E281" s="35">
        <v>45817.0</v>
      </c>
      <c r="F281" s="36" t="s">
        <v>280</v>
      </c>
      <c r="G281" s="37" t="s">
        <v>151</v>
      </c>
      <c r="H281" s="38" t="s">
        <v>152</v>
      </c>
      <c r="I281" s="39">
        <v>200.0</v>
      </c>
      <c r="J281" s="38" t="s">
        <v>22</v>
      </c>
      <c r="K281" s="32" t="str">
        <f t="shared" si="2"/>
        <v>OCUPADO</v>
      </c>
      <c r="L281" s="33">
        <f t="shared" si="14"/>
        <v>280</v>
      </c>
      <c r="M281" s="33" t="s">
        <v>23</v>
      </c>
      <c r="N281" s="33" t="s">
        <v>719</v>
      </c>
      <c r="O281" s="34" t="s">
        <v>24</v>
      </c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4"/>
      <c r="BF281" s="12"/>
      <c r="BG281" s="12"/>
      <c r="BH281" s="12" t="str">
        <f>IFERROR(__xludf.DUMMYFUNCTION("IFERROR(INDEX(QUERY(IMPORTRANGE(""1T7HG8KEs-Ob7f3M5atEVN9Yn7IeORGp0QGvggB62ELw"",""Maestro!A:I""),""SELECT Col8 WHERE Col3 = '""&amp;BE281&amp;""'"", 0), 1, 1),""NO ENCONTRADO"")"),"")</f>
        <v/>
      </c>
      <c r="BI281" s="12" t="str">
        <f>IFERROR(__xludf.DUMMYFUNCTION("IFERROR(INDEX(QUERY(IMPORTRANGE(""1T7HG8KEs-Ob7f3M5atEVN9Yn7IeORGp0QGvggB62ELw"",""Maestro!A:I""),""SELECT Col7 WHERE Col3 = '""&amp;BE281&amp;""'"", 0), 1, 1),""NO ENCONTRADO"")"),"")</f>
        <v/>
      </c>
      <c r="BJ281" s="16">
        <f t="shared" si="13"/>
        <v>0</v>
      </c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4"/>
      <c r="BX281" s="14"/>
      <c r="BY281" s="14"/>
      <c r="BZ281" s="14"/>
      <c r="CA281" s="14"/>
      <c r="CB281" s="14"/>
      <c r="CC281" s="14"/>
      <c r="CD281" s="14"/>
      <c r="CE281" s="14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</row>
    <row r="282">
      <c r="A282" s="241" t="s">
        <v>558</v>
      </c>
      <c r="B282" s="242" t="s">
        <v>18</v>
      </c>
      <c r="C282" s="242" t="s">
        <v>382</v>
      </c>
      <c r="D282" s="243" t="str">
        <f t="shared" si="8"/>
        <v>PATIO-1-16</v>
      </c>
      <c r="E282" s="83"/>
      <c r="F282" s="84"/>
      <c r="G282" s="85"/>
      <c r="H282" s="49"/>
      <c r="I282" s="86"/>
      <c r="J282" s="49"/>
      <c r="K282" s="27" t="str">
        <f t="shared" si="2"/>
        <v>DISPONIBLE</v>
      </c>
      <c r="L282" s="28">
        <f t="shared" si="14"/>
        <v>281</v>
      </c>
      <c r="M282" s="28" t="s">
        <v>23</v>
      </c>
      <c r="N282" s="70"/>
      <c r="O282" s="29" t="s">
        <v>24</v>
      </c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4"/>
      <c r="BF282" s="12"/>
      <c r="BG282" s="12"/>
      <c r="BH282" s="12" t="str">
        <f>IFERROR(__xludf.DUMMYFUNCTION("IFERROR(INDEX(QUERY(IMPORTRANGE(""1T7HG8KEs-Ob7f3M5atEVN9Yn7IeORGp0QGvggB62ELw"",""Maestro!A:I""),""SELECT Col8 WHERE Col3 = '""&amp;BE282&amp;""'"", 0), 1, 1),""NO ENCONTRADO"")"),"")</f>
        <v/>
      </c>
      <c r="BI282" s="12" t="str">
        <f>IFERROR(__xludf.DUMMYFUNCTION("IFERROR(INDEX(QUERY(IMPORTRANGE(""1T7HG8KEs-Ob7f3M5atEVN9Yn7IeORGp0QGvggB62ELw"",""Maestro!A:I""),""SELECT Col7 WHERE Col3 = '""&amp;BE282&amp;""'"", 0), 1, 1),""NO ENCONTRADO"")"),"")</f>
        <v/>
      </c>
      <c r="BJ282" s="16">
        <f t="shared" si="13"/>
        <v>0</v>
      </c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4"/>
      <c r="BX282" s="14"/>
      <c r="BY282" s="14"/>
      <c r="BZ282" s="14"/>
      <c r="CA282" s="14"/>
      <c r="CB282" s="14"/>
      <c r="CC282" s="14"/>
      <c r="CD282" s="14"/>
      <c r="CE282" s="14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</row>
    <row r="283">
      <c r="A283" s="241" t="s">
        <v>558</v>
      </c>
      <c r="B283" s="242" t="s">
        <v>18</v>
      </c>
      <c r="C283" s="242" t="s">
        <v>396</v>
      </c>
      <c r="D283" s="243" t="str">
        <f t="shared" si="8"/>
        <v>PATIO-1-17</v>
      </c>
      <c r="E283" s="35">
        <v>45791.0</v>
      </c>
      <c r="F283" s="36" t="s">
        <v>721</v>
      </c>
      <c r="G283" s="37" t="s">
        <v>151</v>
      </c>
      <c r="H283" s="38" t="s">
        <v>152</v>
      </c>
      <c r="I283" s="39">
        <v>200.0</v>
      </c>
      <c r="J283" s="38" t="s">
        <v>22</v>
      </c>
      <c r="K283" s="32" t="str">
        <f t="shared" si="2"/>
        <v>OCUPADO</v>
      </c>
      <c r="L283" s="33">
        <f t="shared" si="14"/>
        <v>282</v>
      </c>
      <c r="M283" s="33" t="s">
        <v>23</v>
      </c>
      <c r="N283" s="33" t="s">
        <v>719</v>
      </c>
      <c r="O283" s="34" t="s">
        <v>24</v>
      </c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4"/>
      <c r="BF283" s="12"/>
      <c r="BG283" s="12"/>
      <c r="BH283" s="12"/>
      <c r="BI283" s="12"/>
      <c r="BJ283" s="16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4"/>
      <c r="BX283" s="14"/>
      <c r="BY283" s="14"/>
      <c r="BZ283" s="14"/>
      <c r="CA283" s="14"/>
      <c r="CB283" s="14"/>
      <c r="CC283" s="14"/>
      <c r="CD283" s="14"/>
      <c r="CE283" s="14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</row>
    <row r="284">
      <c r="A284" s="241" t="s">
        <v>558</v>
      </c>
      <c r="B284" s="242" t="s">
        <v>18</v>
      </c>
      <c r="C284" s="242" t="s">
        <v>411</v>
      </c>
      <c r="D284" s="243" t="str">
        <f t="shared" si="8"/>
        <v>PATIO-1-18</v>
      </c>
      <c r="E284" s="35">
        <v>45817.0</v>
      </c>
      <c r="F284" s="36" t="s">
        <v>280</v>
      </c>
      <c r="G284" s="37" t="s">
        <v>151</v>
      </c>
      <c r="H284" s="38" t="s">
        <v>152</v>
      </c>
      <c r="I284" s="39">
        <v>200.0</v>
      </c>
      <c r="J284" s="38" t="s">
        <v>22</v>
      </c>
      <c r="K284" s="27" t="str">
        <f t="shared" si="2"/>
        <v>OCUPADO</v>
      </c>
      <c r="L284" s="28">
        <f t="shared" si="14"/>
        <v>283</v>
      </c>
      <c r="M284" s="28" t="s">
        <v>23</v>
      </c>
      <c r="N284" s="28"/>
      <c r="O284" s="29" t="s">
        <v>24</v>
      </c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4"/>
      <c r="BF284" s="12"/>
      <c r="BG284" s="12"/>
      <c r="BH284" s="12"/>
      <c r="BI284" s="12"/>
      <c r="BJ284" s="16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4"/>
      <c r="BX284" s="14"/>
      <c r="BY284" s="14"/>
      <c r="BZ284" s="14"/>
      <c r="CA284" s="14"/>
      <c r="CB284" s="14"/>
      <c r="CC284" s="14"/>
      <c r="CD284" s="14"/>
      <c r="CE284" s="14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</row>
    <row r="285">
      <c r="A285" s="241" t="s">
        <v>558</v>
      </c>
      <c r="B285" s="242" t="s">
        <v>18</v>
      </c>
      <c r="C285" s="242" t="s">
        <v>425</v>
      </c>
      <c r="D285" s="243" t="str">
        <f t="shared" si="8"/>
        <v>PATIO-1-19</v>
      </c>
      <c r="E285" s="35">
        <v>45791.0</v>
      </c>
      <c r="F285" s="36" t="s">
        <v>721</v>
      </c>
      <c r="G285" s="37" t="s">
        <v>151</v>
      </c>
      <c r="H285" s="38" t="s">
        <v>152</v>
      </c>
      <c r="I285" s="39">
        <v>200.0</v>
      </c>
      <c r="J285" s="38" t="s">
        <v>22</v>
      </c>
      <c r="K285" s="32" t="str">
        <f t="shared" si="2"/>
        <v>OCUPADO</v>
      </c>
      <c r="L285" s="33">
        <f t="shared" ref="L285:L289" si="15">IF(B280&lt;&gt;"", ROW(A280), "")
</f>
        <v>280</v>
      </c>
      <c r="M285" s="33" t="s">
        <v>23</v>
      </c>
      <c r="N285" s="33"/>
      <c r="O285" s="34" t="s">
        <v>24</v>
      </c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4"/>
      <c r="BF285" s="12"/>
      <c r="BG285" s="12"/>
      <c r="BH285" s="12"/>
      <c r="BI285" s="12"/>
      <c r="BJ285" s="16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4"/>
      <c r="BX285" s="14"/>
      <c r="BY285" s="14"/>
      <c r="BZ285" s="14"/>
      <c r="CA285" s="14"/>
      <c r="CB285" s="14"/>
      <c r="CC285" s="14"/>
      <c r="CD285" s="14"/>
      <c r="CE285" s="14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</row>
    <row r="286">
      <c r="A286" s="241" t="s">
        <v>558</v>
      </c>
      <c r="B286" s="242" t="s">
        <v>18</v>
      </c>
      <c r="C286" s="242" t="s">
        <v>451</v>
      </c>
      <c r="D286" s="243" t="str">
        <f t="shared" si="8"/>
        <v>PATIO-1-20</v>
      </c>
      <c r="E286" s="83"/>
      <c r="F286" s="84"/>
      <c r="G286" s="85"/>
      <c r="H286" s="49"/>
      <c r="I286" s="86"/>
      <c r="J286" s="49"/>
      <c r="K286" s="27" t="str">
        <f t="shared" si="2"/>
        <v>DISPONIBLE</v>
      </c>
      <c r="L286" s="28">
        <f t="shared" si="15"/>
        <v>281</v>
      </c>
      <c r="M286" s="28" t="s">
        <v>23</v>
      </c>
      <c r="N286" s="70"/>
      <c r="O286" s="29" t="s">
        <v>24</v>
      </c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4"/>
      <c r="BF286" s="12"/>
      <c r="BG286" s="12"/>
      <c r="BH286" s="12"/>
      <c r="BI286" s="12"/>
      <c r="BJ286" s="16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4"/>
      <c r="BX286" s="14"/>
      <c r="BY286" s="14"/>
      <c r="BZ286" s="14"/>
      <c r="CA286" s="14"/>
      <c r="CB286" s="14"/>
      <c r="CC286" s="14"/>
      <c r="CD286" s="14"/>
      <c r="CE286" s="14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</row>
    <row r="287">
      <c r="A287" s="241" t="s">
        <v>558</v>
      </c>
      <c r="B287" s="242" t="s">
        <v>18</v>
      </c>
      <c r="C287" s="242" t="s">
        <v>467</v>
      </c>
      <c r="D287" s="243" t="str">
        <f t="shared" si="8"/>
        <v>PATIO-1-21</v>
      </c>
      <c r="E287" s="35">
        <v>45817.0</v>
      </c>
      <c r="F287" s="36" t="s">
        <v>280</v>
      </c>
      <c r="G287" s="37" t="s">
        <v>151</v>
      </c>
      <c r="H287" s="38" t="s">
        <v>152</v>
      </c>
      <c r="I287" s="39">
        <v>200.0</v>
      </c>
      <c r="J287" s="38" t="s">
        <v>22</v>
      </c>
      <c r="K287" s="32" t="str">
        <f t="shared" si="2"/>
        <v>OCUPADO</v>
      </c>
      <c r="L287" s="33">
        <f t="shared" si="15"/>
        <v>282</v>
      </c>
      <c r="M287" s="33" t="s">
        <v>23</v>
      </c>
      <c r="N287" s="53"/>
      <c r="O287" s="34" t="s">
        <v>24</v>
      </c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4"/>
      <c r="BF287" s="12"/>
      <c r="BG287" s="12"/>
      <c r="BH287" s="12"/>
      <c r="BI287" s="12"/>
      <c r="BJ287" s="16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4"/>
      <c r="BX287" s="14"/>
      <c r="BY287" s="14"/>
      <c r="BZ287" s="14"/>
      <c r="CA287" s="14"/>
      <c r="CB287" s="14"/>
      <c r="CC287" s="14"/>
      <c r="CD287" s="14"/>
      <c r="CE287" s="14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</row>
    <row r="288">
      <c r="A288" s="241" t="s">
        <v>558</v>
      </c>
      <c r="B288" s="242" t="s">
        <v>18</v>
      </c>
      <c r="C288" s="242" t="s">
        <v>620</v>
      </c>
      <c r="D288" s="243" t="str">
        <f t="shared" si="8"/>
        <v>PATIO-1-22</v>
      </c>
      <c r="E288" s="35">
        <v>45817.0</v>
      </c>
      <c r="F288" s="36" t="s">
        <v>720</v>
      </c>
      <c r="G288" s="37" t="s">
        <v>151</v>
      </c>
      <c r="H288" s="38" t="s">
        <v>152</v>
      </c>
      <c r="I288" s="39">
        <v>200.0</v>
      </c>
      <c r="J288" s="38" t="s">
        <v>22</v>
      </c>
      <c r="K288" s="27" t="str">
        <f t="shared" si="2"/>
        <v>OCUPADO</v>
      </c>
      <c r="L288" s="28">
        <f t="shared" si="15"/>
        <v>283</v>
      </c>
      <c r="M288" s="28" t="s">
        <v>23</v>
      </c>
      <c r="N288" s="70"/>
      <c r="O288" s="29" t="s">
        <v>24</v>
      </c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4"/>
      <c r="BF288" s="12"/>
      <c r="BG288" s="12"/>
      <c r="BH288" s="12"/>
      <c r="BI288" s="12"/>
      <c r="BJ288" s="16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4"/>
      <c r="BX288" s="14"/>
      <c r="BY288" s="14"/>
      <c r="BZ288" s="14"/>
      <c r="CA288" s="14"/>
      <c r="CB288" s="14"/>
      <c r="CC288" s="14"/>
      <c r="CD288" s="14"/>
      <c r="CE288" s="14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</row>
    <row r="289">
      <c r="A289" s="241" t="s">
        <v>558</v>
      </c>
      <c r="B289" s="242" t="s">
        <v>18</v>
      </c>
      <c r="C289" s="242" t="s">
        <v>561</v>
      </c>
      <c r="D289" s="243" t="str">
        <f t="shared" si="8"/>
        <v>PATIO-1-23</v>
      </c>
      <c r="E289" s="83"/>
      <c r="F289" s="84"/>
      <c r="G289" s="85"/>
      <c r="H289" s="49"/>
      <c r="I289" s="86"/>
      <c r="J289" s="49"/>
      <c r="K289" s="32" t="str">
        <f t="shared" si="2"/>
        <v>DISPONIBLE</v>
      </c>
      <c r="L289" s="33">
        <f t="shared" si="15"/>
        <v>284</v>
      </c>
      <c r="M289" s="33" t="s">
        <v>23</v>
      </c>
      <c r="N289" s="53"/>
      <c r="O289" s="34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4"/>
      <c r="BF289" s="12"/>
      <c r="BG289" s="12"/>
      <c r="BH289" s="12"/>
      <c r="BI289" s="12"/>
      <c r="BJ289" s="16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4"/>
      <c r="BX289" s="14"/>
      <c r="BY289" s="14"/>
      <c r="BZ289" s="14"/>
      <c r="CA289" s="14"/>
      <c r="CB289" s="14"/>
      <c r="CC289" s="14"/>
      <c r="CD289" s="14"/>
      <c r="CE289" s="14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</row>
    <row r="290">
      <c r="A290" s="241" t="s">
        <v>558</v>
      </c>
      <c r="B290" s="242" t="s">
        <v>18</v>
      </c>
      <c r="C290" s="242" t="s">
        <v>563</v>
      </c>
      <c r="D290" s="243" t="str">
        <f t="shared" si="8"/>
        <v>PATIO-1-24</v>
      </c>
      <c r="E290" s="83"/>
      <c r="F290" s="84"/>
      <c r="G290" s="85"/>
      <c r="H290" s="49"/>
      <c r="I290" s="86"/>
      <c r="J290" s="49"/>
      <c r="K290" s="27" t="str">
        <f t="shared" si="2"/>
        <v>DISPONIBLE</v>
      </c>
      <c r="L290" s="28">
        <f t="shared" ref="L290:L292" si="16">IF(B282&lt;&gt;"", ROW(A282), "")
</f>
        <v>282</v>
      </c>
      <c r="M290" s="28" t="s">
        <v>23</v>
      </c>
      <c r="N290" s="70"/>
      <c r="O290" s="29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4"/>
      <c r="BF290" s="12"/>
      <c r="BG290" s="12"/>
      <c r="BH290" s="12"/>
      <c r="BI290" s="12"/>
      <c r="BJ290" s="16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4"/>
      <c r="BX290" s="14"/>
      <c r="BY290" s="14"/>
      <c r="BZ290" s="14"/>
      <c r="CA290" s="14"/>
      <c r="CB290" s="14"/>
      <c r="CC290" s="14"/>
      <c r="CD290" s="14"/>
      <c r="CE290" s="14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</row>
    <row r="291">
      <c r="A291" s="241" t="s">
        <v>558</v>
      </c>
      <c r="B291" s="242" t="s">
        <v>18</v>
      </c>
      <c r="C291" s="242" t="s">
        <v>565</v>
      </c>
      <c r="D291" s="243" t="str">
        <f t="shared" si="8"/>
        <v>PATIO-1-25</v>
      </c>
      <c r="E291" s="83"/>
      <c r="F291" s="84"/>
      <c r="G291" s="85"/>
      <c r="H291" s="49"/>
      <c r="I291" s="86"/>
      <c r="J291" s="49"/>
      <c r="K291" s="32" t="str">
        <f t="shared" si="2"/>
        <v>DISPONIBLE</v>
      </c>
      <c r="L291" s="33">
        <f t="shared" si="16"/>
        <v>283</v>
      </c>
      <c r="M291" s="33" t="s">
        <v>23</v>
      </c>
      <c r="N291" s="53"/>
      <c r="O291" s="34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4"/>
      <c r="BF291" s="12"/>
      <c r="BG291" s="12"/>
      <c r="BH291" s="12"/>
      <c r="BI291" s="12"/>
      <c r="BJ291" s="16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4"/>
      <c r="BX291" s="14"/>
      <c r="BY291" s="14"/>
      <c r="BZ291" s="14"/>
      <c r="CA291" s="14"/>
      <c r="CB291" s="14"/>
      <c r="CC291" s="14"/>
      <c r="CD291" s="14"/>
      <c r="CE291" s="14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</row>
    <row r="292">
      <c r="A292" s="250" t="s">
        <v>558</v>
      </c>
      <c r="B292" s="251" t="s">
        <v>18</v>
      </c>
      <c r="C292" s="251" t="s">
        <v>622</v>
      </c>
      <c r="D292" s="252" t="str">
        <f t="shared" si="8"/>
        <v>PATIO-1-26</v>
      </c>
      <c r="E292" s="253">
        <v>45825.0</v>
      </c>
      <c r="F292" s="254" t="s">
        <v>722</v>
      </c>
      <c r="G292" s="255" t="s">
        <v>172</v>
      </c>
      <c r="H292" s="256" t="s">
        <v>50</v>
      </c>
      <c r="I292" s="257">
        <v>50.0</v>
      </c>
      <c r="J292" s="256" t="s">
        <v>22</v>
      </c>
      <c r="K292" s="63" t="str">
        <f t="shared" si="2"/>
        <v>OCUPADO</v>
      </c>
      <c r="L292" s="64">
        <f t="shared" si="16"/>
        <v>284</v>
      </c>
      <c r="M292" s="65" t="s">
        <v>23</v>
      </c>
      <c r="N292" s="65"/>
      <c r="O292" s="66" t="s">
        <v>24</v>
      </c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4"/>
      <c r="BF292" s="12"/>
      <c r="BG292" s="12"/>
      <c r="BH292" s="12"/>
      <c r="BI292" s="12"/>
      <c r="BJ292" s="16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4"/>
      <c r="BX292" s="14"/>
      <c r="BY292" s="14"/>
      <c r="BZ292" s="14"/>
      <c r="CA292" s="14"/>
      <c r="CB292" s="14"/>
      <c r="CC292" s="14"/>
      <c r="CD292" s="14"/>
      <c r="CE292" s="14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</row>
    <row r="293">
      <c r="A293" s="258" t="s">
        <v>254</v>
      </c>
      <c r="B293" s="259" t="s">
        <v>465</v>
      </c>
      <c r="C293" s="259" t="s">
        <v>629</v>
      </c>
      <c r="D293" s="260" t="str">
        <f t="shared" si="8"/>
        <v>R-8-B1</v>
      </c>
      <c r="E293" s="78">
        <v>45831.0</v>
      </c>
      <c r="F293" s="88" t="s">
        <v>723</v>
      </c>
      <c r="G293" s="80" t="s">
        <v>346</v>
      </c>
      <c r="H293" s="81" t="s">
        <v>347</v>
      </c>
      <c r="I293" s="82">
        <v>5.0</v>
      </c>
      <c r="J293" s="81" t="s">
        <v>478</v>
      </c>
      <c r="K293" s="32" t="str">
        <f t="shared" si="2"/>
        <v>OCUPADO</v>
      </c>
      <c r="L293" s="33">
        <f>IF(B282&lt;&gt;"", ROW(A282), "")
</f>
        <v>282</v>
      </c>
      <c r="M293" s="261" t="s">
        <v>724</v>
      </c>
      <c r="N293" s="262"/>
      <c r="O293" s="169" t="s">
        <v>270</v>
      </c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4"/>
      <c r="BF293" s="12"/>
      <c r="BG293" s="12"/>
      <c r="BH293" s="12" t="str">
        <f>IFERROR(__xludf.DUMMYFUNCTION("IFERROR(INDEX(QUERY(IMPORTRANGE(""1T7HG8KEs-Ob7f3M5atEVN9Yn7IeORGp0QGvggB62ELw"",""Maestro!A:I""),""SELECT Col8 WHERE Col3 = '""&amp;BE293&amp;""'"", 0), 1, 1),""NO ENCONTRADO"")"),"")</f>
        <v/>
      </c>
      <c r="BI293" s="12" t="str">
        <f>IFERROR(__xludf.DUMMYFUNCTION("IFERROR(INDEX(QUERY(IMPORTRANGE(""1T7HG8KEs-Ob7f3M5atEVN9Yn7IeORGp0QGvggB62ELw"",""Maestro!A:I""),""SELECT Col7 WHERE Col3 = '""&amp;BE293&amp;""'"", 0), 1, 1),""NO ENCONTRADO"")"),"")</f>
        <v/>
      </c>
      <c r="BJ293" s="16">
        <f t="shared" ref="BJ293:BJ296" si="17">IFERROR(ROUND(IF(BH293="D",BG293/BI293,BG293*BI293),0),1)</f>
        <v>0</v>
      </c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4"/>
      <c r="BX293" s="14"/>
      <c r="BY293" s="14"/>
      <c r="BZ293" s="14"/>
      <c r="CA293" s="14"/>
      <c r="CB293" s="14"/>
      <c r="CC293" s="14"/>
      <c r="CD293" s="14"/>
      <c r="CE293" s="14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</row>
    <row r="294">
      <c r="A294" s="258" t="s">
        <v>254</v>
      </c>
      <c r="B294" s="259" t="s">
        <v>465</v>
      </c>
      <c r="C294" s="259" t="s">
        <v>633</v>
      </c>
      <c r="D294" s="260" t="str">
        <f t="shared" si="8"/>
        <v>R-8-B2</v>
      </c>
      <c r="E294" s="78">
        <v>45821.0</v>
      </c>
      <c r="F294" s="79" t="s">
        <v>725</v>
      </c>
      <c r="G294" s="263" t="s">
        <v>249</v>
      </c>
      <c r="H294" s="81" t="s">
        <v>250</v>
      </c>
      <c r="I294" s="82">
        <v>1.0</v>
      </c>
      <c r="J294" s="81" t="s">
        <v>478</v>
      </c>
      <c r="K294" s="27" t="str">
        <f t="shared" si="2"/>
        <v>OCUPADO</v>
      </c>
      <c r="L294" s="28">
        <f t="shared" ref="L294:L410" si="18">IF(B293&lt;&gt;"", ROW(A293), "")
</f>
        <v>293</v>
      </c>
      <c r="M294" s="261" t="s">
        <v>724</v>
      </c>
      <c r="N294" s="264"/>
      <c r="O294" s="168" t="s">
        <v>270</v>
      </c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4"/>
      <c r="BF294" s="12"/>
      <c r="BG294" s="12"/>
      <c r="BH294" s="12" t="str">
        <f>IFERROR(__xludf.DUMMYFUNCTION("IFERROR(INDEX(QUERY(IMPORTRANGE(""1T7HG8KEs-Ob7f3M5atEVN9Yn7IeORGp0QGvggB62ELw"",""Maestro!A:I""),""SELECT Col8 WHERE Col3 = '""&amp;BE294&amp;""'"", 0), 1, 1),""NO ENCONTRADO"")"),"")</f>
        <v/>
      </c>
      <c r="BI294" s="12" t="str">
        <f>IFERROR(__xludf.DUMMYFUNCTION("IFERROR(INDEX(QUERY(IMPORTRANGE(""1T7HG8KEs-Ob7f3M5atEVN9Yn7IeORGp0QGvggB62ELw"",""Maestro!A:I""),""SELECT Col7 WHERE Col3 = '""&amp;BE294&amp;""'"", 0), 1, 1),""NO ENCONTRADO"")"),"")</f>
        <v/>
      </c>
      <c r="BJ294" s="16">
        <f t="shared" si="17"/>
        <v>0</v>
      </c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4"/>
      <c r="BX294" s="14"/>
      <c r="BY294" s="14"/>
      <c r="BZ294" s="14"/>
      <c r="CA294" s="14"/>
      <c r="CB294" s="14"/>
      <c r="CC294" s="14"/>
      <c r="CD294" s="14"/>
      <c r="CE294" s="14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</row>
    <row r="295">
      <c r="A295" s="258" t="s">
        <v>254</v>
      </c>
      <c r="B295" s="259" t="s">
        <v>465</v>
      </c>
      <c r="C295" s="259" t="s">
        <v>635</v>
      </c>
      <c r="D295" s="260" t="str">
        <f t="shared" si="8"/>
        <v>R-8-B3</v>
      </c>
      <c r="E295" s="78">
        <v>45827.0</v>
      </c>
      <c r="F295" s="88" t="s">
        <v>726</v>
      </c>
      <c r="G295" s="80" t="s">
        <v>80</v>
      </c>
      <c r="H295" s="81" t="s">
        <v>81</v>
      </c>
      <c r="I295" s="82">
        <v>4.0</v>
      </c>
      <c r="J295" s="81" t="s">
        <v>478</v>
      </c>
      <c r="K295" s="32" t="str">
        <f t="shared" si="2"/>
        <v>OCUPADO</v>
      </c>
      <c r="L295" s="33">
        <f t="shared" si="18"/>
        <v>294</v>
      </c>
      <c r="M295" s="261" t="s">
        <v>724</v>
      </c>
      <c r="N295" s="262"/>
      <c r="O295" s="169" t="s">
        <v>270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4"/>
      <c r="BF295" s="12"/>
      <c r="BG295" s="12"/>
      <c r="BH295" s="12" t="str">
        <f>IFERROR(__xludf.DUMMYFUNCTION("IFERROR(INDEX(QUERY(IMPORTRANGE(""1T7HG8KEs-Ob7f3M5atEVN9Yn7IeORGp0QGvggB62ELw"",""Maestro!A:I""),""SELECT Col8 WHERE Col3 = '""&amp;BE295&amp;""'"", 0), 1, 1),""NO ENCONTRADO"")"),"")</f>
        <v/>
      </c>
      <c r="BI295" s="12" t="str">
        <f>IFERROR(__xludf.DUMMYFUNCTION("IFERROR(INDEX(QUERY(IMPORTRANGE(""1T7HG8KEs-Ob7f3M5atEVN9Yn7IeORGp0QGvggB62ELw"",""Maestro!A:I""),""SELECT Col7 WHERE Col3 = '""&amp;BE295&amp;""'"", 0), 1, 1),""NO ENCONTRADO"")"),"")</f>
        <v/>
      </c>
      <c r="BJ295" s="16">
        <f t="shared" si="17"/>
        <v>0</v>
      </c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4"/>
      <c r="BX295" s="14"/>
      <c r="BY295" s="14"/>
      <c r="BZ295" s="14"/>
      <c r="CA295" s="14"/>
      <c r="CB295" s="14"/>
      <c r="CC295" s="14"/>
      <c r="CD295" s="14"/>
      <c r="CE295" s="14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</row>
    <row r="296">
      <c r="A296" s="258" t="s">
        <v>254</v>
      </c>
      <c r="B296" s="259" t="s">
        <v>465</v>
      </c>
      <c r="C296" s="259" t="s">
        <v>637</v>
      </c>
      <c r="D296" s="260" t="str">
        <f t="shared" si="8"/>
        <v>R-8-B4</v>
      </c>
      <c r="E296" s="78">
        <v>45831.0</v>
      </c>
      <c r="F296" s="88" t="s">
        <v>727</v>
      </c>
      <c r="G296" s="80" t="s">
        <v>196</v>
      </c>
      <c r="H296" s="81" t="s">
        <v>197</v>
      </c>
      <c r="I296" s="82">
        <v>5.0</v>
      </c>
      <c r="J296" s="81" t="s">
        <v>478</v>
      </c>
      <c r="K296" s="27" t="str">
        <f t="shared" si="2"/>
        <v>OCUPADO</v>
      </c>
      <c r="L296" s="28">
        <f t="shared" si="18"/>
        <v>295</v>
      </c>
      <c r="M296" s="261" t="s">
        <v>724</v>
      </c>
      <c r="N296" s="264"/>
      <c r="O296" s="168" t="s">
        <v>270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4"/>
      <c r="BF296" s="12"/>
      <c r="BG296" s="12"/>
      <c r="BH296" s="12" t="str">
        <f>IFERROR(__xludf.DUMMYFUNCTION("IFERROR(INDEX(QUERY(IMPORTRANGE(""1T7HG8KEs-Ob7f3M5atEVN9Yn7IeORGp0QGvggB62ELw"",""Maestro!A:I""),""SELECT Col8 WHERE Col3 = '""&amp;BE296&amp;""'"", 0), 1, 1),""NO ENCONTRADO"")"),"")</f>
        <v/>
      </c>
      <c r="BI296" s="12" t="str">
        <f>IFERROR(__xludf.DUMMYFUNCTION("IFERROR(INDEX(QUERY(IMPORTRANGE(""1T7HG8KEs-Ob7f3M5atEVN9Yn7IeORGp0QGvggB62ELw"",""Maestro!A:I""),""SELECT Col7 WHERE Col3 = '""&amp;BE296&amp;""'"", 0), 1, 1),""NO ENCONTRADO"")"),"")</f>
        <v/>
      </c>
      <c r="BJ296" s="16">
        <f t="shared" si="17"/>
        <v>0</v>
      </c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4"/>
      <c r="BX296" s="14"/>
      <c r="BY296" s="14"/>
      <c r="BZ296" s="14"/>
      <c r="CA296" s="14"/>
      <c r="CB296" s="14"/>
      <c r="CC296" s="14"/>
      <c r="CD296" s="14"/>
      <c r="CE296" s="14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</row>
    <row r="297">
      <c r="A297" s="258" t="s">
        <v>254</v>
      </c>
      <c r="B297" s="259" t="s">
        <v>465</v>
      </c>
      <c r="C297" s="259" t="s">
        <v>589</v>
      </c>
      <c r="D297" s="260" t="str">
        <f t="shared" si="8"/>
        <v>R-8-B5</v>
      </c>
      <c r="E297" s="72"/>
      <c r="F297" s="73"/>
      <c r="G297" s="74"/>
      <c r="H297" s="75"/>
      <c r="I297" s="76"/>
      <c r="J297" s="75"/>
      <c r="K297" s="32" t="str">
        <f t="shared" si="2"/>
        <v>DISPONIBLE</v>
      </c>
      <c r="L297" s="33">
        <f t="shared" si="18"/>
        <v>296</v>
      </c>
      <c r="M297" s="261" t="s">
        <v>724</v>
      </c>
      <c r="N297" s="262"/>
      <c r="O297" s="169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4"/>
      <c r="BF297" s="12"/>
      <c r="BG297" s="12"/>
      <c r="BH297" s="12"/>
      <c r="BI297" s="12"/>
      <c r="BJ297" s="16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4"/>
      <c r="BX297" s="14"/>
      <c r="BY297" s="14"/>
      <c r="BZ297" s="14"/>
      <c r="CA297" s="14"/>
      <c r="CB297" s="14"/>
      <c r="CC297" s="14"/>
      <c r="CD297" s="14"/>
      <c r="CE297" s="14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</row>
    <row r="298">
      <c r="A298" s="258" t="s">
        <v>254</v>
      </c>
      <c r="B298" s="259" t="s">
        <v>465</v>
      </c>
      <c r="C298" s="259" t="s">
        <v>639</v>
      </c>
      <c r="D298" s="260" t="str">
        <f t="shared" si="8"/>
        <v>R-8-B6</v>
      </c>
      <c r="E298" s="78">
        <v>45818.0</v>
      </c>
      <c r="F298" s="88" t="s">
        <v>728</v>
      </c>
      <c r="G298" s="80" t="s">
        <v>111</v>
      </c>
      <c r="H298" s="81" t="s">
        <v>112</v>
      </c>
      <c r="I298" s="82">
        <v>2.0</v>
      </c>
      <c r="J298" s="81" t="s">
        <v>478</v>
      </c>
      <c r="K298" s="27" t="str">
        <f t="shared" si="2"/>
        <v>OCUPADO</v>
      </c>
      <c r="L298" s="28">
        <f t="shared" si="18"/>
        <v>297</v>
      </c>
      <c r="M298" s="261" t="s">
        <v>724</v>
      </c>
      <c r="N298" s="264"/>
      <c r="O298" s="168" t="s">
        <v>270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4"/>
      <c r="BF298" s="12"/>
      <c r="BG298" s="12"/>
      <c r="BH298" s="12" t="str">
        <f>IFERROR(__xludf.DUMMYFUNCTION("IFERROR(INDEX(QUERY(IMPORTRANGE(""1T7HG8KEs-Ob7f3M5atEVN9Yn7IeORGp0QGvggB62ELw"",""Maestro!A:I""),""SELECT Col8 WHERE Col3 = '""&amp;BE298&amp;""'"", 0), 1, 1),""NO ENCONTRADO"")"),"")</f>
        <v/>
      </c>
      <c r="BI298" s="12" t="str">
        <f>IFERROR(__xludf.DUMMYFUNCTION("IFERROR(INDEX(QUERY(IMPORTRANGE(""1T7HG8KEs-Ob7f3M5atEVN9Yn7IeORGp0QGvggB62ELw"",""Maestro!A:I""),""SELECT Col7 WHERE Col3 = '""&amp;BE298&amp;""'"", 0), 1, 1),""NO ENCONTRADO"")"),"")</f>
        <v/>
      </c>
      <c r="BJ298" s="16">
        <f t="shared" ref="BJ298:BJ935" si="19">IFERROR(ROUND(IF(BH298="D",BG298/BI298,BG298*BI298),0),1)</f>
        <v>0</v>
      </c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4"/>
      <c r="BX298" s="14"/>
      <c r="BY298" s="14"/>
      <c r="BZ298" s="14"/>
      <c r="CA298" s="14"/>
      <c r="CB298" s="14"/>
      <c r="CC298" s="14"/>
      <c r="CD298" s="14"/>
      <c r="CE298" s="14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</row>
    <row r="299">
      <c r="A299" s="258" t="s">
        <v>254</v>
      </c>
      <c r="B299" s="259" t="s">
        <v>465</v>
      </c>
      <c r="C299" s="259" t="s">
        <v>641</v>
      </c>
      <c r="D299" s="260" t="str">
        <f t="shared" si="8"/>
        <v>R-8-B7</v>
      </c>
      <c r="E299" s="78">
        <v>45814.0</v>
      </c>
      <c r="F299" s="88" t="s">
        <v>729</v>
      </c>
      <c r="G299" s="80" t="s">
        <v>87</v>
      </c>
      <c r="H299" s="81" t="s">
        <v>88</v>
      </c>
      <c r="I299" s="82">
        <v>6.0</v>
      </c>
      <c r="J299" s="81" t="s">
        <v>478</v>
      </c>
      <c r="K299" s="32" t="str">
        <f t="shared" si="2"/>
        <v>OCUPADO</v>
      </c>
      <c r="L299" s="33">
        <f t="shared" si="18"/>
        <v>298</v>
      </c>
      <c r="M299" s="261" t="s">
        <v>724</v>
      </c>
      <c r="N299" s="262"/>
      <c r="O299" s="169" t="s">
        <v>270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4"/>
      <c r="BF299" s="12"/>
      <c r="BG299" s="12"/>
      <c r="BH299" s="12" t="str">
        <f>IFERROR(__xludf.DUMMYFUNCTION("IFERROR(INDEX(QUERY(IMPORTRANGE(""1T7HG8KEs-Ob7f3M5atEVN9Yn7IeORGp0QGvggB62ELw"",""Maestro!A:I""),""SELECT Col8 WHERE Col3 = '""&amp;BE299&amp;""'"", 0), 1, 1),""NO ENCONTRADO"")"),"")</f>
        <v/>
      </c>
      <c r="BI299" s="12" t="str">
        <f>IFERROR(__xludf.DUMMYFUNCTION("IFERROR(INDEX(QUERY(IMPORTRANGE(""1T7HG8KEs-Ob7f3M5atEVN9Yn7IeORGp0QGvggB62ELw"",""Maestro!A:I""),""SELECT Col7 WHERE Col3 = '""&amp;BE299&amp;""'"", 0), 1, 1),""NO ENCONTRADO"")"),"")</f>
        <v/>
      </c>
      <c r="BJ299" s="16">
        <f t="shared" si="19"/>
        <v>0</v>
      </c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4"/>
      <c r="BX299" s="14"/>
      <c r="BY299" s="14"/>
      <c r="BZ299" s="14"/>
      <c r="CA299" s="14"/>
      <c r="CB299" s="14"/>
      <c r="CC299" s="14"/>
      <c r="CD299" s="14"/>
      <c r="CE299" s="14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</row>
    <row r="300">
      <c r="A300" s="258" t="s">
        <v>254</v>
      </c>
      <c r="B300" s="259" t="s">
        <v>465</v>
      </c>
      <c r="C300" s="259" t="s">
        <v>591</v>
      </c>
      <c r="D300" s="260" t="str">
        <f t="shared" si="8"/>
        <v>R-8-B8</v>
      </c>
      <c r="E300" s="72"/>
      <c r="F300" s="73"/>
      <c r="G300" s="74"/>
      <c r="H300" s="75"/>
      <c r="I300" s="76"/>
      <c r="J300" s="75"/>
      <c r="K300" s="27" t="str">
        <f t="shared" si="2"/>
        <v>DISPONIBLE</v>
      </c>
      <c r="L300" s="28">
        <f t="shared" si="18"/>
        <v>299</v>
      </c>
      <c r="M300" s="261" t="s">
        <v>724</v>
      </c>
      <c r="N300" s="264"/>
      <c r="O300" s="168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4"/>
      <c r="BF300" s="12"/>
      <c r="BG300" s="12"/>
      <c r="BH300" s="12" t="str">
        <f>IFERROR(__xludf.DUMMYFUNCTION("IFERROR(INDEX(QUERY(IMPORTRANGE(""1T7HG8KEs-Ob7f3M5atEVN9Yn7IeORGp0QGvggB62ELw"",""Maestro!A:I""),""SELECT Col8 WHERE Col3 = '""&amp;BE300&amp;""'"", 0), 1, 1),""NO ENCONTRADO"")"),"")</f>
        <v/>
      </c>
      <c r="BI300" s="12" t="str">
        <f>IFERROR(__xludf.DUMMYFUNCTION("IFERROR(INDEX(QUERY(IMPORTRANGE(""1T7HG8KEs-Ob7f3M5atEVN9Yn7IeORGp0QGvggB62ELw"",""Maestro!A:I""),""SELECT Col7 WHERE Col3 = '""&amp;BE300&amp;""'"", 0), 1, 1),""NO ENCONTRADO"")"),"")</f>
        <v/>
      </c>
      <c r="BJ300" s="16">
        <f t="shared" si="19"/>
        <v>0</v>
      </c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4"/>
      <c r="BX300" s="14"/>
      <c r="BY300" s="14"/>
      <c r="BZ300" s="14"/>
      <c r="CA300" s="14"/>
      <c r="CB300" s="14"/>
      <c r="CC300" s="14"/>
      <c r="CD300" s="14"/>
      <c r="CE300" s="14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</row>
    <row r="301">
      <c r="A301" s="258" t="s">
        <v>254</v>
      </c>
      <c r="B301" s="259" t="s">
        <v>465</v>
      </c>
      <c r="C301" s="259" t="s">
        <v>643</v>
      </c>
      <c r="D301" s="260" t="str">
        <f t="shared" si="8"/>
        <v>R-8-B9</v>
      </c>
      <c r="E301" s="78">
        <v>45818.0</v>
      </c>
      <c r="F301" s="88" t="s">
        <v>730</v>
      </c>
      <c r="G301" s="80" t="s">
        <v>272</v>
      </c>
      <c r="H301" s="81" t="s">
        <v>273</v>
      </c>
      <c r="I301" s="82">
        <v>1.0</v>
      </c>
      <c r="J301" s="81" t="s">
        <v>478</v>
      </c>
      <c r="K301" s="32" t="str">
        <f t="shared" si="2"/>
        <v>OCUPADO</v>
      </c>
      <c r="L301" s="33">
        <f t="shared" si="18"/>
        <v>300</v>
      </c>
      <c r="M301" s="261" t="s">
        <v>724</v>
      </c>
      <c r="N301" s="262"/>
      <c r="O301" s="169" t="s">
        <v>270</v>
      </c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4"/>
      <c r="BF301" s="12"/>
      <c r="BG301" s="12"/>
      <c r="BH301" s="12" t="str">
        <f>IFERROR(__xludf.DUMMYFUNCTION("IFERROR(INDEX(QUERY(IMPORTRANGE(""1T7HG8KEs-Ob7f3M5atEVN9Yn7IeORGp0QGvggB62ELw"",""Maestro!A:I""),""SELECT Col8 WHERE Col3 = '""&amp;BE301&amp;""'"", 0), 1, 1),""NO ENCONTRADO"")"),"")</f>
        <v/>
      </c>
      <c r="BI301" s="12" t="str">
        <f>IFERROR(__xludf.DUMMYFUNCTION("IFERROR(INDEX(QUERY(IMPORTRANGE(""1T7HG8KEs-Ob7f3M5atEVN9Yn7IeORGp0QGvggB62ELw"",""Maestro!A:I""),""SELECT Col7 WHERE Col3 = '""&amp;BE301&amp;""'"", 0), 1, 1),""NO ENCONTRADO"")"),"")</f>
        <v/>
      </c>
      <c r="BJ301" s="16">
        <f t="shared" si="19"/>
        <v>0</v>
      </c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4"/>
      <c r="BX301" s="14"/>
      <c r="BY301" s="14"/>
      <c r="BZ301" s="14"/>
      <c r="CA301" s="14"/>
      <c r="CB301" s="14"/>
      <c r="CC301" s="14"/>
      <c r="CD301" s="14"/>
      <c r="CE301" s="14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</row>
    <row r="302">
      <c r="A302" s="258" t="s">
        <v>254</v>
      </c>
      <c r="B302" s="259" t="s">
        <v>465</v>
      </c>
      <c r="C302" s="259" t="s">
        <v>631</v>
      </c>
      <c r="D302" s="260" t="str">
        <f t="shared" si="8"/>
        <v>R-8-B10</v>
      </c>
      <c r="E302" s="78">
        <v>45744.0</v>
      </c>
      <c r="F302" s="88" t="s">
        <v>731</v>
      </c>
      <c r="G302" s="80" t="s">
        <v>320</v>
      </c>
      <c r="H302" s="81" t="s">
        <v>321</v>
      </c>
      <c r="I302" s="82">
        <v>1.0</v>
      </c>
      <c r="J302" s="81" t="s">
        <v>478</v>
      </c>
      <c r="K302" s="27" t="str">
        <f t="shared" si="2"/>
        <v>OCUPADO</v>
      </c>
      <c r="L302" s="28">
        <f t="shared" si="18"/>
        <v>301</v>
      </c>
      <c r="M302" s="261" t="s">
        <v>724</v>
      </c>
      <c r="N302" s="264"/>
      <c r="O302" s="168" t="s">
        <v>270</v>
      </c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4"/>
      <c r="BF302" s="12"/>
      <c r="BG302" s="12"/>
      <c r="BH302" s="12" t="str">
        <f>IFERROR(__xludf.DUMMYFUNCTION("IFERROR(INDEX(QUERY(IMPORTRANGE(""1T7HG8KEs-Ob7f3M5atEVN9Yn7IeORGp0QGvggB62ELw"",""Maestro!A:I""),""SELECT Col8 WHERE Col3 = '""&amp;BE302&amp;""'"", 0), 1, 1),""NO ENCONTRADO"")"),"")</f>
        <v/>
      </c>
      <c r="BI302" s="12" t="str">
        <f>IFERROR(__xludf.DUMMYFUNCTION("IFERROR(INDEX(QUERY(IMPORTRANGE(""1T7HG8KEs-Ob7f3M5atEVN9Yn7IeORGp0QGvggB62ELw"",""Maestro!A:I""),""SELECT Col7 WHERE Col3 = '""&amp;BE302&amp;""'"", 0), 1, 1),""NO ENCONTRADO"")"),"")</f>
        <v/>
      </c>
      <c r="BJ302" s="16">
        <f t="shared" si="19"/>
        <v>0</v>
      </c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4"/>
      <c r="BX302" s="14"/>
      <c r="BY302" s="14"/>
      <c r="BZ302" s="14"/>
      <c r="CA302" s="14"/>
      <c r="CB302" s="14"/>
      <c r="CC302" s="14"/>
      <c r="CD302" s="14"/>
      <c r="CE302" s="14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</row>
    <row r="303">
      <c r="A303" s="258" t="s">
        <v>254</v>
      </c>
      <c r="B303" s="259" t="s">
        <v>465</v>
      </c>
      <c r="C303" s="259" t="s">
        <v>571</v>
      </c>
      <c r="D303" s="260" t="str">
        <f t="shared" si="8"/>
        <v>R-8-B11</v>
      </c>
      <c r="E303" s="72"/>
      <c r="F303" s="73"/>
      <c r="G303" s="74"/>
      <c r="H303" s="75"/>
      <c r="I303" s="76"/>
      <c r="J303" s="75"/>
      <c r="K303" s="32" t="str">
        <f t="shared" si="2"/>
        <v>DISPONIBLE</v>
      </c>
      <c r="L303" s="33">
        <f t="shared" si="18"/>
        <v>302</v>
      </c>
      <c r="M303" s="261" t="s">
        <v>724</v>
      </c>
      <c r="N303" s="262"/>
      <c r="O303" s="169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4"/>
      <c r="BF303" s="12"/>
      <c r="BG303" s="12"/>
      <c r="BH303" s="12" t="str">
        <f>IFERROR(__xludf.DUMMYFUNCTION("IFERROR(INDEX(QUERY(IMPORTRANGE(""1T7HG8KEs-Ob7f3M5atEVN9Yn7IeORGp0QGvggB62ELw"",""Maestro!A:I""),""SELECT Col8 WHERE Col3 = '""&amp;BE303&amp;""'"", 0), 1, 1),""NO ENCONTRADO"")"),"")</f>
        <v/>
      </c>
      <c r="BI303" s="12" t="str">
        <f>IFERROR(__xludf.DUMMYFUNCTION("IFERROR(INDEX(QUERY(IMPORTRANGE(""1T7HG8KEs-Ob7f3M5atEVN9Yn7IeORGp0QGvggB62ELw"",""Maestro!A:I""),""SELECT Col7 WHERE Col3 = '""&amp;BE303&amp;""'"", 0), 1, 1),""NO ENCONTRADO"")"),"")</f>
        <v/>
      </c>
      <c r="BJ303" s="16">
        <f t="shared" si="19"/>
        <v>0</v>
      </c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4"/>
      <c r="BX303" s="14"/>
      <c r="BY303" s="14"/>
      <c r="BZ303" s="14"/>
      <c r="CA303" s="14"/>
      <c r="CB303" s="14"/>
      <c r="CC303" s="14"/>
      <c r="CD303" s="14"/>
      <c r="CE303" s="14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</row>
    <row r="304">
      <c r="A304" s="258" t="s">
        <v>254</v>
      </c>
      <c r="B304" s="259" t="s">
        <v>465</v>
      </c>
      <c r="C304" s="259" t="s">
        <v>574</v>
      </c>
      <c r="D304" s="260" t="str">
        <f t="shared" si="8"/>
        <v>R-8-B12</v>
      </c>
      <c r="E304" s="72"/>
      <c r="F304" s="77"/>
      <c r="G304" s="265"/>
      <c r="H304" s="75"/>
      <c r="I304" s="76"/>
      <c r="J304" s="75"/>
      <c r="K304" s="27" t="str">
        <f t="shared" si="2"/>
        <v>DISPONIBLE</v>
      </c>
      <c r="L304" s="28">
        <f t="shared" si="18"/>
        <v>303</v>
      </c>
      <c r="M304" s="261" t="s">
        <v>724</v>
      </c>
      <c r="N304" s="264"/>
      <c r="O304" s="266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4"/>
      <c r="BF304" s="12"/>
      <c r="BG304" s="12"/>
      <c r="BH304" s="12" t="str">
        <f>IFERROR(__xludf.DUMMYFUNCTION("IFERROR(INDEX(QUERY(IMPORTRANGE(""1T7HG8KEs-Ob7f3M5atEVN9Yn7IeORGp0QGvggB62ELw"",""Maestro!A:I""),""SELECT Col8 WHERE Col3 = '""&amp;BE304&amp;""'"", 0), 1, 1),""NO ENCONTRADO"")"),"")</f>
        <v/>
      </c>
      <c r="BI304" s="12" t="str">
        <f>IFERROR(__xludf.DUMMYFUNCTION("IFERROR(INDEX(QUERY(IMPORTRANGE(""1T7HG8KEs-Ob7f3M5atEVN9Yn7IeORGp0QGvggB62ELw"",""Maestro!A:I""),""SELECT Col7 WHERE Col3 = '""&amp;BE304&amp;""'"", 0), 1, 1),""NO ENCONTRADO"")"),"")</f>
        <v/>
      </c>
      <c r="BJ304" s="16">
        <f t="shared" si="19"/>
        <v>0</v>
      </c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4"/>
      <c r="BX304" s="14"/>
      <c r="BY304" s="14"/>
      <c r="BZ304" s="14"/>
      <c r="CA304" s="14"/>
      <c r="CB304" s="14"/>
      <c r="CC304" s="14"/>
      <c r="CD304" s="14"/>
      <c r="CE304" s="14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</row>
    <row r="305">
      <c r="A305" s="258" t="s">
        <v>254</v>
      </c>
      <c r="B305" s="259" t="s">
        <v>465</v>
      </c>
      <c r="C305" s="259" t="s">
        <v>578</v>
      </c>
      <c r="D305" s="260" t="str">
        <f t="shared" si="8"/>
        <v>R-8-B13</v>
      </c>
      <c r="E305" s="72"/>
      <c r="F305" s="77"/>
      <c r="G305" s="265"/>
      <c r="H305" s="75"/>
      <c r="I305" s="76"/>
      <c r="J305" s="75"/>
      <c r="K305" s="32" t="str">
        <f t="shared" si="2"/>
        <v>DISPONIBLE</v>
      </c>
      <c r="L305" s="33">
        <f t="shared" si="18"/>
        <v>304</v>
      </c>
      <c r="M305" s="261" t="s">
        <v>724</v>
      </c>
      <c r="N305" s="262"/>
      <c r="O305" s="267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4"/>
      <c r="BF305" s="12"/>
      <c r="BG305" s="12"/>
      <c r="BH305" s="12" t="str">
        <f>IFERROR(__xludf.DUMMYFUNCTION("IFERROR(INDEX(QUERY(IMPORTRANGE(""1T7HG8KEs-Ob7f3M5atEVN9Yn7IeORGp0QGvggB62ELw"",""Maestro!A:I""),""SELECT Col8 WHERE Col3 = '""&amp;BE305&amp;""'"", 0), 1, 1),""NO ENCONTRADO"")"),"")</f>
        <v/>
      </c>
      <c r="BI305" s="12" t="str">
        <f>IFERROR(__xludf.DUMMYFUNCTION("IFERROR(INDEX(QUERY(IMPORTRANGE(""1T7HG8KEs-Ob7f3M5atEVN9Yn7IeORGp0QGvggB62ELw"",""Maestro!A:I""),""SELECT Col7 WHERE Col3 = '""&amp;BE305&amp;""'"", 0), 1, 1),""NO ENCONTRADO"")"),"")</f>
        <v/>
      </c>
      <c r="BJ305" s="16">
        <f t="shared" si="19"/>
        <v>0</v>
      </c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4"/>
      <c r="BX305" s="14"/>
      <c r="BY305" s="14"/>
      <c r="BZ305" s="14"/>
      <c r="CA305" s="14"/>
      <c r="CB305" s="14"/>
      <c r="CC305" s="14"/>
      <c r="CD305" s="14"/>
      <c r="CE305" s="14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</row>
    <row r="306">
      <c r="A306" s="258" t="s">
        <v>254</v>
      </c>
      <c r="B306" s="259" t="s">
        <v>465</v>
      </c>
      <c r="C306" s="259" t="s">
        <v>581</v>
      </c>
      <c r="D306" s="260" t="str">
        <f t="shared" si="8"/>
        <v>R-8-B14</v>
      </c>
      <c r="E306" s="72"/>
      <c r="F306" s="77"/>
      <c r="G306" s="265"/>
      <c r="H306" s="75"/>
      <c r="I306" s="76"/>
      <c r="J306" s="75"/>
      <c r="K306" s="27" t="str">
        <f t="shared" si="2"/>
        <v>DISPONIBLE</v>
      </c>
      <c r="L306" s="28">
        <f t="shared" si="18"/>
        <v>305</v>
      </c>
      <c r="M306" s="261" t="s">
        <v>724</v>
      </c>
      <c r="N306" s="264"/>
      <c r="O306" s="266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4"/>
      <c r="BF306" s="12"/>
      <c r="BG306" s="12"/>
      <c r="BH306" s="12" t="str">
        <f>IFERROR(__xludf.DUMMYFUNCTION("IFERROR(INDEX(QUERY(IMPORTRANGE(""1T7HG8KEs-Ob7f3M5atEVN9Yn7IeORGp0QGvggB62ELw"",""Maestro!A:I""),""SELECT Col8 WHERE Col3 = '""&amp;BE306&amp;""'"", 0), 1, 1),""NO ENCONTRADO"")"),"")</f>
        <v/>
      </c>
      <c r="BI306" s="12" t="str">
        <f>IFERROR(__xludf.DUMMYFUNCTION("IFERROR(INDEX(QUERY(IMPORTRANGE(""1T7HG8KEs-Ob7f3M5atEVN9Yn7IeORGp0QGvggB62ELw"",""Maestro!A:I""),""SELECT Col7 WHERE Col3 = '""&amp;BE306&amp;""'"", 0), 1, 1),""NO ENCONTRADO"")"),"")</f>
        <v/>
      </c>
      <c r="BJ306" s="16">
        <f t="shared" si="19"/>
        <v>0</v>
      </c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4"/>
      <c r="BX306" s="14"/>
      <c r="BY306" s="14"/>
      <c r="BZ306" s="14"/>
      <c r="CA306" s="14"/>
      <c r="CB306" s="14"/>
      <c r="CC306" s="14"/>
      <c r="CD306" s="14"/>
      <c r="CE306" s="14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</row>
    <row r="307">
      <c r="A307" s="258" t="s">
        <v>254</v>
      </c>
      <c r="B307" s="259" t="s">
        <v>465</v>
      </c>
      <c r="C307" s="259" t="s">
        <v>584</v>
      </c>
      <c r="D307" s="260" t="str">
        <f t="shared" si="8"/>
        <v>R-8-B15</v>
      </c>
      <c r="E307" s="72"/>
      <c r="F307" s="77"/>
      <c r="G307" s="265"/>
      <c r="H307" s="75"/>
      <c r="I307" s="76"/>
      <c r="J307" s="75"/>
      <c r="K307" s="32" t="str">
        <f t="shared" si="2"/>
        <v>DISPONIBLE</v>
      </c>
      <c r="L307" s="33">
        <f t="shared" si="18"/>
        <v>306</v>
      </c>
      <c r="M307" s="261" t="s">
        <v>724</v>
      </c>
      <c r="N307" s="262"/>
      <c r="O307" s="267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4"/>
      <c r="BF307" s="12"/>
      <c r="BG307" s="12"/>
      <c r="BH307" s="12" t="str">
        <f>IFERROR(__xludf.DUMMYFUNCTION("IFERROR(INDEX(QUERY(IMPORTRANGE(""1T7HG8KEs-Ob7f3M5atEVN9Yn7IeORGp0QGvggB62ELw"",""Maestro!A:I""),""SELECT Col8 WHERE Col3 = '""&amp;BE307&amp;""'"", 0), 1, 1),""NO ENCONTRADO"")"),"")</f>
        <v/>
      </c>
      <c r="BI307" s="12" t="str">
        <f>IFERROR(__xludf.DUMMYFUNCTION("IFERROR(INDEX(QUERY(IMPORTRANGE(""1T7HG8KEs-Ob7f3M5atEVN9Yn7IeORGp0QGvggB62ELw"",""Maestro!A:I""),""SELECT Col7 WHERE Col3 = '""&amp;BE307&amp;""'"", 0), 1, 1),""NO ENCONTRADO"")"),"")</f>
        <v/>
      </c>
      <c r="BJ307" s="16">
        <f t="shared" si="19"/>
        <v>0</v>
      </c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4"/>
      <c r="BX307" s="14"/>
      <c r="BY307" s="14"/>
      <c r="BZ307" s="14"/>
      <c r="CA307" s="14"/>
      <c r="CB307" s="14"/>
      <c r="CC307" s="14"/>
      <c r="CD307" s="14"/>
      <c r="CE307" s="14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</row>
    <row r="308">
      <c r="A308" s="268" t="s">
        <v>254</v>
      </c>
      <c r="B308" s="269" t="s">
        <v>465</v>
      </c>
      <c r="C308" s="269" t="s">
        <v>587</v>
      </c>
      <c r="D308" s="270" t="str">
        <f t="shared" si="8"/>
        <v>R-8-B16</v>
      </c>
      <c r="E308" s="234"/>
      <c r="F308" s="235"/>
      <c r="G308" s="271"/>
      <c r="H308" s="239"/>
      <c r="I308" s="272"/>
      <c r="J308" s="239"/>
      <c r="K308" s="63" t="str">
        <f t="shared" si="2"/>
        <v>DISPONIBLE</v>
      </c>
      <c r="L308" s="64">
        <f t="shared" si="18"/>
        <v>307</v>
      </c>
      <c r="M308" s="273" t="s">
        <v>724</v>
      </c>
      <c r="N308" s="65"/>
      <c r="O308" s="66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4"/>
      <c r="BF308" s="12"/>
      <c r="BG308" s="12"/>
      <c r="BH308" s="12" t="str">
        <f>IFERROR(__xludf.DUMMYFUNCTION("IFERROR(INDEX(QUERY(IMPORTRANGE(""1T7HG8KEs-Ob7f3M5atEVN9Yn7IeORGp0QGvggB62ELw"",""Maestro!A:I""),""SELECT Col8 WHERE Col3 = '""&amp;BE308&amp;""'"", 0), 1, 1),""NO ENCONTRADO"")"),"")</f>
        <v/>
      </c>
      <c r="BI308" s="12" t="str">
        <f>IFERROR(__xludf.DUMMYFUNCTION("IFERROR(INDEX(QUERY(IMPORTRANGE(""1T7HG8KEs-Ob7f3M5atEVN9Yn7IeORGp0QGvggB62ELw"",""Maestro!A:I""),""SELECT Col7 WHERE Col3 = '""&amp;BE308&amp;""'"", 0), 1, 1),""NO ENCONTRADO"")"),"")</f>
        <v/>
      </c>
      <c r="BJ308" s="16">
        <f t="shared" si="19"/>
        <v>0</v>
      </c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4"/>
      <c r="BX308" s="14"/>
      <c r="BY308" s="14"/>
      <c r="BZ308" s="14"/>
      <c r="CA308" s="14"/>
      <c r="CB308" s="14"/>
      <c r="CC308" s="14"/>
      <c r="CD308" s="14"/>
      <c r="CE308" s="14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</row>
    <row r="309">
      <c r="A309" s="274" t="s">
        <v>645</v>
      </c>
      <c r="B309" s="275" t="s">
        <v>18</v>
      </c>
      <c r="C309" s="275" t="s">
        <v>18</v>
      </c>
      <c r="D309" s="276" t="str">
        <f t="shared" si="8"/>
        <v>T-1-1</v>
      </c>
      <c r="E309" s="78">
        <v>45821.0</v>
      </c>
      <c r="F309" s="88" t="s">
        <v>732</v>
      </c>
      <c r="G309" s="80" t="s">
        <v>137</v>
      </c>
      <c r="H309" s="81" t="s">
        <v>138</v>
      </c>
      <c r="I309" s="82">
        <v>225.0</v>
      </c>
      <c r="J309" s="81" t="s">
        <v>22</v>
      </c>
      <c r="K309" s="32" t="str">
        <f t="shared" si="2"/>
        <v>OCUPADO</v>
      </c>
      <c r="L309" s="33">
        <f t="shared" si="18"/>
        <v>308</v>
      </c>
      <c r="M309" s="33" t="s">
        <v>733</v>
      </c>
      <c r="N309" s="122"/>
      <c r="O309" s="169" t="s">
        <v>24</v>
      </c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4"/>
      <c r="BF309" s="12"/>
      <c r="BG309" s="12"/>
      <c r="BH309" s="12" t="str">
        <f>IFERROR(__xludf.DUMMYFUNCTION("IFERROR(INDEX(QUERY(IMPORTRANGE(""1T7HG8KEs-Ob7f3M5atEVN9Yn7IeORGp0QGvggB62ELw"",""Maestro!A:I""),""SELECT Col8 WHERE Col3 = '""&amp;BE309&amp;""'"", 0), 1, 1),""NO ENCONTRADO"")"),"")</f>
        <v/>
      </c>
      <c r="BI309" s="12" t="str">
        <f>IFERROR(__xludf.DUMMYFUNCTION("IFERROR(INDEX(QUERY(IMPORTRANGE(""1T7HG8KEs-Ob7f3M5atEVN9Yn7IeORGp0QGvggB62ELw"",""Maestro!A:I""),""SELECT Col7 WHERE Col3 = '""&amp;BE309&amp;""'"", 0), 1, 1),""NO ENCONTRADO"")"),"")</f>
        <v/>
      </c>
      <c r="BJ309" s="16">
        <f t="shared" si="19"/>
        <v>0</v>
      </c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4"/>
      <c r="BX309" s="14"/>
      <c r="BY309" s="14"/>
      <c r="BZ309" s="14"/>
      <c r="CA309" s="14"/>
      <c r="CB309" s="14"/>
      <c r="CC309" s="14"/>
      <c r="CD309" s="14"/>
      <c r="CE309" s="14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</row>
    <row r="310">
      <c r="A310" s="274" t="s">
        <v>645</v>
      </c>
      <c r="B310" s="275" t="s">
        <v>18</v>
      </c>
      <c r="C310" s="275" t="s">
        <v>32</v>
      </c>
      <c r="D310" s="276" t="str">
        <f t="shared" si="8"/>
        <v>T-1-2</v>
      </c>
      <c r="E310" s="78">
        <v>45827.0</v>
      </c>
      <c r="F310" s="88" t="s">
        <v>605</v>
      </c>
      <c r="G310" s="80" t="s">
        <v>309</v>
      </c>
      <c r="H310" s="81" t="s">
        <v>310</v>
      </c>
      <c r="I310" s="82">
        <v>212.0</v>
      </c>
      <c r="J310" s="81" t="s">
        <v>43</v>
      </c>
      <c r="K310" s="27" t="str">
        <f t="shared" si="2"/>
        <v>OCUPADO</v>
      </c>
      <c r="L310" s="28">
        <f t="shared" si="18"/>
        <v>309</v>
      </c>
      <c r="M310" s="28" t="s">
        <v>733</v>
      </c>
      <c r="N310" s="109"/>
      <c r="O310" s="168" t="s">
        <v>270</v>
      </c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4"/>
      <c r="BF310" s="12"/>
      <c r="BG310" s="12"/>
      <c r="BH310" s="12" t="str">
        <f>IFERROR(__xludf.DUMMYFUNCTION("IFERROR(INDEX(QUERY(IMPORTRANGE(""1T7HG8KEs-Ob7f3M5atEVN9Yn7IeORGp0QGvggB62ELw"",""Maestro!A:I""),""SELECT Col8 WHERE Col3 = '""&amp;BE310&amp;""'"", 0), 1, 1),""NO ENCONTRADO"")"),"")</f>
        <v/>
      </c>
      <c r="BI310" s="12" t="str">
        <f>IFERROR(__xludf.DUMMYFUNCTION("IFERROR(INDEX(QUERY(IMPORTRANGE(""1T7HG8KEs-Ob7f3M5atEVN9Yn7IeORGp0QGvggB62ELw"",""Maestro!A:I""),""SELECT Col7 WHERE Col3 = '""&amp;BE310&amp;""'"", 0), 1, 1),""NO ENCONTRADO"")"),"")</f>
        <v/>
      </c>
      <c r="BJ310" s="16">
        <f t="shared" si="19"/>
        <v>0</v>
      </c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4"/>
      <c r="BX310" s="14"/>
      <c r="BY310" s="14"/>
      <c r="BZ310" s="14"/>
      <c r="CA310" s="14"/>
      <c r="CB310" s="14"/>
      <c r="CC310" s="14"/>
      <c r="CD310" s="14"/>
      <c r="CE310" s="14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</row>
    <row r="311">
      <c r="A311" s="274" t="s">
        <v>645</v>
      </c>
      <c r="B311" s="275" t="s">
        <v>18</v>
      </c>
      <c r="C311" s="275" t="s">
        <v>44</v>
      </c>
      <c r="D311" s="276" t="str">
        <f t="shared" si="8"/>
        <v>T-1-3</v>
      </c>
      <c r="E311" s="78">
        <v>45824.0</v>
      </c>
      <c r="F311" s="88" t="s">
        <v>666</v>
      </c>
      <c r="G311" s="80" t="s">
        <v>249</v>
      </c>
      <c r="H311" s="81" t="s">
        <v>250</v>
      </c>
      <c r="I311" s="82">
        <v>84.0</v>
      </c>
      <c r="J311" s="81" t="s">
        <v>43</v>
      </c>
      <c r="K311" s="32" t="str">
        <f t="shared" si="2"/>
        <v>OCUPADO</v>
      </c>
      <c r="L311" s="33">
        <f t="shared" si="18"/>
        <v>310</v>
      </c>
      <c r="M311" s="33" t="s">
        <v>733</v>
      </c>
      <c r="N311" s="33"/>
      <c r="O311" s="169" t="s">
        <v>270</v>
      </c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4"/>
      <c r="BF311" s="12"/>
      <c r="BG311" s="12"/>
      <c r="BH311" s="12" t="str">
        <f>IFERROR(__xludf.DUMMYFUNCTION("IFERROR(INDEX(QUERY(IMPORTRANGE(""1T7HG8KEs-Ob7f3M5atEVN9Yn7IeORGp0QGvggB62ELw"",""Maestro!A:I""),""SELECT Col8 WHERE Col3 = '""&amp;BE311&amp;""'"", 0), 1, 1),""NO ENCONTRADO"")"),"")</f>
        <v/>
      </c>
      <c r="BI311" s="12" t="str">
        <f>IFERROR(__xludf.DUMMYFUNCTION("IFERROR(INDEX(QUERY(IMPORTRANGE(""1T7HG8KEs-Ob7f3M5atEVN9Yn7IeORGp0QGvggB62ELw"",""Maestro!A:I""),""SELECT Col7 WHERE Col3 = '""&amp;BE311&amp;""'"", 0), 1, 1),""NO ENCONTRADO"")"),"")</f>
        <v/>
      </c>
      <c r="BJ311" s="16">
        <f t="shared" si="19"/>
        <v>0</v>
      </c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4"/>
      <c r="BX311" s="14"/>
      <c r="BY311" s="14"/>
      <c r="BZ311" s="14"/>
      <c r="CA311" s="14"/>
      <c r="CB311" s="14"/>
      <c r="CC311" s="14"/>
      <c r="CD311" s="14"/>
      <c r="CE311" s="14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</row>
    <row r="312">
      <c r="A312" s="274" t="s">
        <v>645</v>
      </c>
      <c r="B312" s="275" t="s">
        <v>18</v>
      </c>
      <c r="C312" s="275" t="s">
        <v>53</v>
      </c>
      <c r="D312" s="276" t="str">
        <f t="shared" si="8"/>
        <v>T-1-4</v>
      </c>
      <c r="E312" s="78">
        <v>45821.0</v>
      </c>
      <c r="F312" s="88" t="s">
        <v>732</v>
      </c>
      <c r="G312" s="80" t="s">
        <v>137</v>
      </c>
      <c r="H312" s="81" t="s">
        <v>138</v>
      </c>
      <c r="I312" s="82">
        <v>225.0</v>
      </c>
      <c r="J312" s="81" t="s">
        <v>22</v>
      </c>
      <c r="K312" s="27" t="str">
        <f t="shared" si="2"/>
        <v>OCUPADO</v>
      </c>
      <c r="L312" s="28">
        <f t="shared" si="18"/>
        <v>311</v>
      </c>
      <c r="M312" s="28" t="s">
        <v>733</v>
      </c>
      <c r="N312" s="109"/>
      <c r="O312" s="168" t="s">
        <v>24</v>
      </c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4"/>
      <c r="BF312" s="12"/>
      <c r="BG312" s="12"/>
      <c r="BH312" s="12" t="str">
        <f>IFERROR(__xludf.DUMMYFUNCTION("IFERROR(INDEX(QUERY(IMPORTRANGE(""1T7HG8KEs-Ob7f3M5atEVN9Yn7IeORGp0QGvggB62ELw"",""Maestro!A:I""),""SELECT Col8 WHERE Col3 = '""&amp;BE312&amp;""'"", 0), 1, 1),""NO ENCONTRADO"")"),"")</f>
        <v/>
      </c>
      <c r="BI312" s="12" t="str">
        <f>IFERROR(__xludf.DUMMYFUNCTION("IFERROR(INDEX(QUERY(IMPORTRANGE(""1T7HG8KEs-Ob7f3M5atEVN9Yn7IeORGp0QGvggB62ELw"",""Maestro!A:I""),""SELECT Col7 WHERE Col3 = '""&amp;BE312&amp;""'"", 0), 1, 1),""NO ENCONTRADO"")"),"")</f>
        <v/>
      </c>
      <c r="BJ312" s="16">
        <f t="shared" si="19"/>
        <v>0</v>
      </c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4"/>
      <c r="BX312" s="14"/>
      <c r="BY312" s="14"/>
      <c r="BZ312" s="14"/>
      <c r="CA312" s="14"/>
      <c r="CB312" s="14"/>
      <c r="CC312" s="14"/>
      <c r="CD312" s="14"/>
      <c r="CE312" s="14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</row>
    <row r="313">
      <c r="A313" s="274" t="s">
        <v>645</v>
      </c>
      <c r="B313" s="275" t="s">
        <v>18</v>
      </c>
      <c r="C313" s="275" t="s">
        <v>25</v>
      </c>
      <c r="D313" s="276" t="str">
        <f t="shared" si="8"/>
        <v>T-1-5</v>
      </c>
      <c r="E313" s="78">
        <v>45810.0</v>
      </c>
      <c r="F313" s="88" t="s">
        <v>600</v>
      </c>
      <c r="G313" s="80" t="s">
        <v>325</v>
      </c>
      <c r="H313" s="81" t="s">
        <v>326</v>
      </c>
      <c r="I313" s="82">
        <v>169.0</v>
      </c>
      <c r="J313" s="81" t="s">
        <v>43</v>
      </c>
      <c r="K313" s="32" t="str">
        <f t="shared" si="2"/>
        <v>OCUPADO</v>
      </c>
      <c r="L313" s="33">
        <f t="shared" si="18"/>
        <v>312</v>
      </c>
      <c r="M313" s="33" t="s">
        <v>733</v>
      </c>
      <c r="N313" s="33">
        <v>160.0</v>
      </c>
      <c r="O313" s="169" t="s">
        <v>270</v>
      </c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4"/>
      <c r="BF313" s="12"/>
      <c r="BG313" s="12"/>
      <c r="BH313" s="12" t="str">
        <f>IFERROR(__xludf.DUMMYFUNCTION("IFERROR(INDEX(QUERY(IMPORTRANGE(""1T7HG8KEs-Ob7f3M5atEVN9Yn7IeORGp0QGvggB62ELw"",""Maestro!A:I""),""SELECT Col8 WHERE Col3 = '""&amp;BE313&amp;""'"", 0), 1, 1),""NO ENCONTRADO"")"),"")</f>
        <v/>
      </c>
      <c r="BI313" s="12" t="str">
        <f>IFERROR(__xludf.DUMMYFUNCTION("IFERROR(INDEX(QUERY(IMPORTRANGE(""1T7HG8KEs-Ob7f3M5atEVN9Yn7IeORGp0QGvggB62ELw"",""Maestro!A:I""),""SELECT Col7 WHERE Col3 = '""&amp;BE313&amp;""'"", 0), 1, 1),""NO ENCONTRADO"")"),"")</f>
        <v/>
      </c>
      <c r="BJ313" s="16">
        <f t="shared" si="19"/>
        <v>0</v>
      </c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4"/>
      <c r="BX313" s="14"/>
      <c r="BY313" s="14"/>
      <c r="BZ313" s="14"/>
      <c r="CA313" s="14"/>
      <c r="CB313" s="14"/>
      <c r="CC313" s="14"/>
      <c r="CD313" s="14"/>
      <c r="CE313" s="14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</row>
    <row r="314">
      <c r="A314" s="274" t="s">
        <v>645</v>
      </c>
      <c r="B314" s="275" t="s">
        <v>18</v>
      </c>
      <c r="C314" s="275" t="s">
        <v>36</v>
      </c>
      <c r="D314" s="276" t="str">
        <f t="shared" si="8"/>
        <v>T-1-6</v>
      </c>
      <c r="E314" s="78">
        <v>45821.0</v>
      </c>
      <c r="F314" s="79" t="s">
        <v>734</v>
      </c>
      <c r="G314" s="246">
        <v>691084.0</v>
      </c>
      <c r="H314" s="81" t="s">
        <v>57</v>
      </c>
      <c r="I314" s="82">
        <v>56.0</v>
      </c>
      <c r="J314" s="81" t="s">
        <v>22</v>
      </c>
      <c r="K314" s="27" t="str">
        <f t="shared" si="2"/>
        <v>OCUPADO</v>
      </c>
      <c r="L314" s="28">
        <f t="shared" si="18"/>
        <v>313</v>
      </c>
      <c r="M314" s="28" t="s">
        <v>733</v>
      </c>
      <c r="N314" s="109"/>
      <c r="O314" s="248" t="s">
        <v>24</v>
      </c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4"/>
      <c r="BF314" s="12"/>
      <c r="BG314" s="12"/>
      <c r="BH314" s="12" t="str">
        <f>IFERROR(__xludf.DUMMYFUNCTION("IFERROR(INDEX(QUERY(IMPORTRANGE(""1T7HG8KEs-Ob7f3M5atEVN9Yn7IeORGp0QGvggB62ELw"",""Maestro!A:I""),""SELECT Col8 WHERE Col3 = '""&amp;BE314&amp;""'"", 0), 1, 1),""NO ENCONTRADO"")"),"")</f>
        <v/>
      </c>
      <c r="BI314" s="12" t="str">
        <f>IFERROR(__xludf.DUMMYFUNCTION("IFERROR(INDEX(QUERY(IMPORTRANGE(""1T7HG8KEs-Ob7f3M5atEVN9Yn7IeORGp0QGvggB62ELw"",""Maestro!A:I""),""SELECT Col7 WHERE Col3 = '""&amp;BE314&amp;""'"", 0), 1, 1),""NO ENCONTRADO"")"),"")</f>
        <v/>
      </c>
      <c r="BJ314" s="16">
        <f t="shared" si="19"/>
        <v>0</v>
      </c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4"/>
      <c r="BX314" s="14"/>
      <c r="BY314" s="14"/>
      <c r="BZ314" s="14"/>
      <c r="CA314" s="14"/>
      <c r="CB314" s="14"/>
      <c r="CC314" s="14"/>
      <c r="CD314" s="14"/>
      <c r="CE314" s="14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</row>
    <row r="315">
      <c r="A315" s="274" t="s">
        <v>645</v>
      </c>
      <c r="B315" s="275" t="s">
        <v>18</v>
      </c>
      <c r="C315" s="275" t="s">
        <v>48</v>
      </c>
      <c r="D315" s="276" t="str">
        <f t="shared" si="8"/>
        <v>T-1-7</v>
      </c>
      <c r="E315" s="78">
        <v>45825.0</v>
      </c>
      <c r="F315" s="79" t="s">
        <v>735</v>
      </c>
      <c r="G315" s="81" t="s">
        <v>301</v>
      </c>
      <c r="H315" s="81" t="s">
        <v>302</v>
      </c>
      <c r="I315" s="82">
        <v>3.0</v>
      </c>
      <c r="J315" s="81" t="s">
        <v>43</v>
      </c>
      <c r="K315" s="32" t="str">
        <f t="shared" si="2"/>
        <v>OCUPADO</v>
      </c>
      <c r="L315" s="33">
        <f t="shared" si="18"/>
        <v>314</v>
      </c>
      <c r="M315" s="33" t="s">
        <v>733</v>
      </c>
      <c r="N315" s="122"/>
      <c r="O315" s="249" t="s">
        <v>270</v>
      </c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4"/>
      <c r="BF315" s="12"/>
      <c r="BG315" s="12"/>
      <c r="BH315" s="12" t="str">
        <f>IFERROR(__xludf.DUMMYFUNCTION("IFERROR(INDEX(QUERY(IMPORTRANGE(""1T7HG8KEs-Ob7f3M5atEVN9Yn7IeORGp0QGvggB62ELw"",""Maestro!A:I""),""SELECT Col8 WHERE Col3 = '""&amp;BE315&amp;""'"", 0), 1, 1),""NO ENCONTRADO"")"),"")</f>
        <v/>
      </c>
      <c r="BI315" s="12" t="str">
        <f>IFERROR(__xludf.DUMMYFUNCTION("IFERROR(INDEX(QUERY(IMPORTRANGE(""1T7HG8KEs-Ob7f3M5atEVN9Yn7IeORGp0QGvggB62ELw"",""Maestro!A:I""),""SELECT Col7 WHERE Col3 = '""&amp;BE315&amp;""'"", 0), 1, 1),""NO ENCONTRADO"")"),"")</f>
        <v/>
      </c>
      <c r="BJ315" s="16">
        <f t="shared" si="19"/>
        <v>0</v>
      </c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4"/>
      <c r="BX315" s="14"/>
      <c r="BY315" s="14"/>
      <c r="BZ315" s="14"/>
      <c r="CA315" s="14"/>
      <c r="CB315" s="14"/>
      <c r="CC315" s="14"/>
      <c r="CD315" s="14"/>
      <c r="CE315" s="14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</row>
    <row r="316">
      <c r="A316" s="274" t="s">
        <v>645</v>
      </c>
      <c r="B316" s="275" t="s">
        <v>18</v>
      </c>
      <c r="C316" s="275" t="s">
        <v>465</v>
      </c>
      <c r="D316" s="276" t="str">
        <f t="shared" si="8"/>
        <v>T-1-8</v>
      </c>
      <c r="E316" s="162">
        <v>45825.0</v>
      </c>
      <c r="F316" s="79" t="s">
        <v>625</v>
      </c>
      <c r="G316" s="80" t="s">
        <v>111</v>
      </c>
      <c r="H316" s="81" t="s">
        <v>112</v>
      </c>
      <c r="I316" s="82">
        <v>44.0</v>
      </c>
      <c r="J316" s="81" t="s">
        <v>43</v>
      </c>
      <c r="K316" s="27" t="str">
        <f t="shared" si="2"/>
        <v>OCUPADO</v>
      </c>
      <c r="L316" s="28">
        <f t="shared" si="18"/>
        <v>315</v>
      </c>
      <c r="M316" s="28" t="s">
        <v>733</v>
      </c>
      <c r="N316" s="109"/>
      <c r="O316" s="168" t="s">
        <v>270</v>
      </c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4"/>
      <c r="BF316" s="12"/>
      <c r="BG316" s="12"/>
      <c r="BH316" s="12" t="str">
        <f>IFERROR(__xludf.DUMMYFUNCTION("IFERROR(INDEX(QUERY(IMPORTRANGE(""1T7HG8KEs-Ob7f3M5atEVN9Yn7IeORGp0QGvggB62ELw"",""Maestro!A:I""),""SELECT Col8 WHERE Col3 = '""&amp;BE316&amp;""'"", 0), 1, 1),""NO ENCONTRADO"")"),"")</f>
        <v/>
      </c>
      <c r="BI316" s="12" t="str">
        <f>IFERROR(__xludf.DUMMYFUNCTION("IFERROR(INDEX(QUERY(IMPORTRANGE(""1T7HG8KEs-Ob7f3M5atEVN9Yn7IeORGp0QGvggB62ELw"",""Maestro!A:I""),""SELECT Col7 WHERE Col3 = '""&amp;BE316&amp;""'"", 0), 1, 1),""NO ENCONTRADO"")"),"")</f>
        <v/>
      </c>
      <c r="BJ316" s="16">
        <f t="shared" si="19"/>
        <v>0</v>
      </c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4"/>
      <c r="BX316" s="14"/>
      <c r="BY316" s="14"/>
      <c r="BZ316" s="14"/>
      <c r="CA316" s="14"/>
      <c r="CB316" s="14"/>
      <c r="CC316" s="14"/>
      <c r="CD316" s="14"/>
      <c r="CE316" s="14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</row>
    <row r="317">
      <c r="A317" s="274" t="s">
        <v>645</v>
      </c>
      <c r="B317" s="275" t="s">
        <v>18</v>
      </c>
      <c r="C317" s="275" t="s">
        <v>511</v>
      </c>
      <c r="D317" s="276" t="str">
        <f t="shared" si="8"/>
        <v>T-1-9</v>
      </c>
      <c r="E317" s="78">
        <v>45826.0</v>
      </c>
      <c r="F317" s="79" t="s">
        <v>652</v>
      </c>
      <c r="G317" s="80" t="s">
        <v>244</v>
      </c>
      <c r="H317" s="81" t="s">
        <v>245</v>
      </c>
      <c r="I317" s="82">
        <v>189.0</v>
      </c>
      <c r="J317" s="81" t="s">
        <v>43</v>
      </c>
      <c r="K317" s="32" t="str">
        <f t="shared" si="2"/>
        <v>OCUPADO</v>
      </c>
      <c r="L317" s="33">
        <f t="shared" si="18"/>
        <v>316</v>
      </c>
      <c r="M317" s="33" t="s">
        <v>733</v>
      </c>
      <c r="N317" s="122"/>
      <c r="O317" s="169" t="s">
        <v>270</v>
      </c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4"/>
      <c r="BF317" s="12"/>
      <c r="BG317" s="12"/>
      <c r="BH317" s="12" t="str">
        <f>IFERROR(__xludf.DUMMYFUNCTION("IFERROR(INDEX(QUERY(IMPORTRANGE(""1T7HG8KEs-Ob7f3M5atEVN9Yn7IeORGp0QGvggB62ELw"",""Maestro!A:I""),""SELECT Col8 WHERE Col3 = '""&amp;BE317&amp;""'"", 0), 1, 1),""NO ENCONTRADO"")"),"")</f>
        <v/>
      </c>
      <c r="BI317" s="12" t="str">
        <f>IFERROR(__xludf.DUMMYFUNCTION("IFERROR(INDEX(QUERY(IMPORTRANGE(""1T7HG8KEs-Ob7f3M5atEVN9Yn7IeORGp0QGvggB62ELw"",""Maestro!A:I""),""SELECT Col7 WHERE Col3 = '""&amp;BE317&amp;""'"", 0), 1, 1),""NO ENCONTRADO"")"),"")</f>
        <v/>
      </c>
      <c r="BJ317" s="16">
        <f t="shared" si="19"/>
        <v>0</v>
      </c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4"/>
      <c r="BX317" s="14"/>
      <c r="BY317" s="14"/>
      <c r="BZ317" s="14"/>
      <c r="CA317" s="14"/>
      <c r="CB317" s="14"/>
      <c r="CC317" s="14"/>
      <c r="CD317" s="14"/>
      <c r="CE317" s="14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</row>
    <row r="318">
      <c r="A318" s="274" t="s">
        <v>645</v>
      </c>
      <c r="B318" s="275" t="s">
        <v>18</v>
      </c>
      <c r="C318" s="275" t="s">
        <v>296</v>
      </c>
      <c r="D318" s="276" t="str">
        <f t="shared" si="8"/>
        <v>T-1-10</v>
      </c>
      <c r="E318" s="277">
        <v>45817.0</v>
      </c>
      <c r="F318" s="278" t="s">
        <v>720</v>
      </c>
      <c r="G318" s="279" t="s">
        <v>151</v>
      </c>
      <c r="H318" s="279" t="s">
        <v>152</v>
      </c>
      <c r="I318" s="280">
        <v>200.0</v>
      </c>
      <c r="J318" s="279" t="s">
        <v>22</v>
      </c>
      <c r="K318" s="27" t="str">
        <f t="shared" si="2"/>
        <v>OCUPADO</v>
      </c>
      <c r="L318" s="28">
        <f t="shared" si="18"/>
        <v>317</v>
      </c>
      <c r="M318" s="28" t="s">
        <v>733</v>
      </c>
      <c r="N318" s="28">
        <v>51.0</v>
      </c>
      <c r="O318" s="168" t="s">
        <v>24</v>
      </c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4"/>
      <c r="BF318" s="12"/>
      <c r="BG318" s="12"/>
      <c r="BH318" s="12" t="str">
        <f>IFERROR(__xludf.DUMMYFUNCTION("IFERROR(INDEX(QUERY(IMPORTRANGE(""1T7HG8KEs-Ob7f3M5atEVN9Yn7IeORGp0QGvggB62ELw"",""Maestro!A:I""),""SELECT Col8 WHERE Col3 = '""&amp;BE318&amp;""'"", 0), 1, 1),""NO ENCONTRADO"")"),"")</f>
        <v/>
      </c>
      <c r="BI318" s="12" t="str">
        <f>IFERROR(__xludf.DUMMYFUNCTION("IFERROR(INDEX(QUERY(IMPORTRANGE(""1T7HG8KEs-Ob7f3M5atEVN9Yn7IeORGp0QGvggB62ELw"",""Maestro!A:I""),""SELECT Col7 WHERE Col3 = '""&amp;BE318&amp;""'"", 0), 1, 1),""NO ENCONTRADO"")"),"")</f>
        <v/>
      </c>
      <c r="BJ318" s="16">
        <f t="shared" si="19"/>
        <v>0</v>
      </c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4"/>
      <c r="BX318" s="14"/>
      <c r="BY318" s="14"/>
      <c r="BZ318" s="14"/>
      <c r="CA318" s="14"/>
      <c r="CB318" s="14"/>
      <c r="CC318" s="14"/>
      <c r="CD318" s="14"/>
      <c r="CE318" s="14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</row>
    <row r="319">
      <c r="A319" s="274" t="s">
        <v>645</v>
      </c>
      <c r="B319" s="275" t="s">
        <v>18</v>
      </c>
      <c r="C319" s="275" t="s">
        <v>316</v>
      </c>
      <c r="D319" s="276" t="str">
        <f t="shared" si="8"/>
        <v>T-1-11</v>
      </c>
      <c r="E319" s="78">
        <v>45817.0</v>
      </c>
      <c r="F319" s="79" t="s">
        <v>720</v>
      </c>
      <c r="G319" s="81" t="s">
        <v>151</v>
      </c>
      <c r="H319" s="81" t="s">
        <v>152</v>
      </c>
      <c r="I319" s="82">
        <v>200.0</v>
      </c>
      <c r="J319" s="81" t="s">
        <v>22</v>
      </c>
      <c r="K319" s="32" t="str">
        <f t="shared" si="2"/>
        <v>OCUPADO</v>
      </c>
      <c r="L319" s="33">
        <f t="shared" si="18"/>
        <v>318</v>
      </c>
      <c r="M319" s="33" t="s">
        <v>733</v>
      </c>
      <c r="N319" s="122"/>
      <c r="O319" s="249" t="s">
        <v>24</v>
      </c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4"/>
      <c r="BF319" s="12"/>
      <c r="BG319" s="12"/>
      <c r="BH319" s="12" t="str">
        <f>IFERROR(__xludf.DUMMYFUNCTION("IFERROR(INDEX(QUERY(IMPORTRANGE(""1T7HG8KEs-Ob7f3M5atEVN9Yn7IeORGp0QGvggB62ELw"",""Maestro!A:I""),""SELECT Col8 WHERE Col3 = '""&amp;BE319&amp;""'"", 0), 1, 1),""NO ENCONTRADO"")"),"")</f>
        <v/>
      </c>
      <c r="BI319" s="12" t="str">
        <f>IFERROR(__xludf.DUMMYFUNCTION("IFERROR(INDEX(QUERY(IMPORTRANGE(""1T7HG8KEs-Ob7f3M5atEVN9Yn7IeORGp0QGvggB62ELw"",""Maestro!A:I""),""SELECT Col7 WHERE Col3 = '""&amp;BE319&amp;""'"", 0), 1, 1),""NO ENCONTRADO"")"),"")</f>
        <v/>
      </c>
      <c r="BJ319" s="16">
        <f t="shared" si="19"/>
        <v>0</v>
      </c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4"/>
      <c r="BX319" s="14"/>
      <c r="BY319" s="14"/>
      <c r="BZ319" s="14"/>
      <c r="CA319" s="14"/>
      <c r="CB319" s="14"/>
      <c r="CC319" s="14"/>
      <c r="CD319" s="14"/>
      <c r="CE319" s="14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</row>
    <row r="320">
      <c r="A320" s="274" t="s">
        <v>645</v>
      </c>
      <c r="B320" s="275" t="s">
        <v>18</v>
      </c>
      <c r="C320" s="275" t="s">
        <v>336</v>
      </c>
      <c r="D320" s="276" t="str">
        <f t="shared" si="8"/>
        <v>T-1-12</v>
      </c>
      <c r="E320" s="78">
        <v>45817.0</v>
      </c>
      <c r="F320" s="88" t="s">
        <v>720</v>
      </c>
      <c r="G320" s="80" t="s">
        <v>151</v>
      </c>
      <c r="H320" s="81" t="s">
        <v>152</v>
      </c>
      <c r="I320" s="82">
        <v>150.0</v>
      </c>
      <c r="J320" s="81" t="s">
        <v>22</v>
      </c>
      <c r="K320" s="27" t="str">
        <f t="shared" si="2"/>
        <v>OCUPADO</v>
      </c>
      <c r="L320" s="28">
        <f t="shared" si="18"/>
        <v>319</v>
      </c>
      <c r="M320" s="28" t="s">
        <v>733</v>
      </c>
      <c r="N320" s="109"/>
      <c r="O320" s="168" t="s">
        <v>24</v>
      </c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4"/>
      <c r="BF320" s="12"/>
      <c r="BG320" s="12"/>
      <c r="BH320" s="12" t="str">
        <f>IFERROR(__xludf.DUMMYFUNCTION("IFERROR(INDEX(QUERY(IMPORTRANGE(""1T7HG8KEs-Ob7f3M5atEVN9Yn7IeORGp0QGvggB62ELw"",""Maestro!A:I""),""SELECT Col8 WHERE Col3 = '""&amp;BE320&amp;""'"", 0), 1, 1),""NO ENCONTRADO"")"),"")</f>
        <v/>
      </c>
      <c r="BI320" s="12" t="str">
        <f>IFERROR(__xludf.DUMMYFUNCTION("IFERROR(INDEX(QUERY(IMPORTRANGE(""1T7HG8KEs-Ob7f3M5atEVN9Yn7IeORGp0QGvggB62ELw"",""Maestro!A:I""),""SELECT Col7 WHERE Col3 = '""&amp;BE320&amp;""'"", 0), 1, 1),""NO ENCONTRADO"")"),"")</f>
        <v/>
      </c>
      <c r="BJ320" s="16">
        <f t="shared" si="19"/>
        <v>0</v>
      </c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4"/>
      <c r="BX320" s="14"/>
      <c r="BY320" s="14"/>
      <c r="BZ320" s="14"/>
      <c r="CA320" s="14"/>
      <c r="CB320" s="14"/>
      <c r="CC320" s="14"/>
      <c r="CD320" s="14"/>
      <c r="CE320" s="14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</row>
    <row r="321">
      <c r="A321" s="274" t="s">
        <v>645</v>
      </c>
      <c r="B321" s="275" t="s">
        <v>18</v>
      </c>
      <c r="C321" s="275" t="s">
        <v>350</v>
      </c>
      <c r="D321" s="276" t="str">
        <f t="shared" si="8"/>
        <v>T-1-13</v>
      </c>
      <c r="E321" s="78">
        <v>45821.0</v>
      </c>
      <c r="F321" s="88" t="s">
        <v>732</v>
      </c>
      <c r="G321" s="80" t="s">
        <v>137</v>
      </c>
      <c r="H321" s="81" t="s">
        <v>138</v>
      </c>
      <c r="I321" s="82">
        <v>225.0</v>
      </c>
      <c r="J321" s="81" t="s">
        <v>22</v>
      </c>
      <c r="K321" s="32" t="str">
        <f t="shared" si="2"/>
        <v>OCUPADO</v>
      </c>
      <c r="L321" s="33">
        <f t="shared" si="18"/>
        <v>320</v>
      </c>
      <c r="M321" s="33" t="s">
        <v>733</v>
      </c>
      <c r="N321" s="122"/>
      <c r="O321" s="169" t="s">
        <v>24</v>
      </c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4"/>
      <c r="BF321" s="12"/>
      <c r="BG321" s="12"/>
      <c r="BH321" s="12" t="str">
        <f>IFERROR(__xludf.DUMMYFUNCTION("IFERROR(INDEX(QUERY(IMPORTRANGE(""1T7HG8KEs-Ob7f3M5atEVN9Yn7IeORGp0QGvggB62ELw"",""Maestro!A:I""),""SELECT Col8 WHERE Col3 = '""&amp;BE321&amp;""'"", 0), 1, 1),""NO ENCONTRADO"")"),"")</f>
        <v/>
      </c>
      <c r="BI321" s="12" t="str">
        <f>IFERROR(__xludf.DUMMYFUNCTION("IFERROR(INDEX(QUERY(IMPORTRANGE(""1T7HG8KEs-Ob7f3M5atEVN9Yn7IeORGp0QGvggB62ELw"",""Maestro!A:I""),""SELECT Col7 WHERE Col3 = '""&amp;BE321&amp;""'"", 0), 1, 1),""NO ENCONTRADO"")"),"")</f>
        <v/>
      </c>
      <c r="BJ321" s="16">
        <f t="shared" si="19"/>
        <v>0</v>
      </c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4"/>
      <c r="BX321" s="14"/>
      <c r="BY321" s="14"/>
      <c r="BZ321" s="14"/>
      <c r="CA321" s="14"/>
      <c r="CB321" s="14"/>
      <c r="CC321" s="14"/>
      <c r="CD321" s="14"/>
      <c r="CE321" s="14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</row>
    <row r="322">
      <c r="A322" s="274" t="s">
        <v>645</v>
      </c>
      <c r="B322" s="275" t="s">
        <v>18</v>
      </c>
      <c r="C322" s="275" t="s">
        <v>362</v>
      </c>
      <c r="D322" s="276" t="str">
        <f t="shared" si="8"/>
        <v>T-1-14</v>
      </c>
      <c r="E322" s="78">
        <v>45821.0</v>
      </c>
      <c r="F322" s="88" t="s">
        <v>732</v>
      </c>
      <c r="G322" s="80" t="s">
        <v>137</v>
      </c>
      <c r="H322" s="81" t="s">
        <v>138</v>
      </c>
      <c r="I322" s="82">
        <v>225.0</v>
      </c>
      <c r="J322" s="81" t="s">
        <v>22</v>
      </c>
      <c r="K322" s="27" t="str">
        <f t="shared" si="2"/>
        <v>OCUPADO</v>
      </c>
      <c r="L322" s="28">
        <f t="shared" si="18"/>
        <v>321</v>
      </c>
      <c r="M322" s="28" t="s">
        <v>733</v>
      </c>
      <c r="N322" s="109"/>
      <c r="O322" s="168" t="s">
        <v>24</v>
      </c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4"/>
      <c r="BF322" s="12"/>
      <c r="BG322" s="12"/>
      <c r="BH322" s="12" t="str">
        <f>IFERROR(__xludf.DUMMYFUNCTION("IFERROR(INDEX(QUERY(IMPORTRANGE(""1T7HG8KEs-Ob7f3M5atEVN9Yn7IeORGp0QGvggB62ELw"",""Maestro!A:I""),""SELECT Col8 WHERE Col3 = '""&amp;BE322&amp;""'"", 0), 1, 1),""NO ENCONTRADO"")"),"")</f>
        <v/>
      </c>
      <c r="BI322" s="12" t="str">
        <f>IFERROR(__xludf.DUMMYFUNCTION("IFERROR(INDEX(QUERY(IMPORTRANGE(""1T7HG8KEs-Ob7f3M5atEVN9Yn7IeORGp0QGvggB62ELw"",""Maestro!A:I""),""SELECT Col7 WHERE Col3 = '""&amp;BE322&amp;""'"", 0), 1, 1),""NO ENCONTRADO"")"),"")</f>
        <v/>
      </c>
      <c r="BJ322" s="16">
        <f t="shared" si="19"/>
        <v>0</v>
      </c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4"/>
      <c r="BX322" s="14"/>
      <c r="BY322" s="14"/>
      <c r="BZ322" s="14"/>
      <c r="CA322" s="14"/>
      <c r="CB322" s="14"/>
      <c r="CC322" s="14"/>
      <c r="CD322" s="14"/>
      <c r="CE322" s="14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</row>
    <row r="323">
      <c r="A323" s="274" t="s">
        <v>645</v>
      </c>
      <c r="B323" s="275" t="s">
        <v>18</v>
      </c>
      <c r="C323" s="275" t="s">
        <v>372</v>
      </c>
      <c r="D323" s="276" t="str">
        <f t="shared" si="8"/>
        <v>T-1-15</v>
      </c>
      <c r="E323" s="78">
        <v>45821.0</v>
      </c>
      <c r="F323" s="88" t="s">
        <v>732</v>
      </c>
      <c r="G323" s="80" t="s">
        <v>137</v>
      </c>
      <c r="H323" s="81" t="s">
        <v>138</v>
      </c>
      <c r="I323" s="82">
        <v>225.0</v>
      </c>
      <c r="J323" s="81" t="s">
        <v>22</v>
      </c>
      <c r="K323" s="32" t="str">
        <f t="shared" si="2"/>
        <v>OCUPADO</v>
      </c>
      <c r="L323" s="33">
        <f t="shared" si="18"/>
        <v>322</v>
      </c>
      <c r="M323" s="33" t="s">
        <v>733</v>
      </c>
      <c r="N323" s="122"/>
      <c r="O323" s="169" t="s">
        <v>24</v>
      </c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4"/>
      <c r="BF323" s="12"/>
      <c r="BG323" s="12"/>
      <c r="BH323" s="12" t="str">
        <f>IFERROR(__xludf.DUMMYFUNCTION("IFERROR(INDEX(QUERY(IMPORTRANGE(""1T7HG8KEs-Ob7f3M5atEVN9Yn7IeORGp0QGvggB62ELw"",""Maestro!A:I""),""SELECT Col8 WHERE Col3 = '""&amp;BE323&amp;""'"", 0), 1, 1),""NO ENCONTRADO"")"),"")</f>
        <v/>
      </c>
      <c r="BI323" s="12" t="str">
        <f>IFERROR(__xludf.DUMMYFUNCTION("IFERROR(INDEX(QUERY(IMPORTRANGE(""1T7HG8KEs-Ob7f3M5atEVN9Yn7IeORGp0QGvggB62ELw"",""Maestro!A:I""),""SELECT Col7 WHERE Col3 = '""&amp;BE323&amp;""'"", 0), 1, 1),""NO ENCONTRADO"")"),"")</f>
        <v/>
      </c>
      <c r="BJ323" s="16">
        <f t="shared" si="19"/>
        <v>0</v>
      </c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4"/>
      <c r="BX323" s="14"/>
      <c r="BY323" s="14"/>
      <c r="BZ323" s="14"/>
      <c r="CA323" s="14"/>
      <c r="CB323" s="14"/>
      <c r="CC323" s="14"/>
      <c r="CD323" s="14"/>
      <c r="CE323" s="14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</row>
    <row r="324">
      <c r="A324" s="274" t="s">
        <v>645</v>
      </c>
      <c r="B324" s="275" t="s">
        <v>18</v>
      </c>
      <c r="C324" s="275" t="s">
        <v>382</v>
      </c>
      <c r="D324" s="276" t="str">
        <f t="shared" si="8"/>
        <v>T-1-16</v>
      </c>
      <c r="E324" s="78">
        <v>45821.0</v>
      </c>
      <c r="F324" s="79" t="s">
        <v>732</v>
      </c>
      <c r="G324" s="37" t="s">
        <v>137</v>
      </c>
      <c r="H324" s="81" t="s">
        <v>138</v>
      </c>
      <c r="I324" s="82">
        <v>225.0</v>
      </c>
      <c r="J324" s="81" t="s">
        <v>22</v>
      </c>
      <c r="K324" s="27" t="str">
        <f t="shared" si="2"/>
        <v>OCUPADO</v>
      </c>
      <c r="L324" s="28">
        <f t="shared" si="18"/>
        <v>323</v>
      </c>
      <c r="M324" s="28" t="s">
        <v>733</v>
      </c>
      <c r="N324" s="109"/>
      <c r="O324" s="168" t="s">
        <v>24</v>
      </c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4"/>
      <c r="BF324" s="12"/>
      <c r="BG324" s="12"/>
      <c r="BH324" s="12" t="str">
        <f>IFERROR(__xludf.DUMMYFUNCTION("IFERROR(INDEX(QUERY(IMPORTRANGE(""1T7HG8KEs-Ob7f3M5atEVN9Yn7IeORGp0QGvggB62ELw"",""Maestro!A:I""),""SELECT Col8 WHERE Col3 = '""&amp;BE324&amp;""'"", 0), 1, 1),""NO ENCONTRADO"")"),"")</f>
        <v/>
      </c>
      <c r="BI324" s="12" t="str">
        <f>IFERROR(__xludf.DUMMYFUNCTION("IFERROR(INDEX(QUERY(IMPORTRANGE(""1T7HG8KEs-Ob7f3M5atEVN9Yn7IeORGp0QGvggB62ELw"",""Maestro!A:I""),""SELECT Col7 WHERE Col3 = '""&amp;BE324&amp;""'"", 0), 1, 1),""NO ENCONTRADO"")"),"")</f>
        <v/>
      </c>
      <c r="BJ324" s="16">
        <f t="shared" si="19"/>
        <v>0</v>
      </c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4"/>
      <c r="BX324" s="14"/>
      <c r="BY324" s="14"/>
      <c r="BZ324" s="14"/>
      <c r="CA324" s="14"/>
      <c r="CB324" s="14"/>
      <c r="CC324" s="14"/>
      <c r="CD324" s="14"/>
      <c r="CE324" s="14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</row>
    <row r="325">
      <c r="A325" s="274" t="s">
        <v>645</v>
      </c>
      <c r="B325" s="275" t="s">
        <v>18</v>
      </c>
      <c r="C325" s="275" t="s">
        <v>396</v>
      </c>
      <c r="D325" s="276" t="str">
        <f t="shared" si="8"/>
        <v>T-1-17</v>
      </c>
      <c r="E325" s="78">
        <v>45821.0</v>
      </c>
      <c r="F325" s="79" t="s">
        <v>732</v>
      </c>
      <c r="G325" s="80" t="s">
        <v>137</v>
      </c>
      <c r="H325" s="81" t="s">
        <v>138</v>
      </c>
      <c r="I325" s="82">
        <v>225.0</v>
      </c>
      <c r="J325" s="205" t="s">
        <v>22</v>
      </c>
      <c r="K325" s="32" t="str">
        <f t="shared" si="2"/>
        <v>OCUPADO</v>
      </c>
      <c r="L325" s="33">
        <f t="shared" si="18"/>
        <v>324</v>
      </c>
      <c r="M325" s="33" t="s">
        <v>733</v>
      </c>
      <c r="N325" s="122"/>
      <c r="O325" s="169" t="s">
        <v>24</v>
      </c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4"/>
      <c r="BF325" s="12"/>
      <c r="BG325" s="12"/>
      <c r="BH325" s="12" t="str">
        <f>IFERROR(__xludf.DUMMYFUNCTION("IFERROR(INDEX(QUERY(IMPORTRANGE(""1T7HG8KEs-Ob7f3M5atEVN9Yn7IeORGp0QGvggB62ELw"",""Maestro!A:I""),""SELECT Col8 WHERE Col3 = '""&amp;BE325&amp;""'"", 0), 1, 1),""NO ENCONTRADO"")"),"")</f>
        <v/>
      </c>
      <c r="BI325" s="12" t="str">
        <f>IFERROR(__xludf.DUMMYFUNCTION("IFERROR(INDEX(QUERY(IMPORTRANGE(""1T7HG8KEs-Ob7f3M5atEVN9Yn7IeORGp0QGvggB62ELw"",""Maestro!A:I""),""SELECT Col7 WHERE Col3 = '""&amp;BE325&amp;""'"", 0), 1, 1),""NO ENCONTRADO"")"),"")</f>
        <v/>
      </c>
      <c r="BJ325" s="16">
        <f t="shared" si="19"/>
        <v>0</v>
      </c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4"/>
      <c r="BX325" s="14"/>
      <c r="BY325" s="14"/>
      <c r="BZ325" s="14"/>
      <c r="CA325" s="14"/>
      <c r="CB325" s="14"/>
      <c r="CC325" s="14"/>
      <c r="CD325" s="14"/>
      <c r="CE325" s="14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</row>
    <row r="326">
      <c r="A326" s="274" t="s">
        <v>645</v>
      </c>
      <c r="B326" s="275" t="s">
        <v>18</v>
      </c>
      <c r="C326" s="275" t="s">
        <v>411</v>
      </c>
      <c r="D326" s="276" t="str">
        <f t="shared" si="8"/>
        <v>T-1-18</v>
      </c>
      <c r="E326" s="277">
        <v>45818.0</v>
      </c>
      <c r="F326" s="278" t="s">
        <v>736</v>
      </c>
      <c r="G326" s="279" t="s">
        <v>143</v>
      </c>
      <c r="H326" s="279" t="s">
        <v>144</v>
      </c>
      <c r="I326" s="280">
        <v>350.0</v>
      </c>
      <c r="J326" s="279" t="s">
        <v>22</v>
      </c>
      <c r="K326" s="27" t="str">
        <f t="shared" si="2"/>
        <v>OCUPADO</v>
      </c>
      <c r="L326" s="28">
        <f t="shared" si="18"/>
        <v>325</v>
      </c>
      <c r="M326" s="28" t="s">
        <v>733</v>
      </c>
      <c r="N326" s="109"/>
      <c r="O326" s="168" t="s">
        <v>24</v>
      </c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4"/>
      <c r="BF326" s="12"/>
      <c r="BG326" s="12"/>
      <c r="BH326" s="12" t="str">
        <f>IFERROR(__xludf.DUMMYFUNCTION("IFERROR(INDEX(QUERY(IMPORTRANGE(""1T7HG8KEs-Ob7f3M5atEVN9Yn7IeORGp0QGvggB62ELw"",""Maestro!A:I""),""SELECT Col8 WHERE Col3 = '""&amp;BE326&amp;""'"", 0), 1, 1),""NO ENCONTRADO"")"),"")</f>
        <v/>
      </c>
      <c r="BI326" s="12" t="str">
        <f>IFERROR(__xludf.DUMMYFUNCTION("IFERROR(INDEX(QUERY(IMPORTRANGE(""1T7HG8KEs-Ob7f3M5atEVN9Yn7IeORGp0QGvggB62ELw"",""Maestro!A:I""),""SELECT Col7 WHERE Col3 = '""&amp;BE326&amp;""'"", 0), 1, 1),""NO ENCONTRADO"")"),"")</f>
        <v/>
      </c>
      <c r="BJ326" s="16">
        <f t="shared" si="19"/>
        <v>0</v>
      </c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4"/>
      <c r="BX326" s="14"/>
      <c r="BY326" s="14"/>
      <c r="BZ326" s="14"/>
      <c r="CA326" s="14"/>
      <c r="CB326" s="14"/>
      <c r="CC326" s="14"/>
      <c r="CD326" s="14"/>
      <c r="CE326" s="14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</row>
    <row r="327">
      <c r="A327" s="274" t="s">
        <v>645</v>
      </c>
      <c r="B327" s="275" t="s">
        <v>18</v>
      </c>
      <c r="C327" s="275" t="s">
        <v>425</v>
      </c>
      <c r="D327" s="276" t="str">
        <f t="shared" si="8"/>
        <v>T-1-19</v>
      </c>
      <c r="E327" s="277">
        <v>45818.0</v>
      </c>
      <c r="F327" s="278" t="s">
        <v>736</v>
      </c>
      <c r="G327" s="279" t="s">
        <v>143</v>
      </c>
      <c r="H327" s="279" t="s">
        <v>144</v>
      </c>
      <c r="I327" s="280">
        <v>350.0</v>
      </c>
      <c r="J327" s="279" t="s">
        <v>22</v>
      </c>
      <c r="K327" s="32" t="str">
        <f t="shared" si="2"/>
        <v>OCUPADO</v>
      </c>
      <c r="L327" s="33">
        <f t="shared" si="18"/>
        <v>326</v>
      </c>
      <c r="M327" s="33" t="s">
        <v>733</v>
      </c>
      <c r="N327" s="122"/>
      <c r="O327" s="169" t="s">
        <v>24</v>
      </c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4"/>
      <c r="BF327" s="12"/>
      <c r="BG327" s="12"/>
      <c r="BH327" s="12" t="str">
        <f>IFERROR(__xludf.DUMMYFUNCTION("IFERROR(INDEX(QUERY(IMPORTRANGE(""1T7HG8KEs-Ob7f3M5atEVN9Yn7IeORGp0QGvggB62ELw"",""Maestro!A:I""),""SELECT Col8 WHERE Col3 = '""&amp;BE327&amp;""'"", 0), 1, 1),""NO ENCONTRADO"")"),"")</f>
        <v/>
      </c>
      <c r="BI327" s="12" t="str">
        <f>IFERROR(__xludf.DUMMYFUNCTION("IFERROR(INDEX(QUERY(IMPORTRANGE(""1T7HG8KEs-Ob7f3M5atEVN9Yn7IeORGp0QGvggB62ELw"",""Maestro!A:I""),""SELECT Col7 WHERE Col3 = '""&amp;BE327&amp;""'"", 0), 1, 1),""NO ENCONTRADO"")"),"")</f>
        <v/>
      </c>
      <c r="BJ327" s="16">
        <f t="shared" si="19"/>
        <v>0</v>
      </c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4"/>
      <c r="BX327" s="14"/>
      <c r="BY327" s="14"/>
      <c r="BZ327" s="14"/>
      <c r="CA327" s="14"/>
      <c r="CB327" s="14"/>
      <c r="CC327" s="14"/>
      <c r="CD327" s="14"/>
      <c r="CE327" s="14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</row>
    <row r="328">
      <c r="A328" s="274" t="s">
        <v>645</v>
      </c>
      <c r="B328" s="275" t="s">
        <v>18</v>
      </c>
      <c r="C328" s="275" t="s">
        <v>451</v>
      </c>
      <c r="D328" s="276" t="str">
        <f t="shared" si="8"/>
        <v>T-1-20</v>
      </c>
      <c r="E328" s="277">
        <v>45818.0</v>
      </c>
      <c r="F328" s="278" t="s">
        <v>736</v>
      </c>
      <c r="G328" s="279" t="s">
        <v>143</v>
      </c>
      <c r="H328" s="279" t="s">
        <v>144</v>
      </c>
      <c r="I328" s="280">
        <v>350.0</v>
      </c>
      <c r="J328" s="279" t="s">
        <v>22</v>
      </c>
      <c r="K328" s="27" t="str">
        <f t="shared" si="2"/>
        <v>OCUPADO</v>
      </c>
      <c r="L328" s="28">
        <f t="shared" si="18"/>
        <v>327</v>
      </c>
      <c r="M328" s="28" t="s">
        <v>733</v>
      </c>
      <c r="N328" s="109"/>
      <c r="O328" s="168" t="s">
        <v>24</v>
      </c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4"/>
      <c r="BF328" s="12"/>
      <c r="BG328" s="12"/>
      <c r="BH328" s="12" t="str">
        <f>IFERROR(__xludf.DUMMYFUNCTION("IFERROR(INDEX(QUERY(IMPORTRANGE(""1T7HG8KEs-Ob7f3M5atEVN9Yn7IeORGp0QGvggB62ELw"",""Maestro!A:I""),""SELECT Col8 WHERE Col3 = '""&amp;BE328&amp;""'"", 0), 1, 1),""NO ENCONTRADO"")"),"")</f>
        <v/>
      </c>
      <c r="BI328" s="12" t="str">
        <f>IFERROR(__xludf.DUMMYFUNCTION("IFERROR(INDEX(QUERY(IMPORTRANGE(""1T7HG8KEs-Ob7f3M5atEVN9Yn7IeORGp0QGvggB62ELw"",""Maestro!A:I""),""SELECT Col7 WHERE Col3 = '""&amp;BE328&amp;""'"", 0), 1, 1),""NO ENCONTRADO"")"),"")</f>
        <v/>
      </c>
      <c r="BJ328" s="16">
        <f t="shared" si="19"/>
        <v>0</v>
      </c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4"/>
      <c r="BX328" s="14"/>
      <c r="BY328" s="14"/>
      <c r="BZ328" s="14"/>
      <c r="CA328" s="14"/>
      <c r="CB328" s="14"/>
      <c r="CC328" s="14"/>
      <c r="CD328" s="14"/>
      <c r="CE328" s="14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</row>
    <row r="329">
      <c r="A329" s="274" t="s">
        <v>645</v>
      </c>
      <c r="B329" s="275" t="s">
        <v>18</v>
      </c>
      <c r="C329" s="275" t="s">
        <v>467</v>
      </c>
      <c r="D329" s="276" t="str">
        <f t="shared" si="8"/>
        <v>T-1-21</v>
      </c>
      <c r="E329" s="277">
        <v>45820.0</v>
      </c>
      <c r="F329" s="278" t="s">
        <v>737</v>
      </c>
      <c r="G329" s="279" t="s">
        <v>67</v>
      </c>
      <c r="H329" s="279" t="s">
        <v>68</v>
      </c>
      <c r="I329" s="280">
        <v>340.0</v>
      </c>
      <c r="J329" s="279" t="s">
        <v>22</v>
      </c>
      <c r="K329" s="32" t="str">
        <f t="shared" si="2"/>
        <v>OCUPADO</v>
      </c>
      <c r="L329" s="33">
        <f t="shared" si="18"/>
        <v>328</v>
      </c>
      <c r="M329" s="33" t="s">
        <v>733</v>
      </c>
      <c r="N329" s="122"/>
      <c r="O329" s="169" t="s">
        <v>24</v>
      </c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4"/>
      <c r="BF329" s="12"/>
      <c r="BG329" s="12"/>
      <c r="BH329" s="12" t="str">
        <f>IFERROR(__xludf.DUMMYFUNCTION("IFERROR(INDEX(QUERY(IMPORTRANGE(""1T7HG8KEs-Ob7f3M5atEVN9Yn7IeORGp0QGvggB62ELw"",""Maestro!A:I""),""SELECT Col8 WHERE Col3 = '""&amp;BE329&amp;""'"", 0), 1, 1),""NO ENCONTRADO"")"),"")</f>
        <v/>
      </c>
      <c r="BI329" s="12" t="str">
        <f>IFERROR(__xludf.DUMMYFUNCTION("IFERROR(INDEX(QUERY(IMPORTRANGE(""1T7HG8KEs-Ob7f3M5atEVN9Yn7IeORGp0QGvggB62ELw"",""Maestro!A:I""),""SELECT Col7 WHERE Col3 = '""&amp;BE329&amp;""'"", 0), 1, 1),""NO ENCONTRADO"")"),"")</f>
        <v/>
      </c>
      <c r="BJ329" s="16">
        <f t="shared" si="19"/>
        <v>0</v>
      </c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4"/>
      <c r="BX329" s="14"/>
      <c r="BY329" s="14"/>
      <c r="BZ329" s="14"/>
      <c r="CA329" s="14"/>
      <c r="CB329" s="14"/>
      <c r="CC329" s="14"/>
      <c r="CD329" s="14"/>
      <c r="CE329" s="14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</row>
    <row r="330">
      <c r="A330" s="274" t="s">
        <v>645</v>
      </c>
      <c r="B330" s="275" t="s">
        <v>18</v>
      </c>
      <c r="C330" s="275" t="s">
        <v>620</v>
      </c>
      <c r="D330" s="276" t="str">
        <f t="shared" si="8"/>
        <v>T-1-22</v>
      </c>
      <c r="E330" s="277">
        <v>45820.0</v>
      </c>
      <c r="F330" s="278" t="s">
        <v>737</v>
      </c>
      <c r="G330" s="279" t="s">
        <v>67</v>
      </c>
      <c r="H330" s="279" t="s">
        <v>68</v>
      </c>
      <c r="I330" s="280">
        <v>400.0</v>
      </c>
      <c r="J330" s="279" t="s">
        <v>22</v>
      </c>
      <c r="K330" s="27" t="str">
        <f t="shared" si="2"/>
        <v>OCUPADO</v>
      </c>
      <c r="L330" s="28">
        <f t="shared" si="18"/>
        <v>329</v>
      </c>
      <c r="M330" s="28" t="s">
        <v>733</v>
      </c>
      <c r="N330" s="109"/>
      <c r="O330" s="168" t="s">
        <v>24</v>
      </c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4"/>
      <c r="BF330" s="12"/>
      <c r="BG330" s="12"/>
      <c r="BH330" s="12" t="str">
        <f>IFERROR(__xludf.DUMMYFUNCTION("IFERROR(INDEX(QUERY(IMPORTRANGE(""1T7HG8KEs-Ob7f3M5atEVN9Yn7IeORGp0QGvggB62ELw"",""Maestro!A:I""),""SELECT Col8 WHERE Col3 = '""&amp;BE330&amp;""'"", 0), 1, 1),""NO ENCONTRADO"")"),"")</f>
        <v/>
      </c>
      <c r="BI330" s="12" t="str">
        <f>IFERROR(__xludf.DUMMYFUNCTION("IFERROR(INDEX(QUERY(IMPORTRANGE(""1T7HG8KEs-Ob7f3M5atEVN9Yn7IeORGp0QGvggB62ELw"",""Maestro!A:I""),""SELECT Col7 WHERE Col3 = '""&amp;BE330&amp;""'"", 0), 1, 1),""NO ENCONTRADO"")"),"")</f>
        <v/>
      </c>
      <c r="BJ330" s="16">
        <f t="shared" si="19"/>
        <v>0</v>
      </c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4"/>
      <c r="BX330" s="14"/>
      <c r="BY330" s="14"/>
      <c r="BZ330" s="14"/>
      <c r="CA330" s="14"/>
      <c r="CB330" s="14"/>
      <c r="CC330" s="14"/>
      <c r="CD330" s="14"/>
      <c r="CE330" s="14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</row>
    <row r="331">
      <c r="A331" s="274" t="s">
        <v>645</v>
      </c>
      <c r="B331" s="275" t="s">
        <v>18</v>
      </c>
      <c r="C331" s="275" t="s">
        <v>561</v>
      </c>
      <c r="D331" s="276" t="str">
        <f t="shared" si="8"/>
        <v>T-1-23</v>
      </c>
      <c r="E331" s="277">
        <v>45820.0</v>
      </c>
      <c r="F331" s="278" t="s">
        <v>737</v>
      </c>
      <c r="G331" s="279" t="s">
        <v>67</v>
      </c>
      <c r="H331" s="279" t="s">
        <v>68</v>
      </c>
      <c r="I331" s="280">
        <v>400.0</v>
      </c>
      <c r="J331" s="279" t="s">
        <v>22</v>
      </c>
      <c r="K331" s="32" t="str">
        <f t="shared" si="2"/>
        <v>OCUPADO</v>
      </c>
      <c r="L331" s="33">
        <f t="shared" si="18"/>
        <v>330</v>
      </c>
      <c r="M331" s="33" t="s">
        <v>733</v>
      </c>
      <c r="N331" s="122"/>
      <c r="O331" s="169" t="s">
        <v>24</v>
      </c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4"/>
      <c r="BF331" s="12"/>
      <c r="BG331" s="12"/>
      <c r="BH331" s="12" t="str">
        <f>IFERROR(__xludf.DUMMYFUNCTION("IFERROR(INDEX(QUERY(IMPORTRANGE(""1T7HG8KEs-Ob7f3M5atEVN9Yn7IeORGp0QGvggB62ELw"",""Maestro!A:I""),""SELECT Col8 WHERE Col3 = '""&amp;BE331&amp;""'"", 0), 1, 1),""NO ENCONTRADO"")"),"")</f>
        <v/>
      </c>
      <c r="BI331" s="12" t="str">
        <f>IFERROR(__xludf.DUMMYFUNCTION("IFERROR(INDEX(QUERY(IMPORTRANGE(""1T7HG8KEs-Ob7f3M5atEVN9Yn7IeORGp0QGvggB62ELw"",""Maestro!A:I""),""SELECT Col7 WHERE Col3 = '""&amp;BE331&amp;""'"", 0), 1, 1),""NO ENCONTRADO"")"),"")</f>
        <v/>
      </c>
      <c r="BJ331" s="16">
        <f t="shared" si="19"/>
        <v>0</v>
      </c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4"/>
      <c r="BX331" s="14"/>
      <c r="BY331" s="14"/>
      <c r="BZ331" s="14"/>
      <c r="CA331" s="14"/>
      <c r="CB331" s="14"/>
      <c r="CC331" s="14"/>
      <c r="CD331" s="14"/>
      <c r="CE331" s="14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</row>
    <row r="332">
      <c r="A332" s="274" t="s">
        <v>645</v>
      </c>
      <c r="B332" s="275" t="s">
        <v>18</v>
      </c>
      <c r="C332" s="275" t="s">
        <v>563</v>
      </c>
      <c r="D332" s="276" t="str">
        <f t="shared" si="8"/>
        <v>T-1-24</v>
      </c>
      <c r="E332" s="277">
        <v>45820.0</v>
      </c>
      <c r="F332" s="278" t="s">
        <v>737</v>
      </c>
      <c r="G332" s="279" t="s">
        <v>67</v>
      </c>
      <c r="H332" s="279" t="s">
        <v>68</v>
      </c>
      <c r="I332" s="280">
        <v>400.0</v>
      </c>
      <c r="J332" s="279" t="s">
        <v>22</v>
      </c>
      <c r="K332" s="27" t="str">
        <f t="shared" si="2"/>
        <v>OCUPADO</v>
      </c>
      <c r="L332" s="28">
        <f t="shared" si="18"/>
        <v>331</v>
      </c>
      <c r="M332" s="28" t="s">
        <v>733</v>
      </c>
      <c r="N332" s="109"/>
      <c r="O332" s="168" t="s">
        <v>24</v>
      </c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4"/>
      <c r="BF332" s="12"/>
      <c r="BG332" s="12"/>
      <c r="BH332" s="12" t="str">
        <f>IFERROR(__xludf.DUMMYFUNCTION("IFERROR(INDEX(QUERY(IMPORTRANGE(""1T7HG8KEs-Ob7f3M5atEVN9Yn7IeORGp0QGvggB62ELw"",""Maestro!A:I""),""SELECT Col8 WHERE Col3 = '""&amp;BE332&amp;""'"", 0), 1, 1),""NO ENCONTRADO"")"),"")</f>
        <v/>
      </c>
      <c r="BI332" s="12" t="str">
        <f>IFERROR(__xludf.DUMMYFUNCTION("IFERROR(INDEX(QUERY(IMPORTRANGE(""1T7HG8KEs-Ob7f3M5atEVN9Yn7IeORGp0QGvggB62ELw"",""Maestro!A:I""),""SELECT Col7 WHERE Col3 = '""&amp;BE332&amp;""'"", 0), 1, 1),""NO ENCONTRADO"")"),"")</f>
        <v/>
      </c>
      <c r="BJ332" s="16">
        <f t="shared" si="19"/>
        <v>0</v>
      </c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4"/>
      <c r="BX332" s="14"/>
      <c r="BY332" s="14"/>
      <c r="BZ332" s="14"/>
      <c r="CA332" s="14"/>
      <c r="CB332" s="14"/>
      <c r="CC332" s="14"/>
      <c r="CD332" s="14"/>
      <c r="CE332" s="14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</row>
    <row r="333">
      <c r="A333" s="274" t="s">
        <v>645</v>
      </c>
      <c r="B333" s="275" t="s">
        <v>18</v>
      </c>
      <c r="C333" s="275" t="s">
        <v>565</v>
      </c>
      <c r="D333" s="276" t="str">
        <f t="shared" si="8"/>
        <v>T-1-25</v>
      </c>
      <c r="E333" s="277">
        <v>45826.0</v>
      </c>
      <c r="F333" s="278" t="s">
        <v>652</v>
      </c>
      <c r="G333" s="279" t="s">
        <v>196</v>
      </c>
      <c r="H333" s="279" t="s">
        <v>197</v>
      </c>
      <c r="I333" s="280">
        <v>63.0</v>
      </c>
      <c r="J333" s="279" t="s">
        <v>43</v>
      </c>
      <c r="K333" s="32" t="str">
        <f t="shared" si="2"/>
        <v>OCUPADO</v>
      </c>
      <c r="L333" s="33">
        <f t="shared" si="18"/>
        <v>332</v>
      </c>
      <c r="M333" s="33" t="s">
        <v>733</v>
      </c>
      <c r="N333" s="33"/>
      <c r="O333" s="34" t="s">
        <v>270</v>
      </c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4"/>
      <c r="BF333" s="12"/>
      <c r="BG333" s="12"/>
      <c r="BH333" s="12" t="str">
        <f>IFERROR(__xludf.DUMMYFUNCTION("IFERROR(INDEX(QUERY(IMPORTRANGE(""1T7HG8KEs-Ob7f3M5atEVN9Yn7IeORGp0QGvggB62ELw"",""Maestro!A:I""),""SELECT Col8 WHERE Col3 = '""&amp;BE333&amp;""'"", 0), 1, 1),""NO ENCONTRADO"")"),"")</f>
        <v/>
      </c>
      <c r="BI333" s="12" t="str">
        <f>IFERROR(__xludf.DUMMYFUNCTION("IFERROR(INDEX(QUERY(IMPORTRANGE(""1T7HG8KEs-Ob7f3M5atEVN9Yn7IeORGp0QGvggB62ELw"",""Maestro!A:I""),""SELECT Col7 WHERE Col3 = '""&amp;BE333&amp;""'"", 0), 1, 1),""NO ENCONTRADO"")"),"")</f>
        <v/>
      </c>
      <c r="BJ333" s="16">
        <f t="shared" si="19"/>
        <v>0</v>
      </c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4"/>
      <c r="BX333" s="14"/>
      <c r="BY333" s="14"/>
      <c r="BZ333" s="14"/>
      <c r="CA333" s="14"/>
      <c r="CB333" s="14"/>
      <c r="CC333" s="14"/>
      <c r="CD333" s="14"/>
      <c r="CE333" s="14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</row>
    <row r="334">
      <c r="A334" s="274" t="s">
        <v>645</v>
      </c>
      <c r="B334" s="275" t="s">
        <v>18</v>
      </c>
      <c r="C334" s="275" t="s">
        <v>622</v>
      </c>
      <c r="D334" s="276" t="str">
        <f t="shared" si="8"/>
        <v>T-1-26</v>
      </c>
      <c r="E334" s="35">
        <v>45827.0</v>
      </c>
      <c r="F334" s="192" t="s">
        <v>614</v>
      </c>
      <c r="G334" s="37" t="s">
        <v>96</v>
      </c>
      <c r="H334" s="38" t="s">
        <v>97</v>
      </c>
      <c r="I334" s="39">
        <v>11.0</v>
      </c>
      <c r="J334" s="38" t="s">
        <v>43</v>
      </c>
      <c r="K334" s="27" t="str">
        <f t="shared" si="2"/>
        <v>OCUPADO</v>
      </c>
      <c r="L334" s="28">
        <f t="shared" si="18"/>
        <v>333</v>
      </c>
      <c r="M334" s="28" t="s">
        <v>733</v>
      </c>
      <c r="N334" s="28"/>
      <c r="O334" s="29" t="s">
        <v>270</v>
      </c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4"/>
      <c r="BF334" s="12"/>
      <c r="BG334" s="12"/>
      <c r="BH334" s="12" t="str">
        <f>IFERROR(__xludf.DUMMYFUNCTION("IFERROR(INDEX(QUERY(IMPORTRANGE(""1T7HG8KEs-Ob7f3M5atEVN9Yn7IeORGp0QGvggB62ELw"",""Maestro!A:I""),""SELECT Col8 WHERE Col3 = '""&amp;BE334&amp;""'"", 0), 1, 1),""NO ENCONTRADO"")"),"")</f>
        <v/>
      </c>
      <c r="BI334" s="12" t="str">
        <f>IFERROR(__xludf.DUMMYFUNCTION("IFERROR(INDEX(QUERY(IMPORTRANGE(""1T7HG8KEs-Ob7f3M5atEVN9Yn7IeORGp0QGvggB62ELw"",""Maestro!A:I""),""SELECT Col7 WHERE Col3 = '""&amp;BE334&amp;""'"", 0), 1, 1),""NO ENCONTRADO"")"),"")</f>
        <v/>
      </c>
      <c r="BJ334" s="16">
        <f t="shared" si="19"/>
        <v>0</v>
      </c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4"/>
      <c r="BX334" s="14"/>
      <c r="BY334" s="14"/>
      <c r="BZ334" s="14"/>
      <c r="CA334" s="14"/>
      <c r="CB334" s="14"/>
      <c r="CC334" s="14"/>
      <c r="CD334" s="14"/>
      <c r="CE334" s="14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</row>
    <row r="335">
      <c r="A335" s="274" t="s">
        <v>645</v>
      </c>
      <c r="B335" s="275" t="s">
        <v>18</v>
      </c>
      <c r="C335" s="275" t="s">
        <v>669</v>
      </c>
      <c r="D335" s="276" t="str">
        <f t="shared" si="8"/>
        <v>T-1-27</v>
      </c>
      <c r="E335" s="35">
        <v>45827.0</v>
      </c>
      <c r="F335" s="192" t="s">
        <v>738</v>
      </c>
      <c r="G335" s="37" t="s">
        <v>301</v>
      </c>
      <c r="H335" s="38" t="s">
        <v>302</v>
      </c>
      <c r="I335" s="39">
        <v>2.0</v>
      </c>
      <c r="J335" s="38" t="s">
        <v>43</v>
      </c>
      <c r="K335" s="32" t="str">
        <f t="shared" si="2"/>
        <v>OCUPADO</v>
      </c>
      <c r="L335" s="33">
        <f t="shared" si="18"/>
        <v>334</v>
      </c>
      <c r="M335" s="33" t="s">
        <v>733</v>
      </c>
      <c r="N335" s="33"/>
      <c r="O335" s="34" t="s">
        <v>270</v>
      </c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4"/>
      <c r="BF335" s="12"/>
      <c r="BG335" s="12"/>
      <c r="BH335" s="12" t="str">
        <f>IFERROR(__xludf.DUMMYFUNCTION("IFERROR(INDEX(QUERY(IMPORTRANGE(""1T7HG8KEs-Ob7f3M5atEVN9Yn7IeORGp0QGvggB62ELw"",""Maestro!A:I""),""SELECT Col8 WHERE Col3 = '""&amp;BE335&amp;""'"", 0), 1, 1),""NO ENCONTRADO"")"),"")</f>
        <v/>
      </c>
      <c r="BI335" s="12" t="str">
        <f>IFERROR(__xludf.DUMMYFUNCTION("IFERROR(INDEX(QUERY(IMPORTRANGE(""1T7HG8KEs-Ob7f3M5atEVN9Yn7IeORGp0QGvggB62ELw"",""Maestro!A:I""),""SELECT Col7 WHERE Col3 = '""&amp;BE335&amp;""'"", 0), 1, 1),""NO ENCONTRADO"")"),"")</f>
        <v/>
      </c>
      <c r="BJ335" s="16">
        <f t="shared" si="19"/>
        <v>0</v>
      </c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4"/>
      <c r="BX335" s="14"/>
      <c r="BY335" s="14"/>
      <c r="BZ335" s="14"/>
      <c r="CA335" s="14"/>
      <c r="CB335" s="14"/>
      <c r="CC335" s="14"/>
      <c r="CD335" s="14"/>
      <c r="CE335" s="14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</row>
    <row r="336">
      <c r="A336" s="274" t="s">
        <v>645</v>
      </c>
      <c r="B336" s="275" t="s">
        <v>18</v>
      </c>
      <c r="C336" s="275" t="s">
        <v>671</v>
      </c>
      <c r="D336" s="276" t="str">
        <f t="shared" si="8"/>
        <v>T-1-28</v>
      </c>
      <c r="E336" s="35">
        <v>45825.0</v>
      </c>
      <c r="F336" s="192" t="s">
        <v>739</v>
      </c>
      <c r="G336" s="37" t="s">
        <v>83</v>
      </c>
      <c r="H336" s="38" t="s">
        <v>84</v>
      </c>
      <c r="I336" s="39">
        <v>290.0</v>
      </c>
      <c r="J336" s="38" t="s">
        <v>22</v>
      </c>
      <c r="K336" s="27" t="str">
        <f t="shared" si="2"/>
        <v>OCUPADO</v>
      </c>
      <c r="L336" s="28">
        <f t="shared" si="18"/>
        <v>335</v>
      </c>
      <c r="M336" s="28" t="s">
        <v>733</v>
      </c>
      <c r="N336" s="28"/>
      <c r="O336" s="29" t="s">
        <v>24</v>
      </c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4"/>
      <c r="BF336" s="12"/>
      <c r="BG336" s="12"/>
      <c r="BH336" s="12" t="str">
        <f>IFERROR(__xludf.DUMMYFUNCTION("IFERROR(INDEX(QUERY(IMPORTRANGE(""1T7HG8KEs-Ob7f3M5atEVN9Yn7IeORGp0QGvggB62ELw"",""Maestro!A:I""),""SELECT Col8 WHERE Col3 = '""&amp;BE336&amp;""'"", 0), 1, 1),""NO ENCONTRADO"")"),"")</f>
        <v/>
      </c>
      <c r="BI336" s="12" t="str">
        <f>IFERROR(__xludf.DUMMYFUNCTION("IFERROR(INDEX(QUERY(IMPORTRANGE(""1T7HG8KEs-Ob7f3M5atEVN9Yn7IeORGp0QGvggB62ELw"",""Maestro!A:I""),""SELECT Col7 WHERE Col3 = '""&amp;BE336&amp;""'"", 0), 1, 1),""NO ENCONTRADO"")"),"")</f>
        <v/>
      </c>
      <c r="BJ336" s="16">
        <f t="shared" si="19"/>
        <v>0</v>
      </c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4"/>
      <c r="BX336" s="14"/>
      <c r="BY336" s="14"/>
      <c r="BZ336" s="14"/>
      <c r="CA336" s="14"/>
      <c r="CB336" s="14"/>
      <c r="CC336" s="14"/>
      <c r="CD336" s="14"/>
      <c r="CE336" s="14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</row>
    <row r="337">
      <c r="A337" s="274" t="s">
        <v>645</v>
      </c>
      <c r="B337" s="275" t="s">
        <v>18</v>
      </c>
      <c r="C337" s="275" t="s">
        <v>673</v>
      </c>
      <c r="D337" s="276" t="str">
        <f t="shared" si="8"/>
        <v>T-1-29</v>
      </c>
      <c r="E337" s="35">
        <v>45825.0</v>
      </c>
      <c r="F337" s="192" t="s">
        <v>739</v>
      </c>
      <c r="G337" s="37" t="s">
        <v>83</v>
      </c>
      <c r="H337" s="38" t="s">
        <v>84</v>
      </c>
      <c r="I337" s="39">
        <v>350.0</v>
      </c>
      <c r="J337" s="38" t="s">
        <v>22</v>
      </c>
      <c r="K337" s="32" t="str">
        <f t="shared" si="2"/>
        <v>OCUPADO</v>
      </c>
      <c r="L337" s="33">
        <f t="shared" si="18"/>
        <v>336</v>
      </c>
      <c r="M337" s="33" t="s">
        <v>733</v>
      </c>
      <c r="N337" s="33"/>
      <c r="O337" s="34" t="s">
        <v>24</v>
      </c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4"/>
      <c r="BF337" s="12"/>
      <c r="BG337" s="12"/>
      <c r="BH337" s="12" t="str">
        <f>IFERROR(__xludf.DUMMYFUNCTION("IFERROR(INDEX(QUERY(IMPORTRANGE(""1T7HG8KEs-Ob7f3M5atEVN9Yn7IeORGp0QGvggB62ELw"",""Maestro!A:I""),""SELECT Col8 WHERE Col3 = '""&amp;BE337&amp;""'"", 0), 1, 1),""NO ENCONTRADO"")"),"")</f>
        <v/>
      </c>
      <c r="BI337" s="12" t="str">
        <f>IFERROR(__xludf.DUMMYFUNCTION("IFERROR(INDEX(QUERY(IMPORTRANGE(""1T7HG8KEs-Ob7f3M5atEVN9Yn7IeORGp0QGvggB62ELw"",""Maestro!A:I""),""SELECT Col7 WHERE Col3 = '""&amp;BE337&amp;""'"", 0), 1, 1),""NO ENCONTRADO"")"),"")</f>
        <v/>
      </c>
      <c r="BJ337" s="16">
        <f t="shared" si="19"/>
        <v>0</v>
      </c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4"/>
      <c r="BX337" s="14"/>
      <c r="BY337" s="14"/>
      <c r="BZ337" s="14"/>
      <c r="CA337" s="14"/>
      <c r="CB337" s="14"/>
      <c r="CC337" s="14"/>
      <c r="CD337" s="14"/>
      <c r="CE337" s="14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</row>
    <row r="338">
      <c r="A338" s="274" t="s">
        <v>645</v>
      </c>
      <c r="B338" s="275" t="s">
        <v>18</v>
      </c>
      <c r="C338" s="275" t="s">
        <v>677</v>
      </c>
      <c r="D338" s="276" t="str">
        <f t="shared" si="8"/>
        <v>T-1-30</v>
      </c>
      <c r="E338" s="78">
        <v>45825.0</v>
      </c>
      <c r="F338" s="79" t="s">
        <v>739</v>
      </c>
      <c r="G338" s="80" t="s">
        <v>83</v>
      </c>
      <c r="H338" s="81" t="s">
        <v>84</v>
      </c>
      <c r="I338" s="82">
        <v>350.0</v>
      </c>
      <c r="J338" s="81" t="s">
        <v>22</v>
      </c>
      <c r="K338" s="27" t="str">
        <f t="shared" si="2"/>
        <v>OCUPADO</v>
      </c>
      <c r="L338" s="28">
        <f t="shared" si="18"/>
        <v>337</v>
      </c>
      <c r="M338" s="28" t="s">
        <v>733</v>
      </c>
      <c r="N338" s="28"/>
      <c r="O338" s="29" t="s">
        <v>24</v>
      </c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4"/>
      <c r="BF338" s="12"/>
      <c r="BG338" s="12"/>
      <c r="BH338" s="12" t="str">
        <f>IFERROR(__xludf.DUMMYFUNCTION("IFERROR(INDEX(QUERY(IMPORTRANGE(""1T7HG8KEs-Ob7f3M5atEVN9Yn7IeORGp0QGvggB62ELw"",""Maestro!A:I""),""SELECT Col8 WHERE Col3 = '""&amp;BE338&amp;""'"", 0), 1, 1),""NO ENCONTRADO"")"),"")</f>
        <v/>
      </c>
      <c r="BI338" s="12" t="str">
        <f>IFERROR(__xludf.DUMMYFUNCTION("IFERROR(INDEX(QUERY(IMPORTRANGE(""1T7HG8KEs-Ob7f3M5atEVN9Yn7IeORGp0QGvggB62ELw"",""Maestro!A:I""),""SELECT Col7 WHERE Col3 = '""&amp;BE338&amp;""'"", 0), 1, 1),""NO ENCONTRADO"")"),"")</f>
        <v/>
      </c>
      <c r="BJ338" s="16">
        <f t="shared" si="19"/>
        <v>0</v>
      </c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4"/>
      <c r="BX338" s="14"/>
      <c r="BY338" s="14"/>
      <c r="BZ338" s="14"/>
      <c r="CA338" s="14"/>
      <c r="CB338" s="14"/>
      <c r="CC338" s="14"/>
      <c r="CD338" s="14"/>
      <c r="CE338" s="14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</row>
    <row r="339">
      <c r="A339" s="274" t="s">
        <v>645</v>
      </c>
      <c r="B339" s="275" t="s">
        <v>18</v>
      </c>
      <c r="C339" s="275" t="s">
        <v>679</v>
      </c>
      <c r="D339" s="276" t="str">
        <f t="shared" si="8"/>
        <v>T-1-31</v>
      </c>
      <c r="E339" s="277">
        <v>45792.0</v>
      </c>
      <c r="F339" s="278" t="s">
        <v>740</v>
      </c>
      <c r="G339" s="279" t="s">
        <v>151</v>
      </c>
      <c r="H339" s="279" t="s">
        <v>152</v>
      </c>
      <c r="I339" s="280">
        <v>400.0</v>
      </c>
      <c r="J339" s="279" t="s">
        <v>22</v>
      </c>
      <c r="K339" s="32" t="str">
        <f t="shared" si="2"/>
        <v>OCUPADO</v>
      </c>
      <c r="L339" s="33">
        <f t="shared" si="18"/>
        <v>338</v>
      </c>
      <c r="M339" s="33" t="s">
        <v>733</v>
      </c>
      <c r="N339" s="33"/>
      <c r="O339" s="34" t="s">
        <v>24</v>
      </c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4"/>
      <c r="BF339" s="12"/>
      <c r="BG339" s="12"/>
      <c r="BH339" s="12" t="str">
        <f>IFERROR(__xludf.DUMMYFUNCTION("IFERROR(INDEX(QUERY(IMPORTRANGE(""1T7HG8KEs-Ob7f3M5atEVN9Yn7IeORGp0QGvggB62ELw"",""Maestro!A:I""),""SELECT Col8 WHERE Col3 = '""&amp;BE339&amp;""'"", 0), 1, 1),""NO ENCONTRADO"")"),"")</f>
        <v/>
      </c>
      <c r="BI339" s="12" t="str">
        <f>IFERROR(__xludf.DUMMYFUNCTION("IFERROR(INDEX(QUERY(IMPORTRANGE(""1T7HG8KEs-Ob7f3M5atEVN9Yn7IeORGp0QGvggB62ELw"",""Maestro!A:I""),""SELECT Col7 WHERE Col3 = '""&amp;BE339&amp;""'"", 0), 1, 1),""NO ENCONTRADO"")"),"")</f>
        <v/>
      </c>
      <c r="BJ339" s="16">
        <f t="shared" si="19"/>
        <v>0</v>
      </c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4"/>
      <c r="BX339" s="14"/>
      <c r="BY339" s="14"/>
      <c r="BZ339" s="14"/>
      <c r="CA339" s="14"/>
      <c r="CB339" s="14"/>
      <c r="CC339" s="14"/>
      <c r="CD339" s="14"/>
      <c r="CE339" s="14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</row>
    <row r="340">
      <c r="A340" s="274" t="s">
        <v>645</v>
      </c>
      <c r="B340" s="275" t="s">
        <v>18</v>
      </c>
      <c r="C340" s="275" t="s">
        <v>681</v>
      </c>
      <c r="D340" s="276" t="str">
        <f t="shared" si="8"/>
        <v>T-1-32</v>
      </c>
      <c r="E340" s="277">
        <v>45825.0</v>
      </c>
      <c r="F340" s="278" t="s">
        <v>739</v>
      </c>
      <c r="G340" s="279" t="s">
        <v>83</v>
      </c>
      <c r="H340" s="279" t="s">
        <v>84</v>
      </c>
      <c r="I340" s="280">
        <v>350.0</v>
      </c>
      <c r="J340" s="279" t="s">
        <v>22</v>
      </c>
      <c r="K340" s="27" t="str">
        <f t="shared" si="2"/>
        <v>OCUPADO</v>
      </c>
      <c r="L340" s="28">
        <f t="shared" si="18"/>
        <v>339</v>
      </c>
      <c r="M340" s="28" t="s">
        <v>733</v>
      </c>
      <c r="N340" s="28"/>
      <c r="O340" s="29" t="s">
        <v>24</v>
      </c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4"/>
      <c r="BF340" s="12"/>
      <c r="BG340" s="12"/>
      <c r="BH340" s="12" t="str">
        <f>IFERROR(__xludf.DUMMYFUNCTION("IFERROR(INDEX(QUERY(IMPORTRANGE(""1T7HG8KEs-Ob7f3M5atEVN9Yn7IeORGp0QGvggB62ELw"",""Maestro!A:I""),""SELECT Col8 WHERE Col3 = '""&amp;BE340&amp;""'"", 0), 1, 1),""NO ENCONTRADO"")"),"")</f>
        <v/>
      </c>
      <c r="BI340" s="12" t="str">
        <f>IFERROR(__xludf.DUMMYFUNCTION("IFERROR(INDEX(QUERY(IMPORTRANGE(""1T7HG8KEs-Ob7f3M5atEVN9Yn7IeORGp0QGvggB62ELw"",""Maestro!A:I""),""SELECT Col7 WHERE Col3 = '""&amp;BE340&amp;""'"", 0), 1, 1),""NO ENCONTRADO"")"),"")</f>
        <v/>
      </c>
      <c r="BJ340" s="16">
        <f t="shared" si="19"/>
        <v>0</v>
      </c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4"/>
      <c r="BX340" s="14"/>
      <c r="BY340" s="14"/>
      <c r="BZ340" s="14"/>
      <c r="CA340" s="14"/>
      <c r="CB340" s="14"/>
      <c r="CC340" s="14"/>
      <c r="CD340" s="14"/>
      <c r="CE340" s="14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</row>
    <row r="341">
      <c r="A341" s="274" t="s">
        <v>645</v>
      </c>
      <c r="B341" s="275" t="s">
        <v>18</v>
      </c>
      <c r="C341" s="275" t="s">
        <v>683</v>
      </c>
      <c r="D341" s="276" t="str">
        <f t="shared" si="8"/>
        <v>T-1-33</v>
      </c>
      <c r="E341" s="78">
        <v>45825.0</v>
      </c>
      <c r="F341" s="79" t="s">
        <v>739</v>
      </c>
      <c r="G341" s="80" t="s">
        <v>83</v>
      </c>
      <c r="H341" s="81" t="s">
        <v>84</v>
      </c>
      <c r="I341" s="82">
        <v>350.0</v>
      </c>
      <c r="J341" s="81" t="s">
        <v>22</v>
      </c>
      <c r="K341" s="32" t="str">
        <f t="shared" si="2"/>
        <v>OCUPADO</v>
      </c>
      <c r="L341" s="33">
        <f t="shared" si="18"/>
        <v>340</v>
      </c>
      <c r="M341" s="33" t="s">
        <v>733</v>
      </c>
      <c r="N341" s="33"/>
      <c r="O341" s="249" t="s">
        <v>24</v>
      </c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4"/>
      <c r="BF341" s="12"/>
      <c r="BG341" s="12"/>
      <c r="BH341" s="12" t="str">
        <f>IFERROR(__xludf.DUMMYFUNCTION("IFERROR(INDEX(QUERY(IMPORTRANGE(""1T7HG8KEs-Ob7f3M5atEVN9Yn7IeORGp0QGvggB62ELw"",""Maestro!A:I""),""SELECT Col8 WHERE Col3 = '""&amp;BE341&amp;""'"", 0), 1, 1),""NO ENCONTRADO"")"),"")</f>
        <v/>
      </c>
      <c r="BI341" s="12" t="str">
        <f>IFERROR(__xludf.DUMMYFUNCTION("IFERROR(INDEX(QUERY(IMPORTRANGE(""1T7HG8KEs-Ob7f3M5atEVN9Yn7IeORGp0QGvggB62ELw"",""Maestro!A:I""),""SELECT Col7 WHERE Col3 = '""&amp;BE341&amp;""'"", 0), 1, 1),""NO ENCONTRADO"")"),"")</f>
        <v/>
      </c>
      <c r="BJ341" s="16">
        <f t="shared" si="19"/>
        <v>0</v>
      </c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4"/>
      <c r="BX341" s="14"/>
      <c r="BY341" s="14"/>
      <c r="BZ341" s="14"/>
      <c r="CA341" s="14"/>
      <c r="CB341" s="14"/>
      <c r="CC341" s="14"/>
      <c r="CD341" s="14"/>
      <c r="CE341" s="14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</row>
    <row r="342">
      <c r="A342" s="274" t="s">
        <v>645</v>
      </c>
      <c r="B342" s="275" t="s">
        <v>18</v>
      </c>
      <c r="C342" s="275" t="s">
        <v>685</v>
      </c>
      <c r="D342" s="276" t="str">
        <f t="shared" si="8"/>
        <v>T-1-34</v>
      </c>
      <c r="E342" s="78">
        <v>45825.0</v>
      </c>
      <c r="F342" s="79" t="s">
        <v>739</v>
      </c>
      <c r="G342" s="80" t="s">
        <v>83</v>
      </c>
      <c r="H342" s="81" t="s">
        <v>84</v>
      </c>
      <c r="I342" s="82">
        <v>350.0</v>
      </c>
      <c r="J342" s="81" t="s">
        <v>22</v>
      </c>
      <c r="K342" s="27" t="str">
        <f t="shared" si="2"/>
        <v>OCUPADO</v>
      </c>
      <c r="L342" s="28">
        <f t="shared" si="18"/>
        <v>341</v>
      </c>
      <c r="M342" s="28" t="s">
        <v>733</v>
      </c>
      <c r="N342" s="28"/>
      <c r="O342" s="29" t="s">
        <v>24</v>
      </c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4"/>
      <c r="BF342" s="12"/>
      <c r="BG342" s="12"/>
      <c r="BH342" s="12" t="str">
        <f>IFERROR(__xludf.DUMMYFUNCTION("IFERROR(INDEX(QUERY(IMPORTRANGE(""1T7HG8KEs-Ob7f3M5atEVN9Yn7IeORGp0QGvggB62ELw"",""Maestro!A:I""),""SELECT Col8 WHERE Col3 = '""&amp;BE342&amp;""'"", 0), 1, 1),""NO ENCONTRADO"")"),"")</f>
        <v/>
      </c>
      <c r="BI342" s="12" t="str">
        <f>IFERROR(__xludf.DUMMYFUNCTION("IFERROR(INDEX(QUERY(IMPORTRANGE(""1T7HG8KEs-Ob7f3M5atEVN9Yn7IeORGp0QGvggB62ELw"",""Maestro!A:I""),""SELECT Col7 WHERE Col3 = '""&amp;BE342&amp;""'"", 0), 1, 1),""NO ENCONTRADO"")"),"")</f>
        <v/>
      </c>
      <c r="BJ342" s="16">
        <f t="shared" si="19"/>
        <v>0</v>
      </c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4"/>
      <c r="BX342" s="14"/>
      <c r="BY342" s="14"/>
      <c r="BZ342" s="14"/>
      <c r="CA342" s="14"/>
      <c r="CB342" s="14"/>
      <c r="CC342" s="14"/>
      <c r="CD342" s="14"/>
      <c r="CE342" s="14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</row>
    <row r="343">
      <c r="A343" s="274" t="s">
        <v>645</v>
      </c>
      <c r="B343" s="275" t="s">
        <v>18</v>
      </c>
      <c r="C343" s="275" t="s">
        <v>687</v>
      </c>
      <c r="D343" s="276" t="str">
        <f t="shared" si="8"/>
        <v>T-1-35</v>
      </c>
      <c r="E343" s="78">
        <v>45825.0</v>
      </c>
      <c r="F343" s="79" t="s">
        <v>741</v>
      </c>
      <c r="G343" s="81" t="s">
        <v>67</v>
      </c>
      <c r="H343" s="81" t="s">
        <v>68</v>
      </c>
      <c r="I343" s="82">
        <v>400.0</v>
      </c>
      <c r="J343" s="81" t="s">
        <v>22</v>
      </c>
      <c r="K343" s="32" t="str">
        <f t="shared" si="2"/>
        <v>OCUPADO</v>
      </c>
      <c r="L343" s="33">
        <f t="shared" si="18"/>
        <v>342</v>
      </c>
      <c r="M343" s="33" t="s">
        <v>733</v>
      </c>
      <c r="N343" s="33"/>
      <c r="O343" s="169" t="s">
        <v>24</v>
      </c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4"/>
      <c r="BF343" s="12"/>
      <c r="BG343" s="12"/>
      <c r="BH343" s="12" t="str">
        <f>IFERROR(__xludf.DUMMYFUNCTION("IFERROR(INDEX(QUERY(IMPORTRANGE(""1T7HG8KEs-Ob7f3M5atEVN9Yn7IeORGp0QGvggB62ELw"",""Maestro!A:I""),""SELECT Col8 WHERE Col3 = '""&amp;BE343&amp;""'"", 0), 1, 1),""NO ENCONTRADO"")"),"")</f>
        <v/>
      </c>
      <c r="BI343" s="12" t="str">
        <f>IFERROR(__xludf.DUMMYFUNCTION("IFERROR(INDEX(QUERY(IMPORTRANGE(""1T7HG8KEs-Ob7f3M5atEVN9Yn7IeORGp0QGvggB62ELw"",""Maestro!A:I""),""SELECT Col7 WHERE Col3 = '""&amp;BE343&amp;""'"", 0), 1, 1),""NO ENCONTRADO"")"),"")</f>
        <v/>
      </c>
      <c r="BJ343" s="16">
        <f t="shared" si="19"/>
        <v>0</v>
      </c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4"/>
      <c r="BX343" s="14"/>
      <c r="BY343" s="14"/>
      <c r="BZ343" s="14"/>
      <c r="CA343" s="14"/>
      <c r="CB343" s="14"/>
      <c r="CC343" s="14"/>
      <c r="CD343" s="14"/>
      <c r="CE343" s="14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</row>
    <row r="344">
      <c r="A344" s="274" t="s">
        <v>645</v>
      </c>
      <c r="B344" s="275" t="s">
        <v>18</v>
      </c>
      <c r="C344" s="275" t="s">
        <v>689</v>
      </c>
      <c r="D344" s="276" t="str">
        <f t="shared" si="8"/>
        <v>T-1-36</v>
      </c>
      <c r="E344" s="78">
        <v>45825.0</v>
      </c>
      <c r="F344" s="79" t="s">
        <v>742</v>
      </c>
      <c r="G344" s="80" t="s">
        <v>74</v>
      </c>
      <c r="H344" s="81" t="s">
        <v>75</v>
      </c>
      <c r="I344" s="82">
        <v>400.0</v>
      </c>
      <c r="J344" s="81" t="s">
        <v>22</v>
      </c>
      <c r="K344" s="27" t="str">
        <f t="shared" si="2"/>
        <v>OCUPADO</v>
      </c>
      <c r="L344" s="28">
        <f t="shared" si="18"/>
        <v>343</v>
      </c>
      <c r="M344" s="28" t="s">
        <v>733</v>
      </c>
      <c r="N344" s="28"/>
      <c r="O344" s="168" t="s">
        <v>24</v>
      </c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4"/>
      <c r="BF344" s="12"/>
      <c r="BG344" s="12"/>
      <c r="BH344" s="12" t="str">
        <f>IFERROR(__xludf.DUMMYFUNCTION("IFERROR(INDEX(QUERY(IMPORTRANGE(""1T7HG8KEs-Ob7f3M5atEVN9Yn7IeORGp0QGvggB62ELw"",""Maestro!A:I""),""SELECT Col8 WHERE Col3 = '""&amp;BE344&amp;""'"", 0), 1, 1),""NO ENCONTRADO"")"),"")</f>
        <v/>
      </c>
      <c r="BI344" s="12" t="str">
        <f>IFERROR(__xludf.DUMMYFUNCTION("IFERROR(INDEX(QUERY(IMPORTRANGE(""1T7HG8KEs-Ob7f3M5atEVN9Yn7IeORGp0QGvggB62ELw"",""Maestro!A:I""),""SELECT Col7 WHERE Col3 = '""&amp;BE344&amp;""'"", 0), 1, 1),""NO ENCONTRADO"")"),"")</f>
        <v/>
      </c>
      <c r="BJ344" s="16">
        <f t="shared" si="19"/>
        <v>0</v>
      </c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4"/>
      <c r="BX344" s="14"/>
      <c r="BY344" s="14"/>
      <c r="BZ344" s="14"/>
      <c r="CA344" s="14"/>
      <c r="CB344" s="14"/>
      <c r="CC344" s="14"/>
      <c r="CD344" s="14"/>
      <c r="CE344" s="14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</row>
    <row r="345">
      <c r="A345" s="274" t="s">
        <v>645</v>
      </c>
      <c r="B345" s="275" t="s">
        <v>18</v>
      </c>
      <c r="C345" s="275" t="s">
        <v>691</v>
      </c>
      <c r="D345" s="276" t="str">
        <f t="shared" si="8"/>
        <v>T-1-37</v>
      </c>
      <c r="E345" s="78">
        <v>45824.0</v>
      </c>
      <c r="F345" s="79" t="s">
        <v>743</v>
      </c>
      <c r="G345" s="81">
        <v>691084.0</v>
      </c>
      <c r="H345" s="81" t="s">
        <v>57</v>
      </c>
      <c r="I345" s="82">
        <v>100.0</v>
      </c>
      <c r="J345" s="81" t="s">
        <v>22</v>
      </c>
      <c r="K345" s="32" t="str">
        <f t="shared" si="2"/>
        <v>OCUPADO</v>
      </c>
      <c r="L345" s="33">
        <f t="shared" si="18"/>
        <v>344</v>
      </c>
      <c r="M345" s="33" t="s">
        <v>733</v>
      </c>
      <c r="N345" s="33"/>
      <c r="O345" s="169" t="s">
        <v>24</v>
      </c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4"/>
      <c r="BF345" s="12"/>
      <c r="BG345" s="12"/>
      <c r="BH345" s="12" t="str">
        <f>IFERROR(__xludf.DUMMYFUNCTION("IFERROR(INDEX(QUERY(IMPORTRANGE(""1T7HG8KEs-Ob7f3M5atEVN9Yn7IeORGp0QGvggB62ELw"",""Maestro!A:I""),""SELECT Col8 WHERE Col3 = '""&amp;BE345&amp;""'"", 0), 1, 1),""NO ENCONTRADO"")"),"")</f>
        <v/>
      </c>
      <c r="BI345" s="12" t="str">
        <f>IFERROR(__xludf.DUMMYFUNCTION("IFERROR(INDEX(QUERY(IMPORTRANGE(""1T7HG8KEs-Ob7f3M5atEVN9Yn7IeORGp0QGvggB62ELw"",""Maestro!A:I""),""SELECT Col7 WHERE Col3 = '""&amp;BE345&amp;""'"", 0), 1, 1),""NO ENCONTRADO"")"),"")</f>
        <v/>
      </c>
      <c r="BJ345" s="16">
        <f t="shared" si="19"/>
        <v>0</v>
      </c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4"/>
      <c r="BX345" s="14"/>
      <c r="BY345" s="14"/>
      <c r="BZ345" s="14"/>
      <c r="CA345" s="14"/>
      <c r="CB345" s="14"/>
      <c r="CC345" s="14"/>
      <c r="CD345" s="14"/>
      <c r="CE345" s="14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</row>
    <row r="346">
      <c r="A346" s="274" t="s">
        <v>645</v>
      </c>
      <c r="B346" s="275" t="s">
        <v>18</v>
      </c>
      <c r="C346" s="275" t="s">
        <v>693</v>
      </c>
      <c r="D346" s="276" t="str">
        <f t="shared" si="8"/>
        <v>T-1-38</v>
      </c>
      <c r="E346" s="78">
        <v>45831.0</v>
      </c>
      <c r="F346" s="79" t="s">
        <v>744</v>
      </c>
      <c r="G346" s="81">
        <v>605678.0</v>
      </c>
      <c r="H346" s="81" t="s">
        <v>50</v>
      </c>
      <c r="I346" s="82">
        <v>50.0</v>
      </c>
      <c r="J346" s="81" t="s">
        <v>22</v>
      </c>
      <c r="K346" s="27" t="str">
        <f t="shared" si="2"/>
        <v>OCUPADO</v>
      </c>
      <c r="L346" s="28">
        <f t="shared" si="18"/>
        <v>345</v>
      </c>
      <c r="M346" s="28" t="s">
        <v>733</v>
      </c>
      <c r="N346" s="28"/>
      <c r="O346" s="168" t="s">
        <v>24</v>
      </c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4"/>
      <c r="BF346" s="12"/>
      <c r="BG346" s="12"/>
      <c r="BH346" s="12" t="str">
        <f>IFERROR(__xludf.DUMMYFUNCTION("IFERROR(INDEX(QUERY(IMPORTRANGE(""1T7HG8KEs-Ob7f3M5atEVN9Yn7IeORGp0QGvggB62ELw"",""Maestro!A:I""),""SELECT Col8 WHERE Col3 = '""&amp;BE346&amp;""'"", 0), 1, 1),""NO ENCONTRADO"")"),"")</f>
        <v/>
      </c>
      <c r="BI346" s="12" t="str">
        <f>IFERROR(__xludf.DUMMYFUNCTION("IFERROR(INDEX(QUERY(IMPORTRANGE(""1T7HG8KEs-Ob7f3M5atEVN9Yn7IeORGp0QGvggB62ELw"",""Maestro!A:I""),""SELECT Col7 WHERE Col3 = '""&amp;BE346&amp;""'"", 0), 1, 1),""NO ENCONTRADO"")"),"")</f>
        <v/>
      </c>
      <c r="BJ346" s="16">
        <f t="shared" si="19"/>
        <v>0</v>
      </c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4"/>
      <c r="BX346" s="14"/>
      <c r="BY346" s="14"/>
      <c r="BZ346" s="14"/>
      <c r="CA346" s="14"/>
      <c r="CB346" s="14"/>
      <c r="CC346" s="14"/>
      <c r="CD346" s="14"/>
      <c r="CE346" s="14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</row>
    <row r="347">
      <c r="A347" s="274" t="s">
        <v>645</v>
      </c>
      <c r="B347" s="275" t="s">
        <v>18</v>
      </c>
      <c r="C347" s="275" t="s">
        <v>695</v>
      </c>
      <c r="D347" s="276" t="str">
        <f t="shared" si="8"/>
        <v>T-1-39</v>
      </c>
      <c r="E347" s="78">
        <v>45831.0</v>
      </c>
      <c r="F347" s="79" t="s">
        <v>745</v>
      </c>
      <c r="G347" s="81" t="s">
        <v>137</v>
      </c>
      <c r="H347" s="81" t="s">
        <v>138</v>
      </c>
      <c r="I347" s="82">
        <v>137.0</v>
      </c>
      <c r="J347" s="81" t="s">
        <v>22</v>
      </c>
      <c r="K347" s="32" t="str">
        <f t="shared" si="2"/>
        <v>OCUPADO</v>
      </c>
      <c r="L347" s="33">
        <f t="shared" si="18"/>
        <v>346</v>
      </c>
      <c r="M347" s="33" t="s">
        <v>733</v>
      </c>
      <c r="N347" s="53"/>
      <c r="O347" s="169" t="s">
        <v>24</v>
      </c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4"/>
      <c r="BF347" s="12"/>
      <c r="BG347" s="12"/>
      <c r="BH347" s="12" t="str">
        <f>IFERROR(__xludf.DUMMYFUNCTION("IFERROR(INDEX(QUERY(IMPORTRANGE(""1T7HG8KEs-Ob7f3M5atEVN9Yn7IeORGp0QGvggB62ELw"",""Maestro!A:I""),""SELECT Col8 WHERE Col3 = '""&amp;BE347&amp;""'"", 0), 1, 1),""NO ENCONTRADO"")"),"")</f>
        <v/>
      </c>
      <c r="BI347" s="12" t="str">
        <f>IFERROR(__xludf.DUMMYFUNCTION("IFERROR(INDEX(QUERY(IMPORTRANGE(""1T7HG8KEs-Ob7f3M5atEVN9Yn7IeORGp0QGvggB62ELw"",""Maestro!A:I""),""SELECT Col7 WHERE Col3 = '""&amp;BE347&amp;""'"", 0), 1, 1),""NO ENCONTRADO"")"),"")</f>
        <v/>
      </c>
      <c r="BJ347" s="16">
        <f t="shared" si="19"/>
        <v>0</v>
      </c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4"/>
      <c r="BX347" s="14"/>
      <c r="BY347" s="14"/>
      <c r="BZ347" s="14"/>
      <c r="CA347" s="14"/>
      <c r="CB347" s="14"/>
      <c r="CC347" s="14"/>
      <c r="CD347" s="14"/>
      <c r="CE347" s="14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</row>
    <row r="348">
      <c r="A348" s="281" t="s">
        <v>645</v>
      </c>
      <c r="B348" s="282" t="s">
        <v>18</v>
      </c>
      <c r="C348" s="282" t="s">
        <v>698</v>
      </c>
      <c r="D348" s="283" t="str">
        <f t="shared" si="8"/>
        <v>T-1-40</v>
      </c>
      <c r="E348" s="184">
        <v>45831.0</v>
      </c>
      <c r="F348" s="284" t="s">
        <v>745</v>
      </c>
      <c r="G348" s="186" t="s">
        <v>137</v>
      </c>
      <c r="H348" s="187" t="s">
        <v>138</v>
      </c>
      <c r="I348" s="188">
        <v>225.0</v>
      </c>
      <c r="J348" s="285" t="s">
        <v>22</v>
      </c>
      <c r="K348" s="63" t="str">
        <f t="shared" si="2"/>
        <v>OCUPADO</v>
      </c>
      <c r="L348" s="64">
        <f t="shared" si="18"/>
        <v>347</v>
      </c>
      <c r="M348" s="64" t="s">
        <v>733</v>
      </c>
      <c r="N348" s="65"/>
      <c r="O348" s="286" t="s">
        <v>24</v>
      </c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4"/>
      <c r="BF348" s="12"/>
      <c r="BG348" s="12"/>
      <c r="BH348" s="12" t="str">
        <f>IFERROR(__xludf.DUMMYFUNCTION("IFERROR(INDEX(QUERY(IMPORTRANGE(""1T7HG8KEs-Ob7f3M5atEVN9Yn7IeORGp0QGvggB62ELw"",""Maestro!A:I""),""SELECT Col8 WHERE Col3 = '""&amp;BE348&amp;""'"", 0), 1, 1),""NO ENCONTRADO"")"),"")</f>
        <v/>
      </c>
      <c r="BI348" s="12" t="str">
        <f>IFERROR(__xludf.DUMMYFUNCTION("IFERROR(INDEX(QUERY(IMPORTRANGE(""1T7HG8KEs-Ob7f3M5atEVN9Yn7IeORGp0QGvggB62ELw"",""Maestro!A:I""),""SELECT Col7 WHERE Col3 = '""&amp;BE348&amp;""'"", 0), 1, 1),""NO ENCONTRADO"")"),"")</f>
        <v/>
      </c>
      <c r="BJ348" s="16">
        <f t="shared" si="19"/>
        <v>0</v>
      </c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4"/>
      <c r="BX348" s="14"/>
      <c r="BY348" s="14"/>
      <c r="BZ348" s="14"/>
      <c r="CA348" s="14"/>
      <c r="CB348" s="14"/>
      <c r="CC348" s="14"/>
      <c r="CD348" s="14"/>
      <c r="CE348" s="14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</row>
    <row r="349">
      <c r="A349" s="287" t="s">
        <v>664</v>
      </c>
      <c r="B349" s="288" t="s">
        <v>18</v>
      </c>
      <c r="C349" s="288" t="s">
        <v>18</v>
      </c>
      <c r="D349" s="289" t="str">
        <f t="shared" si="8"/>
        <v>ZOUT-1-1</v>
      </c>
      <c r="E349" s="72"/>
      <c r="F349" s="77"/>
      <c r="G349" s="74"/>
      <c r="H349" s="75"/>
      <c r="I349" s="76"/>
      <c r="J349" s="75"/>
      <c r="K349" s="32" t="str">
        <f t="shared" si="2"/>
        <v>DISPONIBLE</v>
      </c>
      <c r="L349" s="33">
        <f t="shared" si="18"/>
        <v>348</v>
      </c>
      <c r="M349" s="33" t="s">
        <v>746</v>
      </c>
      <c r="N349" s="122"/>
      <c r="O349" s="169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4"/>
      <c r="BF349" s="12"/>
      <c r="BG349" s="12"/>
      <c r="BH349" s="12" t="str">
        <f>IFERROR(__xludf.DUMMYFUNCTION("IFERROR(INDEX(QUERY(IMPORTRANGE(""1T7HG8KEs-Ob7f3M5atEVN9Yn7IeORGp0QGvggB62ELw"",""Maestro!A:I""),""SELECT Col8 WHERE Col3 = '""&amp;BE349&amp;""'"", 0), 1, 1),""NO ENCONTRADO"")"),"")</f>
        <v/>
      </c>
      <c r="BI349" s="12" t="str">
        <f>IFERROR(__xludf.DUMMYFUNCTION("IFERROR(INDEX(QUERY(IMPORTRANGE(""1T7HG8KEs-Ob7f3M5atEVN9Yn7IeORGp0QGvggB62ELw"",""Maestro!A:I""),""SELECT Col7 WHERE Col3 = '""&amp;BE349&amp;""'"", 0), 1, 1),""NO ENCONTRADO"")"),"")</f>
        <v/>
      </c>
      <c r="BJ349" s="16">
        <f t="shared" si="19"/>
        <v>0</v>
      </c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4"/>
      <c r="BX349" s="14"/>
      <c r="BY349" s="14"/>
      <c r="BZ349" s="14"/>
      <c r="CA349" s="14"/>
      <c r="CB349" s="14"/>
      <c r="CC349" s="14"/>
      <c r="CD349" s="14"/>
      <c r="CE349" s="14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</row>
    <row r="350">
      <c r="A350" s="287" t="s">
        <v>664</v>
      </c>
      <c r="B350" s="288" t="s">
        <v>18</v>
      </c>
      <c r="C350" s="288" t="s">
        <v>32</v>
      </c>
      <c r="D350" s="289" t="str">
        <f t="shared" si="8"/>
        <v>ZOUT-1-2</v>
      </c>
      <c r="E350" s="72"/>
      <c r="F350" s="77"/>
      <c r="G350" s="74"/>
      <c r="H350" s="75"/>
      <c r="I350" s="76"/>
      <c r="J350" s="75"/>
      <c r="K350" s="27" t="str">
        <f t="shared" si="2"/>
        <v>DISPONIBLE</v>
      </c>
      <c r="L350" s="28">
        <f t="shared" si="18"/>
        <v>349</v>
      </c>
      <c r="M350" s="28" t="s">
        <v>746</v>
      </c>
      <c r="N350" s="109"/>
      <c r="O350" s="168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4"/>
      <c r="BF350" s="12"/>
      <c r="BG350" s="12"/>
      <c r="BH350" s="12" t="str">
        <f>IFERROR(__xludf.DUMMYFUNCTION("IFERROR(INDEX(QUERY(IMPORTRANGE(""1T7HG8KEs-Ob7f3M5atEVN9Yn7IeORGp0QGvggB62ELw"",""Maestro!A:I""),""SELECT Col8 WHERE Col3 = '""&amp;BE350&amp;""'"", 0), 1, 1),""NO ENCONTRADO"")"),"")</f>
        <v/>
      </c>
      <c r="BI350" s="12" t="str">
        <f>IFERROR(__xludf.DUMMYFUNCTION("IFERROR(INDEX(QUERY(IMPORTRANGE(""1T7HG8KEs-Ob7f3M5atEVN9Yn7IeORGp0QGvggB62ELw"",""Maestro!A:I""),""SELECT Col7 WHERE Col3 = '""&amp;BE350&amp;""'"", 0), 1, 1),""NO ENCONTRADO"")"),"")</f>
        <v/>
      </c>
      <c r="BJ350" s="16">
        <f t="shared" si="19"/>
        <v>0</v>
      </c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4"/>
      <c r="BX350" s="14"/>
      <c r="BY350" s="14"/>
      <c r="BZ350" s="14"/>
      <c r="CA350" s="14"/>
      <c r="CB350" s="14"/>
      <c r="CC350" s="14"/>
      <c r="CD350" s="14"/>
      <c r="CE350" s="14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</row>
    <row r="351">
      <c r="A351" s="287" t="s">
        <v>664</v>
      </c>
      <c r="B351" s="288" t="s">
        <v>18</v>
      </c>
      <c r="C351" s="288" t="s">
        <v>44</v>
      </c>
      <c r="D351" s="289" t="str">
        <f t="shared" si="8"/>
        <v>ZOUT-1-3</v>
      </c>
      <c r="E351" s="72"/>
      <c r="F351" s="77"/>
      <c r="G351" s="74"/>
      <c r="H351" s="75"/>
      <c r="I351" s="76"/>
      <c r="J351" s="75"/>
      <c r="K351" s="32" t="str">
        <f t="shared" si="2"/>
        <v>DISPONIBLE</v>
      </c>
      <c r="L351" s="33">
        <f t="shared" si="18"/>
        <v>350</v>
      </c>
      <c r="M351" s="33" t="s">
        <v>746</v>
      </c>
      <c r="N351" s="122"/>
      <c r="O351" s="169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4"/>
      <c r="BF351" s="12"/>
      <c r="BG351" s="12"/>
      <c r="BH351" s="12" t="str">
        <f>IFERROR(__xludf.DUMMYFUNCTION("IFERROR(INDEX(QUERY(IMPORTRANGE(""1T7HG8KEs-Ob7f3M5atEVN9Yn7IeORGp0QGvggB62ELw"",""Maestro!A:I""),""SELECT Col8 WHERE Col3 = '""&amp;BE351&amp;""'"", 0), 1, 1),""NO ENCONTRADO"")"),"")</f>
        <v/>
      </c>
      <c r="BI351" s="12" t="str">
        <f>IFERROR(__xludf.DUMMYFUNCTION("IFERROR(INDEX(QUERY(IMPORTRANGE(""1T7HG8KEs-Ob7f3M5atEVN9Yn7IeORGp0QGvggB62ELw"",""Maestro!A:I""),""SELECT Col7 WHERE Col3 = '""&amp;BE351&amp;""'"", 0), 1, 1),""NO ENCONTRADO"")"),"")</f>
        <v/>
      </c>
      <c r="BJ351" s="16">
        <f t="shared" si="19"/>
        <v>0</v>
      </c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4"/>
      <c r="BX351" s="14"/>
      <c r="BY351" s="14"/>
      <c r="BZ351" s="14"/>
      <c r="CA351" s="14"/>
      <c r="CB351" s="14"/>
      <c r="CC351" s="14"/>
      <c r="CD351" s="14"/>
      <c r="CE351" s="14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</row>
    <row r="352">
      <c r="A352" s="287" t="s">
        <v>664</v>
      </c>
      <c r="B352" s="288" t="s">
        <v>18</v>
      </c>
      <c r="C352" s="288" t="s">
        <v>53</v>
      </c>
      <c r="D352" s="289" t="str">
        <f t="shared" si="8"/>
        <v>ZOUT-1-4</v>
      </c>
      <c r="E352" s="72"/>
      <c r="F352" s="77"/>
      <c r="G352" s="74"/>
      <c r="H352" s="75"/>
      <c r="I352" s="76"/>
      <c r="J352" s="75"/>
      <c r="K352" s="27" t="str">
        <f t="shared" si="2"/>
        <v>DISPONIBLE</v>
      </c>
      <c r="L352" s="28">
        <f t="shared" si="18"/>
        <v>351</v>
      </c>
      <c r="M352" s="28" t="s">
        <v>746</v>
      </c>
      <c r="N352" s="109"/>
      <c r="O352" s="168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4"/>
      <c r="BF352" s="12"/>
      <c r="BG352" s="12"/>
      <c r="BH352" s="12" t="str">
        <f>IFERROR(__xludf.DUMMYFUNCTION("IFERROR(INDEX(QUERY(IMPORTRANGE(""1T7HG8KEs-Ob7f3M5atEVN9Yn7IeORGp0QGvggB62ELw"",""Maestro!A:I""),""SELECT Col8 WHERE Col3 = '""&amp;BE352&amp;""'"", 0), 1, 1),""NO ENCONTRADO"")"),"")</f>
        <v/>
      </c>
      <c r="BI352" s="12" t="str">
        <f>IFERROR(__xludf.DUMMYFUNCTION("IFERROR(INDEX(QUERY(IMPORTRANGE(""1T7HG8KEs-Ob7f3M5atEVN9Yn7IeORGp0QGvggB62ELw"",""Maestro!A:I""),""SELECT Col7 WHERE Col3 = '""&amp;BE352&amp;""'"", 0), 1, 1),""NO ENCONTRADO"")"),"")</f>
        <v/>
      </c>
      <c r="BJ352" s="16">
        <f t="shared" si="19"/>
        <v>0</v>
      </c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4"/>
      <c r="BX352" s="14"/>
      <c r="BY352" s="14"/>
      <c r="BZ352" s="14"/>
      <c r="CA352" s="14"/>
      <c r="CB352" s="14"/>
      <c r="CC352" s="14"/>
      <c r="CD352" s="14"/>
      <c r="CE352" s="14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</row>
    <row r="353">
      <c r="A353" s="287" t="s">
        <v>664</v>
      </c>
      <c r="B353" s="288" t="s">
        <v>18</v>
      </c>
      <c r="C353" s="288" t="s">
        <v>25</v>
      </c>
      <c r="D353" s="289" t="str">
        <f t="shared" si="8"/>
        <v>ZOUT-1-5</v>
      </c>
      <c r="E353" s="72"/>
      <c r="F353" s="77"/>
      <c r="G353" s="74"/>
      <c r="H353" s="75"/>
      <c r="I353" s="76"/>
      <c r="J353" s="75"/>
      <c r="K353" s="32" t="str">
        <f t="shared" si="2"/>
        <v>DISPONIBLE</v>
      </c>
      <c r="L353" s="33">
        <f t="shared" si="18"/>
        <v>352</v>
      </c>
      <c r="M353" s="33" t="s">
        <v>746</v>
      </c>
      <c r="N353" s="122"/>
      <c r="O353" s="169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4"/>
      <c r="BF353" s="12"/>
      <c r="BG353" s="12"/>
      <c r="BH353" s="12" t="str">
        <f>IFERROR(__xludf.DUMMYFUNCTION("IFERROR(INDEX(QUERY(IMPORTRANGE(""1T7HG8KEs-Ob7f3M5atEVN9Yn7IeORGp0QGvggB62ELw"",""Maestro!A:I""),""SELECT Col8 WHERE Col3 = '""&amp;BE353&amp;""'"", 0), 1, 1),""NO ENCONTRADO"")"),"")</f>
        <v/>
      </c>
      <c r="BI353" s="12" t="str">
        <f>IFERROR(__xludf.DUMMYFUNCTION("IFERROR(INDEX(QUERY(IMPORTRANGE(""1T7HG8KEs-Ob7f3M5atEVN9Yn7IeORGp0QGvggB62ELw"",""Maestro!A:I""),""SELECT Col7 WHERE Col3 = '""&amp;BE353&amp;""'"", 0), 1, 1),""NO ENCONTRADO"")"),"")</f>
        <v/>
      </c>
      <c r="BJ353" s="16">
        <f t="shared" si="19"/>
        <v>0</v>
      </c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4"/>
      <c r="BX353" s="14"/>
      <c r="BY353" s="14"/>
      <c r="BZ353" s="14"/>
      <c r="CA353" s="14"/>
      <c r="CB353" s="14"/>
      <c r="CC353" s="14"/>
      <c r="CD353" s="14"/>
      <c r="CE353" s="14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</row>
    <row r="354">
      <c r="A354" s="287" t="s">
        <v>664</v>
      </c>
      <c r="B354" s="288" t="s">
        <v>18</v>
      </c>
      <c r="C354" s="288" t="s">
        <v>36</v>
      </c>
      <c r="D354" s="289" t="str">
        <f t="shared" si="8"/>
        <v>ZOUT-1-6</v>
      </c>
      <c r="E354" s="72"/>
      <c r="F354" s="77"/>
      <c r="G354" s="74"/>
      <c r="H354" s="75"/>
      <c r="I354" s="76"/>
      <c r="J354" s="75"/>
      <c r="K354" s="27" t="str">
        <f t="shared" si="2"/>
        <v>DISPONIBLE</v>
      </c>
      <c r="L354" s="28">
        <f t="shared" si="18"/>
        <v>353</v>
      </c>
      <c r="M354" s="28" t="s">
        <v>746</v>
      </c>
      <c r="N354" s="109"/>
      <c r="O354" s="168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4"/>
      <c r="BF354" s="12"/>
      <c r="BG354" s="12"/>
      <c r="BH354" s="12" t="str">
        <f>IFERROR(__xludf.DUMMYFUNCTION("IFERROR(INDEX(QUERY(IMPORTRANGE(""1T7HG8KEs-Ob7f3M5atEVN9Yn7IeORGp0QGvggB62ELw"",""Maestro!A:I""),""SELECT Col8 WHERE Col3 = '""&amp;BE354&amp;""'"", 0), 1, 1),""NO ENCONTRADO"")"),"")</f>
        <v/>
      </c>
      <c r="BI354" s="12" t="str">
        <f>IFERROR(__xludf.DUMMYFUNCTION("IFERROR(INDEX(QUERY(IMPORTRANGE(""1T7HG8KEs-Ob7f3M5atEVN9Yn7IeORGp0QGvggB62ELw"",""Maestro!A:I""),""SELECT Col7 WHERE Col3 = '""&amp;BE354&amp;""'"", 0), 1, 1),""NO ENCONTRADO"")"),"")</f>
        <v/>
      </c>
      <c r="BJ354" s="16">
        <f t="shared" si="19"/>
        <v>0</v>
      </c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4"/>
      <c r="BX354" s="14"/>
      <c r="BY354" s="14"/>
      <c r="BZ354" s="14"/>
      <c r="CA354" s="14"/>
      <c r="CB354" s="14"/>
      <c r="CC354" s="14"/>
      <c r="CD354" s="14"/>
      <c r="CE354" s="14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</row>
    <row r="355">
      <c r="A355" s="287" t="s">
        <v>664</v>
      </c>
      <c r="B355" s="288" t="s">
        <v>18</v>
      </c>
      <c r="C355" s="288" t="s">
        <v>48</v>
      </c>
      <c r="D355" s="289" t="str">
        <f t="shared" si="8"/>
        <v>ZOUT-1-7</v>
      </c>
      <c r="E355" s="72"/>
      <c r="F355" s="75"/>
      <c r="G355" s="75"/>
      <c r="H355" s="75"/>
      <c r="I355" s="76"/>
      <c r="J355" s="75"/>
      <c r="K355" s="32" t="str">
        <f t="shared" si="2"/>
        <v>DISPONIBLE</v>
      </c>
      <c r="L355" s="33">
        <f t="shared" si="18"/>
        <v>354</v>
      </c>
      <c r="M355" s="33" t="s">
        <v>746</v>
      </c>
      <c r="N355" s="122"/>
      <c r="O355" s="169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4"/>
      <c r="BF355" s="12"/>
      <c r="BG355" s="12"/>
      <c r="BH355" s="12" t="str">
        <f>IFERROR(__xludf.DUMMYFUNCTION("IFERROR(INDEX(QUERY(IMPORTRANGE(""1T7HG8KEs-Ob7f3M5atEVN9Yn7IeORGp0QGvggB62ELw"",""Maestro!A:I""),""SELECT Col8 WHERE Col3 = '""&amp;BE355&amp;""'"", 0), 1, 1),""NO ENCONTRADO"")"),"")</f>
        <v/>
      </c>
      <c r="BI355" s="12" t="str">
        <f>IFERROR(__xludf.DUMMYFUNCTION("IFERROR(INDEX(QUERY(IMPORTRANGE(""1T7HG8KEs-Ob7f3M5atEVN9Yn7IeORGp0QGvggB62ELw"",""Maestro!A:I""),""SELECT Col7 WHERE Col3 = '""&amp;BE355&amp;""'"", 0), 1, 1),""NO ENCONTRADO"")"),"")</f>
        <v/>
      </c>
      <c r="BJ355" s="16">
        <f t="shared" si="19"/>
        <v>0</v>
      </c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4"/>
      <c r="BX355" s="14"/>
      <c r="BY355" s="14"/>
      <c r="BZ355" s="14"/>
      <c r="CA355" s="14"/>
      <c r="CB355" s="14"/>
      <c r="CC355" s="14"/>
      <c r="CD355" s="14"/>
      <c r="CE355" s="14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</row>
    <row r="356">
      <c r="A356" s="287" t="s">
        <v>664</v>
      </c>
      <c r="B356" s="288" t="s">
        <v>18</v>
      </c>
      <c r="C356" s="288" t="s">
        <v>465</v>
      </c>
      <c r="D356" s="289" t="str">
        <f t="shared" si="8"/>
        <v>ZOUT-1-8</v>
      </c>
      <c r="E356" s="72"/>
      <c r="F356" s="75"/>
      <c r="G356" s="75"/>
      <c r="H356" s="75"/>
      <c r="I356" s="76"/>
      <c r="J356" s="75"/>
      <c r="K356" s="27" t="str">
        <f t="shared" si="2"/>
        <v>DISPONIBLE</v>
      </c>
      <c r="L356" s="28">
        <f t="shared" si="18"/>
        <v>355</v>
      </c>
      <c r="M356" s="28" t="s">
        <v>746</v>
      </c>
      <c r="N356" s="109"/>
      <c r="O356" s="168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4"/>
      <c r="BF356" s="12"/>
      <c r="BG356" s="12"/>
      <c r="BH356" s="12" t="str">
        <f>IFERROR(__xludf.DUMMYFUNCTION("IFERROR(INDEX(QUERY(IMPORTRANGE(""1T7HG8KEs-Ob7f3M5atEVN9Yn7IeORGp0QGvggB62ELw"",""Maestro!A:I""),""SELECT Col8 WHERE Col3 = '""&amp;BE356&amp;""'"", 0), 1, 1),""NO ENCONTRADO"")"),"")</f>
        <v/>
      </c>
      <c r="BI356" s="12" t="str">
        <f>IFERROR(__xludf.DUMMYFUNCTION("IFERROR(INDEX(QUERY(IMPORTRANGE(""1T7HG8KEs-Ob7f3M5atEVN9Yn7IeORGp0QGvggB62ELw"",""Maestro!A:I""),""SELECT Col7 WHERE Col3 = '""&amp;BE356&amp;""'"", 0), 1, 1),""NO ENCONTRADO"")"),"")</f>
        <v/>
      </c>
      <c r="BJ356" s="16">
        <f t="shared" si="19"/>
        <v>0</v>
      </c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4"/>
      <c r="BX356" s="14"/>
      <c r="BY356" s="14"/>
      <c r="BZ356" s="14"/>
      <c r="CA356" s="14"/>
      <c r="CB356" s="14"/>
      <c r="CC356" s="14"/>
      <c r="CD356" s="14"/>
      <c r="CE356" s="14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</row>
    <row r="357">
      <c r="A357" s="287" t="s">
        <v>664</v>
      </c>
      <c r="B357" s="288" t="s">
        <v>18</v>
      </c>
      <c r="C357" s="288" t="s">
        <v>511</v>
      </c>
      <c r="D357" s="289" t="str">
        <f t="shared" si="8"/>
        <v>ZOUT-1-9</v>
      </c>
      <c r="E357" s="72"/>
      <c r="F357" s="75"/>
      <c r="G357" s="74"/>
      <c r="H357" s="75"/>
      <c r="I357" s="76"/>
      <c r="J357" s="75"/>
      <c r="K357" s="32" t="str">
        <f t="shared" si="2"/>
        <v>DISPONIBLE</v>
      </c>
      <c r="L357" s="33">
        <f t="shared" si="18"/>
        <v>356</v>
      </c>
      <c r="M357" s="33" t="s">
        <v>746</v>
      </c>
      <c r="N357" s="122"/>
      <c r="O357" s="169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4"/>
      <c r="BF357" s="12"/>
      <c r="BG357" s="12"/>
      <c r="BH357" s="12" t="str">
        <f>IFERROR(__xludf.DUMMYFUNCTION("IFERROR(INDEX(QUERY(IMPORTRANGE(""1T7HG8KEs-Ob7f3M5atEVN9Yn7IeORGp0QGvggB62ELw"",""Maestro!A:I""),""SELECT Col8 WHERE Col3 = '""&amp;BE357&amp;""'"", 0), 1, 1),""NO ENCONTRADO"")"),"")</f>
        <v/>
      </c>
      <c r="BI357" s="12" t="str">
        <f>IFERROR(__xludf.DUMMYFUNCTION("IFERROR(INDEX(QUERY(IMPORTRANGE(""1T7HG8KEs-Ob7f3M5atEVN9Yn7IeORGp0QGvggB62ELw"",""Maestro!A:I""),""SELECT Col7 WHERE Col3 = '""&amp;BE357&amp;""'"", 0), 1, 1),""NO ENCONTRADO"")"),"")</f>
        <v/>
      </c>
      <c r="BJ357" s="16">
        <f t="shared" si="19"/>
        <v>0</v>
      </c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4"/>
      <c r="BX357" s="14"/>
      <c r="BY357" s="14"/>
      <c r="BZ357" s="14"/>
      <c r="CA357" s="14"/>
      <c r="CB357" s="14"/>
      <c r="CC357" s="14"/>
      <c r="CD357" s="14"/>
      <c r="CE357" s="14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</row>
    <row r="358">
      <c r="A358" s="287" t="s">
        <v>664</v>
      </c>
      <c r="B358" s="288" t="s">
        <v>18</v>
      </c>
      <c r="C358" s="288" t="s">
        <v>296</v>
      </c>
      <c r="D358" s="289" t="str">
        <f t="shared" si="8"/>
        <v>ZOUT-1-10</v>
      </c>
      <c r="E358" s="72"/>
      <c r="F358" s="77" t="s">
        <v>747</v>
      </c>
      <c r="G358" s="74"/>
      <c r="H358" s="75"/>
      <c r="I358" s="76"/>
      <c r="J358" s="75"/>
      <c r="K358" s="27" t="str">
        <f t="shared" si="2"/>
        <v>DISPONIBLE</v>
      </c>
      <c r="L358" s="28">
        <f t="shared" si="18"/>
        <v>357</v>
      </c>
      <c r="M358" s="28" t="s">
        <v>746</v>
      </c>
      <c r="N358" s="109"/>
      <c r="O358" s="168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4"/>
      <c r="BF358" s="12"/>
      <c r="BG358" s="12"/>
      <c r="BH358" s="12" t="str">
        <f>IFERROR(__xludf.DUMMYFUNCTION("IFERROR(INDEX(QUERY(IMPORTRANGE(""1T7HG8KEs-Ob7f3M5atEVN9Yn7IeORGp0QGvggB62ELw"",""Maestro!A:I""),""SELECT Col8 WHERE Col3 = '""&amp;BE358&amp;""'"", 0), 1, 1),""NO ENCONTRADO"")"),"")</f>
        <v/>
      </c>
      <c r="BI358" s="12" t="str">
        <f>IFERROR(__xludf.DUMMYFUNCTION("IFERROR(INDEX(QUERY(IMPORTRANGE(""1T7HG8KEs-Ob7f3M5atEVN9Yn7IeORGp0QGvggB62ELw"",""Maestro!A:I""),""SELECT Col7 WHERE Col3 = '""&amp;BE358&amp;""'"", 0), 1, 1),""NO ENCONTRADO"")"),"")</f>
        <v/>
      </c>
      <c r="BJ358" s="16">
        <f t="shared" si="19"/>
        <v>0</v>
      </c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4"/>
      <c r="BX358" s="14"/>
      <c r="BY358" s="14"/>
      <c r="BZ358" s="14"/>
      <c r="CA358" s="14"/>
      <c r="CB358" s="14"/>
      <c r="CC358" s="14"/>
      <c r="CD358" s="14"/>
      <c r="CE358" s="14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</row>
    <row r="359">
      <c r="A359" s="287" t="s">
        <v>664</v>
      </c>
      <c r="B359" s="288" t="s">
        <v>18</v>
      </c>
      <c r="C359" s="288" t="s">
        <v>316</v>
      </c>
      <c r="D359" s="289" t="str">
        <f t="shared" si="8"/>
        <v>ZOUT-1-11</v>
      </c>
      <c r="E359" s="72"/>
      <c r="F359" s="77"/>
      <c r="G359" s="74"/>
      <c r="H359" s="75"/>
      <c r="I359" s="76"/>
      <c r="J359" s="75"/>
      <c r="K359" s="32" t="str">
        <f t="shared" si="2"/>
        <v>DISPONIBLE</v>
      </c>
      <c r="L359" s="33">
        <f t="shared" si="18"/>
        <v>358</v>
      </c>
      <c r="M359" s="33" t="s">
        <v>746</v>
      </c>
      <c r="N359" s="122"/>
      <c r="O359" s="169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4"/>
      <c r="BF359" s="12"/>
      <c r="BG359" s="12"/>
      <c r="BH359" s="12" t="str">
        <f>IFERROR(__xludf.DUMMYFUNCTION("IFERROR(INDEX(QUERY(IMPORTRANGE(""1T7HG8KEs-Ob7f3M5atEVN9Yn7IeORGp0QGvggB62ELw"",""Maestro!A:I""),""SELECT Col8 WHERE Col3 = '""&amp;BE359&amp;""'"", 0), 1, 1),""NO ENCONTRADO"")"),"")</f>
        <v/>
      </c>
      <c r="BI359" s="12" t="str">
        <f>IFERROR(__xludf.DUMMYFUNCTION("IFERROR(INDEX(QUERY(IMPORTRANGE(""1T7HG8KEs-Ob7f3M5atEVN9Yn7IeORGp0QGvggB62ELw"",""Maestro!A:I""),""SELECT Col7 WHERE Col3 = '""&amp;BE359&amp;""'"", 0), 1, 1),""NO ENCONTRADO"")"),"")</f>
        <v/>
      </c>
      <c r="BJ359" s="16">
        <f t="shared" si="19"/>
        <v>0</v>
      </c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4"/>
      <c r="BX359" s="14"/>
      <c r="BY359" s="14"/>
      <c r="BZ359" s="14"/>
      <c r="CA359" s="14"/>
      <c r="CB359" s="14"/>
      <c r="CC359" s="14"/>
      <c r="CD359" s="14"/>
      <c r="CE359" s="14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</row>
    <row r="360">
      <c r="A360" s="287" t="s">
        <v>664</v>
      </c>
      <c r="B360" s="288" t="s">
        <v>18</v>
      </c>
      <c r="C360" s="288" t="s">
        <v>336</v>
      </c>
      <c r="D360" s="289" t="str">
        <f t="shared" si="8"/>
        <v>ZOUT-1-12</v>
      </c>
      <c r="E360" s="72"/>
      <c r="F360" s="75"/>
      <c r="G360" s="74"/>
      <c r="H360" s="75"/>
      <c r="I360" s="76"/>
      <c r="J360" s="75"/>
      <c r="K360" s="27" t="str">
        <f t="shared" si="2"/>
        <v>DISPONIBLE</v>
      </c>
      <c r="L360" s="28">
        <f t="shared" si="18"/>
        <v>359</v>
      </c>
      <c r="M360" s="28" t="s">
        <v>746</v>
      </c>
      <c r="N360" s="109"/>
      <c r="O360" s="168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4"/>
      <c r="BF360" s="12"/>
      <c r="BG360" s="12"/>
      <c r="BH360" s="12" t="str">
        <f>IFERROR(__xludf.DUMMYFUNCTION("IFERROR(INDEX(QUERY(IMPORTRANGE(""1T7HG8KEs-Ob7f3M5atEVN9Yn7IeORGp0QGvggB62ELw"",""Maestro!A:I""),""SELECT Col8 WHERE Col3 = '""&amp;BE360&amp;""'"", 0), 1, 1),""NO ENCONTRADO"")"),"")</f>
        <v/>
      </c>
      <c r="BI360" s="12" t="str">
        <f>IFERROR(__xludf.DUMMYFUNCTION("IFERROR(INDEX(QUERY(IMPORTRANGE(""1T7HG8KEs-Ob7f3M5atEVN9Yn7IeORGp0QGvggB62ELw"",""Maestro!A:I""),""SELECT Col7 WHERE Col3 = '""&amp;BE360&amp;""'"", 0), 1, 1),""NO ENCONTRADO"")"),"")</f>
        <v/>
      </c>
      <c r="BJ360" s="16">
        <f t="shared" si="19"/>
        <v>0</v>
      </c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4"/>
      <c r="BX360" s="14"/>
      <c r="BY360" s="14"/>
      <c r="BZ360" s="14"/>
      <c r="CA360" s="14"/>
      <c r="CB360" s="14"/>
      <c r="CC360" s="14"/>
      <c r="CD360" s="14"/>
      <c r="CE360" s="14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</row>
    <row r="361">
      <c r="A361" s="287" t="s">
        <v>664</v>
      </c>
      <c r="B361" s="288" t="s">
        <v>18</v>
      </c>
      <c r="C361" s="288" t="s">
        <v>350</v>
      </c>
      <c r="D361" s="289" t="str">
        <f t="shared" si="8"/>
        <v>ZOUT-1-13</v>
      </c>
      <c r="E361" s="72"/>
      <c r="F361" s="77"/>
      <c r="G361" s="74"/>
      <c r="H361" s="75"/>
      <c r="I361" s="76"/>
      <c r="J361" s="75"/>
      <c r="K361" s="32" t="str">
        <f t="shared" si="2"/>
        <v>DISPONIBLE</v>
      </c>
      <c r="L361" s="33">
        <f t="shared" si="18"/>
        <v>360</v>
      </c>
      <c r="M361" s="33" t="s">
        <v>746</v>
      </c>
      <c r="N361" s="122"/>
      <c r="O361" s="169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4"/>
      <c r="BF361" s="12"/>
      <c r="BG361" s="12"/>
      <c r="BH361" s="12" t="str">
        <f>IFERROR(__xludf.DUMMYFUNCTION("IFERROR(INDEX(QUERY(IMPORTRANGE(""1T7HG8KEs-Ob7f3M5atEVN9Yn7IeORGp0QGvggB62ELw"",""Maestro!A:I""),""SELECT Col8 WHERE Col3 = '""&amp;BE361&amp;""'"", 0), 1, 1),""NO ENCONTRADO"")"),"")</f>
        <v/>
      </c>
      <c r="BI361" s="12" t="str">
        <f>IFERROR(__xludf.DUMMYFUNCTION("IFERROR(INDEX(QUERY(IMPORTRANGE(""1T7HG8KEs-Ob7f3M5atEVN9Yn7IeORGp0QGvggB62ELw"",""Maestro!A:I""),""SELECT Col7 WHERE Col3 = '""&amp;BE361&amp;""'"", 0), 1, 1),""NO ENCONTRADO"")"),"")</f>
        <v/>
      </c>
      <c r="BJ361" s="16">
        <f t="shared" si="19"/>
        <v>0</v>
      </c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4"/>
      <c r="BX361" s="14"/>
      <c r="BY361" s="14"/>
      <c r="BZ361" s="14"/>
      <c r="CA361" s="14"/>
      <c r="CB361" s="14"/>
      <c r="CC361" s="14"/>
      <c r="CD361" s="14"/>
      <c r="CE361" s="14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</row>
    <row r="362">
      <c r="A362" s="287" t="s">
        <v>664</v>
      </c>
      <c r="B362" s="288" t="s">
        <v>18</v>
      </c>
      <c r="C362" s="288" t="s">
        <v>362</v>
      </c>
      <c r="D362" s="289" t="str">
        <f t="shared" si="8"/>
        <v>ZOUT-1-14</v>
      </c>
      <c r="E362" s="72"/>
      <c r="F362" s="73"/>
      <c r="G362" s="74"/>
      <c r="H362" s="75"/>
      <c r="I362" s="76"/>
      <c r="J362" s="75"/>
      <c r="K362" s="27" t="str">
        <f t="shared" si="2"/>
        <v>DISPONIBLE</v>
      </c>
      <c r="L362" s="28">
        <f t="shared" si="18"/>
        <v>361</v>
      </c>
      <c r="M362" s="28" t="s">
        <v>746</v>
      </c>
      <c r="N362" s="109"/>
      <c r="O362" s="168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4"/>
      <c r="BF362" s="12"/>
      <c r="BG362" s="12"/>
      <c r="BH362" s="12" t="str">
        <f>IFERROR(__xludf.DUMMYFUNCTION("IFERROR(INDEX(QUERY(IMPORTRANGE(""1T7HG8KEs-Ob7f3M5atEVN9Yn7IeORGp0QGvggB62ELw"",""Maestro!A:I""),""SELECT Col8 WHERE Col3 = '""&amp;BE362&amp;""'"", 0), 1, 1),""NO ENCONTRADO"")"),"")</f>
        <v/>
      </c>
      <c r="BI362" s="12" t="str">
        <f>IFERROR(__xludf.DUMMYFUNCTION("IFERROR(INDEX(QUERY(IMPORTRANGE(""1T7HG8KEs-Ob7f3M5atEVN9Yn7IeORGp0QGvggB62ELw"",""Maestro!A:I""),""SELECT Col7 WHERE Col3 = '""&amp;BE362&amp;""'"", 0), 1, 1),""NO ENCONTRADO"")"),"")</f>
        <v/>
      </c>
      <c r="BJ362" s="16">
        <f t="shared" si="19"/>
        <v>0</v>
      </c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4"/>
      <c r="BX362" s="14"/>
      <c r="BY362" s="14"/>
      <c r="BZ362" s="14"/>
      <c r="CA362" s="14"/>
      <c r="CB362" s="14"/>
      <c r="CC362" s="14"/>
      <c r="CD362" s="14"/>
      <c r="CE362" s="14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</row>
    <row r="363">
      <c r="A363" s="287" t="s">
        <v>664</v>
      </c>
      <c r="B363" s="288" t="s">
        <v>18</v>
      </c>
      <c r="C363" s="288" t="s">
        <v>372</v>
      </c>
      <c r="D363" s="289" t="str">
        <f t="shared" si="8"/>
        <v>ZOUT-1-15</v>
      </c>
      <c r="E363" s="72"/>
      <c r="F363" s="73"/>
      <c r="G363" s="74"/>
      <c r="H363" s="75"/>
      <c r="I363" s="76"/>
      <c r="J363" s="75"/>
      <c r="K363" s="32" t="str">
        <f t="shared" si="2"/>
        <v>DISPONIBLE</v>
      </c>
      <c r="L363" s="33">
        <f t="shared" si="18"/>
        <v>362</v>
      </c>
      <c r="M363" s="33" t="s">
        <v>746</v>
      </c>
      <c r="N363" s="122"/>
      <c r="O363" s="169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4"/>
      <c r="BF363" s="12"/>
      <c r="BG363" s="12"/>
      <c r="BH363" s="12" t="str">
        <f>IFERROR(__xludf.DUMMYFUNCTION("IFERROR(INDEX(QUERY(IMPORTRANGE(""1T7HG8KEs-Ob7f3M5atEVN9Yn7IeORGp0QGvggB62ELw"",""Maestro!A:I""),""SELECT Col8 WHERE Col3 = '""&amp;BE363&amp;""'"", 0), 1, 1),""NO ENCONTRADO"")"),"")</f>
        <v/>
      </c>
      <c r="BI363" s="12" t="str">
        <f>IFERROR(__xludf.DUMMYFUNCTION("IFERROR(INDEX(QUERY(IMPORTRANGE(""1T7HG8KEs-Ob7f3M5atEVN9Yn7IeORGp0QGvggB62ELw"",""Maestro!A:I""),""SELECT Col7 WHERE Col3 = '""&amp;BE363&amp;""'"", 0), 1, 1),""NO ENCONTRADO"")"),"")</f>
        <v/>
      </c>
      <c r="BJ363" s="16">
        <f t="shared" si="19"/>
        <v>0</v>
      </c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4"/>
      <c r="BX363" s="14"/>
      <c r="BY363" s="14"/>
      <c r="BZ363" s="14"/>
      <c r="CA363" s="14"/>
      <c r="CB363" s="14"/>
      <c r="CC363" s="14"/>
      <c r="CD363" s="14"/>
      <c r="CE363" s="14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</row>
    <row r="364">
      <c r="A364" s="287" t="s">
        <v>664</v>
      </c>
      <c r="B364" s="288" t="s">
        <v>18</v>
      </c>
      <c r="C364" s="288" t="s">
        <v>382</v>
      </c>
      <c r="D364" s="289" t="str">
        <f t="shared" si="8"/>
        <v>ZOUT-1-16</v>
      </c>
      <c r="E364" s="72"/>
      <c r="F364" s="73"/>
      <c r="G364" s="74"/>
      <c r="H364" s="75"/>
      <c r="I364" s="76"/>
      <c r="J364" s="75"/>
      <c r="K364" s="27" t="str">
        <f t="shared" si="2"/>
        <v>DISPONIBLE</v>
      </c>
      <c r="L364" s="28">
        <f t="shared" si="18"/>
        <v>363</v>
      </c>
      <c r="M364" s="28" t="s">
        <v>746</v>
      </c>
      <c r="N364" s="109"/>
      <c r="O364" s="168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4"/>
      <c r="BF364" s="12"/>
      <c r="BG364" s="12"/>
      <c r="BH364" s="12" t="str">
        <f>IFERROR(__xludf.DUMMYFUNCTION("IFERROR(INDEX(QUERY(IMPORTRANGE(""1T7HG8KEs-Ob7f3M5atEVN9Yn7IeORGp0QGvggB62ELw"",""Maestro!A:I""),""SELECT Col8 WHERE Col3 = '""&amp;BE364&amp;""'"", 0), 1, 1),""NO ENCONTRADO"")"),"")</f>
        <v/>
      </c>
      <c r="BI364" s="12" t="str">
        <f>IFERROR(__xludf.DUMMYFUNCTION("IFERROR(INDEX(QUERY(IMPORTRANGE(""1T7HG8KEs-Ob7f3M5atEVN9Yn7IeORGp0QGvggB62ELw"",""Maestro!A:I""),""SELECT Col7 WHERE Col3 = '""&amp;BE364&amp;""'"", 0), 1, 1),""NO ENCONTRADO"")"),"")</f>
        <v/>
      </c>
      <c r="BJ364" s="16">
        <f t="shared" si="19"/>
        <v>0</v>
      </c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4"/>
      <c r="BX364" s="14"/>
      <c r="BY364" s="14"/>
      <c r="BZ364" s="14"/>
      <c r="CA364" s="14"/>
      <c r="CB364" s="14"/>
      <c r="CC364" s="14"/>
      <c r="CD364" s="14"/>
      <c r="CE364" s="14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</row>
    <row r="365">
      <c r="A365" s="287" t="s">
        <v>664</v>
      </c>
      <c r="B365" s="288" t="s">
        <v>18</v>
      </c>
      <c r="C365" s="288" t="s">
        <v>396</v>
      </c>
      <c r="D365" s="289" t="str">
        <f t="shared" si="8"/>
        <v>ZOUT-1-17</v>
      </c>
      <c r="E365" s="72"/>
      <c r="F365" s="73"/>
      <c r="G365" s="74"/>
      <c r="H365" s="75"/>
      <c r="I365" s="76"/>
      <c r="J365" s="75"/>
      <c r="K365" s="32" t="str">
        <f t="shared" si="2"/>
        <v>DISPONIBLE</v>
      </c>
      <c r="L365" s="33">
        <f t="shared" si="18"/>
        <v>364</v>
      </c>
      <c r="M365" s="33" t="s">
        <v>746</v>
      </c>
      <c r="N365" s="122"/>
      <c r="O365" s="169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4"/>
      <c r="BF365" s="12"/>
      <c r="BG365" s="12"/>
      <c r="BH365" s="12" t="str">
        <f>IFERROR(__xludf.DUMMYFUNCTION("IFERROR(INDEX(QUERY(IMPORTRANGE(""1T7HG8KEs-Ob7f3M5atEVN9Yn7IeORGp0QGvggB62ELw"",""Maestro!A:I""),""SELECT Col8 WHERE Col3 = '""&amp;BE365&amp;""'"", 0), 1, 1),""NO ENCONTRADO"")"),"")</f>
        <v/>
      </c>
      <c r="BI365" s="12" t="str">
        <f>IFERROR(__xludf.DUMMYFUNCTION("IFERROR(INDEX(QUERY(IMPORTRANGE(""1T7HG8KEs-Ob7f3M5atEVN9Yn7IeORGp0QGvggB62ELw"",""Maestro!A:I""),""SELECT Col7 WHERE Col3 = '""&amp;BE365&amp;""'"", 0), 1, 1),""NO ENCONTRADO"")"),"")</f>
        <v/>
      </c>
      <c r="BJ365" s="16">
        <f t="shared" si="19"/>
        <v>0</v>
      </c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4"/>
      <c r="BX365" s="14"/>
      <c r="BY365" s="14"/>
      <c r="BZ365" s="14"/>
      <c r="CA365" s="14"/>
      <c r="CB365" s="14"/>
      <c r="CC365" s="14"/>
      <c r="CD365" s="14"/>
      <c r="CE365" s="14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</row>
    <row r="366">
      <c r="A366" s="287" t="s">
        <v>664</v>
      </c>
      <c r="B366" s="288" t="s">
        <v>18</v>
      </c>
      <c r="C366" s="288" t="s">
        <v>411</v>
      </c>
      <c r="D366" s="289" t="str">
        <f t="shared" si="8"/>
        <v>ZOUT-1-18</v>
      </c>
      <c r="E366" s="72"/>
      <c r="F366" s="73"/>
      <c r="G366" s="74"/>
      <c r="H366" s="75"/>
      <c r="I366" s="76"/>
      <c r="J366" s="75"/>
      <c r="K366" s="27" t="str">
        <f t="shared" si="2"/>
        <v>DISPONIBLE</v>
      </c>
      <c r="L366" s="28">
        <f t="shared" si="18"/>
        <v>365</v>
      </c>
      <c r="M366" s="28" t="s">
        <v>746</v>
      </c>
      <c r="N366" s="109"/>
      <c r="O366" s="168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4"/>
      <c r="BF366" s="12"/>
      <c r="BG366" s="12"/>
      <c r="BH366" s="12" t="str">
        <f>IFERROR(__xludf.DUMMYFUNCTION("IFERROR(INDEX(QUERY(IMPORTRANGE(""1T7HG8KEs-Ob7f3M5atEVN9Yn7IeORGp0QGvggB62ELw"",""Maestro!A:I""),""SELECT Col8 WHERE Col3 = '""&amp;BE366&amp;""'"", 0), 1, 1),""NO ENCONTRADO"")"),"")</f>
        <v/>
      </c>
      <c r="BI366" s="12" t="str">
        <f>IFERROR(__xludf.DUMMYFUNCTION("IFERROR(INDEX(QUERY(IMPORTRANGE(""1T7HG8KEs-Ob7f3M5atEVN9Yn7IeORGp0QGvggB62ELw"",""Maestro!A:I""),""SELECT Col7 WHERE Col3 = '""&amp;BE366&amp;""'"", 0), 1, 1),""NO ENCONTRADO"")"),"")</f>
        <v/>
      </c>
      <c r="BJ366" s="16">
        <f t="shared" si="19"/>
        <v>0</v>
      </c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4"/>
      <c r="BX366" s="14"/>
      <c r="BY366" s="14"/>
      <c r="BZ366" s="14"/>
      <c r="CA366" s="14"/>
      <c r="CB366" s="14"/>
      <c r="CC366" s="14"/>
      <c r="CD366" s="14"/>
      <c r="CE366" s="14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</row>
    <row r="367">
      <c r="A367" s="287" t="s">
        <v>664</v>
      </c>
      <c r="B367" s="288" t="s">
        <v>18</v>
      </c>
      <c r="C367" s="288" t="s">
        <v>425</v>
      </c>
      <c r="D367" s="289" t="str">
        <f t="shared" si="8"/>
        <v>ZOUT-1-19</v>
      </c>
      <c r="E367" s="72"/>
      <c r="F367" s="73"/>
      <c r="G367" s="74"/>
      <c r="H367" s="75"/>
      <c r="I367" s="76"/>
      <c r="J367" s="75"/>
      <c r="K367" s="32" t="str">
        <f t="shared" si="2"/>
        <v>DISPONIBLE</v>
      </c>
      <c r="L367" s="33">
        <f t="shared" si="18"/>
        <v>366</v>
      </c>
      <c r="M367" s="33" t="s">
        <v>746</v>
      </c>
      <c r="N367" s="122"/>
      <c r="O367" s="169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4"/>
      <c r="BF367" s="12"/>
      <c r="BG367" s="12"/>
      <c r="BH367" s="12" t="str">
        <f>IFERROR(__xludf.DUMMYFUNCTION("IFERROR(INDEX(QUERY(IMPORTRANGE(""1T7HG8KEs-Ob7f3M5atEVN9Yn7IeORGp0QGvggB62ELw"",""Maestro!A:I""),""SELECT Col8 WHERE Col3 = '""&amp;BE367&amp;""'"", 0), 1, 1),""NO ENCONTRADO"")"),"")</f>
        <v/>
      </c>
      <c r="BI367" s="12" t="str">
        <f>IFERROR(__xludf.DUMMYFUNCTION("IFERROR(INDEX(QUERY(IMPORTRANGE(""1T7HG8KEs-Ob7f3M5atEVN9Yn7IeORGp0QGvggB62ELw"",""Maestro!A:I""),""SELECT Col7 WHERE Col3 = '""&amp;BE367&amp;""'"", 0), 1, 1),""NO ENCONTRADO"")"),"")</f>
        <v/>
      </c>
      <c r="BJ367" s="16">
        <f t="shared" si="19"/>
        <v>0</v>
      </c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4"/>
      <c r="BX367" s="14"/>
      <c r="BY367" s="14"/>
      <c r="BZ367" s="14"/>
      <c r="CA367" s="14"/>
      <c r="CB367" s="14"/>
      <c r="CC367" s="14"/>
      <c r="CD367" s="14"/>
      <c r="CE367" s="14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</row>
    <row r="368">
      <c r="A368" s="287" t="s">
        <v>664</v>
      </c>
      <c r="B368" s="288" t="s">
        <v>18</v>
      </c>
      <c r="C368" s="288" t="s">
        <v>451</v>
      </c>
      <c r="D368" s="289" t="str">
        <f t="shared" si="8"/>
        <v>ZOUT-1-20</v>
      </c>
      <c r="E368" s="72"/>
      <c r="F368" s="73"/>
      <c r="G368" s="74"/>
      <c r="H368" s="75"/>
      <c r="I368" s="76"/>
      <c r="J368" s="75"/>
      <c r="K368" s="27" t="str">
        <f t="shared" si="2"/>
        <v>DISPONIBLE</v>
      </c>
      <c r="L368" s="28">
        <f t="shared" si="18"/>
        <v>367</v>
      </c>
      <c r="M368" s="28" t="s">
        <v>746</v>
      </c>
      <c r="N368" s="109"/>
      <c r="O368" s="168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4"/>
      <c r="BF368" s="12"/>
      <c r="BG368" s="12"/>
      <c r="BH368" s="12" t="str">
        <f>IFERROR(__xludf.DUMMYFUNCTION("IFERROR(INDEX(QUERY(IMPORTRANGE(""1T7HG8KEs-Ob7f3M5atEVN9Yn7IeORGp0QGvggB62ELw"",""Maestro!A:I""),""SELECT Col8 WHERE Col3 = '""&amp;BE368&amp;""'"", 0), 1, 1),""NO ENCONTRADO"")"),"")</f>
        <v/>
      </c>
      <c r="BI368" s="12" t="str">
        <f>IFERROR(__xludf.DUMMYFUNCTION("IFERROR(INDEX(QUERY(IMPORTRANGE(""1T7HG8KEs-Ob7f3M5atEVN9Yn7IeORGp0QGvggB62ELw"",""Maestro!A:I""),""SELECT Col7 WHERE Col3 = '""&amp;BE368&amp;""'"", 0), 1, 1),""NO ENCONTRADO"")"),"")</f>
        <v/>
      </c>
      <c r="BJ368" s="16">
        <f t="shared" si="19"/>
        <v>0</v>
      </c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4"/>
      <c r="BX368" s="14"/>
      <c r="BY368" s="14"/>
      <c r="BZ368" s="14"/>
      <c r="CA368" s="14"/>
      <c r="CB368" s="14"/>
      <c r="CC368" s="14"/>
      <c r="CD368" s="14"/>
      <c r="CE368" s="14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</row>
    <row r="369">
      <c r="A369" s="287" t="s">
        <v>664</v>
      </c>
      <c r="B369" s="288" t="s">
        <v>18</v>
      </c>
      <c r="C369" s="288" t="s">
        <v>467</v>
      </c>
      <c r="D369" s="289" t="str">
        <f t="shared" si="8"/>
        <v>ZOUT-1-21</v>
      </c>
      <c r="E369" s="72"/>
      <c r="F369" s="73"/>
      <c r="G369" s="74"/>
      <c r="H369" s="75"/>
      <c r="I369" s="76"/>
      <c r="J369" s="75"/>
      <c r="K369" s="32" t="str">
        <f t="shared" si="2"/>
        <v>DISPONIBLE</v>
      </c>
      <c r="L369" s="33">
        <f t="shared" si="18"/>
        <v>368</v>
      </c>
      <c r="M369" s="33" t="s">
        <v>746</v>
      </c>
      <c r="N369" s="122"/>
      <c r="O369" s="169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4"/>
      <c r="BF369" s="12"/>
      <c r="BG369" s="12"/>
      <c r="BH369" s="12" t="str">
        <f>IFERROR(__xludf.DUMMYFUNCTION("IFERROR(INDEX(QUERY(IMPORTRANGE(""1T7HG8KEs-Ob7f3M5atEVN9Yn7IeORGp0QGvggB62ELw"",""Maestro!A:I""),""SELECT Col8 WHERE Col3 = '""&amp;BE369&amp;""'"", 0), 1, 1),""NO ENCONTRADO"")"),"")</f>
        <v/>
      </c>
      <c r="BI369" s="12" t="str">
        <f>IFERROR(__xludf.DUMMYFUNCTION("IFERROR(INDEX(QUERY(IMPORTRANGE(""1T7HG8KEs-Ob7f3M5atEVN9Yn7IeORGp0QGvggB62ELw"",""Maestro!A:I""),""SELECT Col7 WHERE Col3 = '""&amp;BE369&amp;""'"", 0), 1, 1),""NO ENCONTRADO"")"),"")</f>
        <v/>
      </c>
      <c r="BJ369" s="16">
        <f t="shared" si="19"/>
        <v>0</v>
      </c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4"/>
      <c r="BX369" s="14"/>
      <c r="BY369" s="14"/>
      <c r="BZ369" s="14"/>
      <c r="CA369" s="14"/>
      <c r="CB369" s="14"/>
      <c r="CC369" s="14"/>
      <c r="CD369" s="14"/>
      <c r="CE369" s="14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</row>
    <row r="370">
      <c r="A370" s="287" t="s">
        <v>664</v>
      </c>
      <c r="B370" s="288" t="s">
        <v>18</v>
      </c>
      <c r="C370" s="288" t="s">
        <v>620</v>
      </c>
      <c r="D370" s="289" t="str">
        <f t="shared" si="8"/>
        <v>ZOUT-1-22</v>
      </c>
      <c r="E370" s="72"/>
      <c r="F370" s="73"/>
      <c r="G370" s="74"/>
      <c r="H370" s="75"/>
      <c r="I370" s="76"/>
      <c r="J370" s="75"/>
      <c r="K370" s="27" t="str">
        <f t="shared" si="2"/>
        <v>DISPONIBLE</v>
      </c>
      <c r="L370" s="28">
        <f t="shared" si="18"/>
        <v>369</v>
      </c>
      <c r="M370" s="28" t="s">
        <v>746</v>
      </c>
      <c r="N370" s="109"/>
      <c r="O370" s="168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4"/>
      <c r="BF370" s="12"/>
      <c r="BG370" s="12"/>
      <c r="BH370" s="12" t="str">
        <f>IFERROR(__xludf.DUMMYFUNCTION("IFERROR(INDEX(QUERY(IMPORTRANGE(""1T7HG8KEs-Ob7f3M5atEVN9Yn7IeORGp0QGvggB62ELw"",""Maestro!A:I""),""SELECT Col8 WHERE Col3 = '""&amp;BE370&amp;""'"", 0), 1, 1),""NO ENCONTRADO"")"),"")</f>
        <v/>
      </c>
      <c r="BI370" s="12" t="str">
        <f>IFERROR(__xludf.DUMMYFUNCTION("IFERROR(INDEX(QUERY(IMPORTRANGE(""1T7HG8KEs-Ob7f3M5atEVN9Yn7IeORGp0QGvggB62ELw"",""Maestro!A:I""),""SELECT Col7 WHERE Col3 = '""&amp;BE370&amp;""'"", 0), 1, 1),""NO ENCONTRADO"")"),"")</f>
        <v/>
      </c>
      <c r="BJ370" s="16">
        <f t="shared" si="19"/>
        <v>0</v>
      </c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4"/>
      <c r="BX370" s="14"/>
      <c r="BY370" s="14"/>
      <c r="BZ370" s="14"/>
      <c r="CA370" s="14"/>
      <c r="CB370" s="14"/>
      <c r="CC370" s="14"/>
      <c r="CD370" s="14"/>
      <c r="CE370" s="14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</row>
    <row r="371">
      <c r="A371" s="287" t="s">
        <v>664</v>
      </c>
      <c r="B371" s="288" t="s">
        <v>18</v>
      </c>
      <c r="C371" s="288" t="s">
        <v>561</v>
      </c>
      <c r="D371" s="289" t="str">
        <f t="shared" si="8"/>
        <v>ZOUT-1-23</v>
      </c>
      <c r="E371" s="72"/>
      <c r="F371" s="73"/>
      <c r="G371" s="74"/>
      <c r="H371" s="75"/>
      <c r="I371" s="76"/>
      <c r="J371" s="75"/>
      <c r="K371" s="32" t="str">
        <f t="shared" si="2"/>
        <v>DISPONIBLE</v>
      </c>
      <c r="L371" s="33">
        <f t="shared" si="18"/>
        <v>370</v>
      </c>
      <c r="M371" s="33" t="s">
        <v>746</v>
      </c>
      <c r="N371" s="122"/>
      <c r="O371" s="169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4"/>
      <c r="BF371" s="12"/>
      <c r="BG371" s="12"/>
      <c r="BH371" s="12" t="str">
        <f>IFERROR(__xludf.DUMMYFUNCTION("IFERROR(INDEX(QUERY(IMPORTRANGE(""1T7HG8KEs-Ob7f3M5atEVN9Yn7IeORGp0QGvggB62ELw"",""Maestro!A:I""),""SELECT Col8 WHERE Col3 = '""&amp;BE371&amp;""'"", 0), 1, 1),""NO ENCONTRADO"")"),"")</f>
        <v/>
      </c>
      <c r="BI371" s="12" t="str">
        <f>IFERROR(__xludf.DUMMYFUNCTION("IFERROR(INDEX(QUERY(IMPORTRANGE(""1T7HG8KEs-Ob7f3M5atEVN9Yn7IeORGp0QGvggB62ELw"",""Maestro!A:I""),""SELECT Col7 WHERE Col3 = '""&amp;BE371&amp;""'"", 0), 1, 1),""NO ENCONTRADO"")"),"")</f>
        <v/>
      </c>
      <c r="BJ371" s="16">
        <f t="shared" si="19"/>
        <v>0</v>
      </c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4"/>
      <c r="BX371" s="14"/>
      <c r="BY371" s="14"/>
      <c r="BZ371" s="14"/>
      <c r="CA371" s="14"/>
      <c r="CB371" s="14"/>
      <c r="CC371" s="14"/>
      <c r="CD371" s="14"/>
      <c r="CE371" s="14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</row>
    <row r="372">
      <c r="A372" s="287" t="s">
        <v>664</v>
      </c>
      <c r="B372" s="288" t="s">
        <v>18</v>
      </c>
      <c r="C372" s="288" t="s">
        <v>563</v>
      </c>
      <c r="D372" s="289" t="str">
        <f t="shared" si="8"/>
        <v>ZOUT-1-24</v>
      </c>
      <c r="E372" s="72"/>
      <c r="F372" s="73"/>
      <c r="G372" s="74"/>
      <c r="H372" s="75"/>
      <c r="I372" s="76"/>
      <c r="J372" s="75"/>
      <c r="K372" s="27" t="str">
        <f t="shared" si="2"/>
        <v>DISPONIBLE</v>
      </c>
      <c r="L372" s="28">
        <f t="shared" si="18"/>
        <v>371</v>
      </c>
      <c r="M372" s="28" t="s">
        <v>746</v>
      </c>
      <c r="N372" s="109"/>
      <c r="O372" s="168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4"/>
      <c r="BF372" s="12"/>
      <c r="BG372" s="12"/>
      <c r="BH372" s="12" t="str">
        <f>IFERROR(__xludf.DUMMYFUNCTION("IFERROR(INDEX(QUERY(IMPORTRANGE(""1T7HG8KEs-Ob7f3M5atEVN9Yn7IeORGp0QGvggB62ELw"",""Maestro!A:I""),""SELECT Col8 WHERE Col3 = '""&amp;BE372&amp;""'"", 0), 1, 1),""NO ENCONTRADO"")"),"")</f>
        <v/>
      </c>
      <c r="BI372" s="12" t="str">
        <f>IFERROR(__xludf.DUMMYFUNCTION("IFERROR(INDEX(QUERY(IMPORTRANGE(""1T7HG8KEs-Ob7f3M5atEVN9Yn7IeORGp0QGvggB62ELw"",""Maestro!A:I""),""SELECT Col7 WHERE Col3 = '""&amp;BE372&amp;""'"", 0), 1, 1),""NO ENCONTRADO"")"),"")</f>
        <v/>
      </c>
      <c r="BJ372" s="16">
        <f t="shared" si="19"/>
        <v>0</v>
      </c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4"/>
      <c r="BX372" s="14"/>
      <c r="BY372" s="14"/>
      <c r="BZ372" s="14"/>
      <c r="CA372" s="14"/>
      <c r="CB372" s="14"/>
      <c r="CC372" s="14"/>
      <c r="CD372" s="14"/>
      <c r="CE372" s="14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</row>
    <row r="373">
      <c r="A373" s="287" t="s">
        <v>664</v>
      </c>
      <c r="B373" s="288" t="s">
        <v>18</v>
      </c>
      <c r="C373" s="288" t="s">
        <v>565</v>
      </c>
      <c r="D373" s="289" t="str">
        <f t="shared" si="8"/>
        <v>ZOUT-1-25</v>
      </c>
      <c r="E373" s="72"/>
      <c r="F373" s="73"/>
      <c r="G373" s="74"/>
      <c r="H373" s="75"/>
      <c r="I373" s="76"/>
      <c r="J373" s="75"/>
      <c r="K373" s="32" t="str">
        <f t="shared" si="2"/>
        <v>DISPONIBLE</v>
      </c>
      <c r="L373" s="33">
        <f t="shared" si="18"/>
        <v>372</v>
      </c>
      <c r="M373" s="33" t="s">
        <v>746</v>
      </c>
      <c r="N373" s="122"/>
      <c r="O373" s="169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4"/>
      <c r="BF373" s="12"/>
      <c r="BG373" s="12"/>
      <c r="BH373" s="12" t="str">
        <f>IFERROR(__xludf.DUMMYFUNCTION("IFERROR(INDEX(QUERY(IMPORTRANGE(""1T7HG8KEs-Ob7f3M5atEVN9Yn7IeORGp0QGvggB62ELw"",""Maestro!A:I""),""SELECT Col8 WHERE Col3 = '""&amp;BE373&amp;""'"", 0), 1, 1),""NO ENCONTRADO"")"),"")</f>
        <v/>
      </c>
      <c r="BI373" s="12" t="str">
        <f>IFERROR(__xludf.DUMMYFUNCTION("IFERROR(INDEX(QUERY(IMPORTRANGE(""1T7HG8KEs-Ob7f3M5atEVN9Yn7IeORGp0QGvggB62ELw"",""Maestro!A:I""),""SELECT Col7 WHERE Col3 = '""&amp;BE373&amp;""'"", 0), 1, 1),""NO ENCONTRADO"")"),"")</f>
        <v/>
      </c>
      <c r="BJ373" s="16">
        <f t="shared" si="19"/>
        <v>0</v>
      </c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4"/>
      <c r="BX373" s="14"/>
      <c r="BY373" s="14"/>
      <c r="BZ373" s="14"/>
      <c r="CA373" s="14"/>
      <c r="CB373" s="14"/>
      <c r="CC373" s="14"/>
      <c r="CD373" s="14"/>
      <c r="CE373" s="14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</row>
    <row r="374">
      <c r="A374" s="287" t="s">
        <v>664</v>
      </c>
      <c r="B374" s="288" t="s">
        <v>18</v>
      </c>
      <c r="C374" s="288" t="s">
        <v>622</v>
      </c>
      <c r="D374" s="289" t="str">
        <f t="shared" si="8"/>
        <v>ZOUT-1-26</v>
      </c>
      <c r="E374" s="72"/>
      <c r="F374" s="73"/>
      <c r="G374" s="74"/>
      <c r="H374" s="75"/>
      <c r="I374" s="76"/>
      <c r="J374" s="75"/>
      <c r="K374" s="27" t="str">
        <f t="shared" si="2"/>
        <v>DISPONIBLE</v>
      </c>
      <c r="L374" s="28">
        <f t="shared" si="18"/>
        <v>373</v>
      </c>
      <c r="M374" s="28" t="s">
        <v>746</v>
      </c>
      <c r="N374" s="109"/>
      <c r="O374" s="168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4"/>
      <c r="BF374" s="12"/>
      <c r="BG374" s="12"/>
      <c r="BH374" s="12" t="str">
        <f>IFERROR(__xludf.DUMMYFUNCTION("IFERROR(INDEX(QUERY(IMPORTRANGE(""1T7HG8KEs-Ob7f3M5atEVN9Yn7IeORGp0QGvggB62ELw"",""Maestro!A:I""),""SELECT Col8 WHERE Col3 = '""&amp;BE374&amp;""'"", 0), 1, 1),""NO ENCONTRADO"")"),"")</f>
        <v/>
      </c>
      <c r="BI374" s="12" t="str">
        <f>IFERROR(__xludf.DUMMYFUNCTION("IFERROR(INDEX(QUERY(IMPORTRANGE(""1T7HG8KEs-Ob7f3M5atEVN9Yn7IeORGp0QGvggB62ELw"",""Maestro!A:I""),""SELECT Col7 WHERE Col3 = '""&amp;BE374&amp;""'"", 0), 1, 1),""NO ENCONTRADO"")"),"")</f>
        <v/>
      </c>
      <c r="BJ374" s="16">
        <f t="shared" si="19"/>
        <v>0</v>
      </c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4"/>
      <c r="BX374" s="14"/>
      <c r="BY374" s="14"/>
      <c r="BZ374" s="14"/>
      <c r="CA374" s="14"/>
      <c r="CB374" s="14"/>
      <c r="CC374" s="14"/>
      <c r="CD374" s="14"/>
      <c r="CE374" s="14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</row>
    <row r="375">
      <c r="A375" s="287" t="s">
        <v>664</v>
      </c>
      <c r="B375" s="288" t="s">
        <v>18</v>
      </c>
      <c r="C375" s="288" t="s">
        <v>669</v>
      </c>
      <c r="D375" s="289" t="str">
        <f t="shared" si="8"/>
        <v>ZOUT-1-27</v>
      </c>
      <c r="E375" s="72"/>
      <c r="F375" s="77"/>
      <c r="G375" s="265"/>
      <c r="H375" s="75"/>
      <c r="I375" s="76"/>
      <c r="J375" s="75"/>
      <c r="K375" s="32" t="str">
        <f t="shared" si="2"/>
        <v>DISPONIBLE</v>
      </c>
      <c r="L375" s="33">
        <f t="shared" si="18"/>
        <v>374</v>
      </c>
      <c r="M375" s="33" t="s">
        <v>746</v>
      </c>
      <c r="N375" s="122"/>
      <c r="O375" s="169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4"/>
      <c r="BF375" s="12"/>
      <c r="BG375" s="12"/>
      <c r="BH375" s="12" t="str">
        <f>IFERROR(__xludf.DUMMYFUNCTION("IFERROR(INDEX(QUERY(IMPORTRANGE(""1T7HG8KEs-Ob7f3M5atEVN9Yn7IeORGp0QGvggB62ELw"",""Maestro!A:I""),""SELECT Col8 WHERE Col3 = '""&amp;BE375&amp;""'"", 0), 1, 1),""NO ENCONTRADO"")"),"")</f>
        <v/>
      </c>
      <c r="BI375" s="12" t="str">
        <f>IFERROR(__xludf.DUMMYFUNCTION("IFERROR(INDEX(QUERY(IMPORTRANGE(""1T7HG8KEs-Ob7f3M5atEVN9Yn7IeORGp0QGvggB62ELw"",""Maestro!A:I""),""SELECT Col7 WHERE Col3 = '""&amp;BE375&amp;""'"", 0), 1, 1),""NO ENCONTRADO"")"),"")</f>
        <v/>
      </c>
      <c r="BJ375" s="16">
        <f t="shared" si="19"/>
        <v>0</v>
      </c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4"/>
      <c r="BX375" s="14"/>
      <c r="BY375" s="14"/>
      <c r="BZ375" s="14"/>
      <c r="CA375" s="14"/>
      <c r="CB375" s="14"/>
      <c r="CC375" s="14"/>
      <c r="CD375" s="14"/>
      <c r="CE375" s="14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</row>
    <row r="376">
      <c r="A376" s="287" t="s">
        <v>664</v>
      </c>
      <c r="B376" s="288" t="s">
        <v>18</v>
      </c>
      <c r="C376" s="288" t="s">
        <v>671</v>
      </c>
      <c r="D376" s="289" t="str">
        <f t="shared" si="8"/>
        <v>ZOUT-1-28</v>
      </c>
      <c r="E376" s="72"/>
      <c r="F376" s="73"/>
      <c r="G376" s="74"/>
      <c r="H376" s="75"/>
      <c r="I376" s="76"/>
      <c r="J376" s="75"/>
      <c r="K376" s="27" t="str">
        <f t="shared" si="2"/>
        <v>DISPONIBLE</v>
      </c>
      <c r="L376" s="28">
        <f t="shared" si="18"/>
        <v>375</v>
      </c>
      <c r="M376" s="28" t="s">
        <v>746</v>
      </c>
      <c r="N376" s="109"/>
      <c r="O376" s="168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4"/>
      <c r="BF376" s="12"/>
      <c r="BG376" s="12"/>
      <c r="BH376" s="12" t="str">
        <f>IFERROR(__xludf.DUMMYFUNCTION("IFERROR(INDEX(QUERY(IMPORTRANGE(""1T7HG8KEs-Ob7f3M5atEVN9Yn7IeORGp0QGvggB62ELw"",""Maestro!A:I""),""SELECT Col8 WHERE Col3 = '""&amp;BE376&amp;""'"", 0), 1, 1),""NO ENCONTRADO"")"),"")</f>
        <v/>
      </c>
      <c r="BI376" s="12" t="str">
        <f>IFERROR(__xludf.DUMMYFUNCTION("IFERROR(INDEX(QUERY(IMPORTRANGE(""1T7HG8KEs-Ob7f3M5atEVN9Yn7IeORGp0QGvggB62ELw"",""Maestro!A:I""),""SELECT Col7 WHERE Col3 = '""&amp;BE376&amp;""'"", 0), 1, 1),""NO ENCONTRADO"")"),"")</f>
        <v/>
      </c>
      <c r="BJ376" s="16">
        <f t="shared" si="19"/>
        <v>0</v>
      </c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4"/>
      <c r="BX376" s="14"/>
      <c r="BY376" s="14"/>
      <c r="BZ376" s="14"/>
      <c r="CA376" s="14"/>
      <c r="CB376" s="14"/>
      <c r="CC376" s="14"/>
      <c r="CD376" s="14"/>
      <c r="CE376" s="14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</row>
    <row r="377">
      <c r="A377" s="287" t="s">
        <v>664</v>
      </c>
      <c r="B377" s="288" t="s">
        <v>18</v>
      </c>
      <c r="C377" s="288" t="s">
        <v>673</v>
      </c>
      <c r="D377" s="289" t="str">
        <f t="shared" si="8"/>
        <v>ZOUT-1-29</v>
      </c>
      <c r="E377" s="72"/>
      <c r="F377" s="73"/>
      <c r="G377" s="74"/>
      <c r="H377" s="75"/>
      <c r="I377" s="76"/>
      <c r="J377" s="75"/>
      <c r="K377" s="32" t="str">
        <f t="shared" si="2"/>
        <v>DISPONIBLE</v>
      </c>
      <c r="L377" s="33">
        <f t="shared" si="18"/>
        <v>376</v>
      </c>
      <c r="M377" s="33" t="s">
        <v>746</v>
      </c>
      <c r="N377" s="122"/>
      <c r="O377" s="169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4"/>
      <c r="BF377" s="12"/>
      <c r="BG377" s="12"/>
      <c r="BH377" s="12" t="str">
        <f>IFERROR(__xludf.DUMMYFUNCTION("IFERROR(INDEX(QUERY(IMPORTRANGE(""1T7HG8KEs-Ob7f3M5atEVN9Yn7IeORGp0QGvggB62ELw"",""Maestro!A:I""),""SELECT Col8 WHERE Col3 = '""&amp;BE377&amp;""'"", 0), 1, 1),""NO ENCONTRADO"")"),"")</f>
        <v/>
      </c>
      <c r="BI377" s="12" t="str">
        <f>IFERROR(__xludf.DUMMYFUNCTION("IFERROR(INDEX(QUERY(IMPORTRANGE(""1T7HG8KEs-Ob7f3M5atEVN9Yn7IeORGp0QGvggB62ELw"",""Maestro!A:I""),""SELECT Col7 WHERE Col3 = '""&amp;BE377&amp;""'"", 0), 1, 1),""NO ENCONTRADO"")"),"")</f>
        <v/>
      </c>
      <c r="BJ377" s="16">
        <f t="shared" si="19"/>
        <v>0</v>
      </c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4"/>
      <c r="BX377" s="14"/>
      <c r="BY377" s="14"/>
      <c r="BZ377" s="14"/>
      <c r="CA377" s="14"/>
      <c r="CB377" s="14"/>
      <c r="CC377" s="14"/>
      <c r="CD377" s="14"/>
      <c r="CE377" s="14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</row>
    <row r="378">
      <c r="A378" s="290" t="s">
        <v>664</v>
      </c>
      <c r="B378" s="291" t="s">
        <v>18</v>
      </c>
      <c r="C378" s="291" t="s">
        <v>677</v>
      </c>
      <c r="D378" s="292" t="str">
        <f t="shared" si="8"/>
        <v>ZOUT-1-30</v>
      </c>
      <c r="E378" s="234"/>
      <c r="F378" s="293"/>
      <c r="G378" s="236"/>
      <c r="H378" s="239"/>
      <c r="I378" s="272"/>
      <c r="J378" s="239"/>
      <c r="K378" s="63" t="str">
        <f t="shared" si="2"/>
        <v>DISPONIBLE</v>
      </c>
      <c r="L378" s="64">
        <f t="shared" si="18"/>
        <v>377</v>
      </c>
      <c r="M378" s="64" t="s">
        <v>746</v>
      </c>
      <c r="N378" s="294"/>
      <c r="O378" s="286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4"/>
      <c r="BF378" s="12"/>
      <c r="BG378" s="12"/>
      <c r="BH378" s="12" t="str">
        <f>IFERROR(__xludf.DUMMYFUNCTION("IFERROR(INDEX(QUERY(IMPORTRANGE(""1T7HG8KEs-Ob7f3M5atEVN9Yn7IeORGp0QGvggB62ELw"",""Maestro!A:I""),""SELECT Col8 WHERE Col3 = '""&amp;BE378&amp;""'"", 0), 1, 1),""NO ENCONTRADO"")"),"")</f>
        <v/>
      </c>
      <c r="BI378" s="12" t="str">
        <f>IFERROR(__xludf.DUMMYFUNCTION("IFERROR(INDEX(QUERY(IMPORTRANGE(""1T7HG8KEs-Ob7f3M5atEVN9Yn7IeORGp0QGvggB62ELw"",""Maestro!A:I""),""SELECT Col7 WHERE Col3 = '""&amp;BE378&amp;""'"", 0), 1, 1),""NO ENCONTRADO"")"),"")</f>
        <v/>
      </c>
      <c r="BJ378" s="16">
        <f t="shared" si="19"/>
        <v>0</v>
      </c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4"/>
      <c r="BX378" s="14"/>
      <c r="BY378" s="14"/>
      <c r="BZ378" s="14"/>
      <c r="CA378" s="14"/>
      <c r="CB378" s="14"/>
      <c r="CC378" s="14"/>
      <c r="CD378" s="14"/>
      <c r="CE378" s="14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</row>
    <row r="379">
      <c r="A379" s="295" t="s">
        <v>593</v>
      </c>
      <c r="B379" s="296" t="s">
        <v>18</v>
      </c>
      <c r="C379" s="296" t="s">
        <v>18</v>
      </c>
      <c r="D379" s="297" t="str">
        <f t="shared" si="8"/>
        <v>ZEST-1-1</v>
      </c>
      <c r="E379" s="78">
        <v>45755.0</v>
      </c>
      <c r="F379" s="88" t="s">
        <v>19</v>
      </c>
      <c r="G379" s="80" t="s">
        <v>134</v>
      </c>
      <c r="H379" s="81" t="s">
        <v>135</v>
      </c>
      <c r="I379" s="280">
        <v>46.0</v>
      </c>
      <c r="J379" s="81" t="s">
        <v>22</v>
      </c>
      <c r="K379" s="32" t="str">
        <f t="shared" si="2"/>
        <v>OCUPADO</v>
      </c>
      <c r="L379" s="33">
        <f t="shared" si="18"/>
        <v>378</v>
      </c>
      <c r="M379" s="33" t="s">
        <v>748</v>
      </c>
      <c r="N379" s="122"/>
      <c r="O379" s="34" t="s">
        <v>24</v>
      </c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4"/>
      <c r="BF379" s="12"/>
      <c r="BG379" s="12"/>
      <c r="BH379" s="12" t="str">
        <f>IFERROR(__xludf.DUMMYFUNCTION("IFERROR(INDEX(QUERY(IMPORTRANGE(""1T7HG8KEs-Ob7f3M5atEVN9Yn7IeORGp0QGvggB62ELw"",""Maestro!A:I""),""SELECT Col8 WHERE Col3 = '""&amp;BE379&amp;""'"", 0), 1, 1),""NO ENCONTRADO"")"),"")</f>
        <v/>
      </c>
      <c r="BI379" s="12" t="str">
        <f>IFERROR(__xludf.DUMMYFUNCTION("IFERROR(INDEX(QUERY(IMPORTRANGE(""1T7HG8KEs-Ob7f3M5atEVN9Yn7IeORGp0QGvggB62ELw"",""Maestro!A:I""),""SELECT Col7 WHERE Col3 = '""&amp;BE379&amp;""'"", 0), 1, 1),""NO ENCONTRADO"")"),"")</f>
        <v/>
      </c>
      <c r="BJ379" s="16">
        <f t="shared" si="19"/>
        <v>0</v>
      </c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4"/>
      <c r="BX379" s="14"/>
      <c r="BY379" s="14"/>
      <c r="BZ379" s="14"/>
      <c r="CA379" s="14"/>
      <c r="CB379" s="14"/>
      <c r="CC379" s="14"/>
      <c r="CD379" s="14"/>
      <c r="CE379" s="14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</row>
    <row r="380">
      <c r="A380" s="295" t="s">
        <v>593</v>
      </c>
      <c r="B380" s="296" t="s">
        <v>18</v>
      </c>
      <c r="C380" s="296" t="s">
        <v>32</v>
      </c>
      <c r="D380" s="297" t="str">
        <f t="shared" si="8"/>
        <v>ZEST-1-2</v>
      </c>
      <c r="E380" s="78">
        <v>45755.0</v>
      </c>
      <c r="F380" s="88" t="s">
        <v>19</v>
      </c>
      <c r="G380" s="80">
        <v>691084.0</v>
      </c>
      <c r="H380" s="81" t="s">
        <v>533</v>
      </c>
      <c r="I380" s="82">
        <v>3.0</v>
      </c>
      <c r="J380" s="81" t="s">
        <v>35</v>
      </c>
      <c r="K380" s="27" t="str">
        <f t="shared" si="2"/>
        <v>OCUPADO</v>
      </c>
      <c r="L380" s="28">
        <f t="shared" si="18"/>
        <v>379</v>
      </c>
      <c r="M380" s="28" t="s">
        <v>748</v>
      </c>
      <c r="N380" s="109"/>
      <c r="O380" s="29" t="s">
        <v>24</v>
      </c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4"/>
      <c r="BF380" s="12"/>
      <c r="BG380" s="12"/>
      <c r="BH380" s="12" t="str">
        <f>IFERROR(__xludf.DUMMYFUNCTION("IFERROR(INDEX(QUERY(IMPORTRANGE(""1T7HG8KEs-Ob7f3M5atEVN9Yn7IeORGp0QGvggB62ELw"",""Maestro!A:I""),""SELECT Col8 WHERE Col3 = '""&amp;BE380&amp;""'"", 0), 1, 1),""NO ENCONTRADO"")"),"")</f>
        <v/>
      </c>
      <c r="BI380" s="12" t="str">
        <f>IFERROR(__xludf.DUMMYFUNCTION("IFERROR(INDEX(QUERY(IMPORTRANGE(""1T7HG8KEs-Ob7f3M5atEVN9Yn7IeORGp0QGvggB62ELw"",""Maestro!A:I""),""SELECT Col7 WHERE Col3 = '""&amp;BE380&amp;""'"", 0), 1, 1),""NO ENCONTRADO"")"),"")</f>
        <v/>
      </c>
      <c r="BJ380" s="16">
        <f t="shared" si="19"/>
        <v>0</v>
      </c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4"/>
      <c r="BX380" s="14"/>
      <c r="BY380" s="14"/>
      <c r="BZ380" s="14"/>
      <c r="CA380" s="14"/>
      <c r="CB380" s="14"/>
      <c r="CC380" s="14"/>
      <c r="CD380" s="14"/>
      <c r="CE380" s="14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</row>
    <row r="381">
      <c r="A381" s="295" t="s">
        <v>593</v>
      </c>
      <c r="B381" s="296" t="s">
        <v>18</v>
      </c>
      <c r="C381" s="296" t="s">
        <v>44</v>
      </c>
      <c r="D381" s="297" t="str">
        <f t="shared" si="8"/>
        <v>ZEST-1-3</v>
      </c>
      <c r="E381" s="72"/>
      <c r="F381" s="73"/>
      <c r="G381" s="74"/>
      <c r="H381" s="75"/>
      <c r="I381" s="76"/>
      <c r="J381" s="75"/>
      <c r="K381" s="32" t="str">
        <f t="shared" si="2"/>
        <v>DISPONIBLE</v>
      </c>
      <c r="L381" s="33">
        <f t="shared" si="18"/>
        <v>380</v>
      </c>
      <c r="M381" s="33" t="s">
        <v>748</v>
      </c>
      <c r="N381" s="122"/>
      <c r="O381" s="34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4"/>
      <c r="BF381" s="12"/>
      <c r="BG381" s="12"/>
      <c r="BH381" s="12" t="str">
        <f>IFERROR(__xludf.DUMMYFUNCTION("IFERROR(INDEX(QUERY(IMPORTRANGE(""1T7HG8KEs-Ob7f3M5atEVN9Yn7IeORGp0QGvggB62ELw"",""Maestro!A:I""),""SELECT Col8 WHERE Col3 = '""&amp;BE381&amp;""'"", 0), 1, 1),""NO ENCONTRADO"")"),"")</f>
        <v/>
      </c>
      <c r="BI381" s="12" t="str">
        <f>IFERROR(__xludf.DUMMYFUNCTION("IFERROR(INDEX(QUERY(IMPORTRANGE(""1T7HG8KEs-Ob7f3M5atEVN9Yn7IeORGp0QGvggB62ELw"",""Maestro!A:I""),""SELECT Col7 WHERE Col3 = '""&amp;BE381&amp;""'"", 0), 1, 1),""NO ENCONTRADO"")"),"")</f>
        <v/>
      </c>
      <c r="BJ381" s="16">
        <f t="shared" si="19"/>
        <v>0</v>
      </c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4"/>
      <c r="BX381" s="14"/>
      <c r="BY381" s="14"/>
      <c r="BZ381" s="14"/>
      <c r="CA381" s="14"/>
      <c r="CB381" s="14"/>
      <c r="CC381" s="14"/>
      <c r="CD381" s="14"/>
      <c r="CE381" s="14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</row>
    <row r="382">
      <c r="A382" s="295" t="s">
        <v>593</v>
      </c>
      <c r="B382" s="296" t="s">
        <v>18</v>
      </c>
      <c r="C382" s="296" t="s">
        <v>53</v>
      </c>
      <c r="D382" s="297" t="str">
        <f t="shared" si="8"/>
        <v>ZEST-1-4</v>
      </c>
      <c r="E382" s="72"/>
      <c r="F382" s="73"/>
      <c r="G382" s="74"/>
      <c r="H382" s="75"/>
      <c r="I382" s="76"/>
      <c r="J382" s="75"/>
      <c r="K382" s="27" t="str">
        <f t="shared" si="2"/>
        <v>DISPONIBLE</v>
      </c>
      <c r="L382" s="28">
        <f t="shared" si="18"/>
        <v>381</v>
      </c>
      <c r="M382" s="28" t="s">
        <v>748</v>
      </c>
      <c r="N382" s="109"/>
      <c r="O382" s="29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4"/>
      <c r="BF382" s="12"/>
      <c r="BG382" s="12"/>
      <c r="BH382" s="12" t="str">
        <f>IFERROR(__xludf.DUMMYFUNCTION("IFERROR(INDEX(QUERY(IMPORTRANGE(""1T7HG8KEs-Ob7f3M5atEVN9Yn7IeORGp0QGvggB62ELw"",""Maestro!A:I""),""SELECT Col8 WHERE Col3 = '""&amp;BE382&amp;""'"", 0), 1, 1),""NO ENCONTRADO"")"),"")</f>
        <v/>
      </c>
      <c r="BI382" s="12" t="str">
        <f>IFERROR(__xludf.DUMMYFUNCTION("IFERROR(INDEX(QUERY(IMPORTRANGE(""1T7HG8KEs-Ob7f3M5atEVN9Yn7IeORGp0QGvggB62ELw"",""Maestro!A:I""),""SELECT Col7 WHERE Col3 = '""&amp;BE382&amp;""'"", 0), 1, 1),""NO ENCONTRADO"")"),"")</f>
        <v/>
      </c>
      <c r="BJ382" s="16">
        <f t="shared" si="19"/>
        <v>0</v>
      </c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4"/>
      <c r="BX382" s="14"/>
      <c r="BY382" s="14"/>
      <c r="BZ382" s="14"/>
      <c r="CA382" s="14"/>
      <c r="CB382" s="14"/>
      <c r="CC382" s="14"/>
      <c r="CD382" s="14"/>
      <c r="CE382" s="14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</row>
    <row r="383">
      <c r="A383" s="295" t="s">
        <v>593</v>
      </c>
      <c r="B383" s="296" t="s">
        <v>18</v>
      </c>
      <c r="C383" s="296" t="s">
        <v>25</v>
      </c>
      <c r="D383" s="297" t="str">
        <f t="shared" si="8"/>
        <v>ZEST-1-5</v>
      </c>
      <c r="E383" s="78">
        <v>45764.0</v>
      </c>
      <c r="F383" s="79" t="s">
        <v>19</v>
      </c>
      <c r="G383" s="80" t="s">
        <v>100</v>
      </c>
      <c r="H383" s="81" t="s">
        <v>101</v>
      </c>
      <c r="I383" s="82">
        <v>10.0</v>
      </c>
      <c r="J383" s="81" t="s">
        <v>22</v>
      </c>
      <c r="K383" s="32" t="str">
        <f t="shared" si="2"/>
        <v>OCUPADO</v>
      </c>
      <c r="L383" s="33">
        <f t="shared" si="18"/>
        <v>382</v>
      </c>
      <c r="M383" s="33" t="s">
        <v>748</v>
      </c>
      <c r="N383" s="122"/>
      <c r="O383" s="34" t="s">
        <v>24</v>
      </c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4"/>
      <c r="BF383" s="12"/>
      <c r="BG383" s="12"/>
      <c r="BH383" s="12" t="str">
        <f>IFERROR(__xludf.DUMMYFUNCTION("IFERROR(INDEX(QUERY(IMPORTRANGE(""1T7HG8KEs-Ob7f3M5atEVN9Yn7IeORGp0QGvggB62ELw"",""Maestro!A:I""),""SELECT Col8 WHERE Col3 = '""&amp;BE383&amp;""'"", 0), 1, 1),""NO ENCONTRADO"")"),"")</f>
        <v/>
      </c>
      <c r="BI383" s="12" t="str">
        <f>IFERROR(__xludf.DUMMYFUNCTION("IFERROR(INDEX(QUERY(IMPORTRANGE(""1T7HG8KEs-Ob7f3M5atEVN9Yn7IeORGp0QGvggB62ELw"",""Maestro!A:I""),""SELECT Col7 WHERE Col3 = '""&amp;BE383&amp;""'"", 0), 1, 1),""NO ENCONTRADO"")"),"")</f>
        <v/>
      </c>
      <c r="BJ383" s="16">
        <f t="shared" si="19"/>
        <v>0</v>
      </c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4"/>
      <c r="BX383" s="14"/>
      <c r="BY383" s="14"/>
      <c r="BZ383" s="14"/>
      <c r="CA383" s="14"/>
      <c r="CB383" s="14"/>
      <c r="CC383" s="14"/>
      <c r="CD383" s="14"/>
      <c r="CE383" s="14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</row>
    <row r="384">
      <c r="A384" s="295" t="s">
        <v>593</v>
      </c>
      <c r="B384" s="296" t="s">
        <v>32</v>
      </c>
      <c r="C384" s="296" t="s">
        <v>18</v>
      </c>
      <c r="D384" s="297" t="str">
        <f t="shared" si="8"/>
        <v>ZEST-2-1</v>
      </c>
      <c r="E384" s="78">
        <v>45755.0</v>
      </c>
      <c r="F384" s="88" t="s">
        <v>19</v>
      </c>
      <c r="G384" s="80" t="s">
        <v>100</v>
      </c>
      <c r="H384" s="81" t="s">
        <v>101</v>
      </c>
      <c r="I384" s="82">
        <v>9.0</v>
      </c>
      <c r="J384" s="81" t="s">
        <v>22</v>
      </c>
      <c r="K384" s="27" t="str">
        <f t="shared" si="2"/>
        <v>OCUPADO</v>
      </c>
      <c r="L384" s="28">
        <f t="shared" si="18"/>
        <v>383</v>
      </c>
      <c r="M384" s="28" t="s">
        <v>748</v>
      </c>
      <c r="N384" s="109"/>
      <c r="O384" s="29" t="s">
        <v>24</v>
      </c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4"/>
      <c r="BF384" s="12"/>
      <c r="BG384" s="12"/>
      <c r="BH384" s="12" t="str">
        <f>IFERROR(__xludf.DUMMYFUNCTION("IFERROR(INDEX(QUERY(IMPORTRANGE(""1T7HG8KEs-Ob7f3M5atEVN9Yn7IeORGp0QGvggB62ELw"",""Maestro!A:I""),""SELECT Col8 WHERE Col3 = '""&amp;BE384&amp;""'"", 0), 1, 1),""NO ENCONTRADO"")"),"")</f>
        <v/>
      </c>
      <c r="BI384" s="12" t="str">
        <f>IFERROR(__xludf.DUMMYFUNCTION("IFERROR(INDEX(QUERY(IMPORTRANGE(""1T7HG8KEs-Ob7f3M5atEVN9Yn7IeORGp0QGvggB62ELw"",""Maestro!A:I""),""SELECT Col7 WHERE Col3 = '""&amp;BE384&amp;""'"", 0), 1, 1),""NO ENCONTRADO"")"),"")</f>
        <v/>
      </c>
      <c r="BJ384" s="16">
        <f t="shared" si="19"/>
        <v>0</v>
      </c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4"/>
      <c r="BX384" s="14"/>
      <c r="BY384" s="14"/>
      <c r="BZ384" s="14"/>
      <c r="CA384" s="14"/>
      <c r="CB384" s="14"/>
      <c r="CC384" s="14"/>
      <c r="CD384" s="14"/>
      <c r="CE384" s="14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</row>
    <row r="385">
      <c r="A385" s="295" t="s">
        <v>593</v>
      </c>
      <c r="B385" s="296" t="s">
        <v>32</v>
      </c>
      <c r="C385" s="296" t="s">
        <v>32</v>
      </c>
      <c r="D385" s="297" t="str">
        <f t="shared" si="8"/>
        <v>ZEST-2-2</v>
      </c>
      <c r="E385" s="72"/>
      <c r="F385" s="73"/>
      <c r="G385" s="74"/>
      <c r="H385" s="75"/>
      <c r="I385" s="76"/>
      <c r="J385" s="75"/>
      <c r="K385" s="32" t="str">
        <f t="shared" si="2"/>
        <v>DISPONIBLE</v>
      </c>
      <c r="L385" s="33">
        <f t="shared" si="18"/>
        <v>384</v>
      </c>
      <c r="M385" s="33" t="s">
        <v>748</v>
      </c>
      <c r="N385" s="122"/>
      <c r="O385" s="34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4"/>
      <c r="BF385" s="12"/>
      <c r="BG385" s="12"/>
      <c r="BH385" s="12" t="str">
        <f>IFERROR(__xludf.DUMMYFUNCTION("IFERROR(INDEX(QUERY(IMPORTRANGE(""1T7HG8KEs-Ob7f3M5atEVN9Yn7IeORGp0QGvggB62ELw"",""Maestro!A:I""),""SELECT Col8 WHERE Col3 = '""&amp;BE385&amp;""'"", 0), 1, 1),""NO ENCONTRADO"")"),"")</f>
        <v/>
      </c>
      <c r="BI385" s="12" t="str">
        <f>IFERROR(__xludf.DUMMYFUNCTION("IFERROR(INDEX(QUERY(IMPORTRANGE(""1T7HG8KEs-Ob7f3M5atEVN9Yn7IeORGp0QGvggB62ELw"",""Maestro!A:I""),""SELECT Col7 WHERE Col3 = '""&amp;BE385&amp;""'"", 0), 1, 1),""NO ENCONTRADO"")"),"")</f>
        <v/>
      </c>
      <c r="BJ385" s="16">
        <f t="shared" si="19"/>
        <v>0</v>
      </c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4"/>
      <c r="BX385" s="14"/>
      <c r="BY385" s="14"/>
      <c r="BZ385" s="14"/>
      <c r="CA385" s="14"/>
      <c r="CB385" s="14"/>
      <c r="CC385" s="14"/>
      <c r="CD385" s="14"/>
      <c r="CE385" s="14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</row>
    <row r="386">
      <c r="A386" s="295" t="s">
        <v>593</v>
      </c>
      <c r="B386" s="296" t="s">
        <v>32</v>
      </c>
      <c r="C386" s="296" t="s">
        <v>44</v>
      </c>
      <c r="D386" s="297" t="str">
        <f t="shared" si="8"/>
        <v>ZEST-2-3</v>
      </c>
      <c r="E386" s="72"/>
      <c r="F386" s="73"/>
      <c r="G386" s="74"/>
      <c r="H386" s="75"/>
      <c r="I386" s="76"/>
      <c r="J386" s="75"/>
      <c r="K386" s="27" t="str">
        <f t="shared" si="2"/>
        <v>DISPONIBLE</v>
      </c>
      <c r="L386" s="28">
        <f t="shared" si="18"/>
        <v>385</v>
      </c>
      <c r="M386" s="28" t="s">
        <v>748</v>
      </c>
      <c r="N386" s="109"/>
      <c r="O386" s="29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4"/>
      <c r="BF386" s="12"/>
      <c r="BG386" s="12"/>
      <c r="BH386" s="12" t="str">
        <f>IFERROR(__xludf.DUMMYFUNCTION("IFERROR(INDEX(QUERY(IMPORTRANGE(""1T7HG8KEs-Ob7f3M5atEVN9Yn7IeORGp0QGvggB62ELw"",""Maestro!A:I""),""SELECT Col8 WHERE Col3 = '""&amp;BE386&amp;""'"", 0), 1, 1),""NO ENCONTRADO"")"),"")</f>
        <v/>
      </c>
      <c r="BI386" s="12" t="str">
        <f>IFERROR(__xludf.DUMMYFUNCTION("IFERROR(INDEX(QUERY(IMPORTRANGE(""1T7HG8KEs-Ob7f3M5atEVN9Yn7IeORGp0QGvggB62ELw"",""Maestro!A:I""),""SELECT Col7 WHERE Col3 = '""&amp;BE386&amp;""'"", 0), 1, 1),""NO ENCONTRADO"")"),"")</f>
        <v/>
      </c>
      <c r="BJ386" s="16">
        <f t="shared" si="19"/>
        <v>0</v>
      </c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4"/>
      <c r="BX386" s="14"/>
      <c r="BY386" s="14"/>
      <c r="BZ386" s="14"/>
      <c r="CA386" s="14"/>
      <c r="CB386" s="14"/>
      <c r="CC386" s="14"/>
      <c r="CD386" s="14"/>
      <c r="CE386" s="14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</row>
    <row r="387">
      <c r="A387" s="295" t="s">
        <v>593</v>
      </c>
      <c r="B387" s="296" t="s">
        <v>32</v>
      </c>
      <c r="C387" s="296" t="s">
        <v>53</v>
      </c>
      <c r="D387" s="297" t="str">
        <f t="shared" si="8"/>
        <v>ZEST-2-4</v>
      </c>
      <c r="E387" s="72"/>
      <c r="F387" s="73"/>
      <c r="G387" s="74"/>
      <c r="H387" s="75"/>
      <c r="I387" s="76"/>
      <c r="J387" s="75"/>
      <c r="K387" s="32" t="str">
        <f t="shared" si="2"/>
        <v>DISPONIBLE</v>
      </c>
      <c r="L387" s="33">
        <f t="shared" si="18"/>
        <v>386</v>
      </c>
      <c r="M387" s="33" t="s">
        <v>748</v>
      </c>
      <c r="N387" s="122"/>
      <c r="O387" s="34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4"/>
      <c r="BF387" s="12"/>
      <c r="BG387" s="12"/>
      <c r="BH387" s="12" t="str">
        <f>IFERROR(__xludf.DUMMYFUNCTION("IFERROR(INDEX(QUERY(IMPORTRANGE(""1T7HG8KEs-Ob7f3M5atEVN9Yn7IeORGp0QGvggB62ELw"",""Maestro!A:I""),""SELECT Col8 WHERE Col3 = '""&amp;BE387&amp;""'"", 0), 1, 1),""NO ENCONTRADO"")"),"")</f>
        <v/>
      </c>
      <c r="BI387" s="12" t="str">
        <f>IFERROR(__xludf.DUMMYFUNCTION("IFERROR(INDEX(QUERY(IMPORTRANGE(""1T7HG8KEs-Ob7f3M5atEVN9Yn7IeORGp0QGvggB62ELw"",""Maestro!A:I""),""SELECT Col7 WHERE Col3 = '""&amp;BE387&amp;""'"", 0), 1, 1),""NO ENCONTRADO"")"),"")</f>
        <v/>
      </c>
      <c r="BJ387" s="16">
        <f t="shared" si="19"/>
        <v>0</v>
      </c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4"/>
      <c r="BX387" s="14"/>
      <c r="BY387" s="14"/>
      <c r="BZ387" s="14"/>
      <c r="CA387" s="14"/>
      <c r="CB387" s="14"/>
      <c r="CC387" s="14"/>
      <c r="CD387" s="14"/>
      <c r="CE387" s="14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</row>
    <row r="388">
      <c r="A388" s="295" t="s">
        <v>593</v>
      </c>
      <c r="B388" s="296" t="s">
        <v>32</v>
      </c>
      <c r="C388" s="296" t="s">
        <v>25</v>
      </c>
      <c r="D388" s="297" t="str">
        <f t="shared" si="8"/>
        <v>ZEST-2-5</v>
      </c>
      <c r="E388" s="78">
        <v>45764.0</v>
      </c>
      <c r="F388" s="79" t="s">
        <v>19</v>
      </c>
      <c r="G388" s="80" t="s">
        <v>100</v>
      </c>
      <c r="H388" s="81" t="s">
        <v>101</v>
      </c>
      <c r="I388" s="82">
        <v>10.0</v>
      </c>
      <c r="J388" s="81" t="s">
        <v>22</v>
      </c>
      <c r="K388" s="27" t="str">
        <f t="shared" si="2"/>
        <v>OCUPADO</v>
      </c>
      <c r="L388" s="28">
        <f t="shared" si="18"/>
        <v>387</v>
      </c>
      <c r="M388" s="28" t="s">
        <v>748</v>
      </c>
      <c r="N388" s="109"/>
      <c r="O388" s="29" t="s">
        <v>24</v>
      </c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4"/>
      <c r="BF388" s="12"/>
      <c r="BG388" s="12"/>
      <c r="BH388" s="12" t="str">
        <f>IFERROR(__xludf.DUMMYFUNCTION("IFERROR(INDEX(QUERY(IMPORTRANGE(""1T7HG8KEs-Ob7f3M5atEVN9Yn7IeORGp0QGvggB62ELw"",""Maestro!A:I""),""SELECT Col8 WHERE Col3 = '""&amp;BE388&amp;""'"", 0), 1, 1),""NO ENCONTRADO"")"),"")</f>
        <v/>
      </c>
      <c r="BI388" s="12" t="str">
        <f>IFERROR(__xludf.DUMMYFUNCTION("IFERROR(INDEX(QUERY(IMPORTRANGE(""1T7HG8KEs-Ob7f3M5atEVN9Yn7IeORGp0QGvggB62ELw"",""Maestro!A:I""),""SELECT Col7 WHERE Col3 = '""&amp;BE388&amp;""'"", 0), 1, 1),""NO ENCONTRADO"")"),"")</f>
        <v/>
      </c>
      <c r="BJ388" s="16">
        <f t="shared" si="19"/>
        <v>0</v>
      </c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4"/>
      <c r="BX388" s="14"/>
      <c r="BY388" s="14"/>
      <c r="BZ388" s="14"/>
      <c r="CA388" s="14"/>
      <c r="CB388" s="14"/>
      <c r="CC388" s="14"/>
      <c r="CD388" s="14"/>
      <c r="CE388" s="14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</row>
    <row r="389">
      <c r="A389" s="295" t="s">
        <v>593</v>
      </c>
      <c r="B389" s="296" t="s">
        <v>44</v>
      </c>
      <c r="C389" s="296" t="s">
        <v>18</v>
      </c>
      <c r="D389" s="297" t="str">
        <f t="shared" si="8"/>
        <v>ZEST-3-1</v>
      </c>
      <c r="E389" s="72"/>
      <c r="F389" s="77"/>
      <c r="G389" s="74"/>
      <c r="H389" s="138"/>
      <c r="I389" s="76"/>
      <c r="J389" s="138"/>
      <c r="K389" s="32" t="str">
        <f t="shared" si="2"/>
        <v>DISPONIBLE</v>
      </c>
      <c r="L389" s="33">
        <f t="shared" si="18"/>
        <v>388</v>
      </c>
      <c r="M389" s="33" t="s">
        <v>748</v>
      </c>
      <c r="N389" s="122"/>
      <c r="O389" s="169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4"/>
      <c r="BF389" s="12"/>
      <c r="BG389" s="12"/>
      <c r="BH389" s="12" t="str">
        <f>IFERROR(__xludf.DUMMYFUNCTION("IFERROR(INDEX(QUERY(IMPORTRANGE(""1T7HG8KEs-Ob7f3M5atEVN9Yn7IeORGp0QGvggB62ELw"",""Maestro!A:I""),""SELECT Col8 WHERE Col3 = '""&amp;BE389&amp;""'"", 0), 1, 1),""NO ENCONTRADO"")"),"")</f>
        <v/>
      </c>
      <c r="BI389" s="12" t="str">
        <f>IFERROR(__xludf.DUMMYFUNCTION("IFERROR(INDEX(QUERY(IMPORTRANGE(""1T7HG8KEs-Ob7f3M5atEVN9Yn7IeORGp0QGvggB62ELw"",""Maestro!A:I""),""SELECT Col7 WHERE Col3 = '""&amp;BE389&amp;""'"", 0), 1, 1),""NO ENCONTRADO"")"),"")</f>
        <v/>
      </c>
      <c r="BJ389" s="16">
        <f t="shared" si="19"/>
        <v>0</v>
      </c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4"/>
      <c r="BX389" s="14"/>
      <c r="BY389" s="14"/>
      <c r="BZ389" s="14"/>
      <c r="CA389" s="14"/>
      <c r="CB389" s="14"/>
      <c r="CC389" s="14"/>
      <c r="CD389" s="14"/>
      <c r="CE389" s="14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</row>
    <row r="390">
      <c r="A390" s="295" t="s">
        <v>593</v>
      </c>
      <c r="B390" s="296" t="s">
        <v>44</v>
      </c>
      <c r="C390" s="296" t="s">
        <v>32</v>
      </c>
      <c r="D390" s="297" t="str">
        <f t="shared" si="8"/>
        <v>ZEST-3-2</v>
      </c>
      <c r="E390" s="72"/>
      <c r="F390" s="77"/>
      <c r="G390" s="74"/>
      <c r="H390" s="75"/>
      <c r="I390" s="76"/>
      <c r="J390" s="75"/>
      <c r="K390" s="27" t="str">
        <f t="shared" si="2"/>
        <v>DISPONIBLE</v>
      </c>
      <c r="L390" s="28">
        <f t="shared" si="18"/>
        <v>389</v>
      </c>
      <c r="M390" s="28" t="s">
        <v>748</v>
      </c>
      <c r="N390" s="109"/>
      <c r="O390" s="29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4"/>
      <c r="BF390" s="12"/>
      <c r="BG390" s="12"/>
      <c r="BH390" s="12" t="str">
        <f>IFERROR(__xludf.DUMMYFUNCTION("IFERROR(INDEX(QUERY(IMPORTRANGE(""1T7HG8KEs-Ob7f3M5atEVN9Yn7IeORGp0QGvggB62ELw"",""Maestro!A:I""),""SELECT Col8 WHERE Col3 = '""&amp;BE390&amp;""'"", 0), 1, 1),""NO ENCONTRADO"")"),"")</f>
        <v/>
      </c>
      <c r="BI390" s="12" t="str">
        <f>IFERROR(__xludf.DUMMYFUNCTION("IFERROR(INDEX(QUERY(IMPORTRANGE(""1T7HG8KEs-Ob7f3M5atEVN9Yn7IeORGp0QGvggB62ELw"",""Maestro!A:I""),""SELECT Col7 WHERE Col3 = '""&amp;BE390&amp;""'"", 0), 1, 1),""NO ENCONTRADO"")"),"")</f>
        <v/>
      </c>
      <c r="BJ390" s="16">
        <f t="shared" si="19"/>
        <v>0</v>
      </c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4"/>
      <c r="BX390" s="14"/>
      <c r="BY390" s="14"/>
      <c r="BZ390" s="14"/>
      <c r="CA390" s="14"/>
      <c r="CB390" s="14"/>
      <c r="CC390" s="14"/>
      <c r="CD390" s="14"/>
      <c r="CE390" s="14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</row>
    <row r="391">
      <c r="A391" s="295" t="s">
        <v>593</v>
      </c>
      <c r="B391" s="296" t="s">
        <v>44</v>
      </c>
      <c r="C391" s="296" t="s">
        <v>44</v>
      </c>
      <c r="D391" s="297" t="str">
        <f t="shared" si="8"/>
        <v>ZEST-3-3</v>
      </c>
      <c r="E391" s="72"/>
      <c r="F391" s="77"/>
      <c r="G391" s="74"/>
      <c r="H391" s="75"/>
      <c r="I391" s="76"/>
      <c r="J391" s="75"/>
      <c r="K391" s="32" t="str">
        <f t="shared" si="2"/>
        <v>DISPONIBLE</v>
      </c>
      <c r="L391" s="33">
        <f t="shared" si="18"/>
        <v>390</v>
      </c>
      <c r="M391" s="33" t="s">
        <v>748</v>
      </c>
      <c r="N391" s="122"/>
      <c r="O391" s="34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4"/>
      <c r="BF391" s="12"/>
      <c r="BG391" s="12"/>
      <c r="BH391" s="12" t="str">
        <f>IFERROR(__xludf.DUMMYFUNCTION("IFERROR(INDEX(QUERY(IMPORTRANGE(""1T7HG8KEs-Ob7f3M5atEVN9Yn7IeORGp0QGvggB62ELw"",""Maestro!A:I""),""SELECT Col8 WHERE Col3 = '""&amp;BE391&amp;""'"", 0), 1, 1),""NO ENCONTRADO"")"),"")</f>
        <v/>
      </c>
      <c r="BI391" s="12" t="str">
        <f>IFERROR(__xludf.DUMMYFUNCTION("IFERROR(INDEX(QUERY(IMPORTRANGE(""1T7HG8KEs-Ob7f3M5atEVN9Yn7IeORGp0QGvggB62ELw"",""Maestro!A:I""),""SELECT Col7 WHERE Col3 = '""&amp;BE391&amp;""'"", 0), 1, 1),""NO ENCONTRADO"")"),"")</f>
        <v/>
      </c>
      <c r="BJ391" s="16">
        <f t="shared" si="19"/>
        <v>0</v>
      </c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4"/>
      <c r="BX391" s="14"/>
      <c r="BY391" s="14"/>
      <c r="BZ391" s="14"/>
      <c r="CA391" s="14"/>
      <c r="CB391" s="14"/>
      <c r="CC391" s="14"/>
      <c r="CD391" s="14"/>
      <c r="CE391" s="14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</row>
    <row r="392">
      <c r="A392" s="295" t="s">
        <v>593</v>
      </c>
      <c r="B392" s="296" t="s">
        <v>44</v>
      </c>
      <c r="C392" s="296" t="s">
        <v>53</v>
      </c>
      <c r="D392" s="297" t="str">
        <f t="shared" si="8"/>
        <v>ZEST-3-4</v>
      </c>
      <c r="E392" s="78">
        <v>45764.0</v>
      </c>
      <c r="F392" s="79" t="s">
        <v>19</v>
      </c>
      <c r="G392" s="80" t="s">
        <v>134</v>
      </c>
      <c r="H392" s="81" t="s">
        <v>135</v>
      </c>
      <c r="I392" s="82">
        <v>2.0</v>
      </c>
      <c r="J392" s="81" t="s">
        <v>22</v>
      </c>
      <c r="K392" s="27" t="str">
        <f t="shared" si="2"/>
        <v>OCUPADO</v>
      </c>
      <c r="L392" s="28">
        <f t="shared" si="18"/>
        <v>391</v>
      </c>
      <c r="M392" s="28" t="s">
        <v>748</v>
      </c>
      <c r="N392" s="109"/>
      <c r="O392" s="29" t="s">
        <v>24</v>
      </c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4"/>
      <c r="BF392" s="12"/>
      <c r="BG392" s="12"/>
      <c r="BH392" s="12" t="str">
        <f>IFERROR(__xludf.DUMMYFUNCTION("IFERROR(INDEX(QUERY(IMPORTRANGE(""1T7HG8KEs-Ob7f3M5atEVN9Yn7IeORGp0QGvggB62ELw"",""Maestro!A:I""),""SELECT Col8 WHERE Col3 = '""&amp;BE392&amp;""'"", 0), 1, 1),""NO ENCONTRADO"")"),"")</f>
        <v/>
      </c>
      <c r="BI392" s="12" t="str">
        <f>IFERROR(__xludf.DUMMYFUNCTION("IFERROR(INDEX(QUERY(IMPORTRANGE(""1T7HG8KEs-Ob7f3M5atEVN9Yn7IeORGp0QGvggB62ELw"",""Maestro!A:I""),""SELECT Col7 WHERE Col3 = '""&amp;BE392&amp;""'"", 0), 1, 1),""NO ENCONTRADO"")"),"")</f>
        <v/>
      </c>
      <c r="BJ392" s="16">
        <f t="shared" si="19"/>
        <v>0</v>
      </c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4"/>
      <c r="BX392" s="14"/>
      <c r="BY392" s="14"/>
      <c r="BZ392" s="14"/>
      <c r="CA392" s="14"/>
      <c r="CB392" s="14"/>
      <c r="CC392" s="14"/>
      <c r="CD392" s="14"/>
      <c r="CE392" s="14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</row>
    <row r="393">
      <c r="A393" s="295" t="s">
        <v>593</v>
      </c>
      <c r="B393" s="296" t="s">
        <v>44</v>
      </c>
      <c r="C393" s="296" t="s">
        <v>25</v>
      </c>
      <c r="D393" s="297" t="str">
        <f t="shared" si="8"/>
        <v>ZEST-3-5</v>
      </c>
      <c r="E393" s="78">
        <v>45764.0</v>
      </c>
      <c r="F393" s="79" t="s">
        <v>19</v>
      </c>
      <c r="G393" s="80" t="s">
        <v>100</v>
      </c>
      <c r="H393" s="81" t="s">
        <v>101</v>
      </c>
      <c r="I393" s="82">
        <v>8.0</v>
      </c>
      <c r="J393" s="81" t="s">
        <v>22</v>
      </c>
      <c r="K393" s="32" t="str">
        <f t="shared" si="2"/>
        <v>OCUPADO</v>
      </c>
      <c r="L393" s="33">
        <f t="shared" si="18"/>
        <v>392</v>
      </c>
      <c r="M393" s="33" t="s">
        <v>748</v>
      </c>
      <c r="N393" s="122"/>
      <c r="O393" s="34" t="s">
        <v>24</v>
      </c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4"/>
      <c r="BF393" s="12"/>
      <c r="BG393" s="12"/>
      <c r="BH393" s="12" t="str">
        <f>IFERROR(__xludf.DUMMYFUNCTION("IFERROR(INDEX(QUERY(IMPORTRANGE(""1T7HG8KEs-Ob7f3M5atEVN9Yn7IeORGp0QGvggB62ELw"",""Maestro!A:I""),""SELECT Col8 WHERE Col3 = '""&amp;BE393&amp;""'"", 0), 1, 1),""NO ENCONTRADO"")"),"")</f>
        <v/>
      </c>
      <c r="BI393" s="12" t="str">
        <f>IFERROR(__xludf.DUMMYFUNCTION("IFERROR(INDEX(QUERY(IMPORTRANGE(""1T7HG8KEs-Ob7f3M5atEVN9Yn7IeORGp0QGvggB62ELw"",""Maestro!A:I""),""SELECT Col7 WHERE Col3 = '""&amp;BE393&amp;""'"", 0), 1, 1),""NO ENCONTRADO"")"),"")</f>
        <v/>
      </c>
      <c r="BJ393" s="16">
        <f t="shared" si="19"/>
        <v>0</v>
      </c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4"/>
      <c r="BX393" s="14"/>
      <c r="BY393" s="14"/>
      <c r="BZ393" s="14"/>
      <c r="CA393" s="14"/>
      <c r="CB393" s="14"/>
      <c r="CC393" s="14"/>
      <c r="CD393" s="14"/>
      <c r="CE393" s="14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</row>
    <row r="394">
      <c r="A394" s="295" t="s">
        <v>593</v>
      </c>
      <c r="B394" s="296" t="s">
        <v>53</v>
      </c>
      <c r="C394" s="296" t="s">
        <v>18</v>
      </c>
      <c r="D394" s="297" t="str">
        <f t="shared" si="8"/>
        <v>ZEST-4-1</v>
      </c>
      <c r="E394" s="72"/>
      <c r="F394" s="77"/>
      <c r="G394" s="74"/>
      <c r="H394" s="138"/>
      <c r="I394" s="76"/>
      <c r="J394" s="138"/>
      <c r="K394" s="27" t="str">
        <f t="shared" si="2"/>
        <v>DISPONIBLE</v>
      </c>
      <c r="L394" s="28">
        <f t="shared" si="18"/>
        <v>393</v>
      </c>
      <c r="M394" s="28" t="s">
        <v>748</v>
      </c>
      <c r="N394" s="109"/>
      <c r="O394" s="168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4"/>
      <c r="BF394" s="12"/>
      <c r="BG394" s="12"/>
      <c r="BH394" s="12" t="str">
        <f>IFERROR(__xludf.DUMMYFUNCTION("IFERROR(INDEX(QUERY(IMPORTRANGE(""1T7HG8KEs-Ob7f3M5atEVN9Yn7IeORGp0QGvggB62ELw"",""Maestro!A:I""),""SELECT Col8 WHERE Col3 = '""&amp;BE394&amp;""'"", 0), 1, 1),""NO ENCONTRADO"")"),"")</f>
        <v/>
      </c>
      <c r="BI394" s="12" t="str">
        <f>IFERROR(__xludf.DUMMYFUNCTION("IFERROR(INDEX(QUERY(IMPORTRANGE(""1T7HG8KEs-Ob7f3M5atEVN9Yn7IeORGp0QGvggB62ELw"",""Maestro!A:I""),""SELECT Col7 WHERE Col3 = '""&amp;BE394&amp;""'"", 0), 1, 1),""NO ENCONTRADO"")"),"")</f>
        <v/>
      </c>
      <c r="BJ394" s="16">
        <f t="shared" si="19"/>
        <v>0</v>
      </c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4"/>
      <c r="BX394" s="14"/>
      <c r="BY394" s="14"/>
      <c r="BZ394" s="14"/>
      <c r="CA394" s="14"/>
      <c r="CB394" s="14"/>
      <c r="CC394" s="14"/>
      <c r="CD394" s="14"/>
      <c r="CE394" s="14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</row>
    <row r="395">
      <c r="A395" s="295" t="s">
        <v>593</v>
      </c>
      <c r="B395" s="296" t="s">
        <v>53</v>
      </c>
      <c r="C395" s="296" t="s">
        <v>32</v>
      </c>
      <c r="D395" s="297" t="str">
        <f t="shared" si="8"/>
        <v>ZEST-4-2</v>
      </c>
      <c r="E395" s="72"/>
      <c r="F395" s="77"/>
      <c r="G395" s="74"/>
      <c r="H395" s="75"/>
      <c r="I395" s="76"/>
      <c r="J395" s="75"/>
      <c r="K395" s="32" t="str">
        <f t="shared" si="2"/>
        <v>DISPONIBLE</v>
      </c>
      <c r="L395" s="33">
        <f t="shared" si="18"/>
        <v>394</v>
      </c>
      <c r="M395" s="33" t="s">
        <v>748</v>
      </c>
      <c r="N395" s="122"/>
      <c r="O395" s="34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4"/>
      <c r="BF395" s="12"/>
      <c r="BG395" s="12"/>
      <c r="BH395" s="12" t="str">
        <f>IFERROR(__xludf.DUMMYFUNCTION("IFERROR(INDEX(QUERY(IMPORTRANGE(""1T7HG8KEs-Ob7f3M5atEVN9Yn7IeORGp0QGvggB62ELw"",""Maestro!A:I""),""SELECT Col8 WHERE Col3 = '""&amp;BE395&amp;""'"", 0), 1, 1),""NO ENCONTRADO"")"),"")</f>
        <v/>
      </c>
      <c r="BI395" s="12" t="str">
        <f>IFERROR(__xludf.DUMMYFUNCTION("IFERROR(INDEX(QUERY(IMPORTRANGE(""1T7HG8KEs-Ob7f3M5atEVN9Yn7IeORGp0QGvggB62ELw"",""Maestro!A:I""),""SELECT Col7 WHERE Col3 = '""&amp;BE395&amp;""'"", 0), 1, 1),""NO ENCONTRADO"")"),"")</f>
        <v/>
      </c>
      <c r="BJ395" s="16">
        <f t="shared" si="19"/>
        <v>0</v>
      </c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4"/>
      <c r="BX395" s="14"/>
      <c r="BY395" s="14"/>
      <c r="BZ395" s="14"/>
      <c r="CA395" s="14"/>
      <c r="CB395" s="14"/>
      <c r="CC395" s="14"/>
      <c r="CD395" s="14"/>
      <c r="CE395" s="14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</row>
    <row r="396">
      <c r="A396" s="295" t="s">
        <v>593</v>
      </c>
      <c r="B396" s="296" t="s">
        <v>53</v>
      </c>
      <c r="C396" s="296" t="s">
        <v>44</v>
      </c>
      <c r="D396" s="297" t="str">
        <f t="shared" si="8"/>
        <v>ZEST-4-3</v>
      </c>
      <c r="E396" s="72"/>
      <c r="F396" s="77"/>
      <c r="G396" s="74"/>
      <c r="H396" s="138"/>
      <c r="I396" s="76"/>
      <c r="J396" s="138"/>
      <c r="K396" s="27" t="str">
        <f t="shared" si="2"/>
        <v>DISPONIBLE</v>
      </c>
      <c r="L396" s="28">
        <f t="shared" si="18"/>
        <v>395</v>
      </c>
      <c r="M396" s="28" t="s">
        <v>748</v>
      </c>
      <c r="N396" s="109"/>
      <c r="O396" s="168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4"/>
      <c r="BF396" s="12"/>
      <c r="BG396" s="12"/>
      <c r="BH396" s="12" t="str">
        <f>IFERROR(__xludf.DUMMYFUNCTION("IFERROR(INDEX(QUERY(IMPORTRANGE(""1T7HG8KEs-Ob7f3M5atEVN9Yn7IeORGp0QGvggB62ELw"",""Maestro!A:I""),""SELECT Col8 WHERE Col3 = '""&amp;BE396&amp;""'"", 0), 1, 1),""NO ENCONTRADO"")"),"")</f>
        <v/>
      </c>
      <c r="BI396" s="12" t="str">
        <f>IFERROR(__xludf.DUMMYFUNCTION("IFERROR(INDEX(QUERY(IMPORTRANGE(""1T7HG8KEs-Ob7f3M5atEVN9Yn7IeORGp0QGvggB62ELw"",""Maestro!A:I""),""SELECT Col7 WHERE Col3 = '""&amp;BE396&amp;""'"", 0), 1, 1),""NO ENCONTRADO"")"),"")</f>
        <v/>
      </c>
      <c r="BJ396" s="16">
        <f t="shared" si="19"/>
        <v>0</v>
      </c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4"/>
      <c r="BX396" s="14"/>
      <c r="BY396" s="14"/>
      <c r="BZ396" s="14"/>
      <c r="CA396" s="14"/>
      <c r="CB396" s="14"/>
      <c r="CC396" s="14"/>
      <c r="CD396" s="14"/>
      <c r="CE396" s="14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</row>
    <row r="397">
      <c r="A397" s="295" t="s">
        <v>593</v>
      </c>
      <c r="B397" s="296" t="s">
        <v>53</v>
      </c>
      <c r="C397" s="296" t="s">
        <v>53</v>
      </c>
      <c r="D397" s="297" t="str">
        <f t="shared" si="8"/>
        <v>ZEST-4-4</v>
      </c>
      <c r="E397" s="72"/>
      <c r="F397" s="77"/>
      <c r="G397" s="74"/>
      <c r="H397" s="138"/>
      <c r="I397" s="76"/>
      <c r="J397" s="138"/>
      <c r="K397" s="32" t="str">
        <f t="shared" si="2"/>
        <v>DISPONIBLE</v>
      </c>
      <c r="L397" s="33">
        <f t="shared" si="18"/>
        <v>396</v>
      </c>
      <c r="M397" s="33" t="s">
        <v>748</v>
      </c>
      <c r="N397" s="122"/>
      <c r="O397" s="169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4"/>
      <c r="BF397" s="12"/>
      <c r="BG397" s="12"/>
      <c r="BH397" s="12" t="str">
        <f>IFERROR(__xludf.DUMMYFUNCTION("IFERROR(INDEX(QUERY(IMPORTRANGE(""1T7HG8KEs-Ob7f3M5atEVN9Yn7IeORGp0QGvggB62ELw"",""Maestro!A:I""),""SELECT Col8 WHERE Col3 = '""&amp;BE397&amp;""'"", 0), 1, 1),""NO ENCONTRADO"")"),"")</f>
        <v/>
      </c>
      <c r="BI397" s="12" t="str">
        <f>IFERROR(__xludf.DUMMYFUNCTION("IFERROR(INDEX(QUERY(IMPORTRANGE(""1T7HG8KEs-Ob7f3M5atEVN9Yn7IeORGp0QGvggB62ELw"",""Maestro!A:I""),""SELECT Col7 WHERE Col3 = '""&amp;BE397&amp;""'"", 0), 1, 1),""NO ENCONTRADO"")"),"")</f>
        <v/>
      </c>
      <c r="BJ397" s="16">
        <f t="shared" si="19"/>
        <v>0</v>
      </c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4"/>
      <c r="BX397" s="14"/>
      <c r="BY397" s="14"/>
      <c r="BZ397" s="14"/>
      <c r="CA397" s="14"/>
      <c r="CB397" s="14"/>
      <c r="CC397" s="14"/>
      <c r="CD397" s="14"/>
      <c r="CE397" s="14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</row>
    <row r="398">
      <c r="A398" s="295" t="s">
        <v>593</v>
      </c>
      <c r="B398" s="296" t="s">
        <v>53</v>
      </c>
      <c r="C398" s="296" t="s">
        <v>25</v>
      </c>
      <c r="D398" s="297" t="str">
        <f t="shared" si="8"/>
        <v>ZEST-4-5</v>
      </c>
      <c r="E398" s="72"/>
      <c r="F398" s="77"/>
      <c r="G398" s="74"/>
      <c r="H398" s="138"/>
      <c r="I398" s="76"/>
      <c r="J398" s="138"/>
      <c r="K398" s="27" t="str">
        <f t="shared" si="2"/>
        <v>DISPONIBLE</v>
      </c>
      <c r="L398" s="28">
        <f t="shared" si="18"/>
        <v>397</v>
      </c>
      <c r="M398" s="28" t="s">
        <v>748</v>
      </c>
      <c r="N398" s="109"/>
      <c r="O398" s="168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4"/>
      <c r="BF398" s="12"/>
      <c r="BG398" s="12"/>
      <c r="BH398" s="12" t="str">
        <f>IFERROR(__xludf.DUMMYFUNCTION("IFERROR(INDEX(QUERY(IMPORTRANGE(""1T7HG8KEs-Ob7f3M5atEVN9Yn7IeORGp0QGvggB62ELw"",""Maestro!A:I""),""SELECT Col8 WHERE Col3 = '""&amp;BE398&amp;""'"", 0), 1, 1),""NO ENCONTRADO"")"),"")</f>
        <v/>
      </c>
      <c r="BI398" s="12" t="str">
        <f>IFERROR(__xludf.DUMMYFUNCTION("IFERROR(INDEX(QUERY(IMPORTRANGE(""1T7HG8KEs-Ob7f3M5atEVN9Yn7IeORGp0QGvggB62ELw"",""Maestro!A:I""),""SELECT Col7 WHERE Col3 = '""&amp;BE398&amp;""'"", 0), 1, 1),""NO ENCONTRADO"")"),"")</f>
        <v/>
      </c>
      <c r="BJ398" s="16">
        <f t="shared" si="19"/>
        <v>0</v>
      </c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4"/>
      <c r="BX398" s="14"/>
      <c r="BY398" s="14"/>
      <c r="BZ398" s="14"/>
      <c r="CA398" s="14"/>
      <c r="CB398" s="14"/>
      <c r="CC398" s="14"/>
      <c r="CD398" s="14"/>
      <c r="CE398" s="14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</row>
    <row r="399">
      <c r="A399" s="295" t="s">
        <v>593</v>
      </c>
      <c r="B399" s="296" t="s">
        <v>25</v>
      </c>
      <c r="C399" s="296" t="s">
        <v>18</v>
      </c>
      <c r="D399" s="297" t="str">
        <f t="shared" si="8"/>
        <v>ZEST-5-1</v>
      </c>
      <c r="E399" s="72"/>
      <c r="F399" s="77"/>
      <c r="G399" s="74"/>
      <c r="H399" s="138"/>
      <c r="I399" s="76"/>
      <c r="J399" s="138"/>
      <c r="K399" s="32" t="str">
        <f t="shared" si="2"/>
        <v>DISPONIBLE</v>
      </c>
      <c r="L399" s="33">
        <f t="shared" si="18"/>
        <v>398</v>
      </c>
      <c r="M399" s="33" t="s">
        <v>748</v>
      </c>
      <c r="N399" s="122"/>
      <c r="O399" s="169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4"/>
      <c r="BF399" s="12"/>
      <c r="BG399" s="12"/>
      <c r="BH399" s="12" t="str">
        <f>IFERROR(__xludf.DUMMYFUNCTION("IFERROR(INDEX(QUERY(IMPORTRANGE(""1T7HG8KEs-Ob7f3M5atEVN9Yn7IeORGp0QGvggB62ELw"",""Maestro!A:I""),""SELECT Col8 WHERE Col3 = '""&amp;BE399&amp;""'"", 0), 1, 1),""NO ENCONTRADO"")"),"")</f>
        <v/>
      </c>
      <c r="BI399" s="12" t="str">
        <f>IFERROR(__xludf.DUMMYFUNCTION("IFERROR(INDEX(QUERY(IMPORTRANGE(""1T7HG8KEs-Ob7f3M5atEVN9Yn7IeORGp0QGvggB62ELw"",""Maestro!A:I""),""SELECT Col7 WHERE Col3 = '""&amp;BE399&amp;""'"", 0), 1, 1),""NO ENCONTRADO"")"),"")</f>
        <v/>
      </c>
      <c r="BJ399" s="16">
        <f t="shared" si="19"/>
        <v>0</v>
      </c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4"/>
      <c r="BX399" s="14"/>
      <c r="BY399" s="14"/>
      <c r="BZ399" s="14"/>
      <c r="CA399" s="14"/>
      <c r="CB399" s="14"/>
      <c r="CC399" s="14"/>
      <c r="CD399" s="14"/>
      <c r="CE399" s="14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</row>
    <row r="400">
      <c r="A400" s="295" t="s">
        <v>593</v>
      </c>
      <c r="B400" s="296" t="s">
        <v>25</v>
      </c>
      <c r="C400" s="296" t="s">
        <v>32</v>
      </c>
      <c r="D400" s="297" t="str">
        <f t="shared" si="8"/>
        <v>ZEST-5-2</v>
      </c>
      <c r="E400" s="72"/>
      <c r="F400" s="77"/>
      <c r="G400" s="74"/>
      <c r="H400" s="138"/>
      <c r="I400" s="76"/>
      <c r="J400" s="138"/>
      <c r="K400" s="27" t="str">
        <f t="shared" si="2"/>
        <v>DISPONIBLE</v>
      </c>
      <c r="L400" s="28">
        <f t="shared" si="18"/>
        <v>399</v>
      </c>
      <c r="M400" s="28" t="s">
        <v>748</v>
      </c>
      <c r="N400" s="109"/>
      <c r="O400" s="168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4"/>
      <c r="BF400" s="12"/>
      <c r="BG400" s="12"/>
      <c r="BH400" s="12" t="str">
        <f>IFERROR(__xludf.DUMMYFUNCTION("IFERROR(INDEX(QUERY(IMPORTRANGE(""1T7HG8KEs-Ob7f3M5atEVN9Yn7IeORGp0QGvggB62ELw"",""Maestro!A:I""),""SELECT Col8 WHERE Col3 = '""&amp;BE400&amp;""'"", 0), 1, 1),""NO ENCONTRADO"")"),"")</f>
        <v/>
      </c>
      <c r="BI400" s="12" t="str">
        <f>IFERROR(__xludf.DUMMYFUNCTION("IFERROR(INDEX(QUERY(IMPORTRANGE(""1T7HG8KEs-Ob7f3M5atEVN9Yn7IeORGp0QGvggB62ELw"",""Maestro!A:I""),""SELECT Col7 WHERE Col3 = '""&amp;BE400&amp;""'"", 0), 1, 1),""NO ENCONTRADO"")"),"")</f>
        <v/>
      </c>
      <c r="BJ400" s="16">
        <f t="shared" si="19"/>
        <v>0</v>
      </c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4"/>
      <c r="BX400" s="14"/>
      <c r="BY400" s="14"/>
      <c r="BZ400" s="14"/>
      <c r="CA400" s="14"/>
      <c r="CB400" s="14"/>
      <c r="CC400" s="14"/>
      <c r="CD400" s="14"/>
      <c r="CE400" s="14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</row>
    <row r="401">
      <c r="A401" s="295" t="s">
        <v>593</v>
      </c>
      <c r="B401" s="296" t="s">
        <v>25</v>
      </c>
      <c r="C401" s="296" t="s">
        <v>44</v>
      </c>
      <c r="D401" s="297" t="str">
        <f t="shared" si="8"/>
        <v>ZEST-5-3</v>
      </c>
      <c r="E401" s="72"/>
      <c r="F401" s="77"/>
      <c r="G401" s="74"/>
      <c r="H401" s="138"/>
      <c r="I401" s="76"/>
      <c r="J401" s="138"/>
      <c r="K401" s="32" t="str">
        <f t="shared" si="2"/>
        <v>DISPONIBLE</v>
      </c>
      <c r="L401" s="33">
        <f t="shared" si="18"/>
        <v>400</v>
      </c>
      <c r="M401" s="33" t="s">
        <v>748</v>
      </c>
      <c r="N401" s="122"/>
      <c r="O401" s="169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4"/>
      <c r="BF401" s="12"/>
      <c r="BG401" s="12"/>
      <c r="BH401" s="12" t="str">
        <f>IFERROR(__xludf.DUMMYFUNCTION("IFERROR(INDEX(QUERY(IMPORTRANGE(""1T7HG8KEs-Ob7f3M5atEVN9Yn7IeORGp0QGvggB62ELw"",""Maestro!A:I""),""SELECT Col8 WHERE Col3 = '""&amp;BE401&amp;""'"", 0), 1, 1),""NO ENCONTRADO"")"),"")</f>
        <v/>
      </c>
      <c r="BI401" s="12" t="str">
        <f>IFERROR(__xludf.DUMMYFUNCTION("IFERROR(INDEX(QUERY(IMPORTRANGE(""1T7HG8KEs-Ob7f3M5atEVN9Yn7IeORGp0QGvggB62ELw"",""Maestro!A:I""),""SELECT Col7 WHERE Col3 = '""&amp;BE401&amp;""'"", 0), 1, 1),""NO ENCONTRADO"")"),"")</f>
        <v/>
      </c>
      <c r="BJ401" s="16">
        <f t="shared" si="19"/>
        <v>0</v>
      </c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4"/>
      <c r="BX401" s="14"/>
      <c r="BY401" s="14"/>
      <c r="BZ401" s="14"/>
      <c r="CA401" s="14"/>
      <c r="CB401" s="14"/>
      <c r="CC401" s="14"/>
      <c r="CD401" s="14"/>
      <c r="CE401" s="14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</row>
    <row r="402">
      <c r="A402" s="295" t="s">
        <v>593</v>
      </c>
      <c r="B402" s="296" t="s">
        <v>25</v>
      </c>
      <c r="C402" s="296" t="s">
        <v>53</v>
      </c>
      <c r="D402" s="297" t="str">
        <f t="shared" si="8"/>
        <v>ZEST-5-4</v>
      </c>
      <c r="E402" s="72"/>
      <c r="F402" s="77"/>
      <c r="G402" s="74"/>
      <c r="H402" s="138"/>
      <c r="I402" s="76"/>
      <c r="J402" s="138"/>
      <c r="K402" s="27" t="str">
        <f t="shared" si="2"/>
        <v>DISPONIBLE</v>
      </c>
      <c r="L402" s="28">
        <f t="shared" si="18"/>
        <v>401</v>
      </c>
      <c r="M402" s="28" t="s">
        <v>748</v>
      </c>
      <c r="N402" s="109"/>
      <c r="O402" s="168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4"/>
      <c r="BF402" s="12"/>
      <c r="BG402" s="12"/>
      <c r="BH402" s="12" t="str">
        <f>IFERROR(__xludf.DUMMYFUNCTION("IFERROR(INDEX(QUERY(IMPORTRANGE(""1T7HG8KEs-Ob7f3M5atEVN9Yn7IeORGp0QGvggB62ELw"",""Maestro!A:I""),""SELECT Col8 WHERE Col3 = '""&amp;BE402&amp;""'"", 0), 1, 1),""NO ENCONTRADO"")"),"")</f>
        <v/>
      </c>
      <c r="BI402" s="12" t="str">
        <f>IFERROR(__xludf.DUMMYFUNCTION("IFERROR(INDEX(QUERY(IMPORTRANGE(""1T7HG8KEs-Ob7f3M5atEVN9Yn7IeORGp0QGvggB62ELw"",""Maestro!A:I""),""SELECT Col7 WHERE Col3 = '""&amp;BE402&amp;""'"", 0), 1, 1),""NO ENCONTRADO"")"),"")</f>
        <v/>
      </c>
      <c r="BJ402" s="16">
        <f t="shared" si="19"/>
        <v>0</v>
      </c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4"/>
      <c r="BX402" s="14"/>
      <c r="BY402" s="14"/>
      <c r="BZ402" s="14"/>
      <c r="CA402" s="14"/>
      <c r="CB402" s="14"/>
      <c r="CC402" s="14"/>
      <c r="CD402" s="14"/>
      <c r="CE402" s="14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</row>
    <row r="403">
      <c r="A403" s="295" t="s">
        <v>593</v>
      </c>
      <c r="B403" s="296" t="s">
        <v>25</v>
      </c>
      <c r="C403" s="296" t="s">
        <v>25</v>
      </c>
      <c r="D403" s="297" t="str">
        <f t="shared" si="8"/>
        <v>ZEST-5-5</v>
      </c>
      <c r="E403" s="72"/>
      <c r="F403" s="77"/>
      <c r="G403" s="74"/>
      <c r="H403" s="138"/>
      <c r="I403" s="76"/>
      <c r="J403" s="138"/>
      <c r="K403" s="32" t="str">
        <f t="shared" si="2"/>
        <v>DISPONIBLE</v>
      </c>
      <c r="L403" s="33">
        <f t="shared" si="18"/>
        <v>402</v>
      </c>
      <c r="M403" s="33" t="s">
        <v>748</v>
      </c>
      <c r="N403" s="122"/>
      <c r="O403" s="169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4"/>
      <c r="BF403" s="12"/>
      <c r="BG403" s="12"/>
      <c r="BH403" s="12" t="str">
        <f>IFERROR(__xludf.DUMMYFUNCTION("IFERROR(INDEX(QUERY(IMPORTRANGE(""1T7HG8KEs-Ob7f3M5atEVN9Yn7IeORGp0QGvggB62ELw"",""Maestro!A:I""),""SELECT Col8 WHERE Col3 = '""&amp;BE403&amp;""'"", 0), 1, 1),""NO ENCONTRADO"")"),"")</f>
        <v/>
      </c>
      <c r="BI403" s="12" t="str">
        <f>IFERROR(__xludf.DUMMYFUNCTION("IFERROR(INDEX(QUERY(IMPORTRANGE(""1T7HG8KEs-Ob7f3M5atEVN9Yn7IeORGp0QGvggB62ELw"",""Maestro!A:I""),""SELECT Col7 WHERE Col3 = '""&amp;BE403&amp;""'"", 0), 1, 1),""NO ENCONTRADO"")"),"")</f>
        <v/>
      </c>
      <c r="BJ403" s="16">
        <f t="shared" si="19"/>
        <v>0</v>
      </c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4"/>
      <c r="BX403" s="14"/>
      <c r="BY403" s="14"/>
      <c r="BZ403" s="14"/>
      <c r="CA403" s="14"/>
      <c r="CB403" s="14"/>
      <c r="CC403" s="14"/>
      <c r="CD403" s="14"/>
      <c r="CE403" s="14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</row>
    <row r="404">
      <c r="A404" s="295" t="s">
        <v>593</v>
      </c>
      <c r="B404" s="296" t="s">
        <v>25</v>
      </c>
      <c r="C404" s="296" t="s">
        <v>36</v>
      </c>
      <c r="D404" s="297" t="str">
        <f t="shared" si="8"/>
        <v>ZEST-5-6</v>
      </c>
      <c r="E404" s="72"/>
      <c r="F404" s="77"/>
      <c r="G404" s="74"/>
      <c r="H404" s="138"/>
      <c r="I404" s="76"/>
      <c r="J404" s="138"/>
      <c r="K404" s="27" t="str">
        <f t="shared" si="2"/>
        <v>DISPONIBLE</v>
      </c>
      <c r="L404" s="28">
        <f t="shared" si="18"/>
        <v>403</v>
      </c>
      <c r="M404" s="28" t="s">
        <v>748</v>
      </c>
      <c r="N404" s="109"/>
      <c r="O404" s="168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4"/>
      <c r="BF404" s="12"/>
      <c r="BG404" s="12"/>
      <c r="BH404" s="12" t="str">
        <f>IFERROR(__xludf.DUMMYFUNCTION("IFERROR(INDEX(QUERY(IMPORTRANGE(""1T7HG8KEs-Ob7f3M5atEVN9Yn7IeORGp0QGvggB62ELw"",""Maestro!A:I""),""SELECT Col8 WHERE Col3 = '""&amp;BE404&amp;""'"", 0), 1, 1),""NO ENCONTRADO"")"),"")</f>
        <v/>
      </c>
      <c r="BI404" s="12" t="str">
        <f>IFERROR(__xludf.DUMMYFUNCTION("IFERROR(INDEX(QUERY(IMPORTRANGE(""1T7HG8KEs-Ob7f3M5atEVN9Yn7IeORGp0QGvggB62ELw"",""Maestro!A:I""),""SELECT Col7 WHERE Col3 = '""&amp;BE404&amp;""'"", 0), 1, 1),""NO ENCONTRADO"")"),"")</f>
        <v/>
      </c>
      <c r="BJ404" s="16">
        <f t="shared" si="19"/>
        <v>0</v>
      </c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4"/>
      <c r="BX404" s="14"/>
      <c r="BY404" s="14"/>
      <c r="BZ404" s="14"/>
      <c r="CA404" s="14"/>
      <c r="CB404" s="14"/>
      <c r="CC404" s="14"/>
      <c r="CD404" s="14"/>
      <c r="CE404" s="14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</row>
    <row r="405">
      <c r="A405" s="295" t="s">
        <v>593</v>
      </c>
      <c r="B405" s="296" t="s">
        <v>25</v>
      </c>
      <c r="C405" s="296" t="s">
        <v>48</v>
      </c>
      <c r="D405" s="297" t="str">
        <f t="shared" si="8"/>
        <v>ZEST-5-7</v>
      </c>
      <c r="E405" s="72"/>
      <c r="F405" s="77"/>
      <c r="G405" s="74"/>
      <c r="H405" s="138"/>
      <c r="I405" s="76"/>
      <c r="J405" s="138"/>
      <c r="K405" s="32" t="str">
        <f t="shared" si="2"/>
        <v>DISPONIBLE</v>
      </c>
      <c r="L405" s="33">
        <f t="shared" si="18"/>
        <v>404</v>
      </c>
      <c r="M405" s="33" t="s">
        <v>748</v>
      </c>
      <c r="N405" s="122"/>
      <c r="O405" s="169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4"/>
      <c r="BF405" s="12"/>
      <c r="BG405" s="12"/>
      <c r="BH405" s="12" t="str">
        <f>IFERROR(__xludf.DUMMYFUNCTION("IFERROR(INDEX(QUERY(IMPORTRANGE(""1T7HG8KEs-Ob7f3M5atEVN9Yn7IeORGp0QGvggB62ELw"",""Maestro!A:I""),""SELECT Col8 WHERE Col3 = '""&amp;BE405&amp;""'"", 0), 1, 1),""NO ENCONTRADO"")"),"")</f>
        <v/>
      </c>
      <c r="BI405" s="12" t="str">
        <f>IFERROR(__xludf.DUMMYFUNCTION("IFERROR(INDEX(QUERY(IMPORTRANGE(""1T7HG8KEs-Ob7f3M5atEVN9Yn7IeORGp0QGvggB62ELw"",""Maestro!A:I""),""SELECT Col7 WHERE Col3 = '""&amp;BE405&amp;""'"", 0), 1, 1),""NO ENCONTRADO"")"),"")</f>
        <v/>
      </c>
      <c r="BJ405" s="16">
        <f t="shared" si="19"/>
        <v>0</v>
      </c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4"/>
      <c r="BX405" s="14"/>
      <c r="BY405" s="14"/>
      <c r="BZ405" s="14"/>
      <c r="CA405" s="14"/>
      <c r="CB405" s="14"/>
      <c r="CC405" s="14"/>
      <c r="CD405" s="14"/>
      <c r="CE405" s="14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</row>
    <row r="406">
      <c r="A406" s="295" t="s">
        <v>593</v>
      </c>
      <c r="B406" s="296" t="s">
        <v>36</v>
      </c>
      <c r="C406" s="296" t="s">
        <v>18</v>
      </c>
      <c r="D406" s="297" t="str">
        <f t="shared" si="8"/>
        <v>ZEST-6-1</v>
      </c>
      <c r="E406" s="72"/>
      <c r="F406" s="77"/>
      <c r="G406" s="74"/>
      <c r="H406" s="138"/>
      <c r="I406" s="76"/>
      <c r="J406" s="138"/>
      <c r="K406" s="27" t="str">
        <f t="shared" si="2"/>
        <v>DISPONIBLE</v>
      </c>
      <c r="L406" s="28">
        <f t="shared" si="18"/>
        <v>405</v>
      </c>
      <c r="M406" s="28" t="s">
        <v>748</v>
      </c>
      <c r="N406" s="109"/>
      <c r="O406" s="168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4"/>
      <c r="BF406" s="12"/>
      <c r="BG406" s="12"/>
      <c r="BH406" s="12" t="str">
        <f>IFERROR(__xludf.DUMMYFUNCTION("IFERROR(INDEX(QUERY(IMPORTRANGE(""1T7HG8KEs-Ob7f3M5atEVN9Yn7IeORGp0QGvggB62ELw"",""Maestro!A:I""),""SELECT Col8 WHERE Col3 = '""&amp;BE406&amp;""'"", 0), 1, 1),""NO ENCONTRADO"")"),"")</f>
        <v/>
      </c>
      <c r="BI406" s="12" t="str">
        <f>IFERROR(__xludf.DUMMYFUNCTION("IFERROR(INDEX(QUERY(IMPORTRANGE(""1T7HG8KEs-Ob7f3M5atEVN9Yn7IeORGp0QGvggB62ELw"",""Maestro!A:I""),""SELECT Col7 WHERE Col3 = '""&amp;BE406&amp;""'"", 0), 1, 1),""NO ENCONTRADO"")"),"")</f>
        <v/>
      </c>
      <c r="BJ406" s="16">
        <f t="shared" si="19"/>
        <v>0</v>
      </c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4"/>
      <c r="BX406" s="14"/>
      <c r="BY406" s="14"/>
      <c r="BZ406" s="14"/>
      <c r="CA406" s="14"/>
      <c r="CB406" s="14"/>
      <c r="CC406" s="14"/>
      <c r="CD406" s="14"/>
      <c r="CE406" s="14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</row>
    <row r="407">
      <c r="A407" s="295" t="s">
        <v>593</v>
      </c>
      <c r="B407" s="296" t="s">
        <v>36</v>
      </c>
      <c r="C407" s="296" t="s">
        <v>32</v>
      </c>
      <c r="D407" s="297" t="str">
        <f t="shared" si="8"/>
        <v>ZEST-6-2</v>
      </c>
      <c r="E407" s="72"/>
      <c r="F407" s="77"/>
      <c r="G407" s="74"/>
      <c r="H407" s="138"/>
      <c r="I407" s="76"/>
      <c r="J407" s="138"/>
      <c r="K407" s="32" t="str">
        <f t="shared" si="2"/>
        <v>DISPONIBLE</v>
      </c>
      <c r="L407" s="33">
        <f t="shared" si="18"/>
        <v>406</v>
      </c>
      <c r="M407" s="33" t="s">
        <v>748</v>
      </c>
      <c r="N407" s="122"/>
      <c r="O407" s="169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4"/>
      <c r="BF407" s="12"/>
      <c r="BG407" s="12"/>
      <c r="BH407" s="12" t="str">
        <f>IFERROR(__xludf.DUMMYFUNCTION("IFERROR(INDEX(QUERY(IMPORTRANGE(""1T7HG8KEs-Ob7f3M5atEVN9Yn7IeORGp0QGvggB62ELw"",""Maestro!A:I""),""SELECT Col8 WHERE Col3 = '""&amp;BE407&amp;""'"", 0), 1, 1),""NO ENCONTRADO"")"),"")</f>
        <v/>
      </c>
      <c r="BI407" s="12" t="str">
        <f>IFERROR(__xludf.DUMMYFUNCTION("IFERROR(INDEX(QUERY(IMPORTRANGE(""1T7HG8KEs-Ob7f3M5atEVN9Yn7IeORGp0QGvggB62ELw"",""Maestro!A:I""),""SELECT Col7 WHERE Col3 = '""&amp;BE407&amp;""'"", 0), 1, 1),""NO ENCONTRADO"")"),"")</f>
        <v/>
      </c>
      <c r="BJ407" s="16">
        <f t="shared" si="19"/>
        <v>0</v>
      </c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4"/>
      <c r="BX407" s="14"/>
      <c r="BY407" s="14"/>
      <c r="BZ407" s="14"/>
      <c r="CA407" s="14"/>
      <c r="CB407" s="14"/>
      <c r="CC407" s="14"/>
      <c r="CD407" s="14"/>
      <c r="CE407" s="14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</row>
    <row r="408">
      <c r="A408" s="295" t="s">
        <v>593</v>
      </c>
      <c r="B408" s="296" t="s">
        <v>36</v>
      </c>
      <c r="C408" s="296" t="s">
        <v>44</v>
      </c>
      <c r="D408" s="297" t="str">
        <f t="shared" si="8"/>
        <v>ZEST-6-3</v>
      </c>
      <c r="E408" s="72"/>
      <c r="F408" s="77"/>
      <c r="G408" s="74"/>
      <c r="H408" s="138"/>
      <c r="I408" s="76"/>
      <c r="J408" s="138"/>
      <c r="K408" s="27" t="str">
        <f t="shared" si="2"/>
        <v>DISPONIBLE</v>
      </c>
      <c r="L408" s="28">
        <f t="shared" si="18"/>
        <v>407</v>
      </c>
      <c r="M408" s="28" t="s">
        <v>748</v>
      </c>
      <c r="N408" s="109"/>
      <c r="O408" s="168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4"/>
      <c r="BF408" s="12"/>
      <c r="BG408" s="12"/>
      <c r="BH408" s="12" t="str">
        <f>IFERROR(__xludf.DUMMYFUNCTION("IFERROR(INDEX(QUERY(IMPORTRANGE(""1T7HG8KEs-Ob7f3M5atEVN9Yn7IeORGp0QGvggB62ELw"",""Maestro!A:I""),""SELECT Col8 WHERE Col3 = '""&amp;BE408&amp;""'"", 0), 1, 1),""NO ENCONTRADO"")"),"")</f>
        <v/>
      </c>
      <c r="BI408" s="12" t="str">
        <f>IFERROR(__xludf.DUMMYFUNCTION("IFERROR(INDEX(QUERY(IMPORTRANGE(""1T7HG8KEs-Ob7f3M5atEVN9Yn7IeORGp0QGvggB62ELw"",""Maestro!A:I""),""SELECT Col7 WHERE Col3 = '""&amp;BE408&amp;""'"", 0), 1, 1),""NO ENCONTRADO"")"),"")</f>
        <v/>
      </c>
      <c r="BJ408" s="16">
        <f t="shared" si="19"/>
        <v>0</v>
      </c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4"/>
      <c r="BX408" s="14"/>
      <c r="BY408" s="14"/>
      <c r="BZ408" s="14"/>
      <c r="CA408" s="14"/>
      <c r="CB408" s="14"/>
      <c r="CC408" s="14"/>
      <c r="CD408" s="14"/>
      <c r="CE408" s="14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</row>
    <row r="409">
      <c r="A409" s="295" t="s">
        <v>593</v>
      </c>
      <c r="B409" s="296" t="s">
        <v>36</v>
      </c>
      <c r="C409" s="296" t="s">
        <v>53</v>
      </c>
      <c r="D409" s="297" t="str">
        <f t="shared" si="8"/>
        <v>ZEST-6-4</v>
      </c>
      <c r="E409" s="72"/>
      <c r="F409" s="77"/>
      <c r="G409" s="74"/>
      <c r="H409" s="138"/>
      <c r="I409" s="76"/>
      <c r="J409" s="138"/>
      <c r="K409" s="32" t="str">
        <f t="shared" si="2"/>
        <v>DISPONIBLE</v>
      </c>
      <c r="L409" s="33">
        <f t="shared" si="18"/>
        <v>408</v>
      </c>
      <c r="M409" s="33" t="s">
        <v>748</v>
      </c>
      <c r="N409" s="122"/>
      <c r="O409" s="169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4"/>
      <c r="BF409" s="12"/>
      <c r="BG409" s="12"/>
      <c r="BH409" s="12" t="str">
        <f>IFERROR(__xludf.DUMMYFUNCTION("IFERROR(INDEX(QUERY(IMPORTRANGE(""1T7HG8KEs-Ob7f3M5atEVN9Yn7IeORGp0QGvggB62ELw"",""Maestro!A:I""),""SELECT Col8 WHERE Col3 = '""&amp;BE409&amp;""'"", 0), 1, 1),""NO ENCONTRADO"")"),"")</f>
        <v/>
      </c>
      <c r="BI409" s="12" t="str">
        <f>IFERROR(__xludf.DUMMYFUNCTION("IFERROR(INDEX(QUERY(IMPORTRANGE(""1T7HG8KEs-Ob7f3M5atEVN9Yn7IeORGp0QGvggB62ELw"",""Maestro!A:I""),""SELECT Col7 WHERE Col3 = '""&amp;BE409&amp;""'"", 0), 1, 1),""NO ENCONTRADO"")"),"")</f>
        <v/>
      </c>
      <c r="BJ409" s="16">
        <f t="shared" si="19"/>
        <v>0</v>
      </c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4"/>
      <c r="BX409" s="14"/>
      <c r="BY409" s="14"/>
      <c r="BZ409" s="14"/>
      <c r="CA409" s="14"/>
      <c r="CB409" s="14"/>
      <c r="CC409" s="14"/>
      <c r="CD409" s="14"/>
      <c r="CE409" s="14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</row>
    <row r="410">
      <c r="A410" s="295" t="s">
        <v>593</v>
      </c>
      <c r="B410" s="296" t="s">
        <v>36</v>
      </c>
      <c r="C410" s="296" t="s">
        <v>25</v>
      </c>
      <c r="D410" s="297" t="str">
        <f t="shared" si="8"/>
        <v>ZEST-6-5</v>
      </c>
      <c r="E410" s="72"/>
      <c r="F410" s="77"/>
      <c r="G410" s="74"/>
      <c r="H410" s="138"/>
      <c r="I410" s="76"/>
      <c r="J410" s="138"/>
      <c r="K410" s="27" t="str">
        <f t="shared" si="2"/>
        <v>DISPONIBLE</v>
      </c>
      <c r="L410" s="28">
        <f t="shared" si="18"/>
        <v>409</v>
      </c>
      <c r="M410" s="28" t="s">
        <v>748</v>
      </c>
      <c r="N410" s="109"/>
      <c r="O410" s="168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4"/>
      <c r="BF410" s="12"/>
      <c r="BG410" s="12"/>
      <c r="BH410" s="12" t="str">
        <f>IFERROR(__xludf.DUMMYFUNCTION("IFERROR(INDEX(QUERY(IMPORTRANGE(""1T7HG8KEs-Ob7f3M5atEVN9Yn7IeORGp0QGvggB62ELw"",""Maestro!A:I""),""SELECT Col8 WHERE Col3 = '""&amp;BE410&amp;""'"", 0), 1, 1),""NO ENCONTRADO"")"),"")</f>
        <v/>
      </c>
      <c r="BI410" s="12" t="str">
        <f>IFERROR(__xludf.DUMMYFUNCTION("IFERROR(INDEX(QUERY(IMPORTRANGE(""1T7HG8KEs-Ob7f3M5atEVN9Yn7IeORGp0QGvggB62ELw"",""Maestro!A:I""),""SELECT Col7 WHERE Col3 = '""&amp;BE410&amp;""'"", 0), 1, 1),""NO ENCONTRADO"")"),"")</f>
        <v/>
      </c>
      <c r="BJ410" s="16">
        <f t="shared" si="19"/>
        <v>0</v>
      </c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4"/>
      <c r="BX410" s="14"/>
      <c r="BY410" s="14"/>
      <c r="BZ410" s="14"/>
      <c r="CA410" s="14"/>
      <c r="CB410" s="14"/>
      <c r="CC410" s="14"/>
      <c r="CD410" s="14"/>
      <c r="CE410" s="14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</row>
    <row r="411">
      <c r="A411" s="295" t="s">
        <v>593</v>
      </c>
      <c r="B411" s="296" t="s">
        <v>48</v>
      </c>
      <c r="C411" s="296" t="s">
        <v>18</v>
      </c>
      <c r="D411" s="297" t="str">
        <f t="shared" si="8"/>
        <v>ZEST-7-1</v>
      </c>
      <c r="E411" s="72"/>
      <c r="F411" s="77"/>
      <c r="G411" s="74"/>
      <c r="H411" s="138"/>
      <c r="I411" s="76"/>
      <c r="J411" s="138"/>
      <c r="K411" s="32" t="str">
        <f t="shared" si="2"/>
        <v>DISPONIBLE</v>
      </c>
      <c r="L411" s="33" t="str">
        <f>IF(#REF!&lt;&gt;"", ROW(#REF!), "")
</f>
        <v>#REF!</v>
      </c>
      <c r="M411" s="33" t="s">
        <v>748</v>
      </c>
      <c r="N411" s="122"/>
      <c r="O411" s="169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4"/>
      <c r="BF411" s="12"/>
      <c r="BG411" s="12"/>
      <c r="BH411" s="12" t="str">
        <f>IFERROR(__xludf.DUMMYFUNCTION("IFERROR(INDEX(QUERY(IMPORTRANGE(""1T7HG8KEs-Ob7f3M5atEVN9Yn7IeORGp0QGvggB62ELw"",""Maestro!A:I""),""SELECT Col8 WHERE Col3 = '""&amp;BE411&amp;""'"", 0), 1, 1),""NO ENCONTRADO"")"),"")</f>
        <v/>
      </c>
      <c r="BI411" s="12" t="str">
        <f>IFERROR(__xludf.DUMMYFUNCTION("IFERROR(INDEX(QUERY(IMPORTRANGE(""1T7HG8KEs-Ob7f3M5atEVN9Yn7IeORGp0QGvggB62ELw"",""Maestro!A:I""),""SELECT Col7 WHERE Col3 = '""&amp;BE411&amp;""'"", 0), 1, 1),""NO ENCONTRADO"")"),"")</f>
        <v/>
      </c>
      <c r="BJ411" s="16">
        <f t="shared" si="19"/>
        <v>0</v>
      </c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4"/>
      <c r="BX411" s="14"/>
      <c r="BY411" s="14"/>
      <c r="BZ411" s="14"/>
      <c r="CA411" s="14"/>
      <c r="CB411" s="14"/>
      <c r="CC411" s="14"/>
      <c r="CD411" s="14"/>
      <c r="CE411" s="14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</row>
    <row r="412">
      <c r="A412" s="295" t="s">
        <v>593</v>
      </c>
      <c r="B412" s="296" t="s">
        <v>48</v>
      </c>
      <c r="C412" s="296" t="s">
        <v>32</v>
      </c>
      <c r="D412" s="297" t="str">
        <f t="shared" si="8"/>
        <v>ZEST-7-2</v>
      </c>
      <c r="E412" s="72"/>
      <c r="F412" s="77"/>
      <c r="G412" s="74"/>
      <c r="H412" s="138"/>
      <c r="I412" s="76"/>
      <c r="J412" s="138"/>
      <c r="K412" s="27" t="str">
        <f t="shared" si="2"/>
        <v>DISPONIBLE</v>
      </c>
      <c r="L412" s="28">
        <f t="shared" ref="L412:L438" si="20">IF(B411&lt;&gt;"", ROW(A411), "")
</f>
        <v>411</v>
      </c>
      <c r="M412" s="28" t="s">
        <v>748</v>
      </c>
      <c r="N412" s="109"/>
      <c r="O412" s="168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4"/>
      <c r="BF412" s="12"/>
      <c r="BG412" s="12"/>
      <c r="BH412" s="12" t="str">
        <f>IFERROR(__xludf.DUMMYFUNCTION("IFERROR(INDEX(QUERY(IMPORTRANGE(""1T7HG8KEs-Ob7f3M5atEVN9Yn7IeORGp0QGvggB62ELw"",""Maestro!A:I""),""SELECT Col8 WHERE Col3 = '""&amp;BE412&amp;""'"", 0), 1, 1),""NO ENCONTRADO"")"),"")</f>
        <v/>
      </c>
      <c r="BI412" s="12" t="str">
        <f>IFERROR(__xludf.DUMMYFUNCTION("IFERROR(INDEX(QUERY(IMPORTRANGE(""1T7HG8KEs-Ob7f3M5atEVN9Yn7IeORGp0QGvggB62ELw"",""Maestro!A:I""),""SELECT Col7 WHERE Col3 = '""&amp;BE412&amp;""'"", 0), 1, 1),""NO ENCONTRADO"")"),"")</f>
        <v/>
      </c>
      <c r="BJ412" s="16">
        <f t="shared" si="19"/>
        <v>0</v>
      </c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4"/>
      <c r="BX412" s="14"/>
      <c r="BY412" s="14"/>
      <c r="BZ412" s="14"/>
      <c r="CA412" s="14"/>
      <c r="CB412" s="14"/>
      <c r="CC412" s="14"/>
      <c r="CD412" s="14"/>
      <c r="CE412" s="14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</row>
    <row r="413">
      <c r="A413" s="295" t="s">
        <v>593</v>
      </c>
      <c r="B413" s="296" t="s">
        <v>48</v>
      </c>
      <c r="C413" s="296" t="s">
        <v>44</v>
      </c>
      <c r="D413" s="297" t="str">
        <f t="shared" si="8"/>
        <v>ZEST-7-3</v>
      </c>
      <c r="E413" s="72"/>
      <c r="F413" s="77"/>
      <c r="G413" s="74"/>
      <c r="H413" s="138"/>
      <c r="I413" s="76"/>
      <c r="J413" s="138"/>
      <c r="K413" s="32" t="str">
        <f t="shared" si="2"/>
        <v>DISPONIBLE</v>
      </c>
      <c r="L413" s="33">
        <f t="shared" si="20"/>
        <v>412</v>
      </c>
      <c r="M413" s="33" t="s">
        <v>748</v>
      </c>
      <c r="N413" s="122"/>
      <c r="O413" s="169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4"/>
      <c r="BF413" s="12"/>
      <c r="BG413" s="12"/>
      <c r="BH413" s="12" t="str">
        <f>IFERROR(__xludf.DUMMYFUNCTION("IFERROR(INDEX(QUERY(IMPORTRANGE(""1T7HG8KEs-Ob7f3M5atEVN9Yn7IeORGp0QGvggB62ELw"",""Maestro!A:I""),""SELECT Col8 WHERE Col3 = '""&amp;BE413&amp;""'"", 0), 1, 1),""NO ENCONTRADO"")"),"")</f>
        <v/>
      </c>
      <c r="BI413" s="12" t="str">
        <f>IFERROR(__xludf.DUMMYFUNCTION("IFERROR(INDEX(QUERY(IMPORTRANGE(""1T7HG8KEs-Ob7f3M5atEVN9Yn7IeORGp0QGvggB62ELw"",""Maestro!A:I""),""SELECT Col7 WHERE Col3 = '""&amp;BE413&amp;""'"", 0), 1, 1),""NO ENCONTRADO"")"),"")</f>
        <v/>
      </c>
      <c r="BJ413" s="16">
        <f t="shared" si="19"/>
        <v>0</v>
      </c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4"/>
      <c r="BX413" s="14"/>
      <c r="BY413" s="14"/>
      <c r="BZ413" s="14"/>
      <c r="CA413" s="14"/>
      <c r="CB413" s="14"/>
      <c r="CC413" s="14"/>
      <c r="CD413" s="14"/>
      <c r="CE413" s="14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</row>
    <row r="414">
      <c r="A414" s="295" t="s">
        <v>593</v>
      </c>
      <c r="B414" s="296" t="s">
        <v>48</v>
      </c>
      <c r="C414" s="296" t="s">
        <v>53</v>
      </c>
      <c r="D414" s="297" t="str">
        <f t="shared" si="8"/>
        <v>ZEST-7-4</v>
      </c>
      <c r="E414" s="72"/>
      <c r="F414" s="77"/>
      <c r="G414" s="74"/>
      <c r="H414" s="138"/>
      <c r="I414" s="76"/>
      <c r="J414" s="138"/>
      <c r="K414" s="27" t="str">
        <f t="shared" si="2"/>
        <v>DISPONIBLE</v>
      </c>
      <c r="L414" s="28">
        <f t="shared" si="20"/>
        <v>413</v>
      </c>
      <c r="M414" s="28" t="s">
        <v>748</v>
      </c>
      <c r="N414" s="109"/>
      <c r="O414" s="168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4"/>
      <c r="BF414" s="12"/>
      <c r="BG414" s="12"/>
      <c r="BH414" s="12" t="str">
        <f>IFERROR(__xludf.DUMMYFUNCTION("IFERROR(INDEX(QUERY(IMPORTRANGE(""1T7HG8KEs-Ob7f3M5atEVN9Yn7IeORGp0QGvggB62ELw"",""Maestro!A:I""),""SELECT Col8 WHERE Col3 = '""&amp;BE414&amp;""'"", 0), 1, 1),""NO ENCONTRADO"")"),"")</f>
        <v/>
      </c>
      <c r="BI414" s="12" t="str">
        <f>IFERROR(__xludf.DUMMYFUNCTION("IFERROR(INDEX(QUERY(IMPORTRANGE(""1T7HG8KEs-Ob7f3M5atEVN9Yn7IeORGp0QGvggB62ELw"",""Maestro!A:I""),""SELECT Col7 WHERE Col3 = '""&amp;BE414&amp;""'"", 0), 1, 1),""NO ENCONTRADO"")"),"")</f>
        <v/>
      </c>
      <c r="BJ414" s="16">
        <f t="shared" si="19"/>
        <v>0</v>
      </c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4"/>
      <c r="BX414" s="14"/>
      <c r="BY414" s="14"/>
      <c r="BZ414" s="14"/>
      <c r="CA414" s="14"/>
      <c r="CB414" s="14"/>
      <c r="CC414" s="14"/>
      <c r="CD414" s="14"/>
      <c r="CE414" s="14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</row>
    <row r="415">
      <c r="A415" s="295" t="s">
        <v>593</v>
      </c>
      <c r="B415" s="296" t="s">
        <v>48</v>
      </c>
      <c r="C415" s="296" t="s">
        <v>25</v>
      </c>
      <c r="D415" s="297" t="str">
        <f t="shared" si="8"/>
        <v>ZEST-7-5</v>
      </c>
      <c r="E415" s="72"/>
      <c r="F415" s="77"/>
      <c r="G415" s="74"/>
      <c r="H415" s="138"/>
      <c r="I415" s="76"/>
      <c r="J415" s="138"/>
      <c r="K415" s="32" t="str">
        <f t="shared" si="2"/>
        <v>DISPONIBLE</v>
      </c>
      <c r="L415" s="33">
        <f t="shared" si="20"/>
        <v>414</v>
      </c>
      <c r="M415" s="33" t="s">
        <v>748</v>
      </c>
      <c r="N415" s="122"/>
      <c r="O415" s="169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4"/>
      <c r="BF415" s="12"/>
      <c r="BG415" s="12"/>
      <c r="BH415" s="12" t="str">
        <f>IFERROR(__xludf.DUMMYFUNCTION("IFERROR(INDEX(QUERY(IMPORTRANGE(""1T7HG8KEs-Ob7f3M5atEVN9Yn7IeORGp0QGvggB62ELw"",""Maestro!A:I""),""SELECT Col8 WHERE Col3 = '""&amp;BE415&amp;""'"", 0), 1, 1),""NO ENCONTRADO"")"),"")</f>
        <v/>
      </c>
      <c r="BI415" s="12" t="str">
        <f>IFERROR(__xludf.DUMMYFUNCTION("IFERROR(INDEX(QUERY(IMPORTRANGE(""1T7HG8KEs-Ob7f3M5atEVN9Yn7IeORGp0QGvggB62ELw"",""Maestro!A:I""),""SELECT Col7 WHERE Col3 = '""&amp;BE415&amp;""'"", 0), 1, 1),""NO ENCONTRADO"")"),"")</f>
        <v/>
      </c>
      <c r="BJ415" s="16">
        <f t="shared" si="19"/>
        <v>0</v>
      </c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4"/>
      <c r="BX415" s="14"/>
      <c r="BY415" s="14"/>
      <c r="BZ415" s="14"/>
      <c r="CA415" s="14"/>
      <c r="CB415" s="14"/>
      <c r="CC415" s="14"/>
      <c r="CD415" s="14"/>
      <c r="CE415" s="14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</row>
    <row r="416">
      <c r="A416" s="295" t="s">
        <v>593</v>
      </c>
      <c r="B416" s="296" t="s">
        <v>48</v>
      </c>
      <c r="C416" s="296" t="s">
        <v>36</v>
      </c>
      <c r="D416" s="297" t="str">
        <f t="shared" si="8"/>
        <v>ZEST-7-6</v>
      </c>
      <c r="E416" s="72"/>
      <c r="F416" s="77"/>
      <c r="G416" s="74"/>
      <c r="H416" s="138"/>
      <c r="I416" s="76"/>
      <c r="J416" s="138"/>
      <c r="K416" s="27" t="str">
        <f t="shared" si="2"/>
        <v>DISPONIBLE</v>
      </c>
      <c r="L416" s="28">
        <f t="shared" si="20"/>
        <v>415</v>
      </c>
      <c r="M416" s="28" t="s">
        <v>748</v>
      </c>
      <c r="N416" s="109"/>
      <c r="O416" s="168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4"/>
      <c r="BF416" s="12"/>
      <c r="BG416" s="12"/>
      <c r="BH416" s="12" t="str">
        <f>IFERROR(__xludf.DUMMYFUNCTION("IFERROR(INDEX(QUERY(IMPORTRANGE(""1T7HG8KEs-Ob7f3M5atEVN9Yn7IeORGp0QGvggB62ELw"",""Maestro!A:I""),""SELECT Col8 WHERE Col3 = '""&amp;BE416&amp;""'"", 0), 1, 1),""NO ENCONTRADO"")"),"")</f>
        <v/>
      </c>
      <c r="BI416" s="12" t="str">
        <f>IFERROR(__xludf.DUMMYFUNCTION("IFERROR(INDEX(QUERY(IMPORTRANGE(""1T7HG8KEs-Ob7f3M5atEVN9Yn7IeORGp0QGvggB62ELw"",""Maestro!A:I""),""SELECT Col7 WHERE Col3 = '""&amp;BE416&amp;""'"", 0), 1, 1),""NO ENCONTRADO"")"),"")</f>
        <v/>
      </c>
      <c r="BJ416" s="16">
        <f t="shared" si="19"/>
        <v>0</v>
      </c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4"/>
      <c r="BX416" s="14"/>
      <c r="BY416" s="14"/>
      <c r="BZ416" s="14"/>
      <c r="CA416" s="14"/>
      <c r="CB416" s="14"/>
      <c r="CC416" s="14"/>
      <c r="CD416" s="14"/>
      <c r="CE416" s="14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</row>
    <row r="417">
      <c r="A417" s="295" t="s">
        <v>593</v>
      </c>
      <c r="B417" s="296" t="s">
        <v>48</v>
      </c>
      <c r="C417" s="296" t="s">
        <v>48</v>
      </c>
      <c r="D417" s="297" t="str">
        <f t="shared" si="8"/>
        <v>ZEST-7-7</v>
      </c>
      <c r="E417" s="72"/>
      <c r="F417" s="77"/>
      <c r="G417" s="74"/>
      <c r="H417" s="138"/>
      <c r="I417" s="76"/>
      <c r="J417" s="138"/>
      <c r="K417" s="32" t="str">
        <f t="shared" si="2"/>
        <v>DISPONIBLE</v>
      </c>
      <c r="L417" s="33">
        <f t="shared" si="20"/>
        <v>416</v>
      </c>
      <c r="M417" s="33" t="s">
        <v>748</v>
      </c>
      <c r="N417" s="122"/>
      <c r="O417" s="169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4"/>
      <c r="BF417" s="12"/>
      <c r="BG417" s="12"/>
      <c r="BH417" s="12" t="str">
        <f>IFERROR(__xludf.DUMMYFUNCTION("IFERROR(INDEX(QUERY(IMPORTRANGE(""1T7HG8KEs-Ob7f3M5atEVN9Yn7IeORGp0QGvggB62ELw"",""Maestro!A:I""),""SELECT Col8 WHERE Col3 = '""&amp;BE417&amp;""'"", 0), 1, 1),""NO ENCONTRADO"")"),"")</f>
        <v/>
      </c>
      <c r="BI417" s="12" t="str">
        <f>IFERROR(__xludf.DUMMYFUNCTION("IFERROR(INDEX(QUERY(IMPORTRANGE(""1T7HG8KEs-Ob7f3M5atEVN9Yn7IeORGp0QGvggB62ELw"",""Maestro!A:I""),""SELECT Col7 WHERE Col3 = '""&amp;BE417&amp;""'"", 0), 1, 1),""NO ENCONTRADO"")"),"")</f>
        <v/>
      </c>
      <c r="BJ417" s="16">
        <f t="shared" si="19"/>
        <v>0</v>
      </c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4"/>
      <c r="BX417" s="14"/>
      <c r="BY417" s="14"/>
      <c r="BZ417" s="14"/>
      <c r="CA417" s="14"/>
      <c r="CB417" s="14"/>
      <c r="CC417" s="14"/>
      <c r="CD417" s="14"/>
      <c r="CE417" s="14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</row>
    <row r="418">
      <c r="A418" s="295" t="s">
        <v>593</v>
      </c>
      <c r="B418" s="296" t="s">
        <v>465</v>
      </c>
      <c r="C418" s="296" t="s">
        <v>18</v>
      </c>
      <c r="D418" s="297" t="str">
        <f t="shared" si="8"/>
        <v>ZEST-8-1</v>
      </c>
      <c r="E418" s="72"/>
      <c r="F418" s="77"/>
      <c r="G418" s="74"/>
      <c r="H418" s="138"/>
      <c r="I418" s="76"/>
      <c r="J418" s="138"/>
      <c r="K418" s="27" t="str">
        <f t="shared" si="2"/>
        <v>DISPONIBLE</v>
      </c>
      <c r="L418" s="28">
        <f t="shared" si="20"/>
        <v>417</v>
      </c>
      <c r="M418" s="28" t="s">
        <v>748</v>
      </c>
      <c r="N418" s="109"/>
      <c r="O418" s="168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4"/>
      <c r="BF418" s="12"/>
      <c r="BG418" s="12"/>
      <c r="BH418" s="12" t="str">
        <f>IFERROR(__xludf.DUMMYFUNCTION("IFERROR(INDEX(QUERY(IMPORTRANGE(""1T7HG8KEs-Ob7f3M5atEVN9Yn7IeORGp0QGvggB62ELw"",""Maestro!A:I""),""SELECT Col8 WHERE Col3 = '""&amp;BE418&amp;""'"", 0), 1, 1),""NO ENCONTRADO"")"),"")</f>
        <v/>
      </c>
      <c r="BI418" s="12" t="str">
        <f>IFERROR(__xludf.DUMMYFUNCTION("IFERROR(INDEX(QUERY(IMPORTRANGE(""1T7HG8KEs-Ob7f3M5atEVN9Yn7IeORGp0QGvggB62ELw"",""Maestro!A:I""),""SELECT Col7 WHERE Col3 = '""&amp;BE418&amp;""'"", 0), 1, 1),""NO ENCONTRADO"")"),"")</f>
        <v/>
      </c>
      <c r="BJ418" s="16">
        <f t="shared" si="19"/>
        <v>0</v>
      </c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4"/>
      <c r="BX418" s="14"/>
      <c r="BY418" s="14"/>
      <c r="BZ418" s="14"/>
      <c r="CA418" s="14"/>
      <c r="CB418" s="14"/>
      <c r="CC418" s="14"/>
      <c r="CD418" s="14"/>
      <c r="CE418" s="14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</row>
    <row r="419">
      <c r="A419" s="295" t="s">
        <v>593</v>
      </c>
      <c r="B419" s="296" t="s">
        <v>465</v>
      </c>
      <c r="C419" s="296" t="s">
        <v>32</v>
      </c>
      <c r="D419" s="297" t="str">
        <f t="shared" si="8"/>
        <v>ZEST-8-2</v>
      </c>
      <c r="E419" s="72"/>
      <c r="F419" s="77"/>
      <c r="G419" s="74"/>
      <c r="H419" s="138"/>
      <c r="I419" s="76"/>
      <c r="J419" s="138"/>
      <c r="K419" s="32" t="str">
        <f t="shared" si="2"/>
        <v>DISPONIBLE</v>
      </c>
      <c r="L419" s="33">
        <f t="shared" si="20"/>
        <v>418</v>
      </c>
      <c r="M419" s="33" t="s">
        <v>748</v>
      </c>
      <c r="N419" s="122"/>
      <c r="O419" s="169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4"/>
      <c r="BF419" s="12"/>
      <c r="BG419" s="12"/>
      <c r="BH419" s="12" t="str">
        <f>IFERROR(__xludf.DUMMYFUNCTION("IFERROR(INDEX(QUERY(IMPORTRANGE(""1T7HG8KEs-Ob7f3M5atEVN9Yn7IeORGp0QGvggB62ELw"",""Maestro!A:I""),""SELECT Col8 WHERE Col3 = '""&amp;BE419&amp;""'"", 0), 1, 1),""NO ENCONTRADO"")"),"")</f>
        <v/>
      </c>
      <c r="BI419" s="12" t="str">
        <f>IFERROR(__xludf.DUMMYFUNCTION("IFERROR(INDEX(QUERY(IMPORTRANGE(""1T7HG8KEs-Ob7f3M5atEVN9Yn7IeORGp0QGvggB62ELw"",""Maestro!A:I""),""SELECT Col7 WHERE Col3 = '""&amp;BE419&amp;""'"", 0), 1, 1),""NO ENCONTRADO"")"),"")</f>
        <v/>
      </c>
      <c r="BJ419" s="16">
        <f t="shared" si="19"/>
        <v>0</v>
      </c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4"/>
      <c r="BX419" s="14"/>
      <c r="BY419" s="14"/>
      <c r="BZ419" s="14"/>
      <c r="CA419" s="14"/>
      <c r="CB419" s="14"/>
      <c r="CC419" s="14"/>
      <c r="CD419" s="14"/>
      <c r="CE419" s="14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</row>
    <row r="420">
      <c r="A420" s="295" t="s">
        <v>593</v>
      </c>
      <c r="B420" s="296" t="s">
        <v>465</v>
      </c>
      <c r="C420" s="296" t="s">
        <v>44</v>
      </c>
      <c r="D420" s="297" t="str">
        <f t="shared" si="8"/>
        <v>ZEST-8-3</v>
      </c>
      <c r="E420" s="72"/>
      <c r="F420" s="77"/>
      <c r="G420" s="74"/>
      <c r="H420" s="138"/>
      <c r="I420" s="76"/>
      <c r="J420" s="138"/>
      <c r="K420" s="27" t="str">
        <f t="shared" si="2"/>
        <v>DISPONIBLE</v>
      </c>
      <c r="L420" s="28">
        <f t="shared" si="20"/>
        <v>419</v>
      </c>
      <c r="M420" s="28" t="s">
        <v>748</v>
      </c>
      <c r="N420" s="109"/>
      <c r="O420" s="168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4"/>
      <c r="BF420" s="12"/>
      <c r="BG420" s="12"/>
      <c r="BH420" s="12" t="str">
        <f>IFERROR(__xludf.DUMMYFUNCTION("IFERROR(INDEX(QUERY(IMPORTRANGE(""1T7HG8KEs-Ob7f3M5atEVN9Yn7IeORGp0QGvggB62ELw"",""Maestro!A:I""),""SELECT Col8 WHERE Col3 = '""&amp;BE420&amp;""'"", 0), 1, 1),""NO ENCONTRADO"")"),"")</f>
        <v/>
      </c>
      <c r="BI420" s="12" t="str">
        <f>IFERROR(__xludf.DUMMYFUNCTION("IFERROR(INDEX(QUERY(IMPORTRANGE(""1T7HG8KEs-Ob7f3M5atEVN9Yn7IeORGp0QGvggB62ELw"",""Maestro!A:I""),""SELECT Col7 WHERE Col3 = '""&amp;BE420&amp;""'"", 0), 1, 1),""NO ENCONTRADO"")"),"")</f>
        <v/>
      </c>
      <c r="BJ420" s="16">
        <f t="shared" si="19"/>
        <v>0</v>
      </c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4"/>
      <c r="BX420" s="14"/>
      <c r="BY420" s="14"/>
      <c r="BZ420" s="14"/>
      <c r="CA420" s="14"/>
      <c r="CB420" s="14"/>
      <c r="CC420" s="14"/>
      <c r="CD420" s="14"/>
      <c r="CE420" s="14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</row>
    <row r="421">
      <c r="A421" s="295" t="s">
        <v>593</v>
      </c>
      <c r="B421" s="296" t="s">
        <v>465</v>
      </c>
      <c r="C421" s="296" t="s">
        <v>53</v>
      </c>
      <c r="D421" s="297" t="str">
        <f t="shared" si="8"/>
        <v>ZEST-8-4</v>
      </c>
      <c r="E421" s="72"/>
      <c r="F421" s="77"/>
      <c r="G421" s="74"/>
      <c r="H421" s="138"/>
      <c r="I421" s="76"/>
      <c r="J421" s="138"/>
      <c r="K421" s="32" t="str">
        <f t="shared" si="2"/>
        <v>DISPONIBLE</v>
      </c>
      <c r="L421" s="33">
        <f t="shared" si="20"/>
        <v>420</v>
      </c>
      <c r="M421" s="33" t="s">
        <v>748</v>
      </c>
      <c r="N421" s="122"/>
      <c r="O421" s="169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4"/>
      <c r="BF421" s="12"/>
      <c r="BG421" s="12"/>
      <c r="BH421" s="12" t="str">
        <f>IFERROR(__xludf.DUMMYFUNCTION("IFERROR(INDEX(QUERY(IMPORTRANGE(""1T7HG8KEs-Ob7f3M5atEVN9Yn7IeORGp0QGvggB62ELw"",""Maestro!A:I""),""SELECT Col8 WHERE Col3 = '""&amp;BE421&amp;""'"", 0), 1, 1),""NO ENCONTRADO"")"),"")</f>
        <v/>
      </c>
      <c r="BI421" s="12" t="str">
        <f>IFERROR(__xludf.DUMMYFUNCTION("IFERROR(INDEX(QUERY(IMPORTRANGE(""1T7HG8KEs-Ob7f3M5atEVN9Yn7IeORGp0QGvggB62ELw"",""Maestro!A:I""),""SELECT Col7 WHERE Col3 = '""&amp;BE421&amp;""'"", 0), 1, 1),""NO ENCONTRADO"")"),"")</f>
        <v/>
      </c>
      <c r="BJ421" s="16">
        <f t="shared" si="19"/>
        <v>0</v>
      </c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4"/>
      <c r="BX421" s="14"/>
      <c r="BY421" s="14"/>
      <c r="BZ421" s="14"/>
      <c r="CA421" s="14"/>
      <c r="CB421" s="14"/>
      <c r="CC421" s="14"/>
      <c r="CD421" s="14"/>
      <c r="CE421" s="14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</row>
    <row r="422">
      <c r="A422" s="295" t="s">
        <v>593</v>
      </c>
      <c r="B422" s="296" t="s">
        <v>465</v>
      </c>
      <c r="C422" s="296" t="s">
        <v>25</v>
      </c>
      <c r="D422" s="297" t="str">
        <f t="shared" si="8"/>
        <v>ZEST-8-5</v>
      </c>
      <c r="E422" s="72"/>
      <c r="F422" s="77"/>
      <c r="G422" s="74"/>
      <c r="H422" s="138"/>
      <c r="I422" s="76"/>
      <c r="J422" s="138"/>
      <c r="K422" s="27" t="str">
        <f t="shared" si="2"/>
        <v>DISPONIBLE</v>
      </c>
      <c r="L422" s="28">
        <f t="shared" si="20"/>
        <v>421</v>
      </c>
      <c r="M422" s="28" t="s">
        <v>748</v>
      </c>
      <c r="N422" s="109"/>
      <c r="O422" s="168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4"/>
      <c r="BF422" s="12"/>
      <c r="BG422" s="12"/>
      <c r="BH422" s="12" t="str">
        <f>IFERROR(__xludf.DUMMYFUNCTION("IFERROR(INDEX(QUERY(IMPORTRANGE(""1T7HG8KEs-Ob7f3M5atEVN9Yn7IeORGp0QGvggB62ELw"",""Maestro!A:I""),""SELECT Col8 WHERE Col3 = '""&amp;BE422&amp;""'"", 0), 1, 1),""NO ENCONTRADO"")"),"")</f>
        <v/>
      </c>
      <c r="BI422" s="12" t="str">
        <f>IFERROR(__xludf.DUMMYFUNCTION("IFERROR(INDEX(QUERY(IMPORTRANGE(""1T7HG8KEs-Ob7f3M5atEVN9Yn7IeORGp0QGvggB62ELw"",""Maestro!A:I""),""SELECT Col7 WHERE Col3 = '""&amp;BE422&amp;""'"", 0), 1, 1),""NO ENCONTRADO"")"),"")</f>
        <v/>
      </c>
      <c r="BJ422" s="16">
        <f t="shared" si="19"/>
        <v>0</v>
      </c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4"/>
      <c r="BX422" s="14"/>
      <c r="BY422" s="14"/>
      <c r="BZ422" s="14"/>
      <c r="CA422" s="14"/>
      <c r="CB422" s="14"/>
      <c r="CC422" s="14"/>
      <c r="CD422" s="14"/>
      <c r="CE422" s="14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</row>
    <row r="423">
      <c r="A423" s="295" t="s">
        <v>593</v>
      </c>
      <c r="B423" s="296" t="s">
        <v>465</v>
      </c>
      <c r="C423" s="296" t="s">
        <v>36</v>
      </c>
      <c r="D423" s="297" t="str">
        <f t="shared" si="8"/>
        <v>ZEST-8-6</v>
      </c>
      <c r="E423" s="72"/>
      <c r="F423" s="77"/>
      <c r="G423" s="74"/>
      <c r="H423" s="138"/>
      <c r="I423" s="76"/>
      <c r="J423" s="138"/>
      <c r="K423" s="32" t="str">
        <f t="shared" si="2"/>
        <v>DISPONIBLE</v>
      </c>
      <c r="L423" s="33">
        <f t="shared" si="20"/>
        <v>422</v>
      </c>
      <c r="M423" s="33" t="s">
        <v>748</v>
      </c>
      <c r="N423" s="122"/>
      <c r="O423" s="169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4"/>
      <c r="BF423" s="12"/>
      <c r="BG423" s="12"/>
      <c r="BH423" s="12" t="str">
        <f>IFERROR(__xludf.DUMMYFUNCTION("IFERROR(INDEX(QUERY(IMPORTRANGE(""1T7HG8KEs-Ob7f3M5atEVN9Yn7IeORGp0QGvggB62ELw"",""Maestro!A:I""),""SELECT Col8 WHERE Col3 = '""&amp;BE423&amp;""'"", 0), 1, 1),""NO ENCONTRADO"")"),"")</f>
        <v/>
      </c>
      <c r="BI423" s="12" t="str">
        <f>IFERROR(__xludf.DUMMYFUNCTION("IFERROR(INDEX(QUERY(IMPORTRANGE(""1T7HG8KEs-Ob7f3M5atEVN9Yn7IeORGp0QGvggB62ELw"",""Maestro!A:I""),""SELECT Col7 WHERE Col3 = '""&amp;BE423&amp;""'"", 0), 1, 1),""NO ENCONTRADO"")"),"")</f>
        <v/>
      </c>
      <c r="BJ423" s="16">
        <f t="shared" si="19"/>
        <v>0</v>
      </c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4"/>
      <c r="BX423" s="14"/>
      <c r="BY423" s="14"/>
      <c r="BZ423" s="14"/>
      <c r="CA423" s="14"/>
      <c r="CB423" s="14"/>
      <c r="CC423" s="14"/>
      <c r="CD423" s="14"/>
      <c r="CE423" s="14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</row>
    <row r="424">
      <c r="A424" s="295" t="s">
        <v>593</v>
      </c>
      <c r="B424" s="296" t="s">
        <v>465</v>
      </c>
      <c r="C424" s="296" t="s">
        <v>48</v>
      </c>
      <c r="D424" s="297" t="str">
        <f t="shared" si="8"/>
        <v>ZEST-8-7</v>
      </c>
      <c r="E424" s="72"/>
      <c r="F424" s="77"/>
      <c r="G424" s="74"/>
      <c r="H424" s="138"/>
      <c r="I424" s="76"/>
      <c r="J424" s="138"/>
      <c r="K424" s="27" t="str">
        <f t="shared" si="2"/>
        <v>DISPONIBLE</v>
      </c>
      <c r="L424" s="28">
        <f t="shared" si="20"/>
        <v>423</v>
      </c>
      <c r="M424" s="28" t="s">
        <v>748</v>
      </c>
      <c r="N424" s="109"/>
      <c r="O424" s="168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4"/>
      <c r="BF424" s="12"/>
      <c r="BG424" s="12"/>
      <c r="BH424" s="12" t="str">
        <f>IFERROR(__xludf.DUMMYFUNCTION("IFERROR(INDEX(QUERY(IMPORTRANGE(""1T7HG8KEs-Ob7f3M5atEVN9Yn7IeORGp0QGvggB62ELw"",""Maestro!A:I""),""SELECT Col8 WHERE Col3 = '""&amp;BE424&amp;""'"", 0), 1, 1),""NO ENCONTRADO"")"),"")</f>
        <v/>
      </c>
      <c r="BI424" s="12" t="str">
        <f>IFERROR(__xludf.DUMMYFUNCTION("IFERROR(INDEX(QUERY(IMPORTRANGE(""1T7HG8KEs-Ob7f3M5atEVN9Yn7IeORGp0QGvggB62ELw"",""Maestro!A:I""),""SELECT Col7 WHERE Col3 = '""&amp;BE424&amp;""'"", 0), 1, 1),""NO ENCONTRADO"")"),"")</f>
        <v/>
      </c>
      <c r="BJ424" s="16">
        <f t="shared" si="19"/>
        <v>0</v>
      </c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4"/>
      <c r="BX424" s="14"/>
      <c r="BY424" s="14"/>
      <c r="BZ424" s="14"/>
      <c r="CA424" s="14"/>
      <c r="CB424" s="14"/>
      <c r="CC424" s="14"/>
      <c r="CD424" s="14"/>
      <c r="CE424" s="14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</row>
    <row r="425">
      <c r="A425" s="295" t="s">
        <v>593</v>
      </c>
      <c r="B425" s="296" t="s">
        <v>511</v>
      </c>
      <c r="C425" s="296" t="s">
        <v>18</v>
      </c>
      <c r="D425" s="297" t="str">
        <f t="shared" si="8"/>
        <v>ZEST-9-1</v>
      </c>
      <c r="E425" s="72"/>
      <c r="F425" s="77"/>
      <c r="G425" s="74"/>
      <c r="H425" s="138"/>
      <c r="I425" s="76"/>
      <c r="J425" s="138"/>
      <c r="K425" s="32" t="str">
        <f t="shared" si="2"/>
        <v>DISPONIBLE</v>
      </c>
      <c r="L425" s="33">
        <f t="shared" si="20"/>
        <v>424</v>
      </c>
      <c r="M425" s="33" t="s">
        <v>748</v>
      </c>
      <c r="N425" s="122"/>
      <c r="O425" s="169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4"/>
      <c r="BF425" s="12"/>
      <c r="BG425" s="12"/>
      <c r="BH425" s="12" t="str">
        <f>IFERROR(__xludf.DUMMYFUNCTION("IFERROR(INDEX(QUERY(IMPORTRANGE(""1T7HG8KEs-Ob7f3M5atEVN9Yn7IeORGp0QGvggB62ELw"",""Maestro!A:I""),""SELECT Col8 WHERE Col3 = '""&amp;BE425&amp;""'"", 0), 1, 1),""NO ENCONTRADO"")"),"")</f>
        <v/>
      </c>
      <c r="BI425" s="12" t="str">
        <f>IFERROR(__xludf.DUMMYFUNCTION("IFERROR(INDEX(QUERY(IMPORTRANGE(""1T7HG8KEs-Ob7f3M5atEVN9Yn7IeORGp0QGvggB62ELw"",""Maestro!A:I""),""SELECT Col7 WHERE Col3 = '""&amp;BE425&amp;""'"", 0), 1, 1),""NO ENCONTRADO"")"),"")</f>
        <v/>
      </c>
      <c r="BJ425" s="16">
        <f t="shared" si="19"/>
        <v>0</v>
      </c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4"/>
      <c r="BX425" s="14"/>
      <c r="BY425" s="14"/>
      <c r="BZ425" s="14"/>
      <c r="CA425" s="14"/>
      <c r="CB425" s="14"/>
      <c r="CC425" s="14"/>
      <c r="CD425" s="14"/>
      <c r="CE425" s="14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</row>
    <row r="426">
      <c r="A426" s="295" t="s">
        <v>593</v>
      </c>
      <c r="B426" s="296" t="s">
        <v>511</v>
      </c>
      <c r="C426" s="296" t="s">
        <v>32</v>
      </c>
      <c r="D426" s="297" t="str">
        <f t="shared" si="8"/>
        <v>ZEST-9-2</v>
      </c>
      <c r="E426" s="72"/>
      <c r="F426" s="77"/>
      <c r="G426" s="74"/>
      <c r="H426" s="138"/>
      <c r="I426" s="76"/>
      <c r="J426" s="138"/>
      <c r="K426" s="27" t="str">
        <f t="shared" si="2"/>
        <v>DISPONIBLE</v>
      </c>
      <c r="L426" s="28">
        <f t="shared" si="20"/>
        <v>425</v>
      </c>
      <c r="M426" s="28" t="s">
        <v>748</v>
      </c>
      <c r="N426" s="109"/>
      <c r="O426" s="168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4"/>
      <c r="BF426" s="12"/>
      <c r="BG426" s="12"/>
      <c r="BH426" s="12" t="str">
        <f>IFERROR(__xludf.DUMMYFUNCTION("IFERROR(INDEX(QUERY(IMPORTRANGE(""1T7HG8KEs-Ob7f3M5atEVN9Yn7IeORGp0QGvggB62ELw"",""Maestro!A:I""),""SELECT Col8 WHERE Col3 = '""&amp;BE426&amp;""'"", 0), 1, 1),""NO ENCONTRADO"")"),"")</f>
        <v/>
      </c>
      <c r="BI426" s="12" t="str">
        <f>IFERROR(__xludf.DUMMYFUNCTION("IFERROR(INDEX(QUERY(IMPORTRANGE(""1T7HG8KEs-Ob7f3M5atEVN9Yn7IeORGp0QGvggB62ELw"",""Maestro!A:I""),""SELECT Col7 WHERE Col3 = '""&amp;BE426&amp;""'"", 0), 1, 1),""NO ENCONTRADO"")"),"")</f>
        <v/>
      </c>
      <c r="BJ426" s="16">
        <f t="shared" si="19"/>
        <v>0</v>
      </c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4"/>
      <c r="BX426" s="14"/>
      <c r="BY426" s="14"/>
      <c r="BZ426" s="14"/>
      <c r="CA426" s="14"/>
      <c r="CB426" s="14"/>
      <c r="CC426" s="14"/>
      <c r="CD426" s="14"/>
      <c r="CE426" s="14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</row>
    <row r="427">
      <c r="A427" s="295" t="s">
        <v>593</v>
      </c>
      <c r="B427" s="296" t="s">
        <v>511</v>
      </c>
      <c r="C427" s="296" t="s">
        <v>44</v>
      </c>
      <c r="D427" s="297" t="str">
        <f t="shared" si="8"/>
        <v>ZEST-9-3</v>
      </c>
      <c r="E427" s="72"/>
      <c r="F427" s="77"/>
      <c r="G427" s="74"/>
      <c r="H427" s="138"/>
      <c r="I427" s="76"/>
      <c r="J427" s="138"/>
      <c r="K427" s="32" t="str">
        <f t="shared" si="2"/>
        <v>DISPONIBLE</v>
      </c>
      <c r="L427" s="33">
        <f t="shared" si="20"/>
        <v>426</v>
      </c>
      <c r="M427" s="33" t="s">
        <v>748</v>
      </c>
      <c r="N427" s="122"/>
      <c r="O427" s="169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4"/>
      <c r="BF427" s="12"/>
      <c r="BG427" s="12"/>
      <c r="BH427" s="12" t="str">
        <f>IFERROR(__xludf.DUMMYFUNCTION("IFERROR(INDEX(QUERY(IMPORTRANGE(""1T7HG8KEs-Ob7f3M5atEVN9Yn7IeORGp0QGvggB62ELw"",""Maestro!A:I""),""SELECT Col8 WHERE Col3 = '""&amp;BE427&amp;""'"", 0), 1, 1),""NO ENCONTRADO"")"),"")</f>
        <v/>
      </c>
      <c r="BI427" s="12" t="str">
        <f>IFERROR(__xludf.DUMMYFUNCTION("IFERROR(INDEX(QUERY(IMPORTRANGE(""1T7HG8KEs-Ob7f3M5atEVN9Yn7IeORGp0QGvggB62ELw"",""Maestro!A:I""),""SELECT Col7 WHERE Col3 = '""&amp;BE427&amp;""'"", 0), 1, 1),""NO ENCONTRADO"")"),"")</f>
        <v/>
      </c>
      <c r="BJ427" s="16">
        <f t="shared" si="19"/>
        <v>0</v>
      </c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4"/>
      <c r="BX427" s="14"/>
      <c r="BY427" s="14"/>
      <c r="BZ427" s="14"/>
      <c r="CA427" s="14"/>
      <c r="CB427" s="14"/>
      <c r="CC427" s="14"/>
      <c r="CD427" s="14"/>
      <c r="CE427" s="14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</row>
    <row r="428">
      <c r="A428" s="295" t="s">
        <v>593</v>
      </c>
      <c r="B428" s="296" t="s">
        <v>511</v>
      </c>
      <c r="C428" s="296" t="s">
        <v>53</v>
      </c>
      <c r="D428" s="297" t="str">
        <f t="shared" si="8"/>
        <v>ZEST-9-4</v>
      </c>
      <c r="E428" s="72"/>
      <c r="F428" s="77"/>
      <c r="G428" s="74"/>
      <c r="H428" s="138"/>
      <c r="I428" s="76"/>
      <c r="J428" s="138"/>
      <c r="K428" s="27" t="str">
        <f t="shared" si="2"/>
        <v>DISPONIBLE</v>
      </c>
      <c r="L428" s="28">
        <f t="shared" si="20"/>
        <v>427</v>
      </c>
      <c r="M428" s="28" t="s">
        <v>748</v>
      </c>
      <c r="N428" s="109"/>
      <c r="O428" s="168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4"/>
      <c r="BF428" s="12"/>
      <c r="BG428" s="12"/>
      <c r="BH428" s="12" t="str">
        <f>IFERROR(__xludf.DUMMYFUNCTION("IFERROR(INDEX(QUERY(IMPORTRANGE(""1T7HG8KEs-Ob7f3M5atEVN9Yn7IeORGp0QGvggB62ELw"",""Maestro!A:I""),""SELECT Col8 WHERE Col3 = '""&amp;BE428&amp;""'"", 0), 1, 1),""NO ENCONTRADO"")"),"")</f>
        <v/>
      </c>
      <c r="BI428" s="12" t="str">
        <f>IFERROR(__xludf.DUMMYFUNCTION("IFERROR(INDEX(QUERY(IMPORTRANGE(""1T7HG8KEs-Ob7f3M5atEVN9Yn7IeORGp0QGvggB62ELw"",""Maestro!A:I""),""SELECT Col7 WHERE Col3 = '""&amp;BE428&amp;""'"", 0), 1, 1),""NO ENCONTRADO"")"),"")</f>
        <v/>
      </c>
      <c r="BJ428" s="16">
        <f t="shared" si="19"/>
        <v>0</v>
      </c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4"/>
      <c r="BX428" s="14"/>
      <c r="BY428" s="14"/>
      <c r="BZ428" s="14"/>
      <c r="CA428" s="14"/>
      <c r="CB428" s="14"/>
      <c r="CC428" s="14"/>
      <c r="CD428" s="14"/>
      <c r="CE428" s="14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</row>
    <row r="429">
      <c r="A429" s="295" t="s">
        <v>593</v>
      </c>
      <c r="B429" s="296" t="s">
        <v>511</v>
      </c>
      <c r="C429" s="296" t="s">
        <v>25</v>
      </c>
      <c r="D429" s="297" t="str">
        <f t="shared" si="8"/>
        <v>ZEST-9-5</v>
      </c>
      <c r="E429" s="72"/>
      <c r="F429" s="77"/>
      <c r="G429" s="74"/>
      <c r="H429" s="138"/>
      <c r="I429" s="76"/>
      <c r="J429" s="138"/>
      <c r="K429" s="32" t="str">
        <f t="shared" si="2"/>
        <v>DISPONIBLE</v>
      </c>
      <c r="L429" s="33">
        <f t="shared" si="20"/>
        <v>428</v>
      </c>
      <c r="M429" s="33" t="s">
        <v>748</v>
      </c>
      <c r="N429" s="122"/>
      <c r="O429" s="169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4"/>
      <c r="BF429" s="12"/>
      <c r="BG429" s="12"/>
      <c r="BH429" s="12" t="str">
        <f>IFERROR(__xludf.DUMMYFUNCTION("IFERROR(INDEX(QUERY(IMPORTRANGE(""1T7HG8KEs-Ob7f3M5atEVN9Yn7IeORGp0QGvggB62ELw"",""Maestro!A:I""),""SELECT Col8 WHERE Col3 = '""&amp;BE429&amp;""'"", 0), 1, 1),""NO ENCONTRADO"")"),"")</f>
        <v/>
      </c>
      <c r="BI429" s="12" t="str">
        <f>IFERROR(__xludf.DUMMYFUNCTION("IFERROR(INDEX(QUERY(IMPORTRANGE(""1T7HG8KEs-Ob7f3M5atEVN9Yn7IeORGp0QGvggB62ELw"",""Maestro!A:I""),""SELECT Col7 WHERE Col3 = '""&amp;BE429&amp;""'"", 0), 1, 1),""NO ENCONTRADO"")"),"")</f>
        <v/>
      </c>
      <c r="BJ429" s="16">
        <f t="shared" si="19"/>
        <v>0</v>
      </c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4"/>
      <c r="BX429" s="14"/>
      <c r="BY429" s="14"/>
      <c r="BZ429" s="14"/>
      <c r="CA429" s="14"/>
      <c r="CB429" s="14"/>
      <c r="CC429" s="14"/>
      <c r="CD429" s="14"/>
      <c r="CE429" s="14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</row>
    <row r="430">
      <c r="A430" s="295" t="s">
        <v>593</v>
      </c>
      <c r="B430" s="296" t="s">
        <v>511</v>
      </c>
      <c r="C430" s="296" t="s">
        <v>36</v>
      </c>
      <c r="D430" s="297" t="str">
        <f t="shared" si="8"/>
        <v>ZEST-9-6</v>
      </c>
      <c r="E430" s="72"/>
      <c r="F430" s="77"/>
      <c r="G430" s="74"/>
      <c r="H430" s="138"/>
      <c r="I430" s="76"/>
      <c r="J430" s="138"/>
      <c r="K430" s="27" t="str">
        <f t="shared" si="2"/>
        <v>DISPONIBLE</v>
      </c>
      <c r="L430" s="28">
        <f t="shared" si="20"/>
        <v>429</v>
      </c>
      <c r="M430" s="28" t="s">
        <v>748</v>
      </c>
      <c r="N430" s="109"/>
      <c r="O430" s="168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4"/>
      <c r="BF430" s="12"/>
      <c r="BG430" s="12"/>
      <c r="BH430" s="12" t="str">
        <f>IFERROR(__xludf.DUMMYFUNCTION("IFERROR(INDEX(QUERY(IMPORTRANGE(""1T7HG8KEs-Ob7f3M5atEVN9Yn7IeORGp0QGvggB62ELw"",""Maestro!A:I""),""SELECT Col8 WHERE Col3 = '""&amp;BE430&amp;""'"", 0), 1, 1),""NO ENCONTRADO"")"),"")</f>
        <v/>
      </c>
      <c r="BI430" s="12" t="str">
        <f>IFERROR(__xludf.DUMMYFUNCTION("IFERROR(INDEX(QUERY(IMPORTRANGE(""1T7HG8KEs-Ob7f3M5atEVN9Yn7IeORGp0QGvggB62ELw"",""Maestro!A:I""),""SELECT Col7 WHERE Col3 = '""&amp;BE430&amp;""'"", 0), 1, 1),""NO ENCONTRADO"")"),"")</f>
        <v/>
      </c>
      <c r="BJ430" s="16">
        <f t="shared" si="19"/>
        <v>0</v>
      </c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4"/>
      <c r="BX430" s="14"/>
      <c r="BY430" s="14"/>
      <c r="BZ430" s="14"/>
      <c r="CA430" s="14"/>
      <c r="CB430" s="14"/>
      <c r="CC430" s="14"/>
      <c r="CD430" s="14"/>
      <c r="CE430" s="14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</row>
    <row r="431">
      <c r="A431" s="295" t="s">
        <v>593</v>
      </c>
      <c r="B431" s="296" t="s">
        <v>511</v>
      </c>
      <c r="C431" s="296" t="s">
        <v>48</v>
      </c>
      <c r="D431" s="297" t="str">
        <f t="shared" si="8"/>
        <v>ZEST-9-7</v>
      </c>
      <c r="E431" s="72"/>
      <c r="F431" s="77"/>
      <c r="G431" s="74"/>
      <c r="H431" s="75"/>
      <c r="I431" s="76"/>
      <c r="J431" s="75"/>
      <c r="K431" s="32" t="str">
        <f t="shared" si="2"/>
        <v>DISPONIBLE</v>
      </c>
      <c r="L431" s="33">
        <f t="shared" si="20"/>
        <v>430</v>
      </c>
      <c r="M431" s="33" t="s">
        <v>748</v>
      </c>
      <c r="N431" s="122"/>
      <c r="O431" s="169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4"/>
      <c r="BF431" s="12"/>
      <c r="BG431" s="12"/>
      <c r="BH431" s="12" t="str">
        <f>IFERROR(__xludf.DUMMYFUNCTION("IFERROR(INDEX(QUERY(IMPORTRANGE(""1T7HG8KEs-Ob7f3M5atEVN9Yn7IeORGp0QGvggB62ELw"",""Maestro!A:I""),""SELECT Col8 WHERE Col3 = '""&amp;BE431&amp;""'"", 0), 1, 1),""NO ENCONTRADO"")"),"")</f>
        <v/>
      </c>
      <c r="BI431" s="12" t="str">
        <f>IFERROR(__xludf.DUMMYFUNCTION("IFERROR(INDEX(QUERY(IMPORTRANGE(""1T7HG8KEs-Ob7f3M5atEVN9Yn7IeORGp0QGvggB62ELw"",""Maestro!A:I""),""SELECT Col7 WHERE Col3 = '""&amp;BE431&amp;""'"", 0), 1, 1),""NO ENCONTRADO"")"),"")</f>
        <v/>
      </c>
      <c r="BJ431" s="16">
        <f t="shared" si="19"/>
        <v>0</v>
      </c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4"/>
      <c r="BX431" s="14"/>
      <c r="BY431" s="14"/>
      <c r="BZ431" s="14"/>
      <c r="CA431" s="14"/>
      <c r="CB431" s="14"/>
      <c r="CC431" s="14"/>
      <c r="CD431" s="14"/>
      <c r="CE431" s="14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</row>
    <row r="432">
      <c r="A432" s="295" t="s">
        <v>593</v>
      </c>
      <c r="B432" s="296" t="s">
        <v>296</v>
      </c>
      <c r="C432" s="296" t="s">
        <v>18</v>
      </c>
      <c r="D432" s="297" t="str">
        <f t="shared" si="8"/>
        <v>ZEST-10-1</v>
      </c>
      <c r="E432" s="72"/>
      <c r="F432" s="77"/>
      <c r="G432" s="74"/>
      <c r="H432" s="138"/>
      <c r="I432" s="76"/>
      <c r="J432" s="138"/>
      <c r="K432" s="27" t="str">
        <f t="shared" si="2"/>
        <v>DISPONIBLE</v>
      </c>
      <c r="L432" s="28">
        <f t="shared" si="20"/>
        <v>431</v>
      </c>
      <c r="M432" s="28" t="s">
        <v>748</v>
      </c>
      <c r="N432" s="109"/>
      <c r="O432" s="168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4"/>
      <c r="BF432" s="12"/>
      <c r="BG432" s="12"/>
      <c r="BH432" s="12" t="str">
        <f>IFERROR(__xludf.DUMMYFUNCTION("IFERROR(INDEX(QUERY(IMPORTRANGE(""1T7HG8KEs-Ob7f3M5atEVN9Yn7IeORGp0QGvggB62ELw"",""Maestro!A:I""),""SELECT Col8 WHERE Col3 = '""&amp;BE432&amp;""'"", 0), 1, 1),""NO ENCONTRADO"")"),"")</f>
        <v/>
      </c>
      <c r="BI432" s="12" t="str">
        <f>IFERROR(__xludf.DUMMYFUNCTION("IFERROR(INDEX(QUERY(IMPORTRANGE(""1T7HG8KEs-Ob7f3M5atEVN9Yn7IeORGp0QGvggB62ELw"",""Maestro!A:I""),""SELECT Col7 WHERE Col3 = '""&amp;BE432&amp;""'"", 0), 1, 1),""NO ENCONTRADO"")"),"")</f>
        <v/>
      </c>
      <c r="BJ432" s="16">
        <f t="shared" si="19"/>
        <v>0</v>
      </c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4"/>
      <c r="BX432" s="14"/>
      <c r="BY432" s="14"/>
      <c r="BZ432" s="14"/>
      <c r="CA432" s="14"/>
      <c r="CB432" s="14"/>
      <c r="CC432" s="14"/>
      <c r="CD432" s="14"/>
      <c r="CE432" s="14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</row>
    <row r="433">
      <c r="A433" s="295" t="s">
        <v>593</v>
      </c>
      <c r="B433" s="296" t="s">
        <v>296</v>
      </c>
      <c r="C433" s="296" t="s">
        <v>32</v>
      </c>
      <c r="D433" s="297" t="str">
        <f t="shared" si="8"/>
        <v>ZEST-10-2</v>
      </c>
      <c r="E433" s="72"/>
      <c r="F433" s="77"/>
      <c r="G433" s="74"/>
      <c r="H433" s="138"/>
      <c r="I433" s="76"/>
      <c r="J433" s="138"/>
      <c r="K433" s="32" t="str">
        <f t="shared" si="2"/>
        <v>DISPONIBLE</v>
      </c>
      <c r="L433" s="33">
        <f t="shared" si="20"/>
        <v>432</v>
      </c>
      <c r="M433" s="33" t="s">
        <v>748</v>
      </c>
      <c r="N433" s="122"/>
      <c r="O433" s="169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4"/>
      <c r="BF433" s="12"/>
      <c r="BG433" s="12"/>
      <c r="BH433" s="12" t="str">
        <f>IFERROR(__xludf.DUMMYFUNCTION("IFERROR(INDEX(QUERY(IMPORTRANGE(""1T7HG8KEs-Ob7f3M5atEVN9Yn7IeORGp0QGvggB62ELw"",""Maestro!A:I""),""SELECT Col8 WHERE Col3 = '""&amp;BE433&amp;""'"", 0), 1, 1),""NO ENCONTRADO"")"),"")</f>
        <v/>
      </c>
      <c r="BI433" s="12" t="str">
        <f>IFERROR(__xludf.DUMMYFUNCTION("IFERROR(INDEX(QUERY(IMPORTRANGE(""1T7HG8KEs-Ob7f3M5atEVN9Yn7IeORGp0QGvggB62ELw"",""Maestro!A:I""),""SELECT Col7 WHERE Col3 = '""&amp;BE433&amp;""'"", 0), 1, 1),""NO ENCONTRADO"")"),"")</f>
        <v/>
      </c>
      <c r="BJ433" s="16">
        <f t="shared" si="19"/>
        <v>0</v>
      </c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4"/>
      <c r="BX433" s="14"/>
      <c r="BY433" s="14"/>
      <c r="BZ433" s="14"/>
      <c r="CA433" s="14"/>
      <c r="CB433" s="14"/>
      <c r="CC433" s="14"/>
      <c r="CD433" s="14"/>
      <c r="CE433" s="14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</row>
    <row r="434">
      <c r="A434" s="295" t="s">
        <v>593</v>
      </c>
      <c r="B434" s="296" t="s">
        <v>296</v>
      </c>
      <c r="C434" s="296" t="s">
        <v>44</v>
      </c>
      <c r="D434" s="297" t="str">
        <f t="shared" si="8"/>
        <v>ZEST-10-3</v>
      </c>
      <c r="E434" s="72"/>
      <c r="F434" s="77"/>
      <c r="G434" s="74"/>
      <c r="H434" s="138"/>
      <c r="I434" s="76"/>
      <c r="J434" s="138"/>
      <c r="K434" s="27" t="str">
        <f t="shared" si="2"/>
        <v>DISPONIBLE</v>
      </c>
      <c r="L434" s="28">
        <f t="shared" si="20"/>
        <v>433</v>
      </c>
      <c r="M434" s="28" t="s">
        <v>748</v>
      </c>
      <c r="N434" s="109"/>
      <c r="O434" s="168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4"/>
      <c r="BF434" s="12"/>
      <c r="BG434" s="12"/>
      <c r="BH434" s="12" t="str">
        <f>IFERROR(__xludf.DUMMYFUNCTION("IFERROR(INDEX(QUERY(IMPORTRANGE(""1T7HG8KEs-Ob7f3M5atEVN9Yn7IeORGp0QGvggB62ELw"",""Maestro!A:I""),""SELECT Col8 WHERE Col3 = '""&amp;BE434&amp;""'"", 0), 1, 1),""NO ENCONTRADO"")"),"")</f>
        <v/>
      </c>
      <c r="BI434" s="12" t="str">
        <f>IFERROR(__xludf.DUMMYFUNCTION("IFERROR(INDEX(QUERY(IMPORTRANGE(""1T7HG8KEs-Ob7f3M5atEVN9Yn7IeORGp0QGvggB62ELw"",""Maestro!A:I""),""SELECT Col7 WHERE Col3 = '""&amp;BE434&amp;""'"", 0), 1, 1),""NO ENCONTRADO"")"),"")</f>
        <v/>
      </c>
      <c r="BJ434" s="16">
        <f t="shared" si="19"/>
        <v>0</v>
      </c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4"/>
      <c r="BX434" s="14"/>
      <c r="BY434" s="14"/>
      <c r="BZ434" s="14"/>
      <c r="CA434" s="14"/>
      <c r="CB434" s="14"/>
      <c r="CC434" s="14"/>
      <c r="CD434" s="14"/>
      <c r="CE434" s="14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</row>
    <row r="435">
      <c r="A435" s="295" t="s">
        <v>593</v>
      </c>
      <c r="B435" s="296" t="s">
        <v>296</v>
      </c>
      <c r="C435" s="296" t="s">
        <v>53</v>
      </c>
      <c r="D435" s="297" t="str">
        <f t="shared" si="8"/>
        <v>ZEST-10-4</v>
      </c>
      <c r="E435" s="72"/>
      <c r="F435" s="77"/>
      <c r="G435" s="74"/>
      <c r="H435" s="138"/>
      <c r="I435" s="76"/>
      <c r="J435" s="138"/>
      <c r="K435" s="32" t="str">
        <f t="shared" si="2"/>
        <v>DISPONIBLE</v>
      </c>
      <c r="L435" s="33">
        <f t="shared" si="20"/>
        <v>434</v>
      </c>
      <c r="M435" s="33" t="s">
        <v>748</v>
      </c>
      <c r="N435" s="122"/>
      <c r="O435" s="169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4"/>
      <c r="BF435" s="12"/>
      <c r="BG435" s="12"/>
      <c r="BH435" s="12" t="str">
        <f>IFERROR(__xludf.DUMMYFUNCTION("IFERROR(INDEX(QUERY(IMPORTRANGE(""1T7HG8KEs-Ob7f3M5atEVN9Yn7IeORGp0QGvggB62ELw"",""Maestro!A:I""),""SELECT Col8 WHERE Col3 = '""&amp;BE435&amp;""'"", 0), 1, 1),""NO ENCONTRADO"")"),"")</f>
        <v/>
      </c>
      <c r="BI435" s="12" t="str">
        <f>IFERROR(__xludf.DUMMYFUNCTION("IFERROR(INDEX(QUERY(IMPORTRANGE(""1T7HG8KEs-Ob7f3M5atEVN9Yn7IeORGp0QGvggB62ELw"",""Maestro!A:I""),""SELECT Col7 WHERE Col3 = '""&amp;BE435&amp;""'"", 0), 1, 1),""NO ENCONTRADO"")"),"")</f>
        <v/>
      </c>
      <c r="BJ435" s="16">
        <f t="shared" si="19"/>
        <v>0</v>
      </c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4"/>
      <c r="BX435" s="14"/>
      <c r="BY435" s="14"/>
      <c r="BZ435" s="14"/>
      <c r="CA435" s="14"/>
      <c r="CB435" s="14"/>
      <c r="CC435" s="14"/>
      <c r="CD435" s="14"/>
      <c r="CE435" s="14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</row>
    <row r="436">
      <c r="A436" s="295" t="s">
        <v>593</v>
      </c>
      <c r="B436" s="296" t="s">
        <v>296</v>
      </c>
      <c r="C436" s="296" t="s">
        <v>25</v>
      </c>
      <c r="D436" s="297" t="str">
        <f t="shared" si="8"/>
        <v>ZEST-10-5</v>
      </c>
      <c r="E436" s="72"/>
      <c r="F436" s="77"/>
      <c r="G436" s="74"/>
      <c r="H436" s="138"/>
      <c r="I436" s="76"/>
      <c r="J436" s="138"/>
      <c r="K436" s="27" t="str">
        <f t="shared" si="2"/>
        <v>DISPONIBLE</v>
      </c>
      <c r="L436" s="28">
        <f t="shared" si="20"/>
        <v>435</v>
      </c>
      <c r="M436" s="28" t="s">
        <v>748</v>
      </c>
      <c r="N436" s="109"/>
      <c r="O436" s="168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4"/>
      <c r="BF436" s="12"/>
      <c r="BG436" s="12"/>
      <c r="BH436" s="12" t="str">
        <f>IFERROR(__xludf.DUMMYFUNCTION("IFERROR(INDEX(QUERY(IMPORTRANGE(""1T7HG8KEs-Ob7f3M5atEVN9Yn7IeORGp0QGvggB62ELw"",""Maestro!A:I""),""SELECT Col8 WHERE Col3 = '""&amp;BE436&amp;""'"", 0), 1, 1),""NO ENCONTRADO"")"),"")</f>
        <v/>
      </c>
      <c r="BI436" s="12" t="str">
        <f>IFERROR(__xludf.DUMMYFUNCTION("IFERROR(INDEX(QUERY(IMPORTRANGE(""1T7HG8KEs-Ob7f3M5atEVN9Yn7IeORGp0QGvggB62ELw"",""Maestro!A:I""),""SELECT Col7 WHERE Col3 = '""&amp;BE436&amp;""'"", 0), 1, 1),""NO ENCONTRADO"")"),"")</f>
        <v/>
      </c>
      <c r="BJ436" s="16">
        <f t="shared" si="19"/>
        <v>0</v>
      </c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4"/>
      <c r="BX436" s="14"/>
      <c r="BY436" s="14"/>
      <c r="BZ436" s="14"/>
      <c r="CA436" s="14"/>
      <c r="CB436" s="14"/>
      <c r="CC436" s="14"/>
      <c r="CD436" s="14"/>
      <c r="CE436" s="14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</row>
    <row r="437">
      <c r="A437" s="295" t="s">
        <v>593</v>
      </c>
      <c r="B437" s="296" t="s">
        <v>296</v>
      </c>
      <c r="C437" s="296" t="s">
        <v>36</v>
      </c>
      <c r="D437" s="297" t="str">
        <f t="shared" si="8"/>
        <v>ZEST-10-6</v>
      </c>
      <c r="E437" s="72"/>
      <c r="F437" s="77"/>
      <c r="G437" s="74"/>
      <c r="H437" s="138"/>
      <c r="I437" s="76"/>
      <c r="J437" s="138"/>
      <c r="K437" s="32" t="str">
        <f t="shared" si="2"/>
        <v>DISPONIBLE</v>
      </c>
      <c r="L437" s="33">
        <f t="shared" si="20"/>
        <v>436</v>
      </c>
      <c r="M437" s="33" t="s">
        <v>748</v>
      </c>
      <c r="N437" s="122"/>
      <c r="O437" s="169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4"/>
      <c r="BF437" s="12"/>
      <c r="BG437" s="12"/>
      <c r="BH437" s="12" t="str">
        <f>IFERROR(__xludf.DUMMYFUNCTION("IFERROR(INDEX(QUERY(IMPORTRANGE(""1T7HG8KEs-Ob7f3M5atEVN9Yn7IeORGp0QGvggB62ELw"",""Maestro!A:I""),""SELECT Col8 WHERE Col3 = '""&amp;BE437&amp;""'"", 0), 1, 1),""NO ENCONTRADO"")"),"")</f>
        <v/>
      </c>
      <c r="BI437" s="12" t="str">
        <f>IFERROR(__xludf.DUMMYFUNCTION("IFERROR(INDEX(QUERY(IMPORTRANGE(""1T7HG8KEs-Ob7f3M5atEVN9Yn7IeORGp0QGvggB62ELw"",""Maestro!A:I""),""SELECT Col7 WHERE Col3 = '""&amp;BE437&amp;""'"", 0), 1, 1),""NO ENCONTRADO"")"),"")</f>
        <v/>
      </c>
      <c r="BJ437" s="16">
        <f t="shared" si="19"/>
        <v>0</v>
      </c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4"/>
      <c r="BX437" s="14"/>
      <c r="BY437" s="14"/>
      <c r="BZ437" s="14"/>
      <c r="CA437" s="14"/>
      <c r="CB437" s="14"/>
      <c r="CC437" s="14"/>
      <c r="CD437" s="14"/>
      <c r="CE437" s="14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</row>
    <row r="438">
      <c r="A438" s="298" t="s">
        <v>593</v>
      </c>
      <c r="B438" s="299" t="s">
        <v>296</v>
      </c>
      <c r="C438" s="299" t="s">
        <v>48</v>
      </c>
      <c r="D438" s="300" t="str">
        <f t="shared" si="8"/>
        <v>ZEST-10-7</v>
      </c>
      <c r="E438" s="301"/>
      <c r="F438" s="302"/>
      <c r="G438" s="303"/>
      <c r="H438" s="304"/>
      <c r="I438" s="305"/>
      <c r="J438" s="304"/>
      <c r="K438" s="306" t="str">
        <f t="shared" si="2"/>
        <v>DISPONIBLE</v>
      </c>
      <c r="L438" s="64">
        <f t="shared" si="20"/>
        <v>437</v>
      </c>
      <c r="M438" s="64" t="s">
        <v>748</v>
      </c>
      <c r="N438" s="294"/>
      <c r="O438" s="286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4"/>
      <c r="BF438" s="12"/>
      <c r="BG438" s="12"/>
      <c r="BH438" s="12" t="str">
        <f>IFERROR(__xludf.DUMMYFUNCTION("IFERROR(INDEX(QUERY(IMPORTRANGE(""1T7HG8KEs-Ob7f3M5atEVN9Yn7IeORGp0QGvggB62ELw"",""Maestro!A:I""),""SELECT Col8 WHERE Col3 = '""&amp;BE438&amp;""'"", 0), 1, 1),""NO ENCONTRADO"")"),"")</f>
        <v/>
      </c>
      <c r="BI438" s="12" t="str">
        <f>IFERROR(__xludf.DUMMYFUNCTION("IFERROR(INDEX(QUERY(IMPORTRANGE(""1T7HG8KEs-Ob7f3M5atEVN9Yn7IeORGp0QGvggB62ELw"",""Maestro!A:I""),""SELECT Col7 WHERE Col3 = '""&amp;BE438&amp;""'"", 0), 1, 1),""NO ENCONTRADO"")"),"")</f>
        <v/>
      </c>
      <c r="BJ438" s="16">
        <f t="shared" si="19"/>
        <v>0</v>
      </c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4"/>
      <c r="BX438" s="14"/>
      <c r="BY438" s="14"/>
      <c r="BZ438" s="14"/>
      <c r="CA438" s="14"/>
      <c r="CB438" s="14"/>
      <c r="CC438" s="14"/>
      <c r="CD438" s="14"/>
      <c r="CE438" s="14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</row>
    <row r="439">
      <c r="A439" s="12"/>
      <c r="B439" s="14"/>
      <c r="C439" s="14"/>
      <c r="D439" s="14"/>
      <c r="E439" s="12"/>
      <c r="F439" s="307"/>
      <c r="G439" s="307"/>
      <c r="H439" s="12"/>
      <c r="I439" s="30"/>
      <c r="J439" s="12"/>
      <c r="K439" s="12"/>
      <c r="L439" s="12"/>
      <c r="M439" s="12"/>
      <c r="N439" s="12"/>
      <c r="O439" s="308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4"/>
      <c r="BF439" s="12"/>
      <c r="BG439" s="12"/>
      <c r="BH439" s="12" t="str">
        <f>IFERROR(__xludf.DUMMYFUNCTION("IFERROR(INDEX(QUERY(IMPORTRANGE(""1T7HG8KEs-Ob7f3M5atEVN9Yn7IeORGp0QGvggB62ELw"",""Maestro!A:I""),""SELECT Col8 WHERE Col3 = '""&amp;BE439&amp;""'"", 0), 1, 1),""NO ENCONTRADO"")"),"")</f>
        <v/>
      </c>
      <c r="BI439" s="12" t="str">
        <f>IFERROR(__xludf.DUMMYFUNCTION("IFERROR(INDEX(QUERY(IMPORTRANGE(""1T7HG8KEs-Ob7f3M5atEVN9Yn7IeORGp0QGvggB62ELw"",""Maestro!A:I""),""SELECT Col7 WHERE Col3 = '""&amp;BE439&amp;""'"", 0), 1, 1),""NO ENCONTRADO"")"),"")</f>
        <v/>
      </c>
      <c r="BJ439" s="16">
        <f t="shared" si="19"/>
        <v>0</v>
      </c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4"/>
      <c r="BX439" s="14"/>
      <c r="BY439" s="14"/>
      <c r="BZ439" s="14"/>
      <c r="CA439" s="14"/>
      <c r="CB439" s="14"/>
      <c r="CC439" s="14"/>
      <c r="CD439" s="14"/>
      <c r="CE439" s="14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</row>
    <row r="440">
      <c r="A440" s="12"/>
      <c r="B440" s="14"/>
      <c r="C440" s="14"/>
      <c r="D440" s="14"/>
      <c r="E440" s="12"/>
      <c r="F440" s="307"/>
      <c r="G440" s="307"/>
      <c r="H440" s="12"/>
      <c r="I440" s="30"/>
      <c r="J440" s="12"/>
      <c r="K440" s="12"/>
      <c r="L440" s="12"/>
      <c r="M440" s="12"/>
      <c r="N440" s="12"/>
      <c r="O440" s="308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4"/>
      <c r="BF440" s="12"/>
      <c r="BG440" s="12"/>
      <c r="BH440" s="12" t="str">
        <f>IFERROR(__xludf.DUMMYFUNCTION("IFERROR(INDEX(QUERY(IMPORTRANGE(""1T7HG8KEs-Ob7f3M5atEVN9Yn7IeORGp0QGvggB62ELw"",""Maestro!A:I""),""SELECT Col8 WHERE Col3 = '""&amp;BE440&amp;""'"", 0), 1, 1),""NO ENCONTRADO"")"),"")</f>
        <v/>
      </c>
      <c r="BI440" s="12" t="str">
        <f>IFERROR(__xludf.DUMMYFUNCTION("IFERROR(INDEX(QUERY(IMPORTRANGE(""1T7HG8KEs-Ob7f3M5atEVN9Yn7IeORGp0QGvggB62ELw"",""Maestro!A:I""),""SELECT Col7 WHERE Col3 = '""&amp;BE440&amp;""'"", 0), 1, 1),""NO ENCONTRADO"")"),"")</f>
        <v/>
      </c>
      <c r="BJ440" s="16">
        <f t="shared" si="19"/>
        <v>0</v>
      </c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4"/>
      <c r="BX440" s="14"/>
      <c r="BY440" s="14"/>
      <c r="BZ440" s="14"/>
      <c r="CA440" s="14"/>
      <c r="CB440" s="14"/>
      <c r="CC440" s="14"/>
      <c r="CD440" s="14"/>
      <c r="CE440" s="14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</row>
    <row r="441">
      <c r="A441" s="12"/>
      <c r="B441" s="14"/>
      <c r="C441" s="14"/>
      <c r="D441" s="14"/>
      <c r="E441" s="12"/>
      <c r="F441" s="307"/>
      <c r="G441" s="307"/>
      <c r="H441" s="12"/>
      <c r="I441" s="30"/>
      <c r="J441" s="12"/>
      <c r="K441" s="12"/>
      <c r="L441" s="12"/>
      <c r="M441" s="12"/>
      <c r="N441" s="12"/>
      <c r="O441" s="308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4"/>
      <c r="BF441" s="12"/>
      <c r="BG441" s="12"/>
      <c r="BH441" s="12" t="str">
        <f>IFERROR(__xludf.DUMMYFUNCTION("IFERROR(INDEX(QUERY(IMPORTRANGE(""1T7HG8KEs-Ob7f3M5atEVN9Yn7IeORGp0QGvggB62ELw"",""Maestro!A:I""),""SELECT Col8 WHERE Col3 = '""&amp;BE441&amp;""'"", 0), 1, 1),""NO ENCONTRADO"")"),"")</f>
        <v/>
      </c>
      <c r="BI441" s="12" t="str">
        <f>IFERROR(__xludf.DUMMYFUNCTION("IFERROR(INDEX(QUERY(IMPORTRANGE(""1T7HG8KEs-Ob7f3M5atEVN9Yn7IeORGp0QGvggB62ELw"",""Maestro!A:I""),""SELECT Col7 WHERE Col3 = '""&amp;BE441&amp;""'"", 0), 1, 1),""NO ENCONTRADO"")"),"")</f>
        <v/>
      </c>
      <c r="BJ441" s="16">
        <f t="shared" si="19"/>
        <v>0</v>
      </c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4"/>
      <c r="BX441" s="14"/>
      <c r="BY441" s="14"/>
      <c r="BZ441" s="14"/>
      <c r="CA441" s="14"/>
      <c r="CB441" s="14"/>
      <c r="CC441" s="14"/>
      <c r="CD441" s="14"/>
      <c r="CE441" s="14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</row>
    <row r="442">
      <c r="A442" s="12"/>
      <c r="B442" s="14"/>
      <c r="C442" s="14"/>
      <c r="D442" s="14"/>
      <c r="E442" s="12"/>
      <c r="F442" s="307"/>
      <c r="G442" s="307"/>
      <c r="H442" s="12"/>
      <c r="I442" s="30"/>
      <c r="J442" s="12"/>
      <c r="K442" s="12"/>
      <c r="L442" s="12"/>
      <c r="M442" s="12"/>
      <c r="N442" s="12"/>
      <c r="O442" s="308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4"/>
      <c r="BF442" s="12"/>
      <c r="BG442" s="12"/>
      <c r="BH442" s="12" t="str">
        <f>IFERROR(__xludf.DUMMYFUNCTION("IFERROR(INDEX(QUERY(IMPORTRANGE(""1T7HG8KEs-Ob7f3M5atEVN9Yn7IeORGp0QGvggB62ELw"",""Maestro!A:I""),""SELECT Col8 WHERE Col3 = '""&amp;BE442&amp;""'"", 0), 1, 1),""NO ENCONTRADO"")"),"")</f>
        <v/>
      </c>
      <c r="BI442" s="12" t="str">
        <f>IFERROR(__xludf.DUMMYFUNCTION("IFERROR(INDEX(QUERY(IMPORTRANGE(""1T7HG8KEs-Ob7f3M5atEVN9Yn7IeORGp0QGvggB62ELw"",""Maestro!A:I""),""SELECT Col7 WHERE Col3 = '""&amp;BE442&amp;""'"", 0), 1, 1),""NO ENCONTRADO"")"),"")</f>
        <v/>
      </c>
      <c r="BJ442" s="16">
        <f t="shared" si="19"/>
        <v>0</v>
      </c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4"/>
      <c r="BX442" s="14"/>
      <c r="BY442" s="14"/>
      <c r="BZ442" s="14"/>
      <c r="CA442" s="14"/>
      <c r="CB442" s="14"/>
      <c r="CC442" s="14"/>
      <c r="CD442" s="14"/>
      <c r="CE442" s="14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</row>
    <row r="443">
      <c r="A443" s="12"/>
      <c r="B443" s="14"/>
      <c r="C443" s="14"/>
      <c r="D443" s="14"/>
      <c r="E443" s="12"/>
      <c r="F443" s="307"/>
      <c r="G443" s="307"/>
      <c r="H443" s="12"/>
      <c r="I443" s="30"/>
      <c r="J443" s="12"/>
      <c r="K443" s="12"/>
      <c r="L443" s="12"/>
      <c r="M443" s="12"/>
      <c r="N443" s="12"/>
      <c r="O443" s="308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4"/>
      <c r="BF443" s="12"/>
      <c r="BG443" s="12"/>
      <c r="BH443" s="12" t="str">
        <f>IFERROR(__xludf.DUMMYFUNCTION("IFERROR(INDEX(QUERY(IMPORTRANGE(""1T7HG8KEs-Ob7f3M5atEVN9Yn7IeORGp0QGvggB62ELw"",""Maestro!A:I""),""SELECT Col8 WHERE Col3 = '""&amp;BE443&amp;""'"", 0), 1, 1),""NO ENCONTRADO"")"),"")</f>
        <v/>
      </c>
      <c r="BI443" s="12" t="str">
        <f>IFERROR(__xludf.DUMMYFUNCTION("IFERROR(INDEX(QUERY(IMPORTRANGE(""1T7HG8KEs-Ob7f3M5atEVN9Yn7IeORGp0QGvggB62ELw"",""Maestro!A:I""),""SELECT Col7 WHERE Col3 = '""&amp;BE443&amp;""'"", 0), 1, 1),""NO ENCONTRADO"")"),"")</f>
        <v/>
      </c>
      <c r="BJ443" s="16">
        <f t="shared" si="19"/>
        <v>0</v>
      </c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4"/>
      <c r="BX443" s="14"/>
      <c r="BY443" s="14"/>
      <c r="BZ443" s="14"/>
      <c r="CA443" s="14"/>
      <c r="CB443" s="14"/>
      <c r="CC443" s="14"/>
      <c r="CD443" s="14"/>
      <c r="CE443" s="14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</row>
    <row r="444">
      <c r="A444" s="12"/>
      <c r="B444" s="14"/>
      <c r="C444" s="14"/>
      <c r="D444" s="14"/>
      <c r="E444" s="12"/>
      <c r="F444" s="307"/>
      <c r="G444" s="307"/>
      <c r="H444" s="12"/>
      <c r="I444" s="30"/>
      <c r="J444" s="12"/>
      <c r="K444" s="12"/>
      <c r="L444" s="12"/>
      <c r="M444" s="12"/>
      <c r="N444" s="12"/>
      <c r="O444" s="308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4"/>
      <c r="BF444" s="12"/>
      <c r="BG444" s="12"/>
      <c r="BH444" s="12" t="str">
        <f>IFERROR(__xludf.DUMMYFUNCTION("IFERROR(INDEX(QUERY(IMPORTRANGE(""1T7HG8KEs-Ob7f3M5atEVN9Yn7IeORGp0QGvggB62ELw"",""Maestro!A:I""),""SELECT Col8 WHERE Col3 = '""&amp;BE444&amp;""'"", 0), 1, 1),""NO ENCONTRADO"")"),"")</f>
        <v/>
      </c>
      <c r="BI444" s="12" t="str">
        <f>IFERROR(__xludf.DUMMYFUNCTION("IFERROR(INDEX(QUERY(IMPORTRANGE(""1T7HG8KEs-Ob7f3M5atEVN9Yn7IeORGp0QGvggB62ELw"",""Maestro!A:I""),""SELECT Col7 WHERE Col3 = '""&amp;BE444&amp;""'"", 0), 1, 1),""NO ENCONTRADO"")"),"")</f>
        <v/>
      </c>
      <c r="BJ444" s="16">
        <f t="shared" si="19"/>
        <v>0</v>
      </c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4"/>
      <c r="BX444" s="14"/>
      <c r="BY444" s="14"/>
      <c r="BZ444" s="14"/>
      <c r="CA444" s="14"/>
      <c r="CB444" s="14"/>
      <c r="CC444" s="14"/>
      <c r="CD444" s="14"/>
      <c r="CE444" s="14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</row>
    <row r="445">
      <c r="A445" s="12"/>
      <c r="B445" s="14"/>
      <c r="C445" s="14"/>
      <c r="D445" s="14"/>
      <c r="E445" s="12"/>
      <c r="F445" s="307"/>
      <c r="G445" s="307"/>
      <c r="H445" s="12"/>
      <c r="I445" s="30"/>
      <c r="J445" s="12"/>
      <c r="K445" s="12"/>
      <c r="L445" s="12"/>
      <c r="M445" s="12"/>
      <c r="N445" s="12"/>
      <c r="O445" s="308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4"/>
      <c r="BF445" s="12"/>
      <c r="BG445" s="12"/>
      <c r="BH445" s="12" t="str">
        <f>IFERROR(__xludf.DUMMYFUNCTION("IFERROR(INDEX(QUERY(IMPORTRANGE(""1T7HG8KEs-Ob7f3M5atEVN9Yn7IeORGp0QGvggB62ELw"",""Maestro!A:I""),""SELECT Col8 WHERE Col3 = '""&amp;BE445&amp;""'"", 0), 1, 1),""NO ENCONTRADO"")"),"")</f>
        <v/>
      </c>
      <c r="BI445" s="12" t="str">
        <f>IFERROR(__xludf.DUMMYFUNCTION("IFERROR(INDEX(QUERY(IMPORTRANGE(""1T7HG8KEs-Ob7f3M5atEVN9Yn7IeORGp0QGvggB62ELw"",""Maestro!A:I""),""SELECT Col7 WHERE Col3 = '""&amp;BE445&amp;""'"", 0), 1, 1),""NO ENCONTRADO"")"),"")</f>
        <v/>
      </c>
      <c r="BJ445" s="16">
        <f t="shared" si="19"/>
        <v>0</v>
      </c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4"/>
      <c r="BX445" s="14"/>
      <c r="BY445" s="14"/>
      <c r="BZ445" s="14"/>
      <c r="CA445" s="14"/>
      <c r="CB445" s="14"/>
      <c r="CC445" s="14"/>
      <c r="CD445" s="14"/>
      <c r="CE445" s="14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</row>
    <row r="446">
      <c r="A446" s="12"/>
      <c r="B446" s="14"/>
      <c r="C446" s="14"/>
      <c r="D446" s="14"/>
      <c r="E446" s="12"/>
      <c r="F446" s="307"/>
      <c r="G446" s="307"/>
      <c r="H446" s="12"/>
      <c r="I446" s="30"/>
      <c r="J446" s="12"/>
      <c r="K446" s="12"/>
      <c r="L446" s="12"/>
      <c r="M446" s="12"/>
      <c r="N446" s="12"/>
      <c r="O446" s="308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4"/>
      <c r="BF446" s="12"/>
      <c r="BG446" s="12"/>
      <c r="BH446" s="12" t="str">
        <f>IFERROR(__xludf.DUMMYFUNCTION("IFERROR(INDEX(QUERY(IMPORTRANGE(""1T7HG8KEs-Ob7f3M5atEVN9Yn7IeORGp0QGvggB62ELw"",""Maestro!A:I""),""SELECT Col8 WHERE Col3 = '""&amp;BE446&amp;""'"", 0), 1, 1),""NO ENCONTRADO"")"),"")</f>
        <v/>
      </c>
      <c r="BI446" s="12" t="str">
        <f>IFERROR(__xludf.DUMMYFUNCTION("IFERROR(INDEX(QUERY(IMPORTRANGE(""1T7HG8KEs-Ob7f3M5atEVN9Yn7IeORGp0QGvggB62ELw"",""Maestro!A:I""),""SELECT Col7 WHERE Col3 = '""&amp;BE446&amp;""'"", 0), 1, 1),""NO ENCONTRADO"")"),"")</f>
        <v/>
      </c>
      <c r="BJ446" s="16">
        <f t="shared" si="19"/>
        <v>0</v>
      </c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4"/>
      <c r="BX446" s="14"/>
      <c r="BY446" s="14"/>
      <c r="BZ446" s="14"/>
      <c r="CA446" s="14"/>
      <c r="CB446" s="14"/>
      <c r="CC446" s="14"/>
      <c r="CD446" s="14"/>
      <c r="CE446" s="14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</row>
    <row r="447">
      <c r="A447" s="12"/>
      <c r="B447" s="14"/>
      <c r="C447" s="14"/>
      <c r="D447" s="14"/>
      <c r="E447" s="12"/>
      <c r="F447" s="307"/>
      <c r="G447" s="307"/>
      <c r="H447" s="12"/>
      <c r="I447" s="30"/>
      <c r="J447" s="12"/>
      <c r="K447" s="12"/>
      <c r="L447" s="12"/>
      <c r="M447" s="12"/>
      <c r="N447" s="12"/>
      <c r="O447" s="308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4"/>
      <c r="BF447" s="12"/>
      <c r="BG447" s="12"/>
      <c r="BH447" s="12" t="str">
        <f>IFERROR(__xludf.DUMMYFUNCTION("IFERROR(INDEX(QUERY(IMPORTRANGE(""1T7HG8KEs-Ob7f3M5atEVN9Yn7IeORGp0QGvggB62ELw"",""Maestro!A:I""),""SELECT Col8 WHERE Col3 = '""&amp;BE447&amp;""'"", 0), 1, 1),""NO ENCONTRADO"")"),"")</f>
        <v/>
      </c>
      <c r="BI447" s="12" t="str">
        <f>IFERROR(__xludf.DUMMYFUNCTION("IFERROR(INDEX(QUERY(IMPORTRANGE(""1T7HG8KEs-Ob7f3M5atEVN9Yn7IeORGp0QGvggB62ELw"",""Maestro!A:I""),""SELECT Col7 WHERE Col3 = '""&amp;BE447&amp;""'"", 0), 1, 1),""NO ENCONTRADO"")"),"")</f>
        <v/>
      </c>
      <c r="BJ447" s="16">
        <f t="shared" si="19"/>
        <v>0</v>
      </c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4"/>
      <c r="BX447" s="14"/>
      <c r="BY447" s="14"/>
      <c r="BZ447" s="14"/>
      <c r="CA447" s="14"/>
      <c r="CB447" s="14"/>
      <c r="CC447" s="14"/>
      <c r="CD447" s="14"/>
      <c r="CE447" s="14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</row>
    <row r="448">
      <c r="A448" s="12"/>
      <c r="B448" s="14"/>
      <c r="C448" s="14"/>
      <c r="D448" s="14"/>
      <c r="E448" s="12"/>
      <c r="F448" s="307"/>
      <c r="G448" s="307"/>
      <c r="H448" s="12"/>
      <c r="I448" s="30"/>
      <c r="J448" s="12"/>
      <c r="K448" s="12"/>
      <c r="L448" s="12"/>
      <c r="M448" s="12"/>
      <c r="N448" s="12"/>
      <c r="O448" s="308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4"/>
      <c r="BF448" s="12"/>
      <c r="BG448" s="12"/>
      <c r="BH448" s="12" t="str">
        <f>IFERROR(__xludf.DUMMYFUNCTION("IFERROR(INDEX(QUERY(IMPORTRANGE(""1T7HG8KEs-Ob7f3M5atEVN9Yn7IeORGp0QGvggB62ELw"",""Maestro!A:I""),""SELECT Col8 WHERE Col3 = '""&amp;BE448&amp;""'"", 0), 1, 1),""NO ENCONTRADO"")"),"")</f>
        <v/>
      </c>
      <c r="BI448" s="12" t="str">
        <f>IFERROR(__xludf.DUMMYFUNCTION("IFERROR(INDEX(QUERY(IMPORTRANGE(""1T7HG8KEs-Ob7f3M5atEVN9Yn7IeORGp0QGvggB62ELw"",""Maestro!A:I""),""SELECT Col7 WHERE Col3 = '""&amp;BE448&amp;""'"", 0), 1, 1),""NO ENCONTRADO"")"),"")</f>
        <v/>
      </c>
      <c r="BJ448" s="16">
        <f t="shared" si="19"/>
        <v>0</v>
      </c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4"/>
      <c r="BX448" s="14"/>
      <c r="BY448" s="14"/>
      <c r="BZ448" s="14"/>
      <c r="CA448" s="14"/>
      <c r="CB448" s="14"/>
      <c r="CC448" s="14"/>
      <c r="CD448" s="14"/>
      <c r="CE448" s="14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</row>
    <row r="449">
      <c r="A449" s="12"/>
      <c r="B449" s="14"/>
      <c r="C449" s="14"/>
      <c r="D449" s="14"/>
      <c r="E449" s="12"/>
      <c r="F449" s="307"/>
      <c r="G449" s="307"/>
      <c r="H449" s="12"/>
      <c r="I449" s="30"/>
      <c r="J449" s="12"/>
      <c r="K449" s="12"/>
      <c r="L449" s="12"/>
      <c r="M449" s="12"/>
      <c r="N449" s="12"/>
      <c r="O449" s="308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4"/>
      <c r="BF449" s="12"/>
      <c r="BG449" s="12"/>
      <c r="BH449" s="12" t="str">
        <f>IFERROR(__xludf.DUMMYFUNCTION("IFERROR(INDEX(QUERY(IMPORTRANGE(""1T7HG8KEs-Ob7f3M5atEVN9Yn7IeORGp0QGvggB62ELw"",""Maestro!A:I""),""SELECT Col8 WHERE Col3 = '""&amp;BE449&amp;""'"", 0), 1, 1),""NO ENCONTRADO"")"),"")</f>
        <v/>
      </c>
      <c r="BI449" s="12" t="str">
        <f>IFERROR(__xludf.DUMMYFUNCTION("IFERROR(INDEX(QUERY(IMPORTRANGE(""1T7HG8KEs-Ob7f3M5atEVN9Yn7IeORGp0QGvggB62ELw"",""Maestro!A:I""),""SELECT Col7 WHERE Col3 = '""&amp;BE449&amp;""'"", 0), 1, 1),""NO ENCONTRADO"")"),"")</f>
        <v/>
      </c>
      <c r="BJ449" s="16">
        <f t="shared" si="19"/>
        <v>0</v>
      </c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4"/>
      <c r="BX449" s="14"/>
      <c r="BY449" s="14"/>
      <c r="BZ449" s="14"/>
      <c r="CA449" s="14"/>
      <c r="CB449" s="14"/>
      <c r="CC449" s="14"/>
      <c r="CD449" s="14"/>
      <c r="CE449" s="14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</row>
    <row r="450">
      <c r="A450" s="12"/>
      <c r="B450" s="14"/>
      <c r="C450" s="14"/>
      <c r="D450" s="14"/>
      <c r="E450" s="12"/>
      <c r="F450" s="307"/>
      <c r="G450" s="307"/>
      <c r="H450" s="12"/>
      <c r="I450" s="30"/>
      <c r="J450" s="12"/>
      <c r="K450" s="12"/>
      <c r="L450" s="12"/>
      <c r="M450" s="12"/>
      <c r="N450" s="12"/>
      <c r="O450" s="308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4"/>
      <c r="BF450" s="12"/>
      <c r="BG450" s="12"/>
      <c r="BH450" s="12" t="str">
        <f>IFERROR(__xludf.DUMMYFUNCTION("IFERROR(INDEX(QUERY(IMPORTRANGE(""1T7HG8KEs-Ob7f3M5atEVN9Yn7IeORGp0QGvggB62ELw"",""Maestro!A:I""),""SELECT Col8 WHERE Col3 = '""&amp;BE450&amp;""'"", 0), 1, 1),""NO ENCONTRADO"")"),"")</f>
        <v/>
      </c>
      <c r="BI450" s="12" t="str">
        <f>IFERROR(__xludf.DUMMYFUNCTION("IFERROR(INDEX(QUERY(IMPORTRANGE(""1T7HG8KEs-Ob7f3M5atEVN9Yn7IeORGp0QGvggB62ELw"",""Maestro!A:I""),""SELECT Col7 WHERE Col3 = '""&amp;BE450&amp;""'"", 0), 1, 1),""NO ENCONTRADO"")"),"")</f>
        <v/>
      </c>
      <c r="BJ450" s="16">
        <f t="shared" si="19"/>
        <v>0</v>
      </c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4"/>
      <c r="BX450" s="14"/>
      <c r="BY450" s="14"/>
      <c r="BZ450" s="14"/>
      <c r="CA450" s="14"/>
      <c r="CB450" s="14"/>
      <c r="CC450" s="14"/>
      <c r="CD450" s="14"/>
      <c r="CE450" s="14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</row>
    <row r="451">
      <c r="A451" s="12"/>
      <c r="B451" s="14"/>
      <c r="C451" s="14"/>
      <c r="D451" s="14"/>
      <c r="E451" s="12"/>
      <c r="F451" s="307"/>
      <c r="G451" s="307"/>
      <c r="H451" s="12"/>
      <c r="I451" s="30"/>
      <c r="J451" s="12"/>
      <c r="K451" s="12"/>
      <c r="L451" s="12"/>
      <c r="M451" s="12"/>
      <c r="N451" s="12"/>
      <c r="O451" s="308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4"/>
      <c r="BF451" s="12"/>
      <c r="BG451" s="12"/>
      <c r="BH451" s="12" t="str">
        <f>IFERROR(__xludf.DUMMYFUNCTION("IFERROR(INDEX(QUERY(IMPORTRANGE(""1T7HG8KEs-Ob7f3M5atEVN9Yn7IeORGp0QGvggB62ELw"",""Maestro!A:I""),""SELECT Col8 WHERE Col3 = '""&amp;BE451&amp;""'"", 0), 1, 1),""NO ENCONTRADO"")"),"")</f>
        <v/>
      </c>
      <c r="BI451" s="12" t="str">
        <f>IFERROR(__xludf.DUMMYFUNCTION("IFERROR(INDEX(QUERY(IMPORTRANGE(""1T7HG8KEs-Ob7f3M5atEVN9Yn7IeORGp0QGvggB62ELw"",""Maestro!A:I""),""SELECT Col7 WHERE Col3 = '""&amp;BE451&amp;""'"", 0), 1, 1),""NO ENCONTRADO"")"),"")</f>
        <v/>
      </c>
      <c r="BJ451" s="16">
        <f t="shared" si="19"/>
        <v>0</v>
      </c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4"/>
      <c r="BX451" s="14"/>
      <c r="BY451" s="14"/>
      <c r="BZ451" s="14"/>
      <c r="CA451" s="14"/>
      <c r="CB451" s="14"/>
      <c r="CC451" s="14"/>
      <c r="CD451" s="14"/>
      <c r="CE451" s="14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</row>
    <row r="452">
      <c r="A452" s="12"/>
      <c r="B452" s="14"/>
      <c r="C452" s="14"/>
      <c r="D452" s="14"/>
      <c r="E452" s="12"/>
      <c r="F452" s="307"/>
      <c r="G452" s="307"/>
      <c r="H452" s="12"/>
      <c r="I452" s="30"/>
      <c r="J452" s="12"/>
      <c r="K452" s="12"/>
      <c r="L452" s="12"/>
      <c r="M452" s="12"/>
      <c r="N452" s="12"/>
      <c r="O452" s="308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4"/>
      <c r="BF452" s="12"/>
      <c r="BG452" s="12"/>
      <c r="BH452" s="12" t="str">
        <f>IFERROR(__xludf.DUMMYFUNCTION("IFERROR(INDEX(QUERY(IMPORTRANGE(""1T7HG8KEs-Ob7f3M5atEVN9Yn7IeORGp0QGvggB62ELw"",""Maestro!A:I""),""SELECT Col8 WHERE Col3 = '""&amp;BE452&amp;""'"", 0), 1, 1),""NO ENCONTRADO"")"),"")</f>
        <v/>
      </c>
      <c r="BI452" s="12" t="str">
        <f>IFERROR(__xludf.DUMMYFUNCTION("IFERROR(INDEX(QUERY(IMPORTRANGE(""1T7HG8KEs-Ob7f3M5atEVN9Yn7IeORGp0QGvggB62ELw"",""Maestro!A:I""),""SELECT Col7 WHERE Col3 = '""&amp;BE452&amp;""'"", 0), 1, 1),""NO ENCONTRADO"")"),"")</f>
        <v/>
      </c>
      <c r="BJ452" s="16">
        <f t="shared" si="19"/>
        <v>0</v>
      </c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4"/>
      <c r="BX452" s="14"/>
      <c r="BY452" s="14"/>
      <c r="BZ452" s="14"/>
      <c r="CA452" s="14"/>
      <c r="CB452" s="14"/>
      <c r="CC452" s="14"/>
      <c r="CD452" s="14"/>
      <c r="CE452" s="14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</row>
    <row r="453">
      <c r="A453" s="12"/>
      <c r="B453" s="14"/>
      <c r="C453" s="14"/>
      <c r="D453" s="14"/>
      <c r="E453" s="12"/>
      <c r="F453" s="307"/>
      <c r="G453" s="307"/>
      <c r="H453" s="12"/>
      <c r="I453" s="30"/>
      <c r="J453" s="12"/>
      <c r="K453" s="12"/>
      <c r="L453" s="12"/>
      <c r="M453" s="12"/>
      <c r="N453" s="12"/>
      <c r="O453" s="308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4"/>
      <c r="BF453" s="12"/>
      <c r="BG453" s="12"/>
      <c r="BH453" s="12" t="str">
        <f>IFERROR(__xludf.DUMMYFUNCTION("IFERROR(INDEX(QUERY(IMPORTRANGE(""1T7HG8KEs-Ob7f3M5atEVN9Yn7IeORGp0QGvggB62ELw"",""Maestro!A:I""),""SELECT Col8 WHERE Col3 = '""&amp;BE453&amp;""'"", 0), 1, 1),""NO ENCONTRADO"")"),"")</f>
        <v/>
      </c>
      <c r="BI453" s="12" t="str">
        <f>IFERROR(__xludf.DUMMYFUNCTION("IFERROR(INDEX(QUERY(IMPORTRANGE(""1T7HG8KEs-Ob7f3M5atEVN9Yn7IeORGp0QGvggB62ELw"",""Maestro!A:I""),""SELECT Col7 WHERE Col3 = '""&amp;BE453&amp;""'"", 0), 1, 1),""NO ENCONTRADO"")"),"")</f>
        <v/>
      </c>
      <c r="BJ453" s="16">
        <f t="shared" si="19"/>
        <v>0</v>
      </c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4"/>
      <c r="BX453" s="14"/>
      <c r="BY453" s="14"/>
      <c r="BZ453" s="14"/>
      <c r="CA453" s="14"/>
      <c r="CB453" s="14"/>
      <c r="CC453" s="14"/>
      <c r="CD453" s="14"/>
      <c r="CE453" s="14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</row>
    <row r="454">
      <c r="A454" s="12"/>
      <c r="B454" s="14"/>
      <c r="C454" s="14"/>
      <c r="D454" s="14"/>
      <c r="E454" s="12"/>
      <c r="F454" s="307"/>
      <c r="G454" s="307"/>
      <c r="H454" s="12"/>
      <c r="I454" s="30"/>
      <c r="J454" s="12"/>
      <c r="K454" s="12"/>
      <c r="L454" s="12"/>
      <c r="M454" s="12"/>
      <c r="N454" s="12"/>
      <c r="O454" s="308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4"/>
      <c r="BF454" s="12"/>
      <c r="BG454" s="12"/>
      <c r="BH454" s="12" t="str">
        <f>IFERROR(__xludf.DUMMYFUNCTION("IFERROR(INDEX(QUERY(IMPORTRANGE(""1T7HG8KEs-Ob7f3M5atEVN9Yn7IeORGp0QGvggB62ELw"",""Maestro!A:I""),""SELECT Col8 WHERE Col3 = '""&amp;BE454&amp;""'"", 0), 1, 1),""NO ENCONTRADO"")"),"")</f>
        <v/>
      </c>
      <c r="BI454" s="12" t="str">
        <f>IFERROR(__xludf.DUMMYFUNCTION("IFERROR(INDEX(QUERY(IMPORTRANGE(""1T7HG8KEs-Ob7f3M5atEVN9Yn7IeORGp0QGvggB62ELw"",""Maestro!A:I""),""SELECT Col7 WHERE Col3 = '""&amp;BE454&amp;""'"", 0), 1, 1),""NO ENCONTRADO"")"),"")</f>
        <v/>
      </c>
      <c r="BJ454" s="16">
        <f t="shared" si="19"/>
        <v>0</v>
      </c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4"/>
      <c r="BX454" s="14"/>
      <c r="BY454" s="14"/>
      <c r="BZ454" s="14"/>
      <c r="CA454" s="14"/>
      <c r="CB454" s="14"/>
      <c r="CC454" s="14"/>
      <c r="CD454" s="14"/>
      <c r="CE454" s="14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</row>
    <row r="455">
      <c r="A455" s="12"/>
      <c r="B455" s="14"/>
      <c r="C455" s="14"/>
      <c r="D455" s="14"/>
      <c r="E455" s="12"/>
      <c r="F455" s="307"/>
      <c r="G455" s="307"/>
      <c r="H455" s="12"/>
      <c r="I455" s="30"/>
      <c r="J455" s="12"/>
      <c r="K455" s="12"/>
      <c r="L455" s="12"/>
      <c r="M455" s="12"/>
      <c r="N455" s="12"/>
      <c r="O455" s="308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4"/>
      <c r="BF455" s="12"/>
      <c r="BG455" s="12"/>
      <c r="BH455" s="12" t="str">
        <f>IFERROR(__xludf.DUMMYFUNCTION("IFERROR(INDEX(QUERY(IMPORTRANGE(""1T7HG8KEs-Ob7f3M5atEVN9Yn7IeORGp0QGvggB62ELw"",""Maestro!A:I""),""SELECT Col8 WHERE Col3 = '""&amp;BE455&amp;""'"", 0), 1, 1),""NO ENCONTRADO"")"),"")</f>
        <v/>
      </c>
      <c r="BI455" s="12" t="str">
        <f>IFERROR(__xludf.DUMMYFUNCTION("IFERROR(INDEX(QUERY(IMPORTRANGE(""1T7HG8KEs-Ob7f3M5atEVN9Yn7IeORGp0QGvggB62ELw"",""Maestro!A:I""),""SELECT Col7 WHERE Col3 = '""&amp;BE455&amp;""'"", 0), 1, 1),""NO ENCONTRADO"")"),"")</f>
        <v/>
      </c>
      <c r="BJ455" s="16">
        <f t="shared" si="19"/>
        <v>0</v>
      </c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4"/>
      <c r="BX455" s="14"/>
      <c r="BY455" s="14"/>
      <c r="BZ455" s="14"/>
      <c r="CA455" s="14"/>
      <c r="CB455" s="14"/>
      <c r="CC455" s="14"/>
      <c r="CD455" s="14"/>
      <c r="CE455" s="14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</row>
    <row r="456">
      <c r="A456" s="12"/>
      <c r="B456" s="14"/>
      <c r="C456" s="14"/>
      <c r="D456" s="14"/>
      <c r="E456" s="12"/>
      <c r="F456" s="307"/>
      <c r="G456" s="307"/>
      <c r="H456" s="12"/>
      <c r="I456" s="30"/>
      <c r="J456" s="12"/>
      <c r="K456" s="12"/>
      <c r="L456" s="12"/>
      <c r="M456" s="12"/>
      <c r="N456" s="12"/>
      <c r="O456" s="308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4"/>
      <c r="BF456" s="12"/>
      <c r="BG456" s="12"/>
      <c r="BH456" s="12" t="str">
        <f>IFERROR(__xludf.DUMMYFUNCTION("IFERROR(INDEX(QUERY(IMPORTRANGE(""1T7HG8KEs-Ob7f3M5atEVN9Yn7IeORGp0QGvggB62ELw"",""Maestro!A:I""),""SELECT Col8 WHERE Col3 = '""&amp;BE456&amp;""'"", 0), 1, 1),""NO ENCONTRADO"")"),"")</f>
        <v/>
      </c>
      <c r="BI456" s="12" t="str">
        <f>IFERROR(__xludf.DUMMYFUNCTION("IFERROR(INDEX(QUERY(IMPORTRANGE(""1T7HG8KEs-Ob7f3M5atEVN9Yn7IeORGp0QGvggB62ELw"",""Maestro!A:I""),""SELECT Col7 WHERE Col3 = '""&amp;BE456&amp;""'"", 0), 1, 1),""NO ENCONTRADO"")"),"")</f>
        <v/>
      </c>
      <c r="BJ456" s="16">
        <f t="shared" si="19"/>
        <v>0</v>
      </c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4"/>
      <c r="BX456" s="14"/>
      <c r="BY456" s="14"/>
      <c r="BZ456" s="14"/>
      <c r="CA456" s="14"/>
      <c r="CB456" s="14"/>
      <c r="CC456" s="14"/>
      <c r="CD456" s="14"/>
      <c r="CE456" s="14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</row>
    <row r="457">
      <c r="A457" s="12"/>
      <c r="B457" s="14"/>
      <c r="C457" s="14"/>
      <c r="D457" s="14"/>
      <c r="E457" s="12"/>
      <c r="F457" s="307"/>
      <c r="G457" s="307"/>
      <c r="H457" s="12"/>
      <c r="I457" s="30"/>
      <c r="J457" s="12"/>
      <c r="K457" s="12"/>
      <c r="L457" s="12"/>
      <c r="M457" s="12"/>
      <c r="N457" s="12"/>
      <c r="O457" s="308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4"/>
      <c r="BF457" s="12"/>
      <c r="BG457" s="12"/>
      <c r="BH457" s="12" t="str">
        <f>IFERROR(__xludf.DUMMYFUNCTION("IFERROR(INDEX(QUERY(IMPORTRANGE(""1T7HG8KEs-Ob7f3M5atEVN9Yn7IeORGp0QGvggB62ELw"",""Maestro!A:I""),""SELECT Col8 WHERE Col3 = '""&amp;BE457&amp;""'"", 0), 1, 1),""NO ENCONTRADO"")"),"")</f>
        <v/>
      </c>
      <c r="BI457" s="12" t="str">
        <f>IFERROR(__xludf.DUMMYFUNCTION("IFERROR(INDEX(QUERY(IMPORTRANGE(""1T7HG8KEs-Ob7f3M5atEVN9Yn7IeORGp0QGvggB62ELw"",""Maestro!A:I""),""SELECT Col7 WHERE Col3 = '""&amp;BE457&amp;""'"", 0), 1, 1),""NO ENCONTRADO"")"),"")</f>
        <v/>
      </c>
      <c r="BJ457" s="16">
        <f t="shared" si="19"/>
        <v>0</v>
      </c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4"/>
      <c r="BX457" s="14"/>
      <c r="BY457" s="14"/>
      <c r="BZ457" s="14"/>
      <c r="CA457" s="14"/>
      <c r="CB457" s="14"/>
      <c r="CC457" s="14"/>
      <c r="CD457" s="14"/>
      <c r="CE457" s="14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</row>
    <row r="458">
      <c r="A458" s="12"/>
      <c r="B458" s="14"/>
      <c r="C458" s="14"/>
      <c r="D458" s="14"/>
      <c r="E458" s="12"/>
      <c r="F458" s="307"/>
      <c r="G458" s="307"/>
      <c r="H458" s="12"/>
      <c r="I458" s="30"/>
      <c r="J458" s="12"/>
      <c r="K458" s="12"/>
      <c r="L458" s="12"/>
      <c r="M458" s="12"/>
      <c r="N458" s="12"/>
      <c r="O458" s="308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4"/>
      <c r="BF458" s="12"/>
      <c r="BG458" s="12"/>
      <c r="BH458" s="12" t="str">
        <f>IFERROR(__xludf.DUMMYFUNCTION("IFERROR(INDEX(QUERY(IMPORTRANGE(""1T7HG8KEs-Ob7f3M5atEVN9Yn7IeORGp0QGvggB62ELw"",""Maestro!A:I""),""SELECT Col8 WHERE Col3 = '""&amp;BE458&amp;""'"", 0), 1, 1),""NO ENCONTRADO"")"),"")</f>
        <v/>
      </c>
      <c r="BI458" s="12" t="str">
        <f>IFERROR(__xludf.DUMMYFUNCTION("IFERROR(INDEX(QUERY(IMPORTRANGE(""1T7HG8KEs-Ob7f3M5atEVN9Yn7IeORGp0QGvggB62ELw"",""Maestro!A:I""),""SELECT Col7 WHERE Col3 = '""&amp;BE458&amp;""'"", 0), 1, 1),""NO ENCONTRADO"")"),"")</f>
        <v/>
      </c>
      <c r="BJ458" s="16">
        <f t="shared" si="19"/>
        <v>0</v>
      </c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4"/>
      <c r="BX458" s="14"/>
      <c r="BY458" s="14"/>
      <c r="BZ458" s="14"/>
      <c r="CA458" s="14"/>
      <c r="CB458" s="14"/>
      <c r="CC458" s="14"/>
      <c r="CD458" s="14"/>
      <c r="CE458" s="14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</row>
    <row r="459">
      <c r="A459" s="12"/>
      <c r="B459" s="14"/>
      <c r="C459" s="14"/>
      <c r="D459" s="14"/>
      <c r="E459" s="12"/>
      <c r="F459" s="307"/>
      <c r="G459" s="307"/>
      <c r="H459" s="12"/>
      <c r="I459" s="30"/>
      <c r="J459" s="12"/>
      <c r="K459" s="12"/>
      <c r="L459" s="12"/>
      <c r="M459" s="12"/>
      <c r="N459" s="12"/>
      <c r="O459" s="308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4"/>
      <c r="BF459" s="12"/>
      <c r="BG459" s="12"/>
      <c r="BH459" s="12" t="str">
        <f>IFERROR(__xludf.DUMMYFUNCTION("IFERROR(INDEX(QUERY(IMPORTRANGE(""1T7HG8KEs-Ob7f3M5atEVN9Yn7IeORGp0QGvggB62ELw"",""Maestro!A:I""),""SELECT Col8 WHERE Col3 = '""&amp;BE459&amp;""'"", 0), 1, 1),""NO ENCONTRADO"")"),"")</f>
        <v/>
      </c>
      <c r="BI459" s="12" t="str">
        <f>IFERROR(__xludf.DUMMYFUNCTION("IFERROR(INDEX(QUERY(IMPORTRANGE(""1T7HG8KEs-Ob7f3M5atEVN9Yn7IeORGp0QGvggB62ELw"",""Maestro!A:I""),""SELECT Col7 WHERE Col3 = '""&amp;BE459&amp;""'"", 0), 1, 1),""NO ENCONTRADO"")"),"")</f>
        <v/>
      </c>
      <c r="BJ459" s="16">
        <f t="shared" si="19"/>
        <v>0</v>
      </c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4"/>
      <c r="BX459" s="14"/>
      <c r="BY459" s="14"/>
      <c r="BZ459" s="14"/>
      <c r="CA459" s="14"/>
      <c r="CB459" s="14"/>
      <c r="CC459" s="14"/>
      <c r="CD459" s="14"/>
      <c r="CE459" s="14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</row>
    <row r="460">
      <c r="A460" s="12"/>
      <c r="B460" s="14"/>
      <c r="C460" s="14"/>
      <c r="D460" s="14"/>
      <c r="E460" s="12"/>
      <c r="F460" s="307"/>
      <c r="G460" s="307"/>
      <c r="H460" s="12"/>
      <c r="I460" s="30"/>
      <c r="J460" s="12"/>
      <c r="K460" s="12"/>
      <c r="L460" s="12"/>
      <c r="M460" s="12"/>
      <c r="N460" s="12"/>
      <c r="O460" s="308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4"/>
      <c r="BF460" s="12"/>
      <c r="BG460" s="12"/>
      <c r="BH460" s="12" t="str">
        <f>IFERROR(__xludf.DUMMYFUNCTION("IFERROR(INDEX(QUERY(IMPORTRANGE(""1T7HG8KEs-Ob7f3M5atEVN9Yn7IeORGp0QGvggB62ELw"",""Maestro!A:I""),""SELECT Col8 WHERE Col3 = '""&amp;BE460&amp;""'"", 0), 1, 1),""NO ENCONTRADO"")"),"")</f>
        <v/>
      </c>
      <c r="BI460" s="12" t="str">
        <f>IFERROR(__xludf.DUMMYFUNCTION("IFERROR(INDEX(QUERY(IMPORTRANGE(""1T7HG8KEs-Ob7f3M5atEVN9Yn7IeORGp0QGvggB62ELw"",""Maestro!A:I""),""SELECT Col7 WHERE Col3 = '""&amp;BE460&amp;""'"", 0), 1, 1),""NO ENCONTRADO"")"),"")</f>
        <v/>
      </c>
      <c r="BJ460" s="16">
        <f t="shared" si="19"/>
        <v>0</v>
      </c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4"/>
      <c r="BX460" s="14"/>
      <c r="BY460" s="14"/>
      <c r="BZ460" s="14"/>
      <c r="CA460" s="14"/>
      <c r="CB460" s="14"/>
      <c r="CC460" s="14"/>
      <c r="CD460" s="14"/>
      <c r="CE460" s="14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</row>
    <row r="461">
      <c r="A461" s="12"/>
      <c r="B461" s="14"/>
      <c r="C461" s="14"/>
      <c r="D461" s="14"/>
      <c r="E461" s="12"/>
      <c r="F461" s="307"/>
      <c r="G461" s="307"/>
      <c r="H461" s="12"/>
      <c r="I461" s="30"/>
      <c r="J461" s="12"/>
      <c r="K461" s="12"/>
      <c r="L461" s="12"/>
      <c r="M461" s="12"/>
      <c r="N461" s="12"/>
      <c r="O461" s="308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4"/>
      <c r="BF461" s="12"/>
      <c r="BG461" s="12"/>
      <c r="BH461" s="12" t="str">
        <f>IFERROR(__xludf.DUMMYFUNCTION("IFERROR(INDEX(QUERY(IMPORTRANGE(""1T7HG8KEs-Ob7f3M5atEVN9Yn7IeORGp0QGvggB62ELw"",""Maestro!A:I""),""SELECT Col8 WHERE Col3 = '""&amp;BE461&amp;""'"", 0), 1, 1),""NO ENCONTRADO"")"),"")</f>
        <v/>
      </c>
      <c r="BI461" s="12" t="str">
        <f>IFERROR(__xludf.DUMMYFUNCTION("IFERROR(INDEX(QUERY(IMPORTRANGE(""1T7HG8KEs-Ob7f3M5atEVN9Yn7IeORGp0QGvggB62ELw"",""Maestro!A:I""),""SELECT Col7 WHERE Col3 = '""&amp;BE461&amp;""'"", 0), 1, 1),""NO ENCONTRADO"")"),"")</f>
        <v/>
      </c>
      <c r="BJ461" s="16">
        <f t="shared" si="19"/>
        <v>0</v>
      </c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4"/>
      <c r="BX461" s="14"/>
      <c r="BY461" s="14"/>
      <c r="BZ461" s="14"/>
      <c r="CA461" s="14"/>
      <c r="CB461" s="14"/>
      <c r="CC461" s="14"/>
      <c r="CD461" s="14"/>
      <c r="CE461" s="14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</row>
    <row r="462">
      <c r="A462" s="12"/>
      <c r="B462" s="14"/>
      <c r="C462" s="14"/>
      <c r="D462" s="14"/>
      <c r="E462" s="12"/>
      <c r="F462" s="307"/>
      <c r="G462" s="307"/>
      <c r="H462" s="12"/>
      <c r="I462" s="30"/>
      <c r="J462" s="12"/>
      <c r="K462" s="12"/>
      <c r="L462" s="12"/>
      <c r="M462" s="12"/>
      <c r="N462" s="12"/>
      <c r="O462" s="308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4"/>
      <c r="BF462" s="12"/>
      <c r="BG462" s="12"/>
      <c r="BH462" s="12" t="str">
        <f>IFERROR(__xludf.DUMMYFUNCTION("IFERROR(INDEX(QUERY(IMPORTRANGE(""1T7HG8KEs-Ob7f3M5atEVN9Yn7IeORGp0QGvggB62ELw"",""Maestro!A:I""),""SELECT Col8 WHERE Col3 = '""&amp;BE462&amp;""'"", 0), 1, 1),""NO ENCONTRADO"")"),"")</f>
        <v/>
      </c>
      <c r="BI462" s="12" t="str">
        <f>IFERROR(__xludf.DUMMYFUNCTION("IFERROR(INDEX(QUERY(IMPORTRANGE(""1T7HG8KEs-Ob7f3M5atEVN9Yn7IeORGp0QGvggB62ELw"",""Maestro!A:I""),""SELECT Col7 WHERE Col3 = '""&amp;BE462&amp;""'"", 0), 1, 1),""NO ENCONTRADO"")"),"")</f>
        <v/>
      </c>
      <c r="BJ462" s="16">
        <f t="shared" si="19"/>
        <v>0</v>
      </c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4"/>
      <c r="BX462" s="14"/>
      <c r="BY462" s="14"/>
      <c r="BZ462" s="14"/>
      <c r="CA462" s="14"/>
      <c r="CB462" s="14"/>
      <c r="CC462" s="14"/>
      <c r="CD462" s="14"/>
      <c r="CE462" s="14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</row>
    <row r="463">
      <c r="A463" s="12"/>
      <c r="B463" s="14"/>
      <c r="C463" s="14"/>
      <c r="D463" s="14"/>
      <c r="E463" s="12"/>
      <c r="F463" s="307"/>
      <c r="G463" s="307"/>
      <c r="H463" s="12"/>
      <c r="I463" s="30"/>
      <c r="J463" s="12"/>
      <c r="K463" s="12"/>
      <c r="L463" s="12"/>
      <c r="M463" s="12"/>
      <c r="N463" s="12"/>
      <c r="O463" s="308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4"/>
      <c r="BF463" s="12"/>
      <c r="BG463" s="12"/>
      <c r="BH463" s="12" t="str">
        <f>IFERROR(__xludf.DUMMYFUNCTION("IFERROR(INDEX(QUERY(IMPORTRANGE(""1T7HG8KEs-Ob7f3M5atEVN9Yn7IeORGp0QGvggB62ELw"",""Maestro!A:I""),""SELECT Col8 WHERE Col3 = '""&amp;BE463&amp;""'"", 0), 1, 1),""NO ENCONTRADO"")"),"")</f>
        <v/>
      </c>
      <c r="BI463" s="12" t="str">
        <f>IFERROR(__xludf.DUMMYFUNCTION("IFERROR(INDEX(QUERY(IMPORTRANGE(""1T7HG8KEs-Ob7f3M5atEVN9Yn7IeORGp0QGvggB62ELw"",""Maestro!A:I""),""SELECT Col7 WHERE Col3 = '""&amp;BE463&amp;""'"", 0), 1, 1),""NO ENCONTRADO"")"),"")</f>
        <v/>
      </c>
      <c r="BJ463" s="16">
        <f t="shared" si="19"/>
        <v>0</v>
      </c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4"/>
      <c r="BX463" s="14"/>
      <c r="BY463" s="14"/>
      <c r="BZ463" s="14"/>
      <c r="CA463" s="14"/>
      <c r="CB463" s="14"/>
      <c r="CC463" s="14"/>
      <c r="CD463" s="14"/>
      <c r="CE463" s="14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</row>
    <row r="464">
      <c r="A464" s="12"/>
      <c r="B464" s="14"/>
      <c r="C464" s="14"/>
      <c r="D464" s="14"/>
      <c r="E464" s="12"/>
      <c r="F464" s="307"/>
      <c r="G464" s="307"/>
      <c r="H464" s="12"/>
      <c r="I464" s="30"/>
      <c r="J464" s="12"/>
      <c r="K464" s="12"/>
      <c r="L464" s="12"/>
      <c r="M464" s="12"/>
      <c r="N464" s="12"/>
      <c r="O464" s="308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4"/>
      <c r="BF464" s="12"/>
      <c r="BG464" s="12"/>
      <c r="BH464" s="12" t="str">
        <f>IFERROR(__xludf.DUMMYFUNCTION("IFERROR(INDEX(QUERY(IMPORTRANGE(""1T7HG8KEs-Ob7f3M5atEVN9Yn7IeORGp0QGvggB62ELw"",""Maestro!A:I""),""SELECT Col8 WHERE Col3 = '""&amp;BE464&amp;""'"", 0), 1, 1),""NO ENCONTRADO"")"),"")</f>
        <v/>
      </c>
      <c r="BI464" s="12" t="str">
        <f>IFERROR(__xludf.DUMMYFUNCTION("IFERROR(INDEX(QUERY(IMPORTRANGE(""1T7HG8KEs-Ob7f3M5atEVN9Yn7IeORGp0QGvggB62ELw"",""Maestro!A:I""),""SELECT Col7 WHERE Col3 = '""&amp;BE464&amp;""'"", 0), 1, 1),""NO ENCONTRADO"")"),"")</f>
        <v/>
      </c>
      <c r="BJ464" s="16">
        <f t="shared" si="19"/>
        <v>0</v>
      </c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4"/>
      <c r="BX464" s="14"/>
      <c r="BY464" s="14"/>
      <c r="BZ464" s="14"/>
      <c r="CA464" s="14"/>
      <c r="CB464" s="14"/>
      <c r="CC464" s="14"/>
      <c r="CD464" s="14"/>
      <c r="CE464" s="14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</row>
    <row r="465">
      <c r="A465" s="12"/>
      <c r="B465" s="14"/>
      <c r="C465" s="14"/>
      <c r="D465" s="14"/>
      <c r="E465" s="12"/>
      <c r="F465" s="307"/>
      <c r="G465" s="307"/>
      <c r="H465" s="12"/>
      <c r="I465" s="30"/>
      <c r="J465" s="12"/>
      <c r="K465" s="12"/>
      <c r="L465" s="12"/>
      <c r="M465" s="12"/>
      <c r="N465" s="12"/>
      <c r="O465" s="308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4"/>
      <c r="BF465" s="12"/>
      <c r="BG465" s="12"/>
      <c r="BH465" s="12" t="str">
        <f>IFERROR(__xludf.DUMMYFUNCTION("IFERROR(INDEX(QUERY(IMPORTRANGE(""1T7HG8KEs-Ob7f3M5atEVN9Yn7IeORGp0QGvggB62ELw"",""Maestro!A:I""),""SELECT Col8 WHERE Col3 = '""&amp;BE465&amp;""'"", 0), 1, 1),""NO ENCONTRADO"")"),"")</f>
        <v/>
      </c>
      <c r="BI465" s="12" t="str">
        <f>IFERROR(__xludf.DUMMYFUNCTION("IFERROR(INDEX(QUERY(IMPORTRANGE(""1T7HG8KEs-Ob7f3M5atEVN9Yn7IeORGp0QGvggB62ELw"",""Maestro!A:I""),""SELECT Col7 WHERE Col3 = '""&amp;BE465&amp;""'"", 0), 1, 1),""NO ENCONTRADO"")"),"")</f>
        <v/>
      </c>
      <c r="BJ465" s="16">
        <f t="shared" si="19"/>
        <v>0</v>
      </c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4"/>
      <c r="BX465" s="14"/>
      <c r="BY465" s="14"/>
      <c r="BZ465" s="14"/>
      <c r="CA465" s="14"/>
      <c r="CB465" s="14"/>
      <c r="CC465" s="14"/>
      <c r="CD465" s="14"/>
      <c r="CE465" s="14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</row>
    <row r="466">
      <c r="A466" s="12"/>
      <c r="B466" s="14"/>
      <c r="C466" s="14"/>
      <c r="D466" s="14"/>
      <c r="E466" s="12"/>
      <c r="F466" s="307"/>
      <c r="G466" s="307"/>
      <c r="H466" s="12"/>
      <c r="I466" s="30"/>
      <c r="J466" s="12"/>
      <c r="K466" s="12"/>
      <c r="L466" s="12"/>
      <c r="M466" s="12"/>
      <c r="N466" s="12"/>
      <c r="O466" s="308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4"/>
      <c r="BF466" s="12"/>
      <c r="BG466" s="12"/>
      <c r="BH466" s="12" t="str">
        <f>IFERROR(__xludf.DUMMYFUNCTION("IFERROR(INDEX(QUERY(IMPORTRANGE(""1T7HG8KEs-Ob7f3M5atEVN9Yn7IeORGp0QGvggB62ELw"",""Maestro!A:I""),""SELECT Col8 WHERE Col3 = '""&amp;BE466&amp;""'"", 0), 1, 1),""NO ENCONTRADO"")"),"")</f>
        <v/>
      </c>
      <c r="BI466" s="12" t="str">
        <f>IFERROR(__xludf.DUMMYFUNCTION("IFERROR(INDEX(QUERY(IMPORTRANGE(""1T7HG8KEs-Ob7f3M5atEVN9Yn7IeORGp0QGvggB62ELw"",""Maestro!A:I""),""SELECT Col7 WHERE Col3 = '""&amp;BE466&amp;""'"", 0), 1, 1),""NO ENCONTRADO"")"),"")</f>
        <v/>
      </c>
      <c r="BJ466" s="16">
        <f t="shared" si="19"/>
        <v>0</v>
      </c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4"/>
      <c r="BX466" s="14"/>
      <c r="BY466" s="14"/>
      <c r="BZ466" s="14"/>
      <c r="CA466" s="14"/>
      <c r="CB466" s="14"/>
      <c r="CC466" s="14"/>
      <c r="CD466" s="14"/>
      <c r="CE466" s="14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</row>
    <row r="467">
      <c r="A467" s="12"/>
      <c r="B467" s="14"/>
      <c r="C467" s="14"/>
      <c r="D467" s="14"/>
      <c r="E467" s="12"/>
      <c r="F467" s="307"/>
      <c r="G467" s="307"/>
      <c r="H467" s="12"/>
      <c r="I467" s="30"/>
      <c r="J467" s="12"/>
      <c r="K467" s="12"/>
      <c r="L467" s="12"/>
      <c r="M467" s="12"/>
      <c r="N467" s="12"/>
      <c r="O467" s="308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4"/>
      <c r="BF467" s="12"/>
      <c r="BG467" s="12"/>
      <c r="BH467" s="12" t="str">
        <f>IFERROR(__xludf.DUMMYFUNCTION("IFERROR(INDEX(QUERY(IMPORTRANGE(""1T7HG8KEs-Ob7f3M5atEVN9Yn7IeORGp0QGvggB62ELw"",""Maestro!A:I""),""SELECT Col8 WHERE Col3 = '""&amp;BE467&amp;""'"", 0), 1, 1),""NO ENCONTRADO"")"),"")</f>
        <v/>
      </c>
      <c r="BI467" s="12" t="str">
        <f>IFERROR(__xludf.DUMMYFUNCTION("IFERROR(INDEX(QUERY(IMPORTRANGE(""1T7HG8KEs-Ob7f3M5atEVN9Yn7IeORGp0QGvggB62ELw"",""Maestro!A:I""),""SELECT Col7 WHERE Col3 = '""&amp;BE467&amp;""'"", 0), 1, 1),""NO ENCONTRADO"")"),"")</f>
        <v/>
      </c>
      <c r="BJ467" s="16">
        <f t="shared" si="19"/>
        <v>0</v>
      </c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4"/>
      <c r="BX467" s="14"/>
      <c r="BY467" s="14"/>
      <c r="BZ467" s="14"/>
      <c r="CA467" s="14"/>
      <c r="CB467" s="14"/>
      <c r="CC467" s="14"/>
      <c r="CD467" s="14"/>
      <c r="CE467" s="14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</row>
    <row r="468">
      <c r="A468" s="12"/>
      <c r="B468" s="14"/>
      <c r="C468" s="14"/>
      <c r="D468" s="14"/>
      <c r="E468" s="12"/>
      <c r="F468" s="307"/>
      <c r="G468" s="307"/>
      <c r="H468" s="12"/>
      <c r="I468" s="30"/>
      <c r="J468" s="12"/>
      <c r="K468" s="12"/>
      <c r="L468" s="12"/>
      <c r="M468" s="12"/>
      <c r="N468" s="12"/>
      <c r="O468" s="308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4"/>
      <c r="BF468" s="12"/>
      <c r="BG468" s="12"/>
      <c r="BH468" s="12" t="str">
        <f>IFERROR(__xludf.DUMMYFUNCTION("IFERROR(INDEX(QUERY(IMPORTRANGE(""1T7HG8KEs-Ob7f3M5atEVN9Yn7IeORGp0QGvggB62ELw"",""Maestro!A:I""),""SELECT Col8 WHERE Col3 = '""&amp;BE468&amp;""'"", 0), 1, 1),""NO ENCONTRADO"")"),"")</f>
        <v/>
      </c>
      <c r="BI468" s="12" t="str">
        <f>IFERROR(__xludf.DUMMYFUNCTION("IFERROR(INDEX(QUERY(IMPORTRANGE(""1T7HG8KEs-Ob7f3M5atEVN9Yn7IeORGp0QGvggB62ELw"",""Maestro!A:I""),""SELECT Col7 WHERE Col3 = '""&amp;BE468&amp;""'"", 0), 1, 1),""NO ENCONTRADO"")"),"")</f>
        <v/>
      </c>
      <c r="BJ468" s="16">
        <f t="shared" si="19"/>
        <v>0</v>
      </c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4"/>
      <c r="BX468" s="14"/>
      <c r="BY468" s="14"/>
      <c r="BZ468" s="14"/>
      <c r="CA468" s="14"/>
      <c r="CB468" s="14"/>
      <c r="CC468" s="14"/>
      <c r="CD468" s="14"/>
      <c r="CE468" s="14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</row>
    <row r="469">
      <c r="A469" s="12"/>
      <c r="B469" s="14"/>
      <c r="C469" s="14"/>
      <c r="D469" s="14"/>
      <c r="E469" s="12"/>
      <c r="F469" s="307"/>
      <c r="G469" s="307"/>
      <c r="H469" s="12"/>
      <c r="I469" s="30"/>
      <c r="J469" s="12"/>
      <c r="K469" s="12"/>
      <c r="L469" s="12"/>
      <c r="M469" s="12"/>
      <c r="N469" s="12"/>
      <c r="O469" s="308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4"/>
      <c r="BF469" s="12"/>
      <c r="BG469" s="12"/>
      <c r="BH469" s="12" t="str">
        <f>IFERROR(__xludf.DUMMYFUNCTION("IFERROR(INDEX(QUERY(IMPORTRANGE(""1T7HG8KEs-Ob7f3M5atEVN9Yn7IeORGp0QGvggB62ELw"",""Maestro!A:I""),""SELECT Col8 WHERE Col3 = '""&amp;BE469&amp;""'"", 0), 1, 1),""NO ENCONTRADO"")"),"")</f>
        <v/>
      </c>
      <c r="BI469" s="12" t="str">
        <f>IFERROR(__xludf.DUMMYFUNCTION("IFERROR(INDEX(QUERY(IMPORTRANGE(""1T7HG8KEs-Ob7f3M5atEVN9Yn7IeORGp0QGvggB62ELw"",""Maestro!A:I""),""SELECT Col7 WHERE Col3 = '""&amp;BE469&amp;""'"", 0), 1, 1),""NO ENCONTRADO"")"),"")</f>
        <v/>
      </c>
      <c r="BJ469" s="16">
        <f t="shared" si="19"/>
        <v>0</v>
      </c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4"/>
      <c r="BX469" s="14"/>
      <c r="BY469" s="14"/>
      <c r="BZ469" s="14"/>
      <c r="CA469" s="14"/>
      <c r="CB469" s="14"/>
      <c r="CC469" s="14"/>
      <c r="CD469" s="14"/>
      <c r="CE469" s="14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</row>
    <row r="470">
      <c r="A470" s="12"/>
      <c r="B470" s="14"/>
      <c r="C470" s="14"/>
      <c r="D470" s="14"/>
      <c r="E470" s="12"/>
      <c r="F470" s="307"/>
      <c r="G470" s="307"/>
      <c r="H470" s="12"/>
      <c r="I470" s="30"/>
      <c r="J470" s="12"/>
      <c r="K470" s="12"/>
      <c r="L470" s="12"/>
      <c r="M470" s="12"/>
      <c r="N470" s="12"/>
      <c r="O470" s="308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4"/>
      <c r="BF470" s="12"/>
      <c r="BG470" s="12"/>
      <c r="BH470" s="12" t="str">
        <f>IFERROR(__xludf.DUMMYFUNCTION("IFERROR(INDEX(QUERY(IMPORTRANGE(""1T7HG8KEs-Ob7f3M5atEVN9Yn7IeORGp0QGvggB62ELw"",""Maestro!A:I""),""SELECT Col8 WHERE Col3 = '""&amp;BE470&amp;""'"", 0), 1, 1),""NO ENCONTRADO"")"),"")</f>
        <v/>
      </c>
      <c r="BI470" s="12" t="str">
        <f>IFERROR(__xludf.DUMMYFUNCTION("IFERROR(INDEX(QUERY(IMPORTRANGE(""1T7HG8KEs-Ob7f3M5atEVN9Yn7IeORGp0QGvggB62ELw"",""Maestro!A:I""),""SELECT Col7 WHERE Col3 = '""&amp;BE470&amp;""'"", 0), 1, 1),""NO ENCONTRADO"")"),"")</f>
        <v/>
      </c>
      <c r="BJ470" s="16">
        <f t="shared" si="19"/>
        <v>0</v>
      </c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4"/>
      <c r="BX470" s="14"/>
      <c r="BY470" s="14"/>
      <c r="BZ470" s="14"/>
      <c r="CA470" s="14"/>
      <c r="CB470" s="14"/>
      <c r="CC470" s="14"/>
      <c r="CD470" s="14"/>
      <c r="CE470" s="14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</row>
    <row r="471">
      <c r="A471" s="12"/>
      <c r="B471" s="14"/>
      <c r="C471" s="14"/>
      <c r="D471" s="14"/>
      <c r="E471" s="12"/>
      <c r="F471" s="307"/>
      <c r="G471" s="307"/>
      <c r="H471" s="12"/>
      <c r="I471" s="30"/>
      <c r="J471" s="12"/>
      <c r="K471" s="12"/>
      <c r="L471" s="12"/>
      <c r="M471" s="12"/>
      <c r="N471" s="12"/>
      <c r="O471" s="308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4"/>
      <c r="BF471" s="12"/>
      <c r="BG471" s="12"/>
      <c r="BH471" s="12" t="str">
        <f>IFERROR(__xludf.DUMMYFUNCTION("IFERROR(INDEX(QUERY(IMPORTRANGE(""1T7HG8KEs-Ob7f3M5atEVN9Yn7IeORGp0QGvggB62ELw"",""Maestro!A:I""),""SELECT Col8 WHERE Col3 = '""&amp;BE471&amp;""'"", 0), 1, 1),""NO ENCONTRADO"")"),"")</f>
        <v/>
      </c>
      <c r="BI471" s="12" t="str">
        <f>IFERROR(__xludf.DUMMYFUNCTION("IFERROR(INDEX(QUERY(IMPORTRANGE(""1T7HG8KEs-Ob7f3M5atEVN9Yn7IeORGp0QGvggB62ELw"",""Maestro!A:I""),""SELECT Col7 WHERE Col3 = '""&amp;BE471&amp;""'"", 0), 1, 1),""NO ENCONTRADO"")"),"")</f>
        <v/>
      </c>
      <c r="BJ471" s="16">
        <f t="shared" si="19"/>
        <v>0</v>
      </c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4"/>
      <c r="BX471" s="14"/>
      <c r="BY471" s="14"/>
      <c r="BZ471" s="14"/>
      <c r="CA471" s="14"/>
      <c r="CB471" s="14"/>
      <c r="CC471" s="14"/>
      <c r="CD471" s="14"/>
      <c r="CE471" s="14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</row>
    <row r="472">
      <c r="A472" s="12"/>
      <c r="B472" s="14"/>
      <c r="C472" s="14"/>
      <c r="D472" s="14"/>
      <c r="E472" s="12"/>
      <c r="F472" s="307"/>
      <c r="G472" s="307"/>
      <c r="H472" s="12"/>
      <c r="I472" s="30"/>
      <c r="J472" s="12"/>
      <c r="K472" s="12"/>
      <c r="L472" s="12"/>
      <c r="M472" s="12"/>
      <c r="N472" s="12"/>
      <c r="O472" s="308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4"/>
      <c r="BF472" s="12"/>
      <c r="BG472" s="12"/>
      <c r="BH472" s="12" t="str">
        <f>IFERROR(__xludf.DUMMYFUNCTION("IFERROR(INDEX(QUERY(IMPORTRANGE(""1T7HG8KEs-Ob7f3M5atEVN9Yn7IeORGp0QGvggB62ELw"",""Maestro!A:I""),""SELECT Col8 WHERE Col3 = '""&amp;BE472&amp;""'"", 0), 1, 1),""NO ENCONTRADO"")"),"")</f>
        <v/>
      </c>
      <c r="BI472" s="12" t="str">
        <f>IFERROR(__xludf.DUMMYFUNCTION("IFERROR(INDEX(QUERY(IMPORTRANGE(""1T7HG8KEs-Ob7f3M5atEVN9Yn7IeORGp0QGvggB62ELw"",""Maestro!A:I""),""SELECT Col7 WHERE Col3 = '""&amp;BE472&amp;""'"", 0), 1, 1),""NO ENCONTRADO"")"),"")</f>
        <v/>
      </c>
      <c r="BJ472" s="16">
        <f t="shared" si="19"/>
        <v>0</v>
      </c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4"/>
      <c r="BX472" s="14"/>
      <c r="BY472" s="14"/>
      <c r="BZ472" s="14"/>
      <c r="CA472" s="14"/>
      <c r="CB472" s="14"/>
      <c r="CC472" s="14"/>
      <c r="CD472" s="14"/>
      <c r="CE472" s="14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</row>
    <row r="473">
      <c r="A473" s="12"/>
      <c r="B473" s="14"/>
      <c r="C473" s="14"/>
      <c r="D473" s="14"/>
      <c r="E473" s="12"/>
      <c r="F473" s="307"/>
      <c r="G473" s="307"/>
      <c r="H473" s="12"/>
      <c r="I473" s="30"/>
      <c r="J473" s="12"/>
      <c r="K473" s="12"/>
      <c r="L473" s="12"/>
      <c r="M473" s="12"/>
      <c r="N473" s="12"/>
      <c r="O473" s="308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4"/>
      <c r="BF473" s="12"/>
      <c r="BG473" s="12"/>
      <c r="BH473" s="12" t="str">
        <f>IFERROR(__xludf.DUMMYFUNCTION("IFERROR(INDEX(QUERY(IMPORTRANGE(""1T7HG8KEs-Ob7f3M5atEVN9Yn7IeORGp0QGvggB62ELw"",""Maestro!A:I""),""SELECT Col8 WHERE Col3 = '""&amp;BE473&amp;""'"", 0), 1, 1),""NO ENCONTRADO"")"),"")</f>
        <v/>
      </c>
      <c r="BI473" s="12" t="str">
        <f>IFERROR(__xludf.DUMMYFUNCTION("IFERROR(INDEX(QUERY(IMPORTRANGE(""1T7HG8KEs-Ob7f3M5atEVN9Yn7IeORGp0QGvggB62ELw"",""Maestro!A:I""),""SELECT Col7 WHERE Col3 = '""&amp;BE473&amp;""'"", 0), 1, 1),""NO ENCONTRADO"")"),"")</f>
        <v/>
      </c>
      <c r="BJ473" s="16">
        <f t="shared" si="19"/>
        <v>0</v>
      </c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4"/>
      <c r="BX473" s="14"/>
      <c r="BY473" s="14"/>
      <c r="BZ473" s="14"/>
      <c r="CA473" s="14"/>
      <c r="CB473" s="14"/>
      <c r="CC473" s="14"/>
      <c r="CD473" s="14"/>
      <c r="CE473" s="14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</row>
    <row r="474">
      <c r="A474" s="12"/>
      <c r="B474" s="14"/>
      <c r="C474" s="14"/>
      <c r="D474" s="14"/>
      <c r="E474" s="12"/>
      <c r="F474" s="307"/>
      <c r="G474" s="307"/>
      <c r="H474" s="12"/>
      <c r="I474" s="30"/>
      <c r="J474" s="12"/>
      <c r="K474" s="12"/>
      <c r="L474" s="12"/>
      <c r="M474" s="12"/>
      <c r="N474" s="12"/>
      <c r="O474" s="308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4"/>
      <c r="BF474" s="12"/>
      <c r="BG474" s="12"/>
      <c r="BH474" s="12" t="str">
        <f>IFERROR(__xludf.DUMMYFUNCTION("IFERROR(INDEX(QUERY(IMPORTRANGE(""1T7HG8KEs-Ob7f3M5atEVN9Yn7IeORGp0QGvggB62ELw"",""Maestro!A:I""),""SELECT Col8 WHERE Col3 = '""&amp;BE474&amp;""'"", 0), 1, 1),""NO ENCONTRADO"")"),"")</f>
        <v/>
      </c>
      <c r="BI474" s="12" t="str">
        <f>IFERROR(__xludf.DUMMYFUNCTION("IFERROR(INDEX(QUERY(IMPORTRANGE(""1T7HG8KEs-Ob7f3M5atEVN9Yn7IeORGp0QGvggB62ELw"",""Maestro!A:I""),""SELECT Col7 WHERE Col3 = '""&amp;BE474&amp;""'"", 0), 1, 1),""NO ENCONTRADO"")"),"")</f>
        <v/>
      </c>
      <c r="BJ474" s="16">
        <f t="shared" si="19"/>
        <v>0</v>
      </c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4"/>
      <c r="BX474" s="14"/>
      <c r="BY474" s="14"/>
      <c r="BZ474" s="14"/>
      <c r="CA474" s="14"/>
      <c r="CB474" s="14"/>
      <c r="CC474" s="14"/>
      <c r="CD474" s="14"/>
      <c r="CE474" s="14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</row>
    <row r="475">
      <c r="A475" s="12"/>
      <c r="B475" s="14"/>
      <c r="C475" s="14"/>
      <c r="D475" s="14"/>
      <c r="E475" s="12"/>
      <c r="F475" s="307"/>
      <c r="G475" s="307"/>
      <c r="H475" s="12"/>
      <c r="I475" s="30"/>
      <c r="J475" s="12"/>
      <c r="K475" s="12"/>
      <c r="L475" s="12"/>
      <c r="M475" s="12"/>
      <c r="N475" s="12"/>
      <c r="O475" s="308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4"/>
      <c r="BF475" s="12"/>
      <c r="BG475" s="12"/>
      <c r="BH475" s="12" t="str">
        <f>IFERROR(__xludf.DUMMYFUNCTION("IFERROR(INDEX(QUERY(IMPORTRANGE(""1T7HG8KEs-Ob7f3M5atEVN9Yn7IeORGp0QGvggB62ELw"",""Maestro!A:I""),""SELECT Col8 WHERE Col3 = '""&amp;BE475&amp;""'"", 0), 1, 1),""NO ENCONTRADO"")"),"")</f>
        <v/>
      </c>
      <c r="BI475" s="12" t="str">
        <f>IFERROR(__xludf.DUMMYFUNCTION("IFERROR(INDEX(QUERY(IMPORTRANGE(""1T7HG8KEs-Ob7f3M5atEVN9Yn7IeORGp0QGvggB62ELw"",""Maestro!A:I""),""SELECT Col7 WHERE Col3 = '""&amp;BE475&amp;""'"", 0), 1, 1),""NO ENCONTRADO"")"),"")</f>
        <v/>
      </c>
      <c r="BJ475" s="16">
        <f t="shared" si="19"/>
        <v>0</v>
      </c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4"/>
      <c r="BX475" s="14"/>
      <c r="BY475" s="14"/>
      <c r="BZ475" s="14"/>
      <c r="CA475" s="14"/>
      <c r="CB475" s="14"/>
      <c r="CC475" s="14"/>
      <c r="CD475" s="14"/>
      <c r="CE475" s="14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</row>
    <row r="476">
      <c r="A476" s="12"/>
      <c r="B476" s="14"/>
      <c r="C476" s="14"/>
      <c r="D476" s="14"/>
      <c r="E476" s="12"/>
      <c r="F476" s="307"/>
      <c r="G476" s="307"/>
      <c r="H476" s="12"/>
      <c r="I476" s="30"/>
      <c r="J476" s="12"/>
      <c r="K476" s="12"/>
      <c r="L476" s="12"/>
      <c r="M476" s="12"/>
      <c r="N476" s="12"/>
      <c r="O476" s="308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4"/>
      <c r="BF476" s="12"/>
      <c r="BG476" s="12"/>
      <c r="BH476" s="12" t="str">
        <f>IFERROR(__xludf.DUMMYFUNCTION("IFERROR(INDEX(QUERY(IMPORTRANGE(""1T7HG8KEs-Ob7f3M5atEVN9Yn7IeORGp0QGvggB62ELw"",""Maestro!A:I""),""SELECT Col8 WHERE Col3 = '""&amp;BE476&amp;""'"", 0), 1, 1),""NO ENCONTRADO"")"),"")</f>
        <v/>
      </c>
      <c r="BI476" s="12" t="str">
        <f>IFERROR(__xludf.DUMMYFUNCTION("IFERROR(INDEX(QUERY(IMPORTRANGE(""1T7HG8KEs-Ob7f3M5atEVN9Yn7IeORGp0QGvggB62ELw"",""Maestro!A:I""),""SELECT Col7 WHERE Col3 = '""&amp;BE476&amp;""'"", 0), 1, 1),""NO ENCONTRADO"")"),"")</f>
        <v/>
      </c>
      <c r="BJ476" s="16">
        <f t="shared" si="19"/>
        <v>0</v>
      </c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4"/>
      <c r="BX476" s="14"/>
      <c r="BY476" s="14"/>
      <c r="BZ476" s="14"/>
      <c r="CA476" s="14"/>
      <c r="CB476" s="14"/>
      <c r="CC476" s="14"/>
      <c r="CD476" s="14"/>
      <c r="CE476" s="14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</row>
    <row r="477">
      <c r="A477" s="12"/>
      <c r="B477" s="14"/>
      <c r="C477" s="14"/>
      <c r="D477" s="14"/>
      <c r="E477" s="12"/>
      <c r="F477" s="307"/>
      <c r="G477" s="307"/>
      <c r="H477" s="12"/>
      <c r="I477" s="30"/>
      <c r="J477" s="12"/>
      <c r="K477" s="12"/>
      <c r="L477" s="12"/>
      <c r="M477" s="12"/>
      <c r="N477" s="12"/>
      <c r="O477" s="308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4"/>
      <c r="BF477" s="12"/>
      <c r="BG477" s="12"/>
      <c r="BH477" s="12" t="str">
        <f>IFERROR(__xludf.DUMMYFUNCTION("IFERROR(INDEX(QUERY(IMPORTRANGE(""1T7HG8KEs-Ob7f3M5atEVN9Yn7IeORGp0QGvggB62ELw"",""Maestro!A:I""),""SELECT Col8 WHERE Col3 = '""&amp;BE477&amp;""'"", 0), 1, 1),""NO ENCONTRADO"")"),"")</f>
        <v/>
      </c>
      <c r="BI477" s="12" t="str">
        <f>IFERROR(__xludf.DUMMYFUNCTION("IFERROR(INDEX(QUERY(IMPORTRANGE(""1T7HG8KEs-Ob7f3M5atEVN9Yn7IeORGp0QGvggB62ELw"",""Maestro!A:I""),""SELECT Col7 WHERE Col3 = '""&amp;BE477&amp;""'"", 0), 1, 1),""NO ENCONTRADO"")"),"")</f>
        <v/>
      </c>
      <c r="BJ477" s="16">
        <f t="shared" si="19"/>
        <v>0</v>
      </c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4"/>
      <c r="BX477" s="14"/>
      <c r="BY477" s="14"/>
      <c r="BZ477" s="14"/>
      <c r="CA477" s="14"/>
      <c r="CB477" s="14"/>
      <c r="CC477" s="14"/>
      <c r="CD477" s="14"/>
      <c r="CE477" s="14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</row>
    <row r="478">
      <c r="A478" s="12"/>
      <c r="B478" s="14"/>
      <c r="C478" s="14"/>
      <c r="D478" s="14"/>
      <c r="E478" s="12"/>
      <c r="F478" s="307"/>
      <c r="G478" s="307"/>
      <c r="H478" s="12"/>
      <c r="I478" s="30"/>
      <c r="J478" s="12"/>
      <c r="K478" s="12"/>
      <c r="L478" s="12"/>
      <c r="M478" s="12"/>
      <c r="N478" s="12"/>
      <c r="O478" s="308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4"/>
      <c r="BF478" s="12"/>
      <c r="BG478" s="12"/>
      <c r="BH478" s="12" t="str">
        <f>IFERROR(__xludf.DUMMYFUNCTION("IFERROR(INDEX(QUERY(IMPORTRANGE(""1T7HG8KEs-Ob7f3M5atEVN9Yn7IeORGp0QGvggB62ELw"",""Maestro!A:I""),""SELECT Col8 WHERE Col3 = '""&amp;BE478&amp;""'"", 0), 1, 1),""NO ENCONTRADO"")"),"")</f>
        <v/>
      </c>
      <c r="BI478" s="12" t="str">
        <f>IFERROR(__xludf.DUMMYFUNCTION("IFERROR(INDEX(QUERY(IMPORTRANGE(""1T7HG8KEs-Ob7f3M5atEVN9Yn7IeORGp0QGvggB62ELw"",""Maestro!A:I""),""SELECT Col7 WHERE Col3 = '""&amp;BE478&amp;""'"", 0), 1, 1),""NO ENCONTRADO"")"),"")</f>
        <v/>
      </c>
      <c r="BJ478" s="16">
        <f t="shared" si="19"/>
        <v>0</v>
      </c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4"/>
      <c r="BX478" s="14"/>
      <c r="BY478" s="14"/>
      <c r="BZ478" s="14"/>
      <c r="CA478" s="14"/>
      <c r="CB478" s="14"/>
      <c r="CC478" s="14"/>
      <c r="CD478" s="14"/>
      <c r="CE478" s="14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</row>
    <row r="479">
      <c r="A479" s="12"/>
      <c r="B479" s="14"/>
      <c r="C479" s="14"/>
      <c r="D479" s="14"/>
      <c r="E479" s="12"/>
      <c r="F479" s="307"/>
      <c r="G479" s="307"/>
      <c r="H479" s="12"/>
      <c r="I479" s="30"/>
      <c r="J479" s="12"/>
      <c r="K479" s="12"/>
      <c r="L479" s="12"/>
      <c r="M479" s="12"/>
      <c r="N479" s="12"/>
      <c r="O479" s="308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4"/>
      <c r="BF479" s="12"/>
      <c r="BG479" s="12"/>
      <c r="BH479" s="12" t="str">
        <f>IFERROR(__xludf.DUMMYFUNCTION("IFERROR(INDEX(QUERY(IMPORTRANGE(""1T7HG8KEs-Ob7f3M5atEVN9Yn7IeORGp0QGvggB62ELw"",""Maestro!A:I""),""SELECT Col8 WHERE Col3 = '""&amp;BE479&amp;""'"", 0), 1, 1),""NO ENCONTRADO"")"),"")</f>
        <v/>
      </c>
      <c r="BI479" s="12" t="str">
        <f>IFERROR(__xludf.DUMMYFUNCTION("IFERROR(INDEX(QUERY(IMPORTRANGE(""1T7HG8KEs-Ob7f3M5atEVN9Yn7IeORGp0QGvggB62ELw"",""Maestro!A:I""),""SELECT Col7 WHERE Col3 = '""&amp;BE479&amp;""'"", 0), 1, 1),""NO ENCONTRADO"")"),"")</f>
        <v/>
      </c>
      <c r="BJ479" s="16">
        <f t="shared" si="19"/>
        <v>0</v>
      </c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4"/>
      <c r="BX479" s="14"/>
      <c r="BY479" s="14"/>
      <c r="BZ479" s="14"/>
      <c r="CA479" s="14"/>
      <c r="CB479" s="14"/>
      <c r="CC479" s="14"/>
      <c r="CD479" s="14"/>
      <c r="CE479" s="14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</row>
    <row r="480">
      <c r="A480" s="12"/>
      <c r="B480" s="14"/>
      <c r="C480" s="14"/>
      <c r="D480" s="14"/>
      <c r="E480" s="12"/>
      <c r="F480" s="307"/>
      <c r="G480" s="307"/>
      <c r="H480" s="12"/>
      <c r="I480" s="30"/>
      <c r="J480" s="12"/>
      <c r="K480" s="12"/>
      <c r="L480" s="12"/>
      <c r="M480" s="12"/>
      <c r="N480" s="12"/>
      <c r="O480" s="308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4"/>
      <c r="BF480" s="12"/>
      <c r="BG480" s="12"/>
      <c r="BH480" s="12" t="str">
        <f>IFERROR(__xludf.DUMMYFUNCTION("IFERROR(INDEX(QUERY(IMPORTRANGE(""1T7HG8KEs-Ob7f3M5atEVN9Yn7IeORGp0QGvggB62ELw"",""Maestro!A:I""),""SELECT Col8 WHERE Col3 = '""&amp;BE480&amp;""'"", 0), 1, 1),""NO ENCONTRADO"")"),"")</f>
        <v/>
      </c>
      <c r="BI480" s="12" t="str">
        <f>IFERROR(__xludf.DUMMYFUNCTION("IFERROR(INDEX(QUERY(IMPORTRANGE(""1T7HG8KEs-Ob7f3M5atEVN9Yn7IeORGp0QGvggB62ELw"",""Maestro!A:I""),""SELECT Col7 WHERE Col3 = '""&amp;BE480&amp;""'"", 0), 1, 1),""NO ENCONTRADO"")"),"")</f>
        <v/>
      </c>
      <c r="BJ480" s="16">
        <f t="shared" si="19"/>
        <v>0</v>
      </c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4"/>
      <c r="BX480" s="14"/>
      <c r="BY480" s="14"/>
      <c r="BZ480" s="14"/>
      <c r="CA480" s="14"/>
      <c r="CB480" s="14"/>
      <c r="CC480" s="14"/>
      <c r="CD480" s="14"/>
      <c r="CE480" s="14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</row>
    <row r="481">
      <c r="A481" s="12"/>
      <c r="B481" s="14"/>
      <c r="C481" s="14"/>
      <c r="D481" s="14"/>
      <c r="E481" s="12"/>
      <c r="F481" s="307"/>
      <c r="G481" s="307"/>
      <c r="H481" s="12"/>
      <c r="I481" s="30"/>
      <c r="J481" s="12"/>
      <c r="K481" s="12"/>
      <c r="L481" s="12"/>
      <c r="M481" s="12"/>
      <c r="N481" s="12"/>
      <c r="O481" s="308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4"/>
      <c r="BF481" s="12"/>
      <c r="BG481" s="12"/>
      <c r="BH481" s="12" t="str">
        <f>IFERROR(__xludf.DUMMYFUNCTION("IFERROR(INDEX(QUERY(IMPORTRANGE(""1T7HG8KEs-Ob7f3M5atEVN9Yn7IeORGp0QGvggB62ELw"",""Maestro!A:I""),""SELECT Col8 WHERE Col3 = '""&amp;BE481&amp;""'"", 0), 1, 1),""NO ENCONTRADO"")"),"")</f>
        <v/>
      </c>
      <c r="BI481" s="12" t="str">
        <f>IFERROR(__xludf.DUMMYFUNCTION("IFERROR(INDEX(QUERY(IMPORTRANGE(""1T7HG8KEs-Ob7f3M5atEVN9Yn7IeORGp0QGvggB62ELw"",""Maestro!A:I""),""SELECT Col7 WHERE Col3 = '""&amp;BE481&amp;""'"", 0), 1, 1),""NO ENCONTRADO"")"),"")</f>
        <v/>
      </c>
      <c r="BJ481" s="16">
        <f t="shared" si="19"/>
        <v>0</v>
      </c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4"/>
      <c r="BX481" s="14"/>
      <c r="BY481" s="14"/>
      <c r="BZ481" s="14"/>
      <c r="CA481" s="14"/>
      <c r="CB481" s="14"/>
      <c r="CC481" s="14"/>
      <c r="CD481" s="14"/>
      <c r="CE481" s="14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</row>
    <row r="482">
      <c r="A482" s="12"/>
      <c r="B482" s="14"/>
      <c r="C482" s="14"/>
      <c r="D482" s="14"/>
      <c r="E482" s="12"/>
      <c r="F482" s="307"/>
      <c r="G482" s="307"/>
      <c r="H482" s="12"/>
      <c r="I482" s="30"/>
      <c r="J482" s="12"/>
      <c r="K482" s="12"/>
      <c r="L482" s="12"/>
      <c r="M482" s="12"/>
      <c r="N482" s="12"/>
      <c r="O482" s="308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4"/>
      <c r="BF482" s="12"/>
      <c r="BG482" s="12"/>
      <c r="BH482" s="12" t="str">
        <f>IFERROR(__xludf.DUMMYFUNCTION("IFERROR(INDEX(QUERY(IMPORTRANGE(""1T7HG8KEs-Ob7f3M5atEVN9Yn7IeORGp0QGvggB62ELw"",""Maestro!A:I""),""SELECT Col8 WHERE Col3 = '""&amp;BE482&amp;""'"", 0), 1, 1),""NO ENCONTRADO"")"),"")</f>
        <v/>
      </c>
      <c r="BI482" s="12" t="str">
        <f>IFERROR(__xludf.DUMMYFUNCTION("IFERROR(INDEX(QUERY(IMPORTRANGE(""1T7HG8KEs-Ob7f3M5atEVN9Yn7IeORGp0QGvggB62ELw"",""Maestro!A:I""),""SELECT Col7 WHERE Col3 = '""&amp;BE482&amp;""'"", 0), 1, 1),""NO ENCONTRADO"")"),"")</f>
        <v/>
      </c>
      <c r="BJ482" s="16">
        <f t="shared" si="19"/>
        <v>0</v>
      </c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4"/>
      <c r="BX482" s="14"/>
      <c r="BY482" s="14"/>
      <c r="BZ482" s="14"/>
      <c r="CA482" s="14"/>
      <c r="CB482" s="14"/>
      <c r="CC482" s="14"/>
      <c r="CD482" s="14"/>
      <c r="CE482" s="14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</row>
    <row r="483">
      <c r="A483" s="12"/>
      <c r="B483" s="14"/>
      <c r="C483" s="14"/>
      <c r="D483" s="14"/>
      <c r="E483" s="12"/>
      <c r="F483" s="307"/>
      <c r="G483" s="307"/>
      <c r="H483" s="12"/>
      <c r="I483" s="30"/>
      <c r="J483" s="12"/>
      <c r="K483" s="12"/>
      <c r="L483" s="12"/>
      <c r="M483" s="12"/>
      <c r="N483" s="12"/>
      <c r="O483" s="308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4"/>
      <c r="BF483" s="12"/>
      <c r="BG483" s="12"/>
      <c r="BH483" s="12" t="str">
        <f>IFERROR(__xludf.DUMMYFUNCTION("IFERROR(INDEX(QUERY(IMPORTRANGE(""1T7HG8KEs-Ob7f3M5atEVN9Yn7IeORGp0QGvggB62ELw"",""Maestro!A:I""),""SELECT Col8 WHERE Col3 = '""&amp;BE483&amp;""'"", 0), 1, 1),""NO ENCONTRADO"")"),"")</f>
        <v/>
      </c>
      <c r="BI483" s="12" t="str">
        <f>IFERROR(__xludf.DUMMYFUNCTION("IFERROR(INDEX(QUERY(IMPORTRANGE(""1T7HG8KEs-Ob7f3M5atEVN9Yn7IeORGp0QGvggB62ELw"",""Maestro!A:I""),""SELECT Col7 WHERE Col3 = '""&amp;BE483&amp;""'"", 0), 1, 1),""NO ENCONTRADO"")"),"")</f>
        <v/>
      </c>
      <c r="BJ483" s="16">
        <f t="shared" si="19"/>
        <v>0</v>
      </c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4"/>
      <c r="BX483" s="14"/>
      <c r="BY483" s="14"/>
      <c r="BZ483" s="14"/>
      <c r="CA483" s="14"/>
      <c r="CB483" s="14"/>
      <c r="CC483" s="14"/>
      <c r="CD483" s="14"/>
      <c r="CE483" s="14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</row>
    <row r="484">
      <c r="A484" s="12"/>
      <c r="B484" s="14"/>
      <c r="C484" s="14"/>
      <c r="D484" s="14"/>
      <c r="E484" s="12"/>
      <c r="F484" s="307"/>
      <c r="G484" s="307"/>
      <c r="H484" s="12"/>
      <c r="I484" s="30"/>
      <c r="J484" s="12"/>
      <c r="K484" s="12"/>
      <c r="L484" s="12"/>
      <c r="M484" s="12"/>
      <c r="N484" s="12"/>
      <c r="O484" s="308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4"/>
      <c r="BF484" s="12"/>
      <c r="BG484" s="12"/>
      <c r="BH484" s="12" t="str">
        <f>IFERROR(__xludf.DUMMYFUNCTION("IFERROR(INDEX(QUERY(IMPORTRANGE(""1T7HG8KEs-Ob7f3M5atEVN9Yn7IeORGp0QGvggB62ELw"",""Maestro!A:I""),""SELECT Col8 WHERE Col3 = '""&amp;BE484&amp;""'"", 0), 1, 1),""NO ENCONTRADO"")"),"")</f>
        <v/>
      </c>
      <c r="BI484" s="12" t="str">
        <f>IFERROR(__xludf.DUMMYFUNCTION("IFERROR(INDEX(QUERY(IMPORTRANGE(""1T7HG8KEs-Ob7f3M5atEVN9Yn7IeORGp0QGvggB62ELw"",""Maestro!A:I""),""SELECT Col7 WHERE Col3 = '""&amp;BE484&amp;""'"", 0), 1, 1),""NO ENCONTRADO"")"),"")</f>
        <v/>
      </c>
      <c r="BJ484" s="16">
        <f t="shared" si="19"/>
        <v>0</v>
      </c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4"/>
      <c r="BX484" s="14"/>
      <c r="BY484" s="14"/>
      <c r="BZ484" s="14"/>
      <c r="CA484" s="14"/>
      <c r="CB484" s="14"/>
      <c r="CC484" s="14"/>
      <c r="CD484" s="14"/>
      <c r="CE484" s="14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</row>
    <row r="485">
      <c r="A485" s="12"/>
      <c r="B485" s="14"/>
      <c r="C485" s="14"/>
      <c r="D485" s="14"/>
      <c r="E485" s="12"/>
      <c r="F485" s="307"/>
      <c r="G485" s="307"/>
      <c r="H485" s="12"/>
      <c r="I485" s="30"/>
      <c r="J485" s="12"/>
      <c r="K485" s="12"/>
      <c r="L485" s="12"/>
      <c r="M485" s="12"/>
      <c r="N485" s="12"/>
      <c r="O485" s="308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4"/>
      <c r="BF485" s="12"/>
      <c r="BG485" s="12"/>
      <c r="BH485" s="12" t="str">
        <f>IFERROR(__xludf.DUMMYFUNCTION("IFERROR(INDEX(QUERY(IMPORTRANGE(""1T7HG8KEs-Ob7f3M5atEVN9Yn7IeORGp0QGvggB62ELw"",""Maestro!A:I""),""SELECT Col8 WHERE Col3 = '""&amp;BE485&amp;""'"", 0), 1, 1),""NO ENCONTRADO"")"),"")</f>
        <v/>
      </c>
      <c r="BI485" s="12" t="str">
        <f>IFERROR(__xludf.DUMMYFUNCTION("IFERROR(INDEX(QUERY(IMPORTRANGE(""1T7HG8KEs-Ob7f3M5atEVN9Yn7IeORGp0QGvggB62ELw"",""Maestro!A:I""),""SELECT Col7 WHERE Col3 = '""&amp;BE485&amp;""'"", 0), 1, 1),""NO ENCONTRADO"")"),"")</f>
        <v/>
      </c>
      <c r="BJ485" s="16">
        <f t="shared" si="19"/>
        <v>0</v>
      </c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4"/>
      <c r="BX485" s="14"/>
      <c r="BY485" s="14"/>
      <c r="BZ485" s="14"/>
      <c r="CA485" s="14"/>
      <c r="CB485" s="14"/>
      <c r="CC485" s="14"/>
      <c r="CD485" s="14"/>
      <c r="CE485" s="14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</row>
    <row r="486">
      <c r="A486" s="12"/>
      <c r="B486" s="14"/>
      <c r="C486" s="14"/>
      <c r="D486" s="14"/>
      <c r="E486" s="12"/>
      <c r="F486" s="307"/>
      <c r="G486" s="307"/>
      <c r="H486" s="12"/>
      <c r="I486" s="30"/>
      <c r="J486" s="12"/>
      <c r="K486" s="12"/>
      <c r="L486" s="12"/>
      <c r="M486" s="12"/>
      <c r="N486" s="12"/>
      <c r="O486" s="308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4"/>
      <c r="BF486" s="12"/>
      <c r="BG486" s="12"/>
      <c r="BH486" s="12" t="str">
        <f>IFERROR(__xludf.DUMMYFUNCTION("IFERROR(INDEX(QUERY(IMPORTRANGE(""1T7HG8KEs-Ob7f3M5atEVN9Yn7IeORGp0QGvggB62ELw"",""Maestro!A:I""),""SELECT Col8 WHERE Col3 = '""&amp;BE486&amp;""'"", 0), 1, 1),""NO ENCONTRADO"")"),"")</f>
        <v/>
      </c>
      <c r="BI486" s="12" t="str">
        <f>IFERROR(__xludf.DUMMYFUNCTION("IFERROR(INDEX(QUERY(IMPORTRANGE(""1T7HG8KEs-Ob7f3M5atEVN9Yn7IeORGp0QGvggB62ELw"",""Maestro!A:I""),""SELECT Col7 WHERE Col3 = '""&amp;BE486&amp;""'"", 0), 1, 1),""NO ENCONTRADO"")"),"")</f>
        <v/>
      </c>
      <c r="BJ486" s="16">
        <f t="shared" si="19"/>
        <v>0</v>
      </c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4"/>
      <c r="BX486" s="14"/>
      <c r="BY486" s="14"/>
      <c r="BZ486" s="14"/>
      <c r="CA486" s="14"/>
      <c r="CB486" s="14"/>
      <c r="CC486" s="14"/>
      <c r="CD486" s="14"/>
      <c r="CE486" s="14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</row>
    <row r="487">
      <c r="A487" s="12"/>
      <c r="B487" s="14"/>
      <c r="C487" s="14"/>
      <c r="D487" s="14"/>
      <c r="E487" s="12"/>
      <c r="F487" s="307"/>
      <c r="G487" s="307"/>
      <c r="H487" s="12"/>
      <c r="I487" s="30"/>
      <c r="J487" s="12"/>
      <c r="K487" s="12"/>
      <c r="L487" s="12"/>
      <c r="M487" s="12"/>
      <c r="N487" s="12"/>
      <c r="O487" s="308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4"/>
      <c r="BF487" s="12"/>
      <c r="BG487" s="12"/>
      <c r="BH487" s="12" t="str">
        <f>IFERROR(__xludf.DUMMYFUNCTION("IFERROR(INDEX(QUERY(IMPORTRANGE(""1T7HG8KEs-Ob7f3M5atEVN9Yn7IeORGp0QGvggB62ELw"",""Maestro!A:I""),""SELECT Col8 WHERE Col3 = '""&amp;BE487&amp;""'"", 0), 1, 1),""NO ENCONTRADO"")"),"")</f>
        <v/>
      </c>
      <c r="BI487" s="12" t="str">
        <f>IFERROR(__xludf.DUMMYFUNCTION("IFERROR(INDEX(QUERY(IMPORTRANGE(""1T7HG8KEs-Ob7f3M5atEVN9Yn7IeORGp0QGvggB62ELw"",""Maestro!A:I""),""SELECT Col7 WHERE Col3 = '""&amp;BE487&amp;""'"", 0), 1, 1),""NO ENCONTRADO"")"),"")</f>
        <v/>
      </c>
      <c r="BJ487" s="16">
        <f t="shared" si="19"/>
        <v>0</v>
      </c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4"/>
      <c r="BX487" s="14"/>
      <c r="BY487" s="14"/>
      <c r="BZ487" s="14"/>
      <c r="CA487" s="14"/>
      <c r="CB487" s="14"/>
      <c r="CC487" s="14"/>
      <c r="CD487" s="14"/>
      <c r="CE487" s="14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</row>
    <row r="488">
      <c r="A488" s="12"/>
      <c r="B488" s="14"/>
      <c r="C488" s="14"/>
      <c r="D488" s="14"/>
      <c r="E488" s="12"/>
      <c r="F488" s="307"/>
      <c r="G488" s="307"/>
      <c r="H488" s="12"/>
      <c r="I488" s="30"/>
      <c r="J488" s="12"/>
      <c r="K488" s="12"/>
      <c r="L488" s="12"/>
      <c r="M488" s="12"/>
      <c r="N488" s="12"/>
      <c r="O488" s="308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4"/>
      <c r="BF488" s="12"/>
      <c r="BG488" s="12"/>
      <c r="BH488" s="12" t="str">
        <f>IFERROR(__xludf.DUMMYFUNCTION("IFERROR(INDEX(QUERY(IMPORTRANGE(""1T7HG8KEs-Ob7f3M5atEVN9Yn7IeORGp0QGvggB62ELw"",""Maestro!A:I""),""SELECT Col8 WHERE Col3 = '""&amp;BE488&amp;""'"", 0), 1, 1),""NO ENCONTRADO"")"),"")</f>
        <v/>
      </c>
      <c r="BI488" s="12" t="str">
        <f>IFERROR(__xludf.DUMMYFUNCTION("IFERROR(INDEX(QUERY(IMPORTRANGE(""1T7HG8KEs-Ob7f3M5atEVN9Yn7IeORGp0QGvggB62ELw"",""Maestro!A:I""),""SELECT Col7 WHERE Col3 = '""&amp;BE488&amp;""'"", 0), 1, 1),""NO ENCONTRADO"")"),"")</f>
        <v/>
      </c>
      <c r="BJ488" s="16">
        <f t="shared" si="19"/>
        <v>0</v>
      </c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4"/>
      <c r="BX488" s="14"/>
      <c r="BY488" s="14"/>
      <c r="BZ488" s="14"/>
      <c r="CA488" s="14"/>
      <c r="CB488" s="14"/>
      <c r="CC488" s="14"/>
      <c r="CD488" s="14"/>
      <c r="CE488" s="14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</row>
    <row r="489">
      <c r="A489" s="12"/>
      <c r="B489" s="14"/>
      <c r="C489" s="14"/>
      <c r="D489" s="14"/>
      <c r="E489" s="12"/>
      <c r="F489" s="307"/>
      <c r="G489" s="307"/>
      <c r="H489" s="12"/>
      <c r="I489" s="30"/>
      <c r="J489" s="12"/>
      <c r="K489" s="12"/>
      <c r="L489" s="12"/>
      <c r="M489" s="12"/>
      <c r="N489" s="12"/>
      <c r="O489" s="308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4"/>
      <c r="BF489" s="12"/>
      <c r="BG489" s="12"/>
      <c r="BH489" s="12" t="str">
        <f>IFERROR(__xludf.DUMMYFUNCTION("IFERROR(INDEX(QUERY(IMPORTRANGE(""1T7HG8KEs-Ob7f3M5atEVN9Yn7IeORGp0QGvggB62ELw"",""Maestro!A:I""),""SELECT Col8 WHERE Col3 = '""&amp;BE489&amp;""'"", 0), 1, 1),""NO ENCONTRADO"")"),"")</f>
        <v/>
      </c>
      <c r="BI489" s="12" t="str">
        <f>IFERROR(__xludf.DUMMYFUNCTION("IFERROR(INDEX(QUERY(IMPORTRANGE(""1T7HG8KEs-Ob7f3M5atEVN9Yn7IeORGp0QGvggB62ELw"",""Maestro!A:I""),""SELECT Col7 WHERE Col3 = '""&amp;BE489&amp;""'"", 0), 1, 1),""NO ENCONTRADO"")"),"")</f>
        <v/>
      </c>
      <c r="BJ489" s="16">
        <f t="shared" si="19"/>
        <v>0</v>
      </c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4"/>
      <c r="BX489" s="14"/>
      <c r="BY489" s="14"/>
      <c r="BZ489" s="14"/>
      <c r="CA489" s="14"/>
      <c r="CB489" s="14"/>
      <c r="CC489" s="14"/>
      <c r="CD489" s="14"/>
      <c r="CE489" s="14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</row>
    <row r="490">
      <c r="A490" s="12"/>
      <c r="B490" s="14"/>
      <c r="C490" s="14"/>
      <c r="D490" s="14"/>
      <c r="E490" s="12"/>
      <c r="F490" s="307"/>
      <c r="G490" s="307"/>
      <c r="H490" s="12"/>
      <c r="I490" s="30"/>
      <c r="J490" s="12"/>
      <c r="K490" s="12"/>
      <c r="L490" s="12"/>
      <c r="M490" s="12"/>
      <c r="N490" s="12"/>
      <c r="O490" s="308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4"/>
      <c r="BF490" s="12"/>
      <c r="BG490" s="12"/>
      <c r="BH490" s="12" t="str">
        <f>IFERROR(__xludf.DUMMYFUNCTION("IFERROR(INDEX(QUERY(IMPORTRANGE(""1T7HG8KEs-Ob7f3M5atEVN9Yn7IeORGp0QGvggB62ELw"",""Maestro!A:I""),""SELECT Col8 WHERE Col3 = '""&amp;BE490&amp;""'"", 0), 1, 1),""NO ENCONTRADO"")"),"")</f>
        <v/>
      </c>
      <c r="BI490" s="12" t="str">
        <f>IFERROR(__xludf.DUMMYFUNCTION("IFERROR(INDEX(QUERY(IMPORTRANGE(""1T7HG8KEs-Ob7f3M5atEVN9Yn7IeORGp0QGvggB62ELw"",""Maestro!A:I""),""SELECT Col7 WHERE Col3 = '""&amp;BE490&amp;""'"", 0), 1, 1),""NO ENCONTRADO"")"),"")</f>
        <v/>
      </c>
      <c r="BJ490" s="16">
        <f t="shared" si="19"/>
        <v>0</v>
      </c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4"/>
      <c r="BX490" s="14"/>
      <c r="BY490" s="14"/>
      <c r="BZ490" s="14"/>
      <c r="CA490" s="14"/>
      <c r="CB490" s="14"/>
      <c r="CC490" s="14"/>
      <c r="CD490" s="14"/>
      <c r="CE490" s="14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</row>
    <row r="491">
      <c r="A491" s="12"/>
      <c r="B491" s="14"/>
      <c r="C491" s="14"/>
      <c r="D491" s="14"/>
      <c r="E491" s="12"/>
      <c r="F491" s="307"/>
      <c r="G491" s="307"/>
      <c r="H491" s="12"/>
      <c r="I491" s="30"/>
      <c r="J491" s="12"/>
      <c r="K491" s="12"/>
      <c r="L491" s="12"/>
      <c r="M491" s="12"/>
      <c r="N491" s="12"/>
      <c r="O491" s="308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4"/>
      <c r="BF491" s="12"/>
      <c r="BG491" s="12"/>
      <c r="BH491" s="12" t="str">
        <f>IFERROR(__xludf.DUMMYFUNCTION("IFERROR(INDEX(QUERY(IMPORTRANGE(""1T7HG8KEs-Ob7f3M5atEVN9Yn7IeORGp0QGvggB62ELw"",""Maestro!A:I""),""SELECT Col8 WHERE Col3 = '""&amp;BE491&amp;""'"", 0), 1, 1),""NO ENCONTRADO"")"),"")</f>
        <v/>
      </c>
      <c r="BI491" s="12" t="str">
        <f>IFERROR(__xludf.DUMMYFUNCTION("IFERROR(INDEX(QUERY(IMPORTRANGE(""1T7HG8KEs-Ob7f3M5atEVN9Yn7IeORGp0QGvggB62ELw"",""Maestro!A:I""),""SELECT Col7 WHERE Col3 = '""&amp;BE491&amp;""'"", 0), 1, 1),""NO ENCONTRADO"")"),"")</f>
        <v/>
      </c>
      <c r="BJ491" s="16">
        <f t="shared" si="19"/>
        <v>0</v>
      </c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4"/>
      <c r="BX491" s="14"/>
      <c r="BY491" s="14"/>
      <c r="BZ491" s="14"/>
      <c r="CA491" s="14"/>
      <c r="CB491" s="14"/>
      <c r="CC491" s="14"/>
      <c r="CD491" s="14"/>
      <c r="CE491" s="14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</row>
    <row r="492">
      <c r="A492" s="12"/>
      <c r="B492" s="14"/>
      <c r="C492" s="14"/>
      <c r="D492" s="14"/>
      <c r="E492" s="12"/>
      <c r="F492" s="307"/>
      <c r="G492" s="307"/>
      <c r="H492" s="12"/>
      <c r="I492" s="30"/>
      <c r="J492" s="12"/>
      <c r="K492" s="12"/>
      <c r="L492" s="12"/>
      <c r="M492" s="12"/>
      <c r="N492" s="12"/>
      <c r="O492" s="308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4"/>
      <c r="BF492" s="12"/>
      <c r="BG492" s="12"/>
      <c r="BH492" s="12" t="str">
        <f>IFERROR(__xludf.DUMMYFUNCTION("IFERROR(INDEX(QUERY(IMPORTRANGE(""1T7HG8KEs-Ob7f3M5atEVN9Yn7IeORGp0QGvggB62ELw"",""Maestro!A:I""),""SELECT Col8 WHERE Col3 = '""&amp;BE492&amp;""'"", 0), 1, 1),""NO ENCONTRADO"")"),"")</f>
        <v/>
      </c>
      <c r="BI492" s="12" t="str">
        <f>IFERROR(__xludf.DUMMYFUNCTION("IFERROR(INDEX(QUERY(IMPORTRANGE(""1T7HG8KEs-Ob7f3M5atEVN9Yn7IeORGp0QGvggB62ELw"",""Maestro!A:I""),""SELECT Col7 WHERE Col3 = '""&amp;BE492&amp;""'"", 0), 1, 1),""NO ENCONTRADO"")"),"")</f>
        <v/>
      </c>
      <c r="BJ492" s="16">
        <f t="shared" si="19"/>
        <v>0</v>
      </c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4"/>
      <c r="BX492" s="14"/>
      <c r="BY492" s="14"/>
      <c r="BZ492" s="14"/>
      <c r="CA492" s="14"/>
      <c r="CB492" s="14"/>
      <c r="CC492" s="14"/>
      <c r="CD492" s="14"/>
      <c r="CE492" s="14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</row>
    <row r="493">
      <c r="A493" s="12"/>
      <c r="B493" s="14"/>
      <c r="C493" s="14"/>
      <c r="D493" s="14"/>
      <c r="E493" s="12"/>
      <c r="F493" s="307"/>
      <c r="G493" s="307"/>
      <c r="H493" s="12"/>
      <c r="I493" s="30"/>
      <c r="J493" s="12"/>
      <c r="K493" s="12"/>
      <c r="L493" s="12"/>
      <c r="M493" s="12"/>
      <c r="N493" s="12"/>
      <c r="O493" s="308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4"/>
      <c r="BF493" s="12"/>
      <c r="BG493" s="12"/>
      <c r="BH493" s="12" t="str">
        <f>IFERROR(__xludf.DUMMYFUNCTION("IFERROR(INDEX(QUERY(IMPORTRANGE(""1T7HG8KEs-Ob7f3M5atEVN9Yn7IeORGp0QGvggB62ELw"",""Maestro!A:I""),""SELECT Col8 WHERE Col3 = '""&amp;BE493&amp;""'"", 0), 1, 1),""NO ENCONTRADO"")"),"")</f>
        <v/>
      </c>
      <c r="BI493" s="12" t="str">
        <f>IFERROR(__xludf.DUMMYFUNCTION("IFERROR(INDEX(QUERY(IMPORTRANGE(""1T7HG8KEs-Ob7f3M5atEVN9Yn7IeORGp0QGvggB62ELw"",""Maestro!A:I""),""SELECT Col7 WHERE Col3 = '""&amp;BE493&amp;""'"", 0), 1, 1),""NO ENCONTRADO"")"),"")</f>
        <v/>
      </c>
      <c r="BJ493" s="16">
        <f t="shared" si="19"/>
        <v>0</v>
      </c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4"/>
      <c r="BX493" s="14"/>
      <c r="BY493" s="14"/>
      <c r="BZ493" s="14"/>
      <c r="CA493" s="14"/>
      <c r="CB493" s="14"/>
      <c r="CC493" s="14"/>
      <c r="CD493" s="14"/>
      <c r="CE493" s="14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</row>
    <row r="494">
      <c r="A494" s="12"/>
      <c r="B494" s="14"/>
      <c r="C494" s="14"/>
      <c r="D494" s="14"/>
      <c r="E494" s="12"/>
      <c r="F494" s="307"/>
      <c r="G494" s="307"/>
      <c r="H494" s="12"/>
      <c r="I494" s="30"/>
      <c r="J494" s="12"/>
      <c r="K494" s="12"/>
      <c r="L494" s="12"/>
      <c r="M494" s="12"/>
      <c r="N494" s="12"/>
      <c r="O494" s="308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4"/>
      <c r="BF494" s="12"/>
      <c r="BG494" s="12"/>
      <c r="BH494" s="12" t="str">
        <f>IFERROR(__xludf.DUMMYFUNCTION("IFERROR(INDEX(QUERY(IMPORTRANGE(""1T7HG8KEs-Ob7f3M5atEVN9Yn7IeORGp0QGvggB62ELw"",""Maestro!A:I""),""SELECT Col8 WHERE Col3 = '""&amp;BE494&amp;""'"", 0), 1, 1),""NO ENCONTRADO"")"),"")</f>
        <v/>
      </c>
      <c r="BI494" s="12" t="str">
        <f>IFERROR(__xludf.DUMMYFUNCTION("IFERROR(INDEX(QUERY(IMPORTRANGE(""1T7HG8KEs-Ob7f3M5atEVN9Yn7IeORGp0QGvggB62ELw"",""Maestro!A:I""),""SELECT Col7 WHERE Col3 = '""&amp;BE494&amp;""'"", 0), 1, 1),""NO ENCONTRADO"")"),"")</f>
        <v/>
      </c>
      <c r="BJ494" s="16">
        <f t="shared" si="19"/>
        <v>0</v>
      </c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4"/>
      <c r="BX494" s="14"/>
      <c r="BY494" s="14"/>
      <c r="BZ494" s="14"/>
      <c r="CA494" s="14"/>
      <c r="CB494" s="14"/>
      <c r="CC494" s="14"/>
      <c r="CD494" s="14"/>
      <c r="CE494" s="14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</row>
    <row r="495">
      <c r="A495" s="12"/>
      <c r="B495" s="14"/>
      <c r="C495" s="14"/>
      <c r="D495" s="14"/>
      <c r="E495" s="12"/>
      <c r="F495" s="307"/>
      <c r="G495" s="307"/>
      <c r="H495" s="12"/>
      <c r="I495" s="30"/>
      <c r="J495" s="12"/>
      <c r="K495" s="12"/>
      <c r="L495" s="12"/>
      <c r="M495" s="12"/>
      <c r="N495" s="12"/>
      <c r="O495" s="308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4"/>
      <c r="BF495" s="12"/>
      <c r="BG495" s="12"/>
      <c r="BH495" s="12" t="str">
        <f>IFERROR(__xludf.DUMMYFUNCTION("IFERROR(INDEX(QUERY(IMPORTRANGE(""1T7HG8KEs-Ob7f3M5atEVN9Yn7IeORGp0QGvggB62ELw"",""Maestro!A:I""),""SELECT Col8 WHERE Col3 = '""&amp;BE495&amp;""'"", 0), 1, 1),""NO ENCONTRADO"")"),"")</f>
        <v/>
      </c>
      <c r="BI495" s="12" t="str">
        <f>IFERROR(__xludf.DUMMYFUNCTION("IFERROR(INDEX(QUERY(IMPORTRANGE(""1T7HG8KEs-Ob7f3M5atEVN9Yn7IeORGp0QGvggB62ELw"",""Maestro!A:I""),""SELECT Col7 WHERE Col3 = '""&amp;BE495&amp;""'"", 0), 1, 1),""NO ENCONTRADO"")"),"")</f>
        <v/>
      </c>
      <c r="BJ495" s="16">
        <f t="shared" si="19"/>
        <v>0</v>
      </c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4"/>
      <c r="BX495" s="14"/>
      <c r="BY495" s="14"/>
      <c r="BZ495" s="14"/>
      <c r="CA495" s="14"/>
      <c r="CB495" s="14"/>
      <c r="CC495" s="14"/>
      <c r="CD495" s="14"/>
      <c r="CE495" s="14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</row>
    <row r="496">
      <c r="A496" s="12"/>
      <c r="B496" s="14"/>
      <c r="C496" s="14"/>
      <c r="D496" s="14"/>
      <c r="E496" s="12"/>
      <c r="F496" s="307"/>
      <c r="G496" s="307"/>
      <c r="H496" s="12"/>
      <c r="I496" s="30"/>
      <c r="J496" s="12"/>
      <c r="K496" s="12"/>
      <c r="L496" s="12"/>
      <c r="M496" s="12"/>
      <c r="N496" s="12"/>
      <c r="O496" s="308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4"/>
      <c r="BF496" s="12"/>
      <c r="BG496" s="12"/>
      <c r="BH496" s="12" t="str">
        <f>IFERROR(__xludf.DUMMYFUNCTION("IFERROR(INDEX(QUERY(IMPORTRANGE(""1T7HG8KEs-Ob7f3M5atEVN9Yn7IeORGp0QGvggB62ELw"",""Maestro!A:I""),""SELECT Col8 WHERE Col3 = '""&amp;BE496&amp;""'"", 0), 1, 1),""NO ENCONTRADO"")"),"")</f>
        <v/>
      </c>
      <c r="BI496" s="12" t="str">
        <f>IFERROR(__xludf.DUMMYFUNCTION("IFERROR(INDEX(QUERY(IMPORTRANGE(""1T7HG8KEs-Ob7f3M5atEVN9Yn7IeORGp0QGvggB62ELw"",""Maestro!A:I""),""SELECT Col7 WHERE Col3 = '""&amp;BE496&amp;""'"", 0), 1, 1),""NO ENCONTRADO"")"),"")</f>
        <v/>
      </c>
      <c r="BJ496" s="16">
        <f t="shared" si="19"/>
        <v>0</v>
      </c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4"/>
      <c r="BX496" s="14"/>
      <c r="BY496" s="14"/>
      <c r="BZ496" s="14"/>
      <c r="CA496" s="14"/>
      <c r="CB496" s="14"/>
      <c r="CC496" s="14"/>
      <c r="CD496" s="14"/>
      <c r="CE496" s="14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</row>
    <row r="497">
      <c r="A497" s="12"/>
      <c r="B497" s="14"/>
      <c r="C497" s="14"/>
      <c r="D497" s="14"/>
      <c r="E497" s="12"/>
      <c r="F497" s="307"/>
      <c r="G497" s="307"/>
      <c r="H497" s="12"/>
      <c r="I497" s="30"/>
      <c r="J497" s="12"/>
      <c r="K497" s="12"/>
      <c r="L497" s="12"/>
      <c r="M497" s="12"/>
      <c r="N497" s="12"/>
      <c r="O497" s="308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4"/>
      <c r="BF497" s="12"/>
      <c r="BG497" s="12"/>
      <c r="BH497" s="12" t="str">
        <f>IFERROR(__xludf.DUMMYFUNCTION("IFERROR(INDEX(QUERY(IMPORTRANGE(""1T7HG8KEs-Ob7f3M5atEVN9Yn7IeORGp0QGvggB62ELw"",""Maestro!A:I""),""SELECT Col8 WHERE Col3 = '""&amp;BE497&amp;""'"", 0), 1, 1),""NO ENCONTRADO"")"),"")</f>
        <v/>
      </c>
      <c r="BI497" s="12" t="str">
        <f>IFERROR(__xludf.DUMMYFUNCTION("IFERROR(INDEX(QUERY(IMPORTRANGE(""1T7HG8KEs-Ob7f3M5atEVN9Yn7IeORGp0QGvggB62ELw"",""Maestro!A:I""),""SELECT Col7 WHERE Col3 = '""&amp;BE497&amp;""'"", 0), 1, 1),""NO ENCONTRADO"")"),"")</f>
        <v/>
      </c>
      <c r="BJ497" s="16">
        <f t="shared" si="19"/>
        <v>0</v>
      </c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4"/>
      <c r="BX497" s="14"/>
      <c r="BY497" s="14"/>
      <c r="BZ497" s="14"/>
      <c r="CA497" s="14"/>
      <c r="CB497" s="14"/>
      <c r="CC497" s="14"/>
      <c r="CD497" s="14"/>
      <c r="CE497" s="14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</row>
    <row r="498">
      <c r="A498" s="12"/>
      <c r="B498" s="14"/>
      <c r="C498" s="14"/>
      <c r="D498" s="14"/>
      <c r="E498" s="12"/>
      <c r="F498" s="307"/>
      <c r="G498" s="307"/>
      <c r="H498" s="12"/>
      <c r="I498" s="30"/>
      <c r="J498" s="12"/>
      <c r="K498" s="12"/>
      <c r="L498" s="12"/>
      <c r="M498" s="12"/>
      <c r="N498" s="12"/>
      <c r="O498" s="308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4"/>
      <c r="BF498" s="12"/>
      <c r="BG498" s="12"/>
      <c r="BH498" s="12" t="str">
        <f>IFERROR(__xludf.DUMMYFUNCTION("IFERROR(INDEX(QUERY(IMPORTRANGE(""1T7HG8KEs-Ob7f3M5atEVN9Yn7IeORGp0QGvggB62ELw"",""Maestro!A:I""),""SELECT Col8 WHERE Col3 = '""&amp;BE498&amp;""'"", 0), 1, 1),""NO ENCONTRADO"")"),"")</f>
        <v/>
      </c>
      <c r="BI498" s="12" t="str">
        <f>IFERROR(__xludf.DUMMYFUNCTION("IFERROR(INDEX(QUERY(IMPORTRANGE(""1T7HG8KEs-Ob7f3M5atEVN9Yn7IeORGp0QGvggB62ELw"",""Maestro!A:I""),""SELECT Col7 WHERE Col3 = '""&amp;BE498&amp;""'"", 0), 1, 1),""NO ENCONTRADO"")"),"")</f>
        <v/>
      </c>
      <c r="BJ498" s="16">
        <f t="shared" si="19"/>
        <v>0</v>
      </c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4"/>
      <c r="BX498" s="14"/>
      <c r="BY498" s="14"/>
      <c r="BZ498" s="14"/>
      <c r="CA498" s="14"/>
      <c r="CB498" s="14"/>
      <c r="CC498" s="14"/>
      <c r="CD498" s="14"/>
      <c r="CE498" s="14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</row>
    <row r="499">
      <c r="A499" s="12"/>
      <c r="B499" s="14"/>
      <c r="C499" s="14"/>
      <c r="D499" s="14"/>
      <c r="E499" s="12"/>
      <c r="F499" s="307"/>
      <c r="G499" s="307"/>
      <c r="H499" s="12"/>
      <c r="I499" s="30"/>
      <c r="J499" s="12"/>
      <c r="K499" s="12"/>
      <c r="L499" s="12"/>
      <c r="M499" s="12"/>
      <c r="N499" s="12"/>
      <c r="O499" s="308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4"/>
      <c r="BF499" s="12"/>
      <c r="BG499" s="12"/>
      <c r="BH499" s="12" t="str">
        <f>IFERROR(__xludf.DUMMYFUNCTION("IFERROR(INDEX(QUERY(IMPORTRANGE(""1T7HG8KEs-Ob7f3M5atEVN9Yn7IeORGp0QGvggB62ELw"",""Maestro!A:I""),""SELECT Col8 WHERE Col3 = '""&amp;BE499&amp;""'"", 0), 1, 1),""NO ENCONTRADO"")"),"")</f>
        <v/>
      </c>
      <c r="BI499" s="12" t="str">
        <f>IFERROR(__xludf.DUMMYFUNCTION("IFERROR(INDEX(QUERY(IMPORTRANGE(""1T7HG8KEs-Ob7f3M5atEVN9Yn7IeORGp0QGvggB62ELw"",""Maestro!A:I""),""SELECT Col7 WHERE Col3 = '""&amp;BE499&amp;""'"", 0), 1, 1),""NO ENCONTRADO"")"),"")</f>
        <v/>
      </c>
      <c r="BJ499" s="16">
        <f t="shared" si="19"/>
        <v>0</v>
      </c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4"/>
      <c r="BX499" s="14"/>
      <c r="BY499" s="14"/>
      <c r="BZ499" s="14"/>
      <c r="CA499" s="14"/>
      <c r="CB499" s="14"/>
      <c r="CC499" s="14"/>
      <c r="CD499" s="14"/>
      <c r="CE499" s="14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</row>
    <row r="500">
      <c r="A500" s="12"/>
      <c r="B500" s="14"/>
      <c r="C500" s="14"/>
      <c r="D500" s="14"/>
      <c r="E500" s="12"/>
      <c r="F500" s="307"/>
      <c r="G500" s="307"/>
      <c r="H500" s="12"/>
      <c r="I500" s="30"/>
      <c r="J500" s="12"/>
      <c r="K500" s="12"/>
      <c r="L500" s="12"/>
      <c r="M500" s="12"/>
      <c r="N500" s="12"/>
      <c r="O500" s="308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4"/>
      <c r="BF500" s="12"/>
      <c r="BG500" s="12"/>
      <c r="BH500" s="12" t="str">
        <f>IFERROR(__xludf.DUMMYFUNCTION("IFERROR(INDEX(QUERY(IMPORTRANGE(""1T7HG8KEs-Ob7f3M5atEVN9Yn7IeORGp0QGvggB62ELw"",""Maestro!A:I""),""SELECT Col8 WHERE Col3 = '""&amp;BE500&amp;""'"", 0), 1, 1),""NO ENCONTRADO"")"),"")</f>
        <v/>
      </c>
      <c r="BI500" s="12" t="str">
        <f>IFERROR(__xludf.DUMMYFUNCTION("IFERROR(INDEX(QUERY(IMPORTRANGE(""1T7HG8KEs-Ob7f3M5atEVN9Yn7IeORGp0QGvggB62ELw"",""Maestro!A:I""),""SELECT Col7 WHERE Col3 = '""&amp;BE500&amp;""'"", 0), 1, 1),""NO ENCONTRADO"")"),"")</f>
        <v/>
      </c>
      <c r="BJ500" s="16">
        <f t="shared" si="19"/>
        <v>0</v>
      </c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4"/>
      <c r="BX500" s="14"/>
      <c r="BY500" s="14"/>
      <c r="BZ500" s="14"/>
      <c r="CA500" s="14"/>
      <c r="CB500" s="14"/>
      <c r="CC500" s="14"/>
      <c r="CD500" s="14"/>
      <c r="CE500" s="14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</row>
    <row r="501">
      <c r="A501" s="12"/>
      <c r="B501" s="14"/>
      <c r="C501" s="14"/>
      <c r="D501" s="14"/>
      <c r="E501" s="12"/>
      <c r="F501" s="307"/>
      <c r="G501" s="307"/>
      <c r="H501" s="12"/>
      <c r="I501" s="30"/>
      <c r="J501" s="12"/>
      <c r="K501" s="12"/>
      <c r="L501" s="12"/>
      <c r="M501" s="12"/>
      <c r="N501" s="12"/>
      <c r="O501" s="308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4"/>
      <c r="BF501" s="12"/>
      <c r="BG501" s="12"/>
      <c r="BH501" s="12" t="str">
        <f>IFERROR(__xludf.DUMMYFUNCTION("IFERROR(INDEX(QUERY(IMPORTRANGE(""1T7HG8KEs-Ob7f3M5atEVN9Yn7IeORGp0QGvggB62ELw"",""Maestro!A:I""),""SELECT Col8 WHERE Col3 = '""&amp;BE501&amp;""'"", 0), 1, 1),""NO ENCONTRADO"")"),"")</f>
        <v/>
      </c>
      <c r="BI501" s="12" t="str">
        <f>IFERROR(__xludf.DUMMYFUNCTION("IFERROR(INDEX(QUERY(IMPORTRANGE(""1T7HG8KEs-Ob7f3M5atEVN9Yn7IeORGp0QGvggB62ELw"",""Maestro!A:I""),""SELECT Col7 WHERE Col3 = '""&amp;BE501&amp;""'"", 0), 1, 1),""NO ENCONTRADO"")"),"")</f>
        <v/>
      </c>
      <c r="BJ501" s="16">
        <f t="shared" si="19"/>
        <v>0</v>
      </c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4"/>
      <c r="BX501" s="14"/>
      <c r="BY501" s="14"/>
      <c r="BZ501" s="14"/>
      <c r="CA501" s="14"/>
      <c r="CB501" s="14"/>
      <c r="CC501" s="14"/>
      <c r="CD501" s="14"/>
      <c r="CE501" s="14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</row>
    <row r="502">
      <c r="A502" s="12"/>
      <c r="B502" s="14"/>
      <c r="C502" s="14"/>
      <c r="D502" s="14"/>
      <c r="E502" s="12"/>
      <c r="F502" s="307"/>
      <c r="G502" s="307"/>
      <c r="H502" s="12"/>
      <c r="I502" s="30"/>
      <c r="J502" s="12"/>
      <c r="K502" s="12"/>
      <c r="L502" s="12"/>
      <c r="M502" s="12"/>
      <c r="N502" s="12"/>
      <c r="O502" s="308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4"/>
      <c r="BF502" s="12"/>
      <c r="BG502" s="12"/>
      <c r="BH502" s="12" t="str">
        <f>IFERROR(__xludf.DUMMYFUNCTION("IFERROR(INDEX(QUERY(IMPORTRANGE(""1T7HG8KEs-Ob7f3M5atEVN9Yn7IeORGp0QGvggB62ELw"",""Maestro!A:I""),""SELECT Col8 WHERE Col3 = '""&amp;BE502&amp;""'"", 0), 1, 1),""NO ENCONTRADO"")"),"")</f>
        <v/>
      </c>
      <c r="BI502" s="12" t="str">
        <f>IFERROR(__xludf.DUMMYFUNCTION("IFERROR(INDEX(QUERY(IMPORTRANGE(""1T7HG8KEs-Ob7f3M5atEVN9Yn7IeORGp0QGvggB62ELw"",""Maestro!A:I""),""SELECT Col7 WHERE Col3 = '""&amp;BE502&amp;""'"", 0), 1, 1),""NO ENCONTRADO"")"),"")</f>
        <v/>
      </c>
      <c r="BJ502" s="16">
        <f t="shared" si="19"/>
        <v>0</v>
      </c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4"/>
      <c r="BX502" s="14"/>
      <c r="BY502" s="14"/>
      <c r="BZ502" s="14"/>
      <c r="CA502" s="14"/>
      <c r="CB502" s="14"/>
      <c r="CC502" s="14"/>
      <c r="CD502" s="14"/>
      <c r="CE502" s="14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</row>
    <row r="503">
      <c r="A503" s="12"/>
      <c r="B503" s="14"/>
      <c r="C503" s="14"/>
      <c r="D503" s="14"/>
      <c r="E503" s="12"/>
      <c r="F503" s="307"/>
      <c r="G503" s="307"/>
      <c r="H503" s="12"/>
      <c r="I503" s="30"/>
      <c r="J503" s="12"/>
      <c r="K503" s="12"/>
      <c r="L503" s="12"/>
      <c r="M503" s="12"/>
      <c r="N503" s="12"/>
      <c r="O503" s="308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4"/>
      <c r="BF503" s="12"/>
      <c r="BG503" s="12"/>
      <c r="BH503" s="12" t="str">
        <f>IFERROR(__xludf.DUMMYFUNCTION("IFERROR(INDEX(QUERY(IMPORTRANGE(""1T7HG8KEs-Ob7f3M5atEVN9Yn7IeORGp0QGvggB62ELw"",""Maestro!A:I""),""SELECT Col8 WHERE Col3 = '""&amp;BE503&amp;""'"", 0), 1, 1),""NO ENCONTRADO"")"),"")</f>
        <v/>
      </c>
      <c r="BI503" s="12" t="str">
        <f>IFERROR(__xludf.DUMMYFUNCTION("IFERROR(INDEX(QUERY(IMPORTRANGE(""1T7HG8KEs-Ob7f3M5atEVN9Yn7IeORGp0QGvggB62ELw"",""Maestro!A:I""),""SELECT Col7 WHERE Col3 = '""&amp;BE503&amp;""'"", 0), 1, 1),""NO ENCONTRADO"")"),"")</f>
        <v/>
      </c>
      <c r="BJ503" s="16">
        <f t="shared" si="19"/>
        <v>0</v>
      </c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4"/>
      <c r="BX503" s="14"/>
      <c r="BY503" s="14"/>
      <c r="BZ503" s="14"/>
      <c r="CA503" s="14"/>
      <c r="CB503" s="14"/>
      <c r="CC503" s="14"/>
      <c r="CD503" s="14"/>
      <c r="CE503" s="14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</row>
    <row r="504">
      <c r="A504" s="12"/>
      <c r="B504" s="14"/>
      <c r="C504" s="14"/>
      <c r="D504" s="14"/>
      <c r="E504" s="12"/>
      <c r="F504" s="307"/>
      <c r="G504" s="307"/>
      <c r="H504" s="12"/>
      <c r="I504" s="30"/>
      <c r="J504" s="12"/>
      <c r="K504" s="12"/>
      <c r="L504" s="12"/>
      <c r="M504" s="12"/>
      <c r="N504" s="12"/>
      <c r="O504" s="308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4"/>
      <c r="BF504" s="12"/>
      <c r="BG504" s="12"/>
      <c r="BH504" s="12" t="str">
        <f>IFERROR(__xludf.DUMMYFUNCTION("IFERROR(INDEX(QUERY(IMPORTRANGE(""1T7HG8KEs-Ob7f3M5atEVN9Yn7IeORGp0QGvggB62ELw"",""Maestro!A:I""),""SELECT Col8 WHERE Col3 = '""&amp;BE504&amp;""'"", 0), 1, 1),""NO ENCONTRADO"")"),"")</f>
        <v/>
      </c>
      <c r="BI504" s="12" t="str">
        <f>IFERROR(__xludf.DUMMYFUNCTION("IFERROR(INDEX(QUERY(IMPORTRANGE(""1T7HG8KEs-Ob7f3M5atEVN9Yn7IeORGp0QGvggB62ELw"",""Maestro!A:I""),""SELECT Col7 WHERE Col3 = '""&amp;BE504&amp;""'"", 0), 1, 1),""NO ENCONTRADO"")"),"")</f>
        <v/>
      </c>
      <c r="BJ504" s="16">
        <f t="shared" si="19"/>
        <v>0</v>
      </c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4"/>
      <c r="BX504" s="14"/>
      <c r="BY504" s="14"/>
      <c r="BZ504" s="14"/>
      <c r="CA504" s="14"/>
      <c r="CB504" s="14"/>
      <c r="CC504" s="14"/>
      <c r="CD504" s="14"/>
      <c r="CE504" s="14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</row>
    <row r="505">
      <c r="A505" s="12"/>
      <c r="B505" s="14"/>
      <c r="C505" s="14"/>
      <c r="D505" s="14"/>
      <c r="E505" s="12"/>
      <c r="F505" s="307"/>
      <c r="G505" s="307"/>
      <c r="H505" s="12"/>
      <c r="I505" s="30"/>
      <c r="J505" s="12"/>
      <c r="K505" s="12"/>
      <c r="L505" s="12"/>
      <c r="M505" s="12"/>
      <c r="N505" s="12"/>
      <c r="O505" s="308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4"/>
      <c r="BF505" s="12"/>
      <c r="BG505" s="12"/>
      <c r="BH505" s="12" t="str">
        <f>IFERROR(__xludf.DUMMYFUNCTION("IFERROR(INDEX(QUERY(IMPORTRANGE(""1T7HG8KEs-Ob7f3M5atEVN9Yn7IeORGp0QGvggB62ELw"",""Maestro!A:I""),""SELECT Col8 WHERE Col3 = '""&amp;BE505&amp;""'"", 0), 1, 1),""NO ENCONTRADO"")"),"")</f>
        <v/>
      </c>
      <c r="BI505" s="12" t="str">
        <f>IFERROR(__xludf.DUMMYFUNCTION("IFERROR(INDEX(QUERY(IMPORTRANGE(""1T7HG8KEs-Ob7f3M5atEVN9Yn7IeORGp0QGvggB62ELw"",""Maestro!A:I""),""SELECT Col7 WHERE Col3 = '""&amp;BE505&amp;""'"", 0), 1, 1),""NO ENCONTRADO"")"),"")</f>
        <v/>
      </c>
      <c r="BJ505" s="16">
        <f t="shared" si="19"/>
        <v>0</v>
      </c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4"/>
      <c r="BX505" s="14"/>
      <c r="BY505" s="14"/>
      <c r="BZ505" s="14"/>
      <c r="CA505" s="14"/>
      <c r="CB505" s="14"/>
      <c r="CC505" s="14"/>
      <c r="CD505" s="14"/>
      <c r="CE505" s="14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</row>
    <row r="506">
      <c r="A506" s="12"/>
      <c r="B506" s="14"/>
      <c r="C506" s="14"/>
      <c r="D506" s="14"/>
      <c r="E506" s="12"/>
      <c r="F506" s="307"/>
      <c r="G506" s="307"/>
      <c r="H506" s="12"/>
      <c r="I506" s="30"/>
      <c r="J506" s="12"/>
      <c r="K506" s="12"/>
      <c r="L506" s="12"/>
      <c r="M506" s="12"/>
      <c r="N506" s="12"/>
      <c r="O506" s="308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4"/>
      <c r="BF506" s="12"/>
      <c r="BG506" s="12"/>
      <c r="BH506" s="12" t="str">
        <f>IFERROR(__xludf.DUMMYFUNCTION("IFERROR(INDEX(QUERY(IMPORTRANGE(""1T7HG8KEs-Ob7f3M5atEVN9Yn7IeORGp0QGvggB62ELw"",""Maestro!A:I""),""SELECT Col8 WHERE Col3 = '""&amp;BE506&amp;""'"", 0), 1, 1),""NO ENCONTRADO"")"),"")</f>
        <v/>
      </c>
      <c r="BI506" s="12" t="str">
        <f>IFERROR(__xludf.DUMMYFUNCTION("IFERROR(INDEX(QUERY(IMPORTRANGE(""1T7HG8KEs-Ob7f3M5atEVN9Yn7IeORGp0QGvggB62ELw"",""Maestro!A:I""),""SELECT Col7 WHERE Col3 = '""&amp;BE506&amp;""'"", 0), 1, 1),""NO ENCONTRADO"")"),"")</f>
        <v/>
      </c>
      <c r="BJ506" s="16">
        <f t="shared" si="19"/>
        <v>0</v>
      </c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4"/>
      <c r="BX506" s="14"/>
      <c r="BY506" s="14"/>
      <c r="BZ506" s="14"/>
      <c r="CA506" s="14"/>
      <c r="CB506" s="14"/>
      <c r="CC506" s="14"/>
      <c r="CD506" s="14"/>
      <c r="CE506" s="14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</row>
    <row r="507">
      <c r="A507" s="12"/>
      <c r="B507" s="14"/>
      <c r="C507" s="14"/>
      <c r="D507" s="14"/>
      <c r="E507" s="12"/>
      <c r="F507" s="307"/>
      <c r="G507" s="307"/>
      <c r="H507" s="12"/>
      <c r="I507" s="30"/>
      <c r="J507" s="12"/>
      <c r="K507" s="12"/>
      <c r="L507" s="12"/>
      <c r="M507" s="12"/>
      <c r="N507" s="12"/>
      <c r="O507" s="308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4"/>
      <c r="BF507" s="12"/>
      <c r="BG507" s="12"/>
      <c r="BH507" s="12" t="str">
        <f>IFERROR(__xludf.DUMMYFUNCTION("IFERROR(INDEX(QUERY(IMPORTRANGE(""1T7HG8KEs-Ob7f3M5atEVN9Yn7IeORGp0QGvggB62ELw"",""Maestro!A:I""),""SELECT Col8 WHERE Col3 = '""&amp;BE507&amp;""'"", 0), 1, 1),""NO ENCONTRADO"")"),"")</f>
        <v/>
      </c>
      <c r="BI507" s="12" t="str">
        <f>IFERROR(__xludf.DUMMYFUNCTION("IFERROR(INDEX(QUERY(IMPORTRANGE(""1T7HG8KEs-Ob7f3M5atEVN9Yn7IeORGp0QGvggB62ELw"",""Maestro!A:I""),""SELECT Col7 WHERE Col3 = '""&amp;BE507&amp;""'"", 0), 1, 1),""NO ENCONTRADO"")"),"")</f>
        <v/>
      </c>
      <c r="BJ507" s="16">
        <f t="shared" si="19"/>
        <v>0</v>
      </c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4"/>
      <c r="BX507" s="14"/>
      <c r="BY507" s="14"/>
      <c r="BZ507" s="14"/>
      <c r="CA507" s="14"/>
      <c r="CB507" s="14"/>
      <c r="CC507" s="14"/>
      <c r="CD507" s="14"/>
      <c r="CE507" s="14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</row>
    <row r="508">
      <c r="A508" s="12"/>
      <c r="B508" s="14"/>
      <c r="C508" s="14"/>
      <c r="D508" s="14"/>
      <c r="E508" s="12"/>
      <c r="F508" s="307"/>
      <c r="G508" s="307"/>
      <c r="H508" s="12"/>
      <c r="I508" s="30"/>
      <c r="J508" s="12"/>
      <c r="K508" s="12"/>
      <c r="L508" s="12"/>
      <c r="M508" s="12"/>
      <c r="N508" s="12"/>
      <c r="O508" s="308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4"/>
      <c r="BF508" s="12"/>
      <c r="BG508" s="12"/>
      <c r="BH508" s="12" t="str">
        <f>IFERROR(__xludf.DUMMYFUNCTION("IFERROR(INDEX(QUERY(IMPORTRANGE(""1T7HG8KEs-Ob7f3M5atEVN9Yn7IeORGp0QGvggB62ELw"",""Maestro!A:I""),""SELECT Col8 WHERE Col3 = '""&amp;BE508&amp;""'"", 0), 1, 1),""NO ENCONTRADO"")"),"")</f>
        <v/>
      </c>
      <c r="BI508" s="12" t="str">
        <f>IFERROR(__xludf.DUMMYFUNCTION("IFERROR(INDEX(QUERY(IMPORTRANGE(""1T7HG8KEs-Ob7f3M5atEVN9Yn7IeORGp0QGvggB62ELw"",""Maestro!A:I""),""SELECT Col7 WHERE Col3 = '""&amp;BE508&amp;""'"", 0), 1, 1),""NO ENCONTRADO"")"),"")</f>
        <v/>
      </c>
      <c r="BJ508" s="16">
        <f t="shared" si="19"/>
        <v>0</v>
      </c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4"/>
      <c r="BX508" s="14"/>
      <c r="BY508" s="14"/>
      <c r="BZ508" s="14"/>
      <c r="CA508" s="14"/>
      <c r="CB508" s="14"/>
      <c r="CC508" s="14"/>
      <c r="CD508" s="14"/>
      <c r="CE508" s="14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</row>
    <row r="509">
      <c r="A509" s="12"/>
      <c r="B509" s="14"/>
      <c r="C509" s="14"/>
      <c r="D509" s="14"/>
      <c r="E509" s="12"/>
      <c r="F509" s="307"/>
      <c r="G509" s="307"/>
      <c r="H509" s="12"/>
      <c r="I509" s="30"/>
      <c r="J509" s="12"/>
      <c r="K509" s="12"/>
      <c r="L509" s="12"/>
      <c r="M509" s="12"/>
      <c r="N509" s="12"/>
      <c r="O509" s="308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4"/>
      <c r="BF509" s="12"/>
      <c r="BG509" s="12"/>
      <c r="BH509" s="12" t="str">
        <f>IFERROR(__xludf.DUMMYFUNCTION("IFERROR(INDEX(QUERY(IMPORTRANGE(""1T7HG8KEs-Ob7f3M5atEVN9Yn7IeORGp0QGvggB62ELw"",""Maestro!A:I""),""SELECT Col8 WHERE Col3 = '""&amp;BE509&amp;""'"", 0), 1, 1),""NO ENCONTRADO"")"),"")</f>
        <v/>
      </c>
      <c r="BI509" s="12" t="str">
        <f>IFERROR(__xludf.DUMMYFUNCTION("IFERROR(INDEX(QUERY(IMPORTRANGE(""1T7HG8KEs-Ob7f3M5atEVN9Yn7IeORGp0QGvggB62ELw"",""Maestro!A:I""),""SELECT Col7 WHERE Col3 = '""&amp;BE509&amp;""'"", 0), 1, 1),""NO ENCONTRADO"")"),"")</f>
        <v/>
      </c>
      <c r="BJ509" s="16">
        <f t="shared" si="19"/>
        <v>0</v>
      </c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4"/>
      <c r="BX509" s="14"/>
      <c r="BY509" s="14"/>
      <c r="BZ509" s="14"/>
      <c r="CA509" s="14"/>
      <c r="CB509" s="14"/>
      <c r="CC509" s="14"/>
      <c r="CD509" s="14"/>
      <c r="CE509" s="14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</row>
    <row r="510">
      <c r="A510" s="12"/>
      <c r="B510" s="14"/>
      <c r="C510" s="14"/>
      <c r="D510" s="14"/>
      <c r="E510" s="12"/>
      <c r="F510" s="307"/>
      <c r="G510" s="307"/>
      <c r="H510" s="12"/>
      <c r="I510" s="30"/>
      <c r="J510" s="12"/>
      <c r="K510" s="12"/>
      <c r="L510" s="12"/>
      <c r="M510" s="12"/>
      <c r="N510" s="12"/>
      <c r="O510" s="308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4"/>
      <c r="BF510" s="12"/>
      <c r="BG510" s="12"/>
      <c r="BH510" s="12" t="str">
        <f>IFERROR(__xludf.DUMMYFUNCTION("IFERROR(INDEX(QUERY(IMPORTRANGE(""1T7HG8KEs-Ob7f3M5atEVN9Yn7IeORGp0QGvggB62ELw"",""Maestro!A:I""),""SELECT Col8 WHERE Col3 = '""&amp;BE510&amp;""'"", 0), 1, 1),""NO ENCONTRADO"")"),"")</f>
        <v/>
      </c>
      <c r="BI510" s="12" t="str">
        <f>IFERROR(__xludf.DUMMYFUNCTION("IFERROR(INDEX(QUERY(IMPORTRANGE(""1T7HG8KEs-Ob7f3M5atEVN9Yn7IeORGp0QGvggB62ELw"",""Maestro!A:I""),""SELECT Col7 WHERE Col3 = '""&amp;BE510&amp;""'"", 0), 1, 1),""NO ENCONTRADO"")"),"")</f>
        <v/>
      </c>
      <c r="BJ510" s="16">
        <f t="shared" si="19"/>
        <v>0</v>
      </c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4"/>
      <c r="BX510" s="14"/>
      <c r="BY510" s="14"/>
      <c r="BZ510" s="14"/>
      <c r="CA510" s="14"/>
      <c r="CB510" s="14"/>
      <c r="CC510" s="14"/>
      <c r="CD510" s="14"/>
      <c r="CE510" s="14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</row>
    <row r="511">
      <c r="A511" s="12"/>
      <c r="B511" s="14"/>
      <c r="C511" s="14"/>
      <c r="D511" s="14"/>
      <c r="E511" s="12"/>
      <c r="F511" s="307"/>
      <c r="G511" s="307"/>
      <c r="H511" s="12"/>
      <c r="I511" s="30"/>
      <c r="J511" s="12"/>
      <c r="K511" s="12"/>
      <c r="L511" s="12"/>
      <c r="M511" s="12"/>
      <c r="N511" s="12"/>
      <c r="O511" s="308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4"/>
      <c r="BF511" s="12"/>
      <c r="BG511" s="12"/>
      <c r="BH511" s="12" t="str">
        <f>IFERROR(__xludf.DUMMYFUNCTION("IFERROR(INDEX(QUERY(IMPORTRANGE(""1T7HG8KEs-Ob7f3M5atEVN9Yn7IeORGp0QGvggB62ELw"",""Maestro!A:I""),""SELECT Col8 WHERE Col3 = '""&amp;BE511&amp;""'"", 0), 1, 1),""NO ENCONTRADO"")"),"")</f>
        <v/>
      </c>
      <c r="BI511" s="12" t="str">
        <f>IFERROR(__xludf.DUMMYFUNCTION("IFERROR(INDEX(QUERY(IMPORTRANGE(""1T7HG8KEs-Ob7f3M5atEVN9Yn7IeORGp0QGvggB62ELw"",""Maestro!A:I""),""SELECT Col7 WHERE Col3 = '""&amp;BE511&amp;""'"", 0), 1, 1),""NO ENCONTRADO"")"),"")</f>
        <v/>
      </c>
      <c r="BJ511" s="16">
        <f t="shared" si="19"/>
        <v>0</v>
      </c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4"/>
      <c r="BX511" s="14"/>
      <c r="BY511" s="14"/>
      <c r="BZ511" s="14"/>
      <c r="CA511" s="14"/>
      <c r="CB511" s="14"/>
      <c r="CC511" s="14"/>
      <c r="CD511" s="14"/>
      <c r="CE511" s="14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</row>
    <row r="512">
      <c r="A512" s="12"/>
      <c r="B512" s="14"/>
      <c r="C512" s="14"/>
      <c r="D512" s="14"/>
      <c r="E512" s="12"/>
      <c r="F512" s="307"/>
      <c r="G512" s="307"/>
      <c r="H512" s="12"/>
      <c r="I512" s="30"/>
      <c r="J512" s="12"/>
      <c r="K512" s="12"/>
      <c r="L512" s="12"/>
      <c r="M512" s="12"/>
      <c r="N512" s="12"/>
      <c r="O512" s="308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4"/>
      <c r="BF512" s="12"/>
      <c r="BG512" s="12"/>
      <c r="BH512" s="12" t="str">
        <f>IFERROR(__xludf.DUMMYFUNCTION("IFERROR(INDEX(QUERY(IMPORTRANGE(""1T7HG8KEs-Ob7f3M5atEVN9Yn7IeORGp0QGvggB62ELw"",""Maestro!A:I""),""SELECT Col8 WHERE Col3 = '""&amp;BE512&amp;""'"", 0), 1, 1),""NO ENCONTRADO"")"),"")</f>
        <v/>
      </c>
      <c r="BI512" s="12" t="str">
        <f>IFERROR(__xludf.DUMMYFUNCTION("IFERROR(INDEX(QUERY(IMPORTRANGE(""1T7HG8KEs-Ob7f3M5atEVN9Yn7IeORGp0QGvggB62ELw"",""Maestro!A:I""),""SELECT Col7 WHERE Col3 = '""&amp;BE512&amp;""'"", 0), 1, 1),""NO ENCONTRADO"")"),"")</f>
        <v/>
      </c>
      <c r="BJ512" s="16">
        <f t="shared" si="19"/>
        <v>0</v>
      </c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4"/>
      <c r="BX512" s="14"/>
      <c r="BY512" s="14"/>
      <c r="BZ512" s="14"/>
      <c r="CA512" s="14"/>
      <c r="CB512" s="14"/>
      <c r="CC512" s="14"/>
      <c r="CD512" s="14"/>
      <c r="CE512" s="14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</row>
    <row r="513">
      <c r="A513" s="12"/>
      <c r="B513" s="14"/>
      <c r="C513" s="14"/>
      <c r="D513" s="14"/>
      <c r="E513" s="12"/>
      <c r="F513" s="307"/>
      <c r="G513" s="307"/>
      <c r="H513" s="12"/>
      <c r="I513" s="30"/>
      <c r="J513" s="12"/>
      <c r="K513" s="12"/>
      <c r="L513" s="12"/>
      <c r="M513" s="12"/>
      <c r="N513" s="12"/>
      <c r="O513" s="308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4"/>
      <c r="BF513" s="12"/>
      <c r="BG513" s="12"/>
      <c r="BH513" s="12" t="str">
        <f>IFERROR(__xludf.DUMMYFUNCTION("IFERROR(INDEX(QUERY(IMPORTRANGE(""1T7HG8KEs-Ob7f3M5atEVN9Yn7IeORGp0QGvggB62ELw"",""Maestro!A:I""),""SELECT Col8 WHERE Col3 = '""&amp;BE513&amp;""'"", 0), 1, 1),""NO ENCONTRADO"")"),"")</f>
        <v/>
      </c>
      <c r="BI513" s="12" t="str">
        <f>IFERROR(__xludf.DUMMYFUNCTION("IFERROR(INDEX(QUERY(IMPORTRANGE(""1T7HG8KEs-Ob7f3M5atEVN9Yn7IeORGp0QGvggB62ELw"",""Maestro!A:I""),""SELECT Col7 WHERE Col3 = '""&amp;BE513&amp;""'"", 0), 1, 1),""NO ENCONTRADO"")"),"")</f>
        <v/>
      </c>
      <c r="BJ513" s="16">
        <f t="shared" si="19"/>
        <v>0</v>
      </c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4"/>
      <c r="BX513" s="14"/>
      <c r="BY513" s="14"/>
      <c r="BZ513" s="14"/>
      <c r="CA513" s="14"/>
      <c r="CB513" s="14"/>
      <c r="CC513" s="14"/>
      <c r="CD513" s="14"/>
      <c r="CE513" s="14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</row>
    <row r="514">
      <c r="A514" s="12"/>
      <c r="B514" s="14"/>
      <c r="C514" s="14"/>
      <c r="D514" s="14"/>
      <c r="E514" s="12"/>
      <c r="F514" s="307"/>
      <c r="G514" s="307"/>
      <c r="H514" s="12"/>
      <c r="I514" s="30"/>
      <c r="J514" s="12"/>
      <c r="K514" s="12"/>
      <c r="L514" s="12"/>
      <c r="M514" s="12"/>
      <c r="N514" s="12"/>
      <c r="O514" s="308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4"/>
      <c r="BF514" s="12"/>
      <c r="BG514" s="12"/>
      <c r="BH514" s="12" t="str">
        <f>IFERROR(__xludf.DUMMYFUNCTION("IFERROR(INDEX(QUERY(IMPORTRANGE(""1T7HG8KEs-Ob7f3M5atEVN9Yn7IeORGp0QGvggB62ELw"",""Maestro!A:I""),""SELECT Col8 WHERE Col3 = '""&amp;BE514&amp;""'"", 0), 1, 1),""NO ENCONTRADO"")"),"")</f>
        <v/>
      </c>
      <c r="BI514" s="12" t="str">
        <f>IFERROR(__xludf.DUMMYFUNCTION("IFERROR(INDEX(QUERY(IMPORTRANGE(""1T7HG8KEs-Ob7f3M5atEVN9Yn7IeORGp0QGvggB62ELw"",""Maestro!A:I""),""SELECT Col7 WHERE Col3 = '""&amp;BE514&amp;""'"", 0), 1, 1),""NO ENCONTRADO"")"),"")</f>
        <v/>
      </c>
      <c r="BJ514" s="16">
        <f t="shared" si="19"/>
        <v>0</v>
      </c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4"/>
      <c r="BX514" s="14"/>
      <c r="BY514" s="14"/>
      <c r="BZ514" s="14"/>
      <c r="CA514" s="14"/>
      <c r="CB514" s="14"/>
      <c r="CC514" s="14"/>
      <c r="CD514" s="14"/>
      <c r="CE514" s="14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</row>
    <row r="515">
      <c r="A515" s="12"/>
      <c r="B515" s="14"/>
      <c r="C515" s="14"/>
      <c r="D515" s="14"/>
      <c r="E515" s="12"/>
      <c r="F515" s="307"/>
      <c r="G515" s="307"/>
      <c r="H515" s="12"/>
      <c r="I515" s="30"/>
      <c r="J515" s="12"/>
      <c r="K515" s="12"/>
      <c r="L515" s="12"/>
      <c r="M515" s="12"/>
      <c r="N515" s="12"/>
      <c r="O515" s="308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4"/>
      <c r="BF515" s="12"/>
      <c r="BG515" s="12"/>
      <c r="BH515" s="12" t="str">
        <f>IFERROR(__xludf.DUMMYFUNCTION("IFERROR(INDEX(QUERY(IMPORTRANGE(""1T7HG8KEs-Ob7f3M5atEVN9Yn7IeORGp0QGvggB62ELw"",""Maestro!A:I""),""SELECT Col8 WHERE Col3 = '""&amp;BE515&amp;""'"", 0), 1, 1),""NO ENCONTRADO"")"),"")</f>
        <v/>
      </c>
      <c r="BI515" s="12" t="str">
        <f>IFERROR(__xludf.DUMMYFUNCTION("IFERROR(INDEX(QUERY(IMPORTRANGE(""1T7HG8KEs-Ob7f3M5atEVN9Yn7IeORGp0QGvggB62ELw"",""Maestro!A:I""),""SELECT Col7 WHERE Col3 = '""&amp;BE515&amp;""'"", 0), 1, 1),""NO ENCONTRADO"")"),"")</f>
        <v/>
      </c>
      <c r="BJ515" s="16">
        <f t="shared" si="19"/>
        <v>0</v>
      </c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4"/>
      <c r="BX515" s="14"/>
      <c r="BY515" s="14"/>
      <c r="BZ515" s="14"/>
      <c r="CA515" s="14"/>
      <c r="CB515" s="14"/>
      <c r="CC515" s="14"/>
      <c r="CD515" s="14"/>
      <c r="CE515" s="14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</row>
    <row r="516">
      <c r="A516" s="12"/>
      <c r="B516" s="14"/>
      <c r="C516" s="14"/>
      <c r="D516" s="14"/>
      <c r="E516" s="12"/>
      <c r="F516" s="307"/>
      <c r="G516" s="307"/>
      <c r="H516" s="12"/>
      <c r="I516" s="30"/>
      <c r="J516" s="12"/>
      <c r="K516" s="12"/>
      <c r="L516" s="12"/>
      <c r="M516" s="12"/>
      <c r="N516" s="12"/>
      <c r="O516" s="308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4"/>
      <c r="BF516" s="12"/>
      <c r="BG516" s="12"/>
      <c r="BH516" s="12" t="str">
        <f>IFERROR(__xludf.DUMMYFUNCTION("IFERROR(INDEX(QUERY(IMPORTRANGE(""1T7HG8KEs-Ob7f3M5atEVN9Yn7IeORGp0QGvggB62ELw"",""Maestro!A:I""),""SELECT Col8 WHERE Col3 = '""&amp;BE516&amp;""'"", 0), 1, 1),""NO ENCONTRADO"")"),"")</f>
        <v/>
      </c>
      <c r="BI516" s="12" t="str">
        <f>IFERROR(__xludf.DUMMYFUNCTION("IFERROR(INDEX(QUERY(IMPORTRANGE(""1T7HG8KEs-Ob7f3M5atEVN9Yn7IeORGp0QGvggB62ELw"",""Maestro!A:I""),""SELECT Col7 WHERE Col3 = '""&amp;BE516&amp;""'"", 0), 1, 1),""NO ENCONTRADO"")"),"")</f>
        <v/>
      </c>
      <c r="BJ516" s="16">
        <f t="shared" si="19"/>
        <v>0</v>
      </c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4"/>
      <c r="BX516" s="14"/>
      <c r="BY516" s="14"/>
      <c r="BZ516" s="14"/>
      <c r="CA516" s="14"/>
      <c r="CB516" s="14"/>
      <c r="CC516" s="14"/>
      <c r="CD516" s="14"/>
      <c r="CE516" s="14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</row>
    <row r="517">
      <c r="A517" s="12"/>
      <c r="B517" s="14"/>
      <c r="C517" s="14"/>
      <c r="D517" s="14"/>
      <c r="E517" s="12"/>
      <c r="F517" s="307"/>
      <c r="G517" s="307"/>
      <c r="H517" s="12"/>
      <c r="I517" s="30"/>
      <c r="J517" s="12"/>
      <c r="K517" s="12"/>
      <c r="L517" s="12"/>
      <c r="M517" s="12"/>
      <c r="N517" s="12"/>
      <c r="O517" s="308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4"/>
      <c r="BF517" s="12"/>
      <c r="BG517" s="12"/>
      <c r="BH517" s="12" t="str">
        <f>IFERROR(__xludf.DUMMYFUNCTION("IFERROR(INDEX(QUERY(IMPORTRANGE(""1T7HG8KEs-Ob7f3M5atEVN9Yn7IeORGp0QGvggB62ELw"",""Maestro!A:I""),""SELECT Col8 WHERE Col3 = '""&amp;BE517&amp;""'"", 0), 1, 1),""NO ENCONTRADO"")"),"")</f>
        <v/>
      </c>
      <c r="BI517" s="12" t="str">
        <f>IFERROR(__xludf.DUMMYFUNCTION("IFERROR(INDEX(QUERY(IMPORTRANGE(""1T7HG8KEs-Ob7f3M5atEVN9Yn7IeORGp0QGvggB62ELw"",""Maestro!A:I""),""SELECT Col7 WHERE Col3 = '""&amp;BE517&amp;""'"", 0), 1, 1),""NO ENCONTRADO"")"),"")</f>
        <v/>
      </c>
      <c r="BJ517" s="16">
        <f t="shared" si="19"/>
        <v>0</v>
      </c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4"/>
      <c r="BX517" s="14"/>
      <c r="BY517" s="14"/>
      <c r="BZ517" s="14"/>
      <c r="CA517" s="14"/>
      <c r="CB517" s="14"/>
      <c r="CC517" s="14"/>
      <c r="CD517" s="14"/>
      <c r="CE517" s="14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</row>
    <row r="518">
      <c r="A518" s="12"/>
      <c r="B518" s="14"/>
      <c r="C518" s="14"/>
      <c r="D518" s="14"/>
      <c r="E518" s="12"/>
      <c r="F518" s="307"/>
      <c r="G518" s="307"/>
      <c r="H518" s="12"/>
      <c r="I518" s="30"/>
      <c r="J518" s="12"/>
      <c r="K518" s="12"/>
      <c r="L518" s="12"/>
      <c r="M518" s="12"/>
      <c r="N518" s="12"/>
      <c r="O518" s="308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4"/>
      <c r="BF518" s="12"/>
      <c r="BG518" s="12"/>
      <c r="BH518" s="12" t="str">
        <f>IFERROR(__xludf.DUMMYFUNCTION("IFERROR(INDEX(QUERY(IMPORTRANGE(""1T7HG8KEs-Ob7f3M5atEVN9Yn7IeORGp0QGvggB62ELw"",""Maestro!A:I""),""SELECT Col8 WHERE Col3 = '""&amp;BE518&amp;""'"", 0), 1, 1),""NO ENCONTRADO"")"),"")</f>
        <v/>
      </c>
      <c r="BI518" s="12" t="str">
        <f>IFERROR(__xludf.DUMMYFUNCTION("IFERROR(INDEX(QUERY(IMPORTRANGE(""1T7HG8KEs-Ob7f3M5atEVN9Yn7IeORGp0QGvggB62ELw"",""Maestro!A:I""),""SELECT Col7 WHERE Col3 = '""&amp;BE518&amp;""'"", 0), 1, 1),""NO ENCONTRADO"")"),"")</f>
        <v/>
      </c>
      <c r="BJ518" s="16">
        <f t="shared" si="19"/>
        <v>0</v>
      </c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4"/>
      <c r="BX518" s="14"/>
      <c r="BY518" s="14"/>
      <c r="BZ518" s="14"/>
      <c r="CA518" s="14"/>
      <c r="CB518" s="14"/>
      <c r="CC518" s="14"/>
      <c r="CD518" s="14"/>
      <c r="CE518" s="14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</row>
    <row r="519">
      <c r="A519" s="12"/>
      <c r="B519" s="14"/>
      <c r="C519" s="14"/>
      <c r="D519" s="14"/>
      <c r="E519" s="12"/>
      <c r="F519" s="307"/>
      <c r="G519" s="307"/>
      <c r="H519" s="12"/>
      <c r="I519" s="30"/>
      <c r="J519" s="12"/>
      <c r="K519" s="12"/>
      <c r="L519" s="12"/>
      <c r="M519" s="12"/>
      <c r="N519" s="12"/>
      <c r="O519" s="308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4"/>
      <c r="BF519" s="12"/>
      <c r="BG519" s="12"/>
      <c r="BH519" s="12" t="str">
        <f>IFERROR(__xludf.DUMMYFUNCTION("IFERROR(INDEX(QUERY(IMPORTRANGE(""1T7HG8KEs-Ob7f3M5atEVN9Yn7IeORGp0QGvggB62ELw"",""Maestro!A:I""),""SELECT Col8 WHERE Col3 = '""&amp;BE519&amp;""'"", 0), 1, 1),""NO ENCONTRADO"")"),"")</f>
        <v/>
      </c>
      <c r="BI519" s="12" t="str">
        <f>IFERROR(__xludf.DUMMYFUNCTION("IFERROR(INDEX(QUERY(IMPORTRANGE(""1T7HG8KEs-Ob7f3M5atEVN9Yn7IeORGp0QGvggB62ELw"",""Maestro!A:I""),""SELECT Col7 WHERE Col3 = '""&amp;BE519&amp;""'"", 0), 1, 1),""NO ENCONTRADO"")"),"")</f>
        <v/>
      </c>
      <c r="BJ519" s="16">
        <f t="shared" si="19"/>
        <v>0</v>
      </c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4"/>
      <c r="BX519" s="14"/>
      <c r="BY519" s="14"/>
      <c r="BZ519" s="14"/>
      <c r="CA519" s="14"/>
      <c r="CB519" s="14"/>
      <c r="CC519" s="14"/>
      <c r="CD519" s="14"/>
      <c r="CE519" s="14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</row>
    <row r="520">
      <c r="A520" s="12"/>
      <c r="B520" s="14"/>
      <c r="C520" s="14"/>
      <c r="D520" s="14"/>
      <c r="E520" s="12"/>
      <c r="F520" s="307"/>
      <c r="G520" s="307"/>
      <c r="H520" s="12"/>
      <c r="I520" s="30"/>
      <c r="J520" s="12"/>
      <c r="K520" s="12"/>
      <c r="L520" s="12"/>
      <c r="M520" s="12"/>
      <c r="N520" s="12"/>
      <c r="O520" s="308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4"/>
      <c r="BF520" s="12"/>
      <c r="BG520" s="12"/>
      <c r="BH520" s="12" t="str">
        <f>IFERROR(__xludf.DUMMYFUNCTION("IFERROR(INDEX(QUERY(IMPORTRANGE(""1T7HG8KEs-Ob7f3M5atEVN9Yn7IeORGp0QGvggB62ELw"",""Maestro!A:I""),""SELECT Col8 WHERE Col3 = '""&amp;BE520&amp;""'"", 0), 1, 1),""NO ENCONTRADO"")"),"")</f>
        <v/>
      </c>
      <c r="BI520" s="12" t="str">
        <f>IFERROR(__xludf.DUMMYFUNCTION("IFERROR(INDEX(QUERY(IMPORTRANGE(""1T7HG8KEs-Ob7f3M5atEVN9Yn7IeORGp0QGvggB62ELw"",""Maestro!A:I""),""SELECT Col7 WHERE Col3 = '""&amp;BE520&amp;""'"", 0), 1, 1),""NO ENCONTRADO"")"),"")</f>
        <v/>
      </c>
      <c r="BJ520" s="16">
        <f t="shared" si="19"/>
        <v>0</v>
      </c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4"/>
      <c r="BX520" s="14"/>
      <c r="BY520" s="14"/>
      <c r="BZ520" s="14"/>
      <c r="CA520" s="14"/>
      <c r="CB520" s="14"/>
      <c r="CC520" s="14"/>
      <c r="CD520" s="14"/>
      <c r="CE520" s="14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</row>
    <row r="521">
      <c r="A521" s="12"/>
      <c r="B521" s="14"/>
      <c r="C521" s="14"/>
      <c r="D521" s="14"/>
      <c r="E521" s="12"/>
      <c r="F521" s="307"/>
      <c r="G521" s="307"/>
      <c r="H521" s="12"/>
      <c r="I521" s="30"/>
      <c r="J521" s="12"/>
      <c r="K521" s="12"/>
      <c r="L521" s="12"/>
      <c r="M521" s="12"/>
      <c r="N521" s="12"/>
      <c r="O521" s="308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4"/>
      <c r="BF521" s="12"/>
      <c r="BG521" s="12"/>
      <c r="BH521" s="12" t="str">
        <f>IFERROR(__xludf.DUMMYFUNCTION("IFERROR(INDEX(QUERY(IMPORTRANGE(""1T7HG8KEs-Ob7f3M5atEVN9Yn7IeORGp0QGvggB62ELw"",""Maestro!A:I""),""SELECT Col8 WHERE Col3 = '""&amp;BE521&amp;""'"", 0), 1, 1),""NO ENCONTRADO"")"),"")</f>
        <v/>
      </c>
      <c r="BI521" s="12" t="str">
        <f>IFERROR(__xludf.DUMMYFUNCTION("IFERROR(INDEX(QUERY(IMPORTRANGE(""1T7HG8KEs-Ob7f3M5atEVN9Yn7IeORGp0QGvggB62ELw"",""Maestro!A:I""),""SELECT Col7 WHERE Col3 = '""&amp;BE521&amp;""'"", 0), 1, 1),""NO ENCONTRADO"")"),"")</f>
        <v/>
      </c>
      <c r="BJ521" s="16">
        <f t="shared" si="19"/>
        <v>0</v>
      </c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4"/>
      <c r="BX521" s="14"/>
      <c r="BY521" s="14"/>
      <c r="BZ521" s="14"/>
      <c r="CA521" s="14"/>
      <c r="CB521" s="14"/>
      <c r="CC521" s="14"/>
      <c r="CD521" s="14"/>
      <c r="CE521" s="14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</row>
    <row r="522">
      <c r="A522" s="12"/>
      <c r="B522" s="14"/>
      <c r="C522" s="14"/>
      <c r="D522" s="14"/>
      <c r="E522" s="12"/>
      <c r="F522" s="307"/>
      <c r="G522" s="307"/>
      <c r="H522" s="12"/>
      <c r="I522" s="30"/>
      <c r="J522" s="12"/>
      <c r="K522" s="12"/>
      <c r="L522" s="12"/>
      <c r="M522" s="12"/>
      <c r="N522" s="12"/>
      <c r="O522" s="308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4"/>
      <c r="BF522" s="12"/>
      <c r="BG522" s="12"/>
      <c r="BH522" s="12" t="str">
        <f>IFERROR(__xludf.DUMMYFUNCTION("IFERROR(INDEX(QUERY(IMPORTRANGE(""1T7HG8KEs-Ob7f3M5atEVN9Yn7IeORGp0QGvggB62ELw"",""Maestro!A:I""),""SELECT Col8 WHERE Col3 = '""&amp;BE522&amp;""'"", 0), 1, 1),""NO ENCONTRADO"")"),"")</f>
        <v/>
      </c>
      <c r="BI522" s="12" t="str">
        <f>IFERROR(__xludf.DUMMYFUNCTION("IFERROR(INDEX(QUERY(IMPORTRANGE(""1T7HG8KEs-Ob7f3M5atEVN9Yn7IeORGp0QGvggB62ELw"",""Maestro!A:I""),""SELECT Col7 WHERE Col3 = '""&amp;BE522&amp;""'"", 0), 1, 1),""NO ENCONTRADO"")"),"")</f>
        <v/>
      </c>
      <c r="BJ522" s="16">
        <f t="shared" si="19"/>
        <v>0</v>
      </c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4"/>
      <c r="BX522" s="14"/>
      <c r="BY522" s="14"/>
      <c r="BZ522" s="14"/>
      <c r="CA522" s="14"/>
      <c r="CB522" s="14"/>
      <c r="CC522" s="14"/>
      <c r="CD522" s="14"/>
      <c r="CE522" s="14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</row>
    <row r="523">
      <c r="A523" s="12"/>
      <c r="B523" s="14"/>
      <c r="C523" s="14"/>
      <c r="D523" s="14"/>
      <c r="E523" s="12"/>
      <c r="F523" s="307"/>
      <c r="G523" s="307"/>
      <c r="H523" s="12"/>
      <c r="I523" s="30"/>
      <c r="J523" s="12"/>
      <c r="K523" s="12"/>
      <c r="L523" s="12"/>
      <c r="M523" s="12"/>
      <c r="N523" s="12"/>
      <c r="O523" s="308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4"/>
      <c r="BF523" s="12"/>
      <c r="BG523" s="12"/>
      <c r="BH523" s="12" t="str">
        <f>IFERROR(__xludf.DUMMYFUNCTION("IFERROR(INDEX(QUERY(IMPORTRANGE(""1T7HG8KEs-Ob7f3M5atEVN9Yn7IeORGp0QGvggB62ELw"",""Maestro!A:I""),""SELECT Col8 WHERE Col3 = '""&amp;BE523&amp;""'"", 0), 1, 1),""NO ENCONTRADO"")"),"")</f>
        <v/>
      </c>
      <c r="BI523" s="12" t="str">
        <f>IFERROR(__xludf.DUMMYFUNCTION("IFERROR(INDEX(QUERY(IMPORTRANGE(""1T7HG8KEs-Ob7f3M5atEVN9Yn7IeORGp0QGvggB62ELw"",""Maestro!A:I""),""SELECT Col7 WHERE Col3 = '""&amp;BE523&amp;""'"", 0), 1, 1),""NO ENCONTRADO"")"),"")</f>
        <v/>
      </c>
      <c r="BJ523" s="16">
        <f t="shared" si="19"/>
        <v>0</v>
      </c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4"/>
      <c r="BX523" s="14"/>
      <c r="BY523" s="14"/>
      <c r="BZ523" s="14"/>
      <c r="CA523" s="14"/>
      <c r="CB523" s="14"/>
      <c r="CC523" s="14"/>
      <c r="CD523" s="14"/>
      <c r="CE523" s="14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</row>
    <row r="524">
      <c r="A524" s="12"/>
      <c r="B524" s="14"/>
      <c r="C524" s="14"/>
      <c r="D524" s="14"/>
      <c r="E524" s="12"/>
      <c r="F524" s="307"/>
      <c r="G524" s="307"/>
      <c r="H524" s="12"/>
      <c r="I524" s="30"/>
      <c r="J524" s="12"/>
      <c r="K524" s="12"/>
      <c r="L524" s="12"/>
      <c r="M524" s="12"/>
      <c r="N524" s="12"/>
      <c r="O524" s="308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4"/>
      <c r="BF524" s="12"/>
      <c r="BG524" s="12"/>
      <c r="BH524" s="12" t="str">
        <f>IFERROR(__xludf.DUMMYFUNCTION("IFERROR(INDEX(QUERY(IMPORTRANGE(""1T7HG8KEs-Ob7f3M5atEVN9Yn7IeORGp0QGvggB62ELw"",""Maestro!A:I""),""SELECT Col8 WHERE Col3 = '""&amp;BE524&amp;""'"", 0), 1, 1),""NO ENCONTRADO"")"),"")</f>
        <v/>
      </c>
      <c r="BI524" s="12" t="str">
        <f>IFERROR(__xludf.DUMMYFUNCTION("IFERROR(INDEX(QUERY(IMPORTRANGE(""1T7HG8KEs-Ob7f3M5atEVN9Yn7IeORGp0QGvggB62ELw"",""Maestro!A:I""),""SELECT Col7 WHERE Col3 = '""&amp;BE524&amp;""'"", 0), 1, 1),""NO ENCONTRADO"")"),"")</f>
        <v/>
      </c>
      <c r="BJ524" s="16">
        <f t="shared" si="19"/>
        <v>0</v>
      </c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4"/>
      <c r="BX524" s="14"/>
      <c r="BY524" s="14"/>
      <c r="BZ524" s="14"/>
      <c r="CA524" s="14"/>
      <c r="CB524" s="14"/>
      <c r="CC524" s="14"/>
      <c r="CD524" s="14"/>
      <c r="CE524" s="14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</row>
    <row r="525">
      <c r="A525" s="12"/>
      <c r="B525" s="14"/>
      <c r="C525" s="14"/>
      <c r="D525" s="14"/>
      <c r="E525" s="12"/>
      <c r="F525" s="307"/>
      <c r="G525" s="307"/>
      <c r="H525" s="12"/>
      <c r="I525" s="30"/>
      <c r="J525" s="12"/>
      <c r="K525" s="12"/>
      <c r="L525" s="12"/>
      <c r="M525" s="12"/>
      <c r="N525" s="12"/>
      <c r="O525" s="308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4"/>
      <c r="BF525" s="12"/>
      <c r="BG525" s="12"/>
      <c r="BH525" s="12" t="str">
        <f>IFERROR(__xludf.DUMMYFUNCTION("IFERROR(INDEX(QUERY(IMPORTRANGE(""1T7HG8KEs-Ob7f3M5atEVN9Yn7IeORGp0QGvggB62ELw"",""Maestro!A:I""),""SELECT Col8 WHERE Col3 = '""&amp;BE525&amp;""'"", 0), 1, 1),""NO ENCONTRADO"")"),"")</f>
        <v/>
      </c>
      <c r="BI525" s="12" t="str">
        <f>IFERROR(__xludf.DUMMYFUNCTION("IFERROR(INDEX(QUERY(IMPORTRANGE(""1T7HG8KEs-Ob7f3M5atEVN9Yn7IeORGp0QGvggB62ELw"",""Maestro!A:I""),""SELECT Col7 WHERE Col3 = '""&amp;BE525&amp;""'"", 0), 1, 1),""NO ENCONTRADO"")"),"")</f>
        <v/>
      </c>
      <c r="BJ525" s="16">
        <f t="shared" si="19"/>
        <v>0</v>
      </c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4"/>
      <c r="BX525" s="14"/>
      <c r="BY525" s="14"/>
      <c r="BZ525" s="14"/>
      <c r="CA525" s="14"/>
      <c r="CB525" s="14"/>
      <c r="CC525" s="14"/>
      <c r="CD525" s="14"/>
      <c r="CE525" s="14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</row>
    <row r="526">
      <c r="A526" s="12"/>
      <c r="B526" s="14"/>
      <c r="C526" s="14"/>
      <c r="D526" s="14"/>
      <c r="E526" s="12"/>
      <c r="F526" s="307"/>
      <c r="G526" s="307"/>
      <c r="H526" s="12"/>
      <c r="I526" s="30"/>
      <c r="J526" s="12"/>
      <c r="K526" s="12"/>
      <c r="L526" s="12"/>
      <c r="M526" s="12"/>
      <c r="N526" s="12"/>
      <c r="O526" s="308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4"/>
      <c r="BF526" s="12"/>
      <c r="BG526" s="12"/>
      <c r="BH526" s="12" t="str">
        <f>IFERROR(__xludf.DUMMYFUNCTION("IFERROR(INDEX(QUERY(IMPORTRANGE(""1T7HG8KEs-Ob7f3M5atEVN9Yn7IeORGp0QGvggB62ELw"",""Maestro!A:I""),""SELECT Col8 WHERE Col3 = '""&amp;BE526&amp;""'"", 0), 1, 1),""NO ENCONTRADO"")"),"")</f>
        <v/>
      </c>
      <c r="BI526" s="12" t="str">
        <f>IFERROR(__xludf.DUMMYFUNCTION("IFERROR(INDEX(QUERY(IMPORTRANGE(""1T7HG8KEs-Ob7f3M5atEVN9Yn7IeORGp0QGvggB62ELw"",""Maestro!A:I""),""SELECT Col7 WHERE Col3 = '""&amp;BE526&amp;""'"", 0), 1, 1),""NO ENCONTRADO"")"),"")</f>
        <v/>
      </c>
      <c r="BJ526" s="16">
        <f t="shared" si="19"/>
        <v>0</v>
      </c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4"/>
      <c r="BX526" s="14"/>
      <c r="BY526" s="14"/>
      <c r="BZ526" s="14"/>
      <c r="CA526" s="14"/>
      <c r="CB526" s="14"/>
      <c r="CC526" s="14"/>
      <c r="CD526" s="14"/>
      <c r="CE526" s="14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</row>
    <row r="527">
      <c r="A527" s="12"/>
      <c r="B527" s="14"/>
      <c r="C527" s="14"/>
      <c r="D527" s="14"/>
      <c r="E527" s="12"/>
      <c r="F527" s="307"/>
      <c r="G527" s="307"/>
      <c r="H527" s="12"/>
      <c r="I527" s="30"/>
      <c r="J527" s="12"/>
      <c r="K527" s="12"/>
      <c r="L527" s="12"/>
      <c r="M527" s="12"/>
      <c r="N527" s="12"/>
      <c r="O527" s="308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4"/>
      <c r="BF527" s="12"/>
      <c r="BG527" s="12"/>
      <c r="BH527" s="12" t="str">
        <f>IFERROR(__xludf.DUMMYFUNCTION("IFERROR(INDEX(QUERY(IMPORTRANGE(""1T7HG8KEs-Ob7f3M5atEVN9Yn7IeORGp0QGvggB62ELw"",""Maestro!A:I""),""SELECT Col8 WHERE Col3 = '""&amp;BE527&amp;""'"", 0), 1, 1),""NO ENCONTRADO"")"),"")</f>
        <v/>
      </c>
      <c r="BI527" s="12" t="str">
        <f>IFERROR(__xludf.DUMMYFUNCTION("IFERROR(INDEX(QUERY(IMPORTRANGE(""1T7HG8KEs-Ob7f3M5atEVN9Yn7IeORGp0QGvggB62ELw"",""Maestro!A:I""),""SELECT Col7 WHERE Col3 = '""&amp;BE527&amp;""'"", 0), 1, 1),""NO ENCONTRADO"")"),"")</f>
        <v/>
      </c>
      <c r="BJ527" s="16">
        <f t="shared" si="19"/>
        <v>0</v>
      </c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4"/>
      <c r="BX527" s="14"/>
      <c r="BY527" s="14"/>
      <c r="BZ527" s="14"/>
      <c r="CA527" s="14"/>
      <c r="CB527" s="14"/>
      <c r="CC527" s="14"/>
      <c r="CD527" s="14"/>
      <c r="CE527" s="14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</row>
    <row r="528">
      <c r="A528" s="12"/>
      <c r="B528" s="14"/>
      <c r="C528" s="14"/>
      <c r="D528" s="14"/>
      <c r="E528" s="12"/>
      <c r="F528" s="307"/>
      <c r="G528" s="307"/>
      <c r="H528" s="12"/>
      <c r="I528" s="30"/>
      <c r="J528" s="12"/>
      <c r="K528" s="12"/>
      <c r="L528" s="12"/>
      <c r="M528" s="12"/>
      <c r="N528" s="12"/>
      <c r="O528" s="308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4"/>
      <c r="BF528" s="12"/>
      <c r="BG528" s="12"/>
      <c r="BH528" s="12" t="str">
        <f>IFERROR(__xludf.DUMMYFUNCTION("IFERROR(INDEX(QUERY(IMPORTRANGE(""1T7HG8KEs-Ob7f3M5atEVN9Yn7IeORGp0QGvggB62ELw"",""Maestro!A:I""),""SELECT Col8 WHERE Col3 = '""&amp;BE528&amp;""'"", 0), 1, 1),""NO ENCONTRADO"")"),"")</f>
        <v/>
      </c>
      <c r="BI528" s="12" t="str">
        <f>IFERROR(__xludf.DUMMYFUNCTION("IFERROR(INDEX(QUERY(IMPORTRANGE(""1T7HG8KEs-Ob7f3M5atEVN9Yn7IeORGp0QGvggB62ELw"",""Maestro!A:I""),""SELECT Col7 WHERE Col3 = '""&amp;BE528&amp;""'"", 0), 1, 1),""NO ENCONTRADO"")"),"")</f>
        <v/>
      </c>
      <c r="BJ528" s="16">
        <f t="shared" si="19"/>
        <v>0</v>
      </c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4"/>
      <c r="BX528" s="14"/>
      <c r="BY528" s="14"/>
      <c r="BZ528" s="14"/>
      <c r="CA528" s="14"/>
      <c r="CB528" s="14"/>
      <c r="CC528" s="14"/>
      <c r="CD528" s="14"/>
      <c r="CE528" s="14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</row>
    <row r="529">
      <c r="A529" s="12"/>
      <c r="B529" s="14"/>
      <c r="C529" s="14"/>
      <c r="D529" s="14"/>
      <c r="E529" s="12"/>
      <c r="F529" s="307"/>
      <c r="G529" s="307"/>
      <c r="H529" s="12"/>
      <c r="I529" s="30"/>
      <c r="J529" s="12"/>
      <c r="K529" s="12"/>
      <c r="L529" s="12"/>
      <c r="M529" s="12"/>
      <c r="N529" s="12"/>
      <c r="O529" s="308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4"/>
      <c r="BF529" s="12"/>
      <c r="BG529" s="12"/>
      <c r="BH529" s="12" t="str">
        <f>IFERROR(__xludf.DUMMYFUNCTION("IFERROR(INDEX(QUERY(IMPORTRANGE(""1T7HG8KEs-Ob7f3M5atEVN9Yn7IeORGp0QGvggB62ELw"",""Maestro!A:I""),""SELECT Col8 WHERE Col3 = '""&amp;BE529&amp;""'"", 0), 1, 1),""NO ENCONTRADO"")"),"")</f>
        <v/>
      </c>
      <c r="BI529" s="12" t="str">
        <f>IFERROR(__xludf.DUMMYFUNCTION("IFERROR(INDEX(QUERY(IMPORTRANGE(""1T7HG8KEs-Ob7f3M5atEVN9Yn7IeORGp0QGvggB62ELw"",""Maestro!A:I""),""SELECT Col7 WHERE Col3 = '""&amp;BE529&amp;""'"", 0), 1, 1),""NO ENCONTRADO"")"),"")</f>
        <v/>
      </c>
      <c r="BJ529" s="16">
        <f t="shared" si="19"/>
        <v>0</v>
      </c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4"/>
      <c r="BX529" s="14"/>
      <c r="BY529" s="14"/>
      <c r="BZ529" s="14"/>
      <c r="CA529" s="14"/>
      <c r="CB529" s="14"/>
      <c r="CC529" s="14"/>
      <c r="CD529" s="14"/>
      <c r="CE529" s="14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</row>
    <row r="530">
      <c r="A530" s="12"/>
      <c r="B530" s="14"/>
      <c r="C530" s="14"/>
      <c r="D530" s="14"/>
      <c r="E530" s="12"/>
      <c r="F530" s="307"/>
      <c r="G530" s="307"/>
      <c r="H530" s="12"/>
      <c r="I530" s="30"/>
      <c r="J530" s="12"/>
      <c r="K530" s="12"/>
      <c r="L530" s="12"/>
      <c r="M530" s="12"/>
      <c r="N530" s="12"/>
      <c r="O530" s="308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4"/>
      <c r="BF530" s="12"/>
      <c r="BG530" s="12"/>
      <c r="BH530" s="12" t="str">
        <f>IFERROR(__xludf.DUMMYFUNCTION("IFERROR(INDEX(QUERY(IMPORTRANGE(""1T7HG8KEs-Ob7f3M5atEVN9Yn7IeORGp0QGvggB62ELw"",""Maestro!A:I""),""SELECT Col8 WHERE Col3 = '""&amp;BE530&amp;""'"", 0), 1, 1),""NO ENCONTRADO"")"),"")</f>
        <v/>
      </c>
      <c r="BI530" s="12" t="str">
        <f>IFERROR(__xludf.DUMMYFUNCTION("IFERROR(INDEX(QUERY(IMPORTRANGE(""1T7HG8KEs-Ob7f3M5atEVN9Yn7IeORGp0QGvggB62ELw"",""Maestro!A:I""),""SELECT Col7 WHERE Col3 = '""&amp;BE530&amp;""'"", 0), 1, 1),""NO ENCONTRADO"")"),"")</f>
        <v/>
      </c>
      <c r="BJ530" s="16">
        <f t="shared" si="19"/>
        <v>0</v>
      </c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4"/>
      <c r="BX530" s="14"/>
      <c r="BY530" s="14"/>
      <c r="BZ530" s="14"/>
      <c r="CA530" s="14"/>
      <c r="CB530" s="14"/>
      <c r="CC530" s="14"/>
      <c r="CD530" s="14"/>
      <c r="CE530" s="14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</row>
    <row r="531">
      <c r="A531" s="12"/>
      <c r="B531" s="14"/>
      <c r="C531" s="14"/>
      <c r="D531" s="14"/>
      <c r="E531" s="12"/>
      <c r="F531" s="307"/>
      <c r="G531" s="307"/>
      <c r="H531" s="12"/>
      <c r="I531" s="30"/>
      <c r="J531" s="12"/>
      <c r="K531" s="12"/>
      <c r="L531" s="12"/>
      <c r="M531" s="12"/>
      <c r="N531" s="12"/>
      <c r="O531" s="308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4"/>
      <c r="BF531" s="12"/>
      <c r="BG531" s="12"/>
      <c r="BH531" s="12" t="str">
        <f>IFERROR(__xludf.DUMMYFUNCTION("IFERROR(INDEX(QUERY(IMPORTRANGE(""1T7HG8KEs-Ob7f3M5atEVN9Yn7IeORGp0QGvggB62ELw"",""Maestro!A:I""),""SELECT Col8 WHERE Col3 = '""&amp;BE531&amp;""'"", 0), 1, 1),""NO ENCONTRADO"")"),"")</f>
        <v/>
      </c>
      <c r="BI531" s="12" t="str">
        <f>IFERROR(__xludf.DUMMYFUNCTION("IFERROR(INDEX(QUERY(IMPORTRANGE(""1T7HG8KEs-Ob7f3M5atEVN9Yn7IeORGp0QGvggB62ELw"",""Maestro!A:I""),""SELECT Col7 WHERE Col3 = '""&amp;BE531&amp;""'"", 0), 1, 1),""NO ENCONTRADO"")"),"")</f>
        <v/>
      </c>
      <c r="BJ531" s="16">
        <f t="shared" si="19"/>
        <v>0</v>
      </c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4"/>
      <c r="BX531" s="14"/>
      <c r="BY531" s="14"/>
      <c r="BZ531" s="14"/>
      <c r="CA531" s="14"/>
      <c r="CB531" s="14"/>
      <c r="CC531" s="14"/>
      <c r="CD531" s="14"/>
      <c r="CE531" s="14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</row>
    <row r="532">
      <c r="A532" s="12"/>
      <c r="B532" s="14"/>
      <c r="C532" s="14"/>
      <c r="D532" s="14"/>
      <c r="E532" s="12"/>
      <c r="F532" s="307"/>
      <c r="G532" s="307"/>
      <c r="H532" s="12"/>
      <c r="I532" s="30"/>
      <c r="J532" s="12"/>
      <c r="K532" s="12"/>
      <c r="L532" s="12"/>
      <c r="M532" s="12"/>
      <c r="N532" s="12"/>
      <c r="O532" s="308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4"/>
      <c r="BF532" s="12"/>
      <c r="BG532" s="12"/>
      <c r="BH532" s="12" t="str">
        <f>IFERROR(__xludf.DUMMYFUNCTION("IFERROR(INDEX(QUERY(IMPORTRANGE(""1T7HG8KEs-Ob7f3M5atEVN9Yn7IeORGp0QGvggB62ELw"",""Maestro!A:I""),""SELECT Col8 WHERE Col3 = '""&amp;BE532&amp;""'"", 0), 1, 1),""NO ENCONTRADO"")"),"")</f>
        <v/>
      </c>
      <c r="BI532" s="12" t="str">
        <f>IFERROR(__xludf.DUMMYFUNCTION("IFERROR(INDEX(QUERY(IMPORTRANGE(""1T7HG8KEs-Ob7f3M5atEVN9Yn7IeORGp0QGvggB62ELw"",""Maestro!A:I""),""SELECT Col7 WHERE Col3 = '""&amp;BE532&amp;""'"", 0), 1, 1),""NO ENCONTRADO"")"),"")</f>
        <v/>
      </c>
      <c r="BJ532" s="16">
        <f t="shared" si="19"/>
        <v>0</v>
      </c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4"/>
      <c r="BX532" s="14"/>
      <c r="BY532" s="14"/>
      <c r="BZ532" s="14"/>
      <c r="CA532" s="14"/>
      <c r="CB532" s="14"/>
      <c r="CC532" s="14"/>
      <c r="CD532" s="14"/>
      <c r="CE532" s="14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</row>
    <row r="533">
      <c r="A533" s="12"/>
      <c r="B533" s="14"/>
      <c r="C533" s="14"/>
      <c r="D533" s="14"/>
      <c r="E533" s="12"/>
      <c r="F533" s="307"/>
      <c r="G533" s="307"/>
      <c r="H533" s="12"/>
      <c r="I533" s="30"/>
      <c r="J533" s="12"/>
      <c r="K533" s="12"/>
      <c r="L533" s="12"/>
      <c r="M533" s="12"/>
      <c r="N533" s="12"/>
      <c r="O533" s="308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4"/>
      <c r="BF533" s="12"/>
      <c r="BG533" s="12"/>
      <c r="BH533" s="12" t="str">
        <f>IFERROR(__xludf.DUMMYFUNCTION("IFERROR(INDEX(QUERY(IMPORTRANGE(""1T7HG8KEs-Ob7f3M5atEVN9Yn7IeORGp0QGvggB62ELw"",""Maestro!A:I""),""SELECT Col8 WHERE Col3 = '""&amp;BE533&amp;""'"", 0), 1, 1),""NO ENCONTRADO"")"),"")</f>
        <v/>
      </c>
      <c r="BI533" s="12" t="str">
        <f>IFERROR(__xludf.DUMMYFUNCTION("IFERROR(INDEX(QUERY(IMPORTRANGE(""1T7HG8KEs-Ob7f3M5atEVN9Yn7IeORGp0QGvggB62ELw"",""Maestro!A:I""),""SELECT Col7 WHERE Col3 = '""&amp;BE533&amp;""'"", 0), 1, 1),""NO ENCONTRADO"")"),"")</f>
        <v/>
      </c>
      <c r="BJ533" s="16">
        <f t="shared" si="19"/>
        <v>0</v>
      </c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4"/>
      <c r="BX533" s="14"/>
      <c r="BY533" s="14"/>
      <c r="BZ533" s="14"/>
      <c r="CA533" s="14"/>
      <c r="CB533" s="14"/>
      <c r="CC533" s="14"/>
      <c r="CD533" s="14"/>
      <c r="CE533" s="14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</row>
    <row r="534">
      <c r="A534" s="12"/>
      <c r="B534" s="14"/>
      <c r="C534" s="14"/>
      <c r="D534" s="14"/>
      <c r="E534" s="12"/>
      <c r="F534" s="307"/>
      <c r="G534" s="307"/>
      <c r="H534" s="12"/>
      <c r="I534" s="30"/>
      <c r="J534" s="12"/>
      <c r="K534" s="12"/>
      <c r="L534" s="12"/>
      <c r="M534" s="12"/>
      <c r="N534" s="12"/>
      <c r="O534" s="308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4"/>
      <c r="BF534" s="12"/>
      <c r="BG534" s="12"/>
      <c r="BH534" s="12" t="str">
        <f>IFERROR(__xludf.DUMMYFUNCTION("IFERROR(INDEX(QUERY(IMPORTRANGE(""1T7HG8KEs-Ob7f3M5atEVN9Yn7IeORGp0QGvggB62ELw"",""Maestro!A:I""),""SELECT Col8 WHERE Col3 = '""&amp;BE534&amp;""'"", 0), 1, 1),""NO ENCONTRADO"")"),"")</f>
        <v/>
      </c>
      <c r="BI534" s="12" t="str">
        <f>IFERROR(__xludf.DUMMYFUNCTION("IFERROR(INDEX(QUERY(IMPORTRANGE(""1T7HG8KEs-Ob7f3M5atEVN9Yn7IeORGp0QGvggB62ELw"",""Maestro!A:I""),""SELECT Col7 WHERE Col3 = '""&amp;BE534&amp;""'"", 0), 1, 1),""NO ENCONTRADO"")"),"")</f>
        <v/>
      </c>
      <c r="BJ534" s="16">
        <f t="shared" si="19"/>
        <v>0</v>
      </c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4"/>
      <c r="BX534" s="14"/>
      <c r="BY534" s="14"/>
      <c r="BZ534" s="14"/>
      <c r="CA534" s="14"/>
      <c r="CB534" s="14"/>
      <c r="CC534" s="14"/>
      <c r="CD534" s="14"/>
      <c r="CE534" s="14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</row>
    <row r="535">
      <c r="A535" s="12"/>
      <c r="B535" s="14"/>
      <c r="C535" s="14"/>
      <c r="D535" s="14"/>
      <c r="E535" s="12"/>
      <c r="F535" s="307"/>
      <c r="G535" s="307"/>
      <c r="H535" s="12"/>
      <c r="I535" s="30"/>
      <c r="J535" s="12"/>
      <c r="K535" s="12"/>
      <c r="L535" s="12"/>
      <c r="M535" s="12"/>
      <c r="N535" s="12"/>
      <c r="O535" s="308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4"/>
      <c r="BF535" s="12"/>
      <c r="BG535" s="12"/>
      <c r="BH535" s="12" t="str">
        <f>IFERROR(__xludf.DUMMYFUNCTION("IFERROR(INDEX(QUERY(IMPORTRANGE(""1T7HG8KEs-Ob7f3M5atEVN9Yn7IeORGp0QGvggB62ELw"",""Maestro!A:I""),""SELECT Col8 WHERE Col3 = '""&amp;BE535&amp;""'"", 0), 1, 1),""NO ENCONTRADO"")"),"")</f>
        <v/>
      </c>
      <c r="BI535" s="12" t="str">
        <f>IFERROR(__xludf.DUMMYFUNCTION("IFERROR(INDEX(QUERY(IMPORTRANGE(""1T7HG8KEs-Ob7f3M5atEVN9Yn7IeORGp0QGvggB62ELw"",""Maestro!A:I""),""SELECT Col7 WHERE Col3 = '""&amp;BE535&amp;""'"", 0), 1, 1),""NO ENCONTRADO"")"),"")</f>
        <v/>
      </c>
      <c r="BJ535" s="16">
        <f t="shared" si="19"/>
        <v>0</v>
      </c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4"/>
      <c r="BX535" s="14"/>
      <c r="BY535" s="14"/>
      <c r="BZ535" s="14"/>
      <c r="CA535" s="14"/>
      <c r="CB535" s="14"/>
      <c r="CC535" s="14"/>
      <c r="CD535" s="14"/>
      <c r="CE535" s="14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</row>
    <row r="536">
      <c r="A536" s="12"/>
      <c r="B536" s="14"/>
      <c r="C536" s="14"/>
      <c r="D536" s="14"/>
      <c r="E536" s="12"/>
      <c r="F536" s="307"/>
      <c r="G536" s="307"/>
      <c r="H536" s="12"/>
      <c r="I536" s="30"/>
      <c r="J536" s="12"/>
      <c r="K536" s="12"/>
      <c r="L536" s="12"/>
      <c r="M536" s="12"/>
      <c r="N536" s="12"/>
      <c r="O536" s="308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4"/>
      <c r="BF536" s="12"/>
      <c r="BG536" s="12"/>
      <c r="BH536" s="12" t="str">
        <f>IFERROR(__xludf.DUMMYFUNCTION("IFERROR(INDEX(QUERY(IMPORTRANGE(""1T7HG8KEs-Ob7f3M5atEVN9Yn7IeORGp0QGvggB62ELw"",""Maestro!A:I""),""SELECT Col8 WHERE Col3 = '""&amp;BE536&amp;""'"", 0), 1, 1),""NO ENCONTRADO"")"),"")</f>
        <v/>
      </c>
      <c r="BI536" s="12" t="str">
        <f>IFERROR(__xludf.DUMMYFUNCTION("IFERROR(INDEX(QUERY(IMPORTRANGE(""1T7HG8KEs-Ob7f3M5atEVN9Yn7IeORGp0QGvggB62ELw"",""Maestro!A:I""),""SELECT Col7 WHERE Col3 = '""&amp;BE536&amp;""'"", 0), 1, 1),""NO ENCONTRADO"")"),"")</f>
        <v/>
      </c>
      <c r="BJ536" s="16">
        <f t="shared" si="19"/>
        <v>0</v>
      </c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4"/>
      <c r="BX536" s="14"/>
      <c r="BY536" s="14"/>
      <c r="BZ536" s="14"/>
      <c r="CA536" s="14"/>
      <c r="CB536" s="14"/>
      <c r="CC536" s="14"/>
      <c r="CD536" s="14"/>
      <c r="CE536" s="14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</row>
    <row r="537">
      <c r="A537" s="12"/>
      <c r="B537" s="14"/>
      <c r="C537" s="14"/>
      <c r="D537" s="14"/>
      <c r="E537" s="12"/>
      <c r="F537" s="307"/>
      <c r="G537" s="307"/>
      <c r="H537" s="12"/>
      <c r="I537" s="30"/>
      <c r="J537" s="12"/>
      <c r="K537" s="12"/>
      <c r="L537" s="12"/>
      <c r="M537" s="12"/>
      <c r="N537" s="12"/>
      <c r="O537" s="308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4"/>
      <c r="BF537" s="12"/>
      <c r="BG537" s="12"/>
      <c r="BH537" s="12" t="str">
        <f>IFERROR(__xludf.DUMMYFUNCTION("IFERROR(INDEX(QUERY(IMPORTRANGE(""1T7HG8KEs-Ob7f3M5atEVN9Yn7IeORGp0QGvggB62ELw"",""Maestro!A:I""),""SELECT Col8 WHERE Col3 = '""&amp;BE537&amp;""'"", 0), 1, 1),""NO ENCONTRADO"")"),"")</f>
        <v/>
      </c>
      <c r="BI537" s="12" t="str">
        <f>IFERROR(__xludf.DUMMYFUNCTION("IFERROR(INDEX(QUERY(IMPORTRANGE(""1T7HG8KEs-Ob7f3M5atEVN9Yn7IeORGp0QGvggB62ELw"",""Maestro!A:I""),""SELECT Col7 WHERE Col3 = '""&amp;BE537&amp;""'"", 0), 1, 1),""NO ENCONTRADO"")"),"")</f>
        <v/>
      </c>
      <c r="BJ537" s="16">
        <f t="shared" si="19"/>
        <v>0</v>
      </c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4"/>
      <c r="BX537" s="14"/>
      <c r="BY537" s="14"/>
      <c r="BZ537" s="14"/>
      <c r="CA537" s="14"/>
      <c r="CB537" s="14"/>
      <c r="CC537" s="14"/>
      <c r="CD537" s="14"/>
      <c r="CE537" s="14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</row>
    <row r="538">
      <c r="A538" s="12"/>
      <c r="B538" s="14"/>
      <c r="C538" s="14"/>
      <c r="D538" s="14"/>
      <c r="E538" s="12"/>
      <c r="F538" s="307"/>
      <c r="G538" s="307"/>
      <c r="H538" s="12"/>
      <c r="I538" s="30"/>
      <c r="J538" s="12"/>
      <c r="K538" s="12"/>
      <c r="L538" s="12"/>
      <c r="M538" s="12"/>
      <c r="N538" s="12"/>
      <c r="O538" s="308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4"/>
      <c r="BF538" s="12"/>
      <c r="BG538" s="12"/>
      <c r="BH538" s="12" t="str">
        <f>IFERROR(__xludf.DUMMYFUNCTION("IFERROR(INDEX(QUERY(IMPORTRANGE(""1T7HG8KEs-Ob7f3M5atEVN9Yn7IeORGp0QGvggB62ELw"",""Maestro!A:I""),""SELECT Col8 WHERE Col3 = '""&amp;BE538&amp;""'"", 0), 1, 1),""NO ENCONTRADO"")"),"")</f>
        <v/>
      </c>
      <c r="BI538" s="12" t="str">
        <f>IFERROR(__xludf.DUMMYFUNCTION("IFERROR(INDEX(QUERY(IMPORTRANGE(""1T7HG8KEs-Ob7f3M5atEVN9Yn7IeORGp0QGvggB62ELw"",""Maestro!A:I""),""SELECT Col7 WHERE Col3 = '""&amp;BE538&amp;""'"", 0), 1, 1),""NO ENCONTRADO"")"),"")</f>
        <v/>
      </c>
      <c r="BJ538" s="16">
        <f t="shared" si="19"/>
        <v>0</v>
      </c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4"/>
      <c r="BX538" s="14"/>
      <c r="BY538" s="14"/>
      <c r="BZ538" s="14"/>
      <c r="CA538" s="14"/>
      <c r="CB538" s="14"/>
      <c r="CC538" s="14"/>
      <c r="CD538" s="14"/>
      <c r="CE538" s="14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</row>
    <row r="539">
      <c r="A539" s="12"/>
      <c r="B539" s="14"/>
      <c r="C539" s="14"/>
      <c r="D539" s="14"/>
      <c r="E539" s="12"/>
      <c r="F539" s="307"/>
      <c r="G539" s="307"/>
      <c r="H539" s="12"/>
      <c r="I539" s="30"/>
      <c r="J539" s="12"/>
      <c r="K539" s="12"/>
      <c r="L539" s="12"/>
      <c r="M539" s="12"/>
      <c r="N539" s="12"/>
      <c r="O539" s="308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4"/>
      <c r="BF539" s="12"/>
      <c r="BG539" s="12"/>
      <c r="BH539" s="12" t="str">
        <f>IFERROR(__xludf.DUMMYFUNCTION("IFERROR(INDEX(QUERY(IMPORTRANGE(""1T7HG8KEs-Ob7f3M5atEVN9Yn7IeORGp0QGvggB62ELw"",""Maestro!A:I""),""SELECT Col8 WHERE Col3 = '""&amp;BE539&amp;""'"", 0), 1, 1),""NO ENCONTRADO"")"),"")</f>
        <v/>
      </c>
      <c r="BI539" s="12" t="str">
        <f>IFERROR(__xludf.DUMMYFUNCTION("IFERROR(INDEX(QUERY(IMPORTRANGE(""1T7HG8KEs-Ob7f3M5atEVN9Yn7IeORGp0QGvggB62ELw"",""Maestro!A:I""),""SELECT Col7 WHERE Col3 = '""&amp;BE539&amp;""'"", 0), 1, 1),""NO ENCONTRADO"")"),"")</f>
        <v/>
      </c>
      <c r="BJ539" s="16">
        <f t="shared" si="19"/>
        <v>0</v>
      </c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4"/>
      <c r="BX539" s="14"/>
      <c r="BY539" s="14"/>
      <c r="BZ539" s="14"/>
      <c r="CA539" s="14"/>
      <c r="CB539" s="14"/>
      <c r="CC539" s="14"/>
      <c r="CD539" s="14"/>
      <c r="CE539" s="14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</row>
    <row r="540">
      <c r="A540" s="12"/>
      <c r="B540" s="14"/>
      <c r="C540" s="14"/>
      <c r="D540" s="14"/>
      <c r="E540" s="12"/>
      <c r="F540" s="307"/>
      <c r="G540" s="307"/>
      <c r="H540" s="12"/>
      <c r="I540" s="30"/>
      <c r="J540" s="12"/>
      <c r="K540" s="12"/>
      <c r="L540" s="12"/>
      <c r="M540" s="12"/>
      <c r="N540" s="12"/>
      <c r="O540" s="308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4"/>
      <c r="BF540" s="12"/>
      <c r="BG540" s="12"/>
      <c r="BH540" s="12" t="str">
        <f>IFERROR(__xludf.DUMMYFUNCTION("IFERROR(INDEX(QUERY(IMPORTRANGE(""1T7HG8KEs-Ob7f3M5atEVN9Yn7IeORGp0QGvggB62ELw"",""Maestro!A:I""),""SELECT Col8 WHERE Col3 = '""&amp;BE540&amp;""'"", 0), 1, 1),""NO ENCONTRADO"")"),"")</f>
        <v/>
      </c>
      <c r="BI540" s="12" t="str">
        <f>IFERROR(__xludf.DUMMYFUNCTION("IFERROR(INDEX(QUERY(IMPORTRANGE(""1T7HG8KEs-Ob7f3M5atEVN9Yn7IeORGp0QGvggB62ELw"",""Maestro!A:I""),""SELECT Col7 WHERE Col3 = '""&amp;BE540&amp;""'"", 0), 1, 1),""NO ENCONTRADO"")"),"")</f>
        <v/>
      </c>
      <c r="BJ540" s="16">
        <f t="shared" si="19"/>
        <v>0</v>
      </c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4"/>
      <c r="BX540" s="14"/>
      <c r="BY540" s="14"/>
      <c r="BZ540" s="14"/>
      <c r="CA540" s="14"/>
      <c r="CB540" s="14"/>
      <c r="CC540" s="14"/>
      <c r="CD540" s="14"/>
      <c r="CE540" s="14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</row>
    <row r="541">
      <c r="A541" s="12"/>
      <c r="B541" s="14"/>
      <c r="C541" s="14"/>
      <c r="D541" s="14"/>
      <c r="E541" s="12"/>
      <c r="F541" s="307"/>
      <c r="G541" s="307"/>
      <c r="H541" s="12"/>
      <c r="I541" s="30"/>
      <c r="J541" s="12"/>
      <c r="K541" s="12"/>
      <c r="L541" s="12"/>
      <c r="M541" s="12"/>
      <c r="N541" s="12"/>
      <c r="O541" s="308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4"/>
      <c r="BF541" s="12"/>
      <c r="BG541" s="12"/>
      <c r="BH541" s="12" t="str">
        <f>IFERROR(__xludf.DUMMYFUNCTION("IFERROR(INDEX(QUERY(IMPORTRANGE(""1T7HG8KEs-Ob7f3M5atEVN9Yn7IeORGp0QGvggB62ELw"",""Maestro!A:I""),""SELECT Col8 WHERE Col3 = '""&amp;BE541&amp;""'"", 0), 1, 1),""NO ENCONTRADO"")"),"")</f>
        <v/>
      </c>
      <c r="BI541" s="12" t="str">
        <f>IFERROR(__xludf.DUMMYFUNCTION("IFERROR(INDEX(QUERY(IMPORTRANGE(""1T7HG8KEs-Ob7f3M5atEVN9Yn7IeORGp0QGvggB62ELw"",""Maestro!A:I""),""SELECT Col7 WHERE Col3 = '""&amp;BE541&amp;""'"", 0), 1, 1),""NO ENCONTRADO"")"),"")</f>
        <v/>
      </c>
      <c r="BJ541" s="16">
        <f t="shared" si="19"/>
        <v>0</v>
      </c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4"/>
      <c r="BX541" s="14"/>
      <c r="BY541" s="14"/>
      <c r="BZ541" s="14"/>
      <c r="CA541" s="14"/>
      <c r="CB541" s="14"/>
      <c r="CC541" s="14"/>
      <c r="CD541" s="14"/>
      <c r="CE541" s="14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</row>
    <row r="542">
      <c r="A542" s="12"/>
      <c r="B542" s="14"/>
      <c r="C542" s="14"/>
      <c r="D542" s="14"/>
      <c r="E542" s="12"/>
      <c r="F542" s="307"/>
      <c r="G542" s="307"/>
      <c r="H542" s="12"/>
      <c r="I542" s="30"/>
      <c r="J542" s="12"/>
      <c r="K542" s="12"/>
      <c r="L542" s="12"/>
      <c r="M542" s="12"/>
      <c r="N542" s="12"/>
      <c r="O542" s="308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4"/>
      <c r="BF542" s="12"/>
      <c r="BG542" s="12"/>
      <c r="BH542" s="12" t="str">
        <f>IFERROR(__xludf.DUMMYFUNCTION("IFERROR(INDEX(QUERY(IMPORTRANGE(""1T7HG8KEs-Ob7f3M5atEVN9Yn7IeORGp0QGvggB62ELw"",""Maestro!A:I""),""SELECT Col8 WHERE Col3 = '""&amp;BE542&amp;""'"", 0), 1, 1),""NO ENCONTRADO"")"),"")</f>
        <v/>
      </c>
      <c r="BI542" s="12" t="str">
        <f>IFERROR(__xludf.DUMMYFUNCTION("IFERROR(INDEX(QUERY(IMPORTRANGE(""1T7HG8KEs-Ob7f3M5atEVN9Yn7IeORGp0QGvggB62ELw"",""Maestro!A:I""),""SELECT Col7 WHERE Col3 = '""&amp;BE542&amp;""'"", 0), 1, 1),""NO ENCONTRADO"")"),"")</f>
        <v/>
      </c>
      <c r="BJ542" s="16">
        <f t="shared" si="19"/>
        <v>0</v>
      </c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4"/>
      <c r="BX542" s="14"/>
      <c r="BY542" s="14"/>
      <c r="BZ542" s="14"/>
      <c r="CA542" s="14"/>
      <c r="CB542" s="14"/>
      <c r="CC542" s="14"/>
      <c r="CD542" s="14"/>
      <c r="CE542" s="14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</row>
    <row r="543">
      <c r="A543" s="12"/>
      <c r="B543" s="14"/>
      <c r="C543" s="14"/>
      <c r="D543" s="14"/>
      <c r="E543" s="12"/>
      <c r="F543" s="307"/>
      <c r="G543" s="307"/>
      <c r="H543" s="12"/>
      <c r="I543" s="30"/>
      <c r="J543" s="12"/>
      <c r="K543" s="12"/>
      <c r="L543" s="12"/>
      <c r="M543" s="12"/>
      <c r="N543" s="12"/>
      <c r="O543" s="308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4"/>
      <c r="BF543" s="12"/>
      <c r="BG543" s="12"/>
      <c r="BH543" s="12" t="str">
        <f>IFERROR(__xludf.DUMMYFUNCTION("IFERROR(INDEX(QUERY(IMPORTRANGE(""1T7HG8KEs-Ob7f3M5atEVN9Yn7IeORGp0QGvggB62ELw"",""Maestro!A:I""),""SELECT Col8 WHERE Col3 = '""&amp;BE543&amp;""'"", 0), 1, 1),""NO ENCONTRADO"")"),"")</f>
        <v/>
      </c>
      <c r="BI543" s="12" t="str">
        <f>IFERROR(__xludf.DUMMYFUNCTION("IFERROR(INDEX(QUERY(IMPORTRANGE(""1T7HG8KEs-Ob7f3M5atEVN9Yn7IeORGp0QGvggB62ELw"",""Maestro!A:I""),""SELECT Col7 WHERE Col3 = '""&amp;BE543&amp;""'"", 0), 1, 1),""NO ENCONTRADO"")"),"")</f>
        <v/>
      </c>
      <c r="BJ543" s="16">
        <f t="shared" si="19"/>
        <v>0</v>
      </c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4"/>
      <c r="BX543" s="14"/>
      <c r="BY543" s="14"/>
      <c r="BZ543" s="14"/>
      <c r="CA543" s="14"/>
      <c r="CB543" s="14"/>
      <c r="CC543" s="14"/>
      <c r="CD543" s="14"/>
      <c r="CE543" s="14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</row>
    <row r="544">
      <c r="A544" s="12"/>
      <c r="B544" s="14"/>
      <c r="C544" s="14"/>
      <c r="D544" s="14"/>
      <c r="E544" s="12"/>
      <c r="F544" s="307"/>
      <c r="G544" s="307"/>
      <c r="H544" s="12"/>
      <c r="I544" s="30"/>
      <c r="J544" s="12"/>
      <c r="K544" s="12"/>
      <c r="L544" s="12"/>
      <c r="M544" s="12"/>
      <c r="N544" s="12"/>
      <c r="O544" s="308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4"/>
      <c r="BF544" s="12"/>
      <c r="BG544" s="12"/>
      <c r="BH544" s="12" t="str">
        <f>IFERROR(__xludf.DUMMYFUNCTION("IFERROR(INDEX(QUERY(IMPORTRANGE(""1T7HG8KEs-Ob7f3M5atEVN9Yn7IeORGp0QGvggB62ELw"",""Maestro!A:I""),""SELECT Col8 WHERE Col3 = '""&amp;BE544&amp;""'"", 0), 1, 1),""NO ENCONTRADO"")"),"")</f>
        <v/>
      </c>
      <c r="BI544" s="12" t="str">
        <f>IFERROR(__xludf.DUMMYFUNCTION("IFERROR(INDEX(QUERY(IMPORTRANGE(""1T7HG8KEs-Ob7f3M5atEVN9Yn7IeORGp0QGvggB62ELw"",""Maestro!A:I""),""SELECT Col7 WHERE Col3 = '""&amp;BE544&amp;""'"", 0), 1, 1),""NO ENCONTRADO"")"),"")</f>
        <v/>
      </c>
      <c r="BJ544" s="16">
        <f t="shared" si="19"/>
        <v>0</v>
      </c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4"/>
      <c r="BX544" s="14"/>
      <c r="BY544" s="14"/>
      <c r="BZ544" s="14"/>
      <c r="CA544" s="14"/>
      <c r="CB544" s="14"/>
      <c r="CC544" s="14"/>
      <c r="CD544" s="14"/>
      <c r="CE544" s="14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</row>
    <row r="545">
      <c r="A545" s="12"/>
      <c r="B545" s="14"/>
      <c r="C545" s="14"/>
      <c r="D545" s="14"/>
      <c r="E545" s="12"/>
      <c r="F545" s="307"/>
      <c r="G545" s="307"/>
      <c r="H545" s="12"/>
      <c r="I545" s="30"/>
      <c r="J545" s="12"/>
      <c r="K545" s="12"/>
      <c r="L545" s="12"/>
      <c r="M545" s="12"/>
      <c r="N545" s="12"/>
      <c r="O545" s="308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4"/>
      <c r="BF545" s="12"/>
      <c r="BG545" s="12"/>
      <c r="BH545" s="12" t="str">
        <f>IFERROR(__xludf.DUMMYFUNCTION("IFERROR(INDEX(QUERY(IMPORTRANGE(""1T7HG8KEs-Ob7f3M5atEVN9Yn7IeORGp0QGvggB62ELw"",""Maestro!A:I""),""SELECT Col8 WHERE Col3 = '""&amp;BE545&amp;""'"", 0), 1, 1),""NO ENCONTRADO"")"),"")</f>
        <v/>
      </c>
      <c r="BI545" s="12" t="str">
        <f>IFERROR(__xludf.DUMMYFUNCTION("IFERROR(INDEX(QUERY(IMPORTRANGE(""1T7HG8KEs-Ob7f3M5atEVN9Yn7IeORGp0QGvggB62ELw"",""Maestro!A:I""),""SELECT Col7 WHERE Col3 = '""&amp;BE545&amp;""'"", 0), 1, 1),""NO ENCONTRADO"")"),"")</f>
        <v/>
      </c>
      <c r="BJ545" s="16">
        <f t="shared" si="19"/>
        <v>0</v>
      </c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4"/>
      <c r="BX545" s="14"/>
      <c r="BY545" s="14"/>
      <c r="BZ545" s="14"/>
      <c r="CA545" s="14"/>
      <c r="CB545" s="14"/>
      <c r="CC545" s="14"/>
      <c r="CD545" s="14"/>
      <c r="CE545" s="14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</row>
    <row r="546">
      <c r="A546" s="12"/>
      <c r="B546" s="14"/>
      <c r="C546" s="14"/>
      <c r="D546" s="14"/>
      <c r="E546" s="12"/>
      <c r="F546" s="307"/>
      <c r="G546" s="307"/>
      <c r="H546" s="12"/>
      <c r="I546" s="30"/>
      <c r="J546" s="12"/>
      <c r="K546" s="12"/>
      <c r="L546" s="12"/>
      <c r="M546" s="12"/>
      <c r="N546" s="12"/>
      <c r="O546" s="308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4"/>
      <c r="BF546" s="12"/>
      <c r="BG546" s="12"/>
      <c r="BH546" s="12" t="str">
        <f>IFERROR(__xludf.DUMMYFUNCTION("IFERROR(INDEX(QUERY(IMPORTRANGE(""1T7HG8KEs-Ob7f3M5atEVN9Yn7IeORGp0QGvggB62ELw"",""Maestro!A:I""),""SELECT Col8 WHERE Col3 = '""&amp;BE546&amp;""'"", 0), 1, 1),""NO ENCONTRADO"")"),"")</f>
        <v/>
      </c>
      <c r="BI546" s="12" t="str">
        <f>IFERROR(__xludf.DUMMYFUNCTION("IFERROR(INDEX(QUERY(IMPORTRANGE(""1T7HG8KEs-Ob7f3M5atEVN9Yn7IeORGp0QGvggB62ELw"",""Maestro!A:I""),""SELECT Col7 WHERE Col3 = '""&amp;BE546&amp;""'"", 0), 1, 1),""NO ENCONTRADO"")"),"")</f>
        <v/>
      </c>
      <c r="BJ546" s="16">
        <f t="shared" si="19"/>
        <v>0</v>
      </c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4"/>
      <c r="BX546" s="14"/>
      <c r="BY546" s="14"/>
      <c r="BZ546" s="14"/>
      <c r="CA546" s="14"/>
      <c r="CB546" s="14"/>
      <c r="CC546" s="14"/>
      <c r="CD546" s="14"/>
      <c r="CE546" s="14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</row>
    <row r="547">
      <c r="A547" s="12"/>
      <c r="B547" s="14"/>
      <c r="C547" s="14"/>
      <c r="D547" s="14"/>
      <c r="E547" s="12"/>
      <c r="F547" s="307"/>
      <c r="G547" s="307"/>
      <c r="H547" s="12"/>
      <c r="I547" s="30"/>
      <c r="J547" s="12"/>
      <c r="K547" s="12"/>
      <c r="L547" s="12"/>
      <c r="M547" s="12"/>
      <c r="N547" s="12"/>
      <c r="O547" s="308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4"/>
      <c r="BF547" s="12"/>
      <c r="BG547" s="12"/>
      <c r="BH547" s="12" t="str">
        <f>IFERROR(__xludf.DUMMYFUNCTION("IFERROR(INDEX(QUERY(IMPORTRANGE(""1T7HG8KEs-Ob7f3M5atEVN9Yn7IeORGp0QGvggB62ELw"",""Maestro!A:I""),""SELECT Col8 WHERE Col3 = '""&amp;BE547&amp;""'"", 0), 1, 1),""NO ENCONTRADO"")"),"")</f>
        <v/>
      </c>
      <c r="BI547" s="12" t="str">
        <f>IFERROR(__xludf.DUMMYFUNCTION("IFERROR(INDEX(QUERY(IMPORTRANGE(""1T7HG8KEs-Ob7f3M5atEVN9Yn7IeORGp0QGvggB62ELw"",""Maestro!A:I""),""SELECT Col7 WHERE Col3 = '""&amp;BE547&amp;""'"", 0), 1, 1),""NO ENCONTRADO"")"),"")</f>
        <v/>
      </c>
      <c r="BJ547" s="16">
        <f t="shared" si="19"/>
        <v>0</v>
      </c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4"/>
      <c r="BX547" s="14"/>
      <c r="BY547" s="14"/>
      <c r="BZ547" s="14"/>
      <c r="CA547" s="14"/>
      <c r="CB547" s="14"/>
      <c r="CC547" s="14"/>
      <c r="CD547" s="14"/>
      <c r="CE547" s="14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</row>
    <row r="548">
      <c r="A548" s="12"/>
      <c r="B548" s="14"/>
      <c r="C548" s="14"/>
      <c r="D548" s="14"/>
      <c r="E548" s="12"/>
      <c r="F548" s="307"/>
      <c r="G548" s="307"/>
      <c r="H548" s="12"/>
      <c r="I548" s="30"/>
      <c r="J548" s="12"/>
      <c r="K548" s="12"/>
      <c r="L548" s="12"/>
      <c r="M548" s="12"/>
      <c r="N548" s="12"/>
      <c r="O548" s="308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4"/>
      <c r="BF548" s="12"/>
      <c r="BG548" s="12"/>
      <c r="BH548" s="12" t="str">
        <f>IFERROR(__xludf.DUMMYFUNCTION("IFERROR(INDEX(QUERY(IMPORTRANGE(""1T7HG8KEs-Ob7f3M5atEVN9Yn7IeORGp0QGvggB62ELw"",""Maestro!A:I""),""SELECT Col8 WHERE Col3 = '""&amp;BE548&amp;""'"", 0), 1, 1),""NO ENCONTRADO"")"),"")</f>
        <v/>
      </c>
      <c r="BI548" s="12" t="str">
        <f>IFERROR(__xludf.DUMMYFUNCTION("IFERROR(INDEX(QUERY(IMPORTRANGE(""1T7HG8KEs-Ob7f3M5atEVN9Yn7IeORGp0QGvggB62ELw"",""Maestro!A:I""),""SELECT Col7 WHERE Col3 = '""&amp;BE548&amp;""'"", 0), 1, 1),""NO ENCONTRADO"")"),"")</f>
        <v/>
      </c>
      <c r="BJ548" s="16">
        <f t="shared" si="19"/>
        <v>0</v>
      </c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4"/>
      <c r="BX548" s="14"/>
      <c r="BY548" s="14"/>
      <c r="BZ548" s="14"/>
      <c r="CA548" s="14"/>
      <c r="CB548" s="14"/>
      <c r="CC548" s="14"/>
      <c r="CD548" s="14"/>
      <c r="CE548" s="14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</row>
    <row r="549">
      <c r="A549" s="12"/>
      <c r="B549" s="14"/>
      <c r="C549" s="14"/>
      <c r="D549" s="14"/>
      <c r="E549" s="12"/>
      <c r="F549" s="307"/>
      <c r="G549" s="307"/>
      <c r="H549" s="12"/>
      <c r="I549" s="30"/>
      <c r="J549" s="12"/>
      <c r="K549" s="12"/>
      <c r="L549" s="12"/>
      <c r="M549" s="12"/>
      <c r="N549" s="12"/>
      <c r="O549" s="308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4"/>
      <c r="BF549" s="12"/>
      <c r="BG549" s="12"/>
      <c r="BH549" s="12" t="str">
        <f>IFERROR(__xludf.DUMMYFUNCTION("IFERROR(INDEX(QUERY(IMPORTRANGE(""1T7HG8KEs-Ob7f3M5atEVN9Yn7IeORGp0QGvggB62ELw"",""Maestro!A:I""),""SELECT Col8 WHERE Col3 = '""&amp;BE549&amp;""'"", 0), 1, 1),""NO ENCONTRADO"")"),"")</f>
        <v/>
      </c>
      <c r="BI549" s="12" t="str">
        <f>IFERROR(__xludf.DUMMYFUNCTION("IFERROR(INDEX(QUERY(IMPORTRANGE(""1T7HG8KEs-Ob7f3M5atEVN9Yn7IeORGp0QGvggB62ELw"",""Maestro!A:I""),""SELECT Col7 WHERE Col3 = '""&amp;BE549&amp;""'"", 0), 1, 1),""NO ENCONTRADO"")"),"")</f>
        <v/>
      </c>
      <c r="BJ549" s="16">
        <f t="shared" si="19"/>
        <v>0</v>
      </c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4"/>
      <c r="BX549" s="14"/>
      <c r="BY549" s="14"/>
      <c r="BZ549" s="14"/>
      <c r="CA549" s="14"/>
      <c r="CB549" s="14"/>
      <c r="CC549" s="14"/>
      <c r="CD549" s="14"/>
      <c r="CE549" s="14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</row>
    <row r="550">
      <c r="A550" s="12"/>
      <c r="B550" s="14"/>
      <c r="C550" s="14"/>
      <c r="D550" s="14"/>
      <c r="E550" s="12"/>
      <c r="F550" s="307"/>
      <c r="G550" s="307"/>
      <c r="H550" s="12"/>
      <c r="I550" s="30"/>
      <c r="J550" s="12"/>
      <c r="K550" s="12"/>
      <c r="L550" s="12"/>
      <c r="M550" s="12"/>
      <c r="N550" s="12"/>
      <c r="O550" s="308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4"/>
      <c r="BF550" s="12"/>
      <c r="BG550" s="12"/>
      <c r="BH550" s="12" t="str">
        <f>IFERROR(__xludf.DUMMYFUNCTION("IFERROR(INDEX(QUERY(IMPORTRANGE(""1T7HG8KEs-Ob7f3M5atEVN9Yn7IeORGp0QGvggB62ELw"",""Maestro!A:I""),""SELECT Col8 WHERE Col3 = '""&amp;BE550&amp;""'"", 0), 1, 1),""NO ENCONTRADO"")"),"")</f>
        <v/>
      </c>
      <c r="BI550" s="12" t="str">
        <f>IFERROR(__xludf.DUMMYFUNCTION("IFERROR(INDEX(QUERY(IMPORTRANGE(""1T7HG8KEs-Ob7f3M5atEVN9Yn7IeORGp0QGvggB62ELw"",""Maestro!A:I""),""SELECT Col7 WHERE Col3 = '""&amp;BE550&amp;""'"", 0), 1, 1),""NO ENCONTRADO"")"),"")</f>
        <v/>
      </c>
      <c r="BJ550" s="16">
        <f t="shared" si="19"/>
        <v>0</v>
      </c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4"/>
      <c r="BX550" s="14"/>
      <c r="BY550" s="14"/>
      <c r="BZ550" s="14"/>
      <c r="CA550" s="14"/>
      <c r="CB550" s="14"/>
      <c r="CC550" s="14"/>
      <c r="CD550" s="14"/>
      <c r="CE550" s="14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</row>
    <row r="551">
      <c r="A551" s="12"/>
      <c r="B551" s="14"/>
      <c r="C551" s="14"/>
      <c r="D551" s="14"/>
      <c r="E551" s="12"/>
      <c r="F551" s="307"/>
      <c r="G551" s="307"/>
      <c r="H551" s="12"/>
      <c r="I551" s="30"/>
      <c r="J551" s="12"/>
      <c r="K551" s="12"/>
      <c r="L551" s="12"/>
      <c r="M551" s="12"/>
      <c r="N551" s="12"/>
      <c r="O551" s="308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4"/>
      <c r="BF551" s="12"/>
      <c r="BG551" s="12"/>
      <c r="BH551" s="12" t="str">
        <f>IFERROR(__xludf.DUMMYFUNCTION("IFERROR(INDEX(QUERY(IMPORTRANGE(""1T7HG8KEs-Ob7f3M5atEVN9Yn7IeORGp0QGvggB62ELw"",""Maestro!A:I""),""SELECT Col8 WHERE Col3 = '""&amp;BE551&amp;""'"", 0), 1, 1),""NO ENCONTRADO"")"),"")</f>
        <v/>
      </c>
      <c r="BI551" s="12" t="str">
        <f>IFERROR(__xludf.DUMMYFUNCTION("IFERROR(INDEX(QUERY(IMPORTRANGE(""1T7HG8KEs-Ob7f3M5atEVN9Yn7IeORGp0QGvggB62ELw"",""Maestro!A:I""),""SELECT Col7 WHERE Col3 = '""&amp;BE551&amp;""'"", 0), 1, 1),""NO ENCONTRADO"")"),"")</f>
        <v/>
      </c>
      <c r="BJ551" s="16">
        <f t="shared" si="19"/>
        <v>0</v>
      </c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4"/>
      <c r="BX551" s="14"/>
      <c r="BY551" s="14"/>
      <c r="BZ551" s="14"/>
      <c r="CA551" s="14"/>
      <c r="CB551" s="14"/>
      <c r="CC551" s="14"/>
      <c r="CD551" s="14"/>
      <c r="CE551" s="14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</row>
    <row r="552">
      <c r="A552" s="12"/>
      <c r="B552" s="14"/>
      <c r="C552" s="14"/>
      <c r="D552" s="14"/>
      <c r="E552" s="12"/>
      <c r="F552" s="307"/>
      <c r="G552" s="307"/>
      <c r="H552" s="12"/>
      <c r="I552" s="30"/>
      <c r="J552" s="12"/>
      <c r="K552" s="12"/>
      <c r="L552" s="12"/>
      <c r="M552" s="12"/>
      <c r="N552" s="12"/>
      <c r="O552" s="308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4"/>
      <c r="BF552" s="12"/>
      <c r="BG552" s="12"/>
      <c r="BH552" s="12" t="str">
        <f>IFERROR(__xludf.DUMMYFUNCTION("IFERROR(INDEX(QUERY(IMPORTRANGE(""1T7HG8KEs-Ob7f3M5atEVN9Yn7IeORGp0QGvggB62ELw"",""Maestro!A:I""),""SELECT Col8 WHERE Col3 = '""&amp;BE552&amp;""'"", 0), 1, 1),""NO ENCONTRADO"")"),"")</f>
        <v/>
      </c>
      <c r="BI552" s="12" t="str">
        <f>IFERROR(__xludf.DUMMYFUNCTION("IFERROR(INDEX(QUERY(IMPORTRANGE(""1T7HG8KEs-Ob7f3M5atEVN9Yn7IeORGp0QGvggB62ELw"",""Maestro!A:I""),""SELECT Col7 WHERE Col3 = '""&amp;BE552&amp;""'"", 0), 1, 1),""NO ENCONTRADO"")"),"")</f>
        <v/>
      </c>
      <c r="BJ552" s="16">
        <f t="shared" si="19"/>
        <v>0</v>
      </c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4"/>
      <c r="BX552" s="14"/>
      <c r="BY552" s="14"/>
      <c r="BZ552" s="14"/>
      <c r="CA552" s="14"/>
      <c r="CB552" s="14"/>
      <c r="CC552" s="14"/>
      <c r="CD552" s="14"/>
      <c r="CE552" s="14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</row>
    <row r="553">
      <c r="A553" s="12"/>
      <c r="B553" s="14"/>
      <c r="C553" s="14"/>
      <c r="D553" s="14"/>
      <c r="E553" s="12"/>
      <c r="F553" s="307"/>
      <c r="G553" s="307"/>
      <c r="H553" s="12"/>
      <c r="I553" s="30"/>
      <c r="J553" s="12"/>
      <c r="K553" s="12"/>
      <c r="L553" s="12"/>
      <c r="M553" s="12"/>
      <c r="N553" s="12"/>
      <c r="O553" s="308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4"/>
      <c r="BF553" s="12"/>
      <c r="BG553" s="12"/>
      <c r="BH553" s="12" t="str">
        <f>IFERROR(__xludf.DUMMYFUNCTION("IFERROR(INDEX(QUERY(IMPORTRANGE(""1T7HG8KEs-Ob7f3M5atEVN9Yn7IeORGp0QGvggB62ELw"",""Maestro!A:I""),""SELECT Col8 WHERE Col3 = '""&amp;BE553&amp;""'"", 0), 1, 1),""NO ENCONTRADO"")"),"")</f>
        <v/>
      </c>
      <c r="BI553" s="12" t="str">
        <f>IFERROR(__xludf.DUMMYFUNCTION("IFERROR(INDEX(QUERY(IMPORTRANGE(""1T7HG8KEs-Ob7f3M5atEVN9Yn7IeORGp0QGvggB62ELw"",""Maestro!A:I""),""SELECT Col7 WHERE Col3 = '""&amp;BE553&amp;""'"", 0), 1, 1),""NO ENCONTRADO"")"),"")</f>
        <v/>
      </c>
      <c r="BJ553" s="16">
        <f t="shared" si="19"/>
        <v>0</v>
      </c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4"/>
      <c r="BX553" s="14"/>
      <c r="BY553" s="14"/>
      <c r="BZ553" s="14"/>
      <c r="CA553" s="14"/>
      <c r="CB553" s="14"/>
      <c r="CC553" s="14"/>
      <c r="CD553" s="14"/>
      <c r="CE553" s="14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</row>
    <row r="554">
      <c r="A554" s="12"/>
      <c r="B554" s="14"/>
      <c r="C554" s="14"/>
      <c r="D554" s="14"/>
      <c r="E554" s="12"/>
      <c r="F554" s="307"/>
      <c r="G554" s="307"/>
      <c r="H554" s="12"/>
      <c r="I554" s="30"/>
      <c r="J554" s="12"/>
      <c r="K554" s="12"/>
      <c r="L554" s="12"/>
      <c r="M554" s="12"/>
      <c r="N554" s="12"/>
      <c r="O554" s="308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4"/>
      <c r="BF554" s="12"/>
      <c r="BG554" s="12"/>
      <c r="BH554" s="12" t="str">
        <f>IFERROR(__xludf.DUMMYFUNCTION("IFERROR(INDEX(QUERY(IMPORTRANGE(""1T7HG8KEs-Ob7f3M5atEVN9Yn7IeORGp0QGvggB62ELw"",""Maestro!A:I""),""SELECT Col8 WHERE Col3 = '""&amp;BE554&amp;""'"", 0), 1, 1),""NO ENCONTRADO"")"),"")</f>
        <v/>
      </c>
      <c r="BI554" s="12" t="str">
        <f>IFERROR(__xludf.DUMMYFUNCTION("IFERROR(INDEX(QUERY(IMPORTRANGE(""1T7HG8KEs-Ob7f3M5atEVN9Yn7IeORGp0QGvggB62ELw"",""Maestro!A:I""),""SELECT Col7 WHERE Col3 = '""&amp;BE554&amp;""'"", 0), 1, 1),""NO ENCONTRADO"")"),"")</f>
        <v/>
      </c>
      <c r="BJ554" s="16">
        <f t="shared" si="19"/>
        <v>0</v>
      </c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4"/>
      <c r="BX554" s="14"/>
      <c r="BY554" s="14"/>
      <c r="BZ554" s="14"/>
      <c r="CA554" s="14"/>
      <c r="CB554" s="14"/>
      <c r="CC554" s="14"/>
      <c r="CD554" s="14"/>
      <c r="CE554" s="14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</row>
    <row r="555">
      <c r="A555" s="12"/>
      <c r="B555" s="14"/>
      <c r="C555" s="14"/>
      <c r="D555" s="14"/>
      <c r="E555" s="12"/>
      <c r="F555" s="307"/>
      <c r="G555" s="307"/>
      <c r="H555" s="12"/>
      <c r="I555" s="30"/>
      <c r="J555" s="12"/>
      <c r="K555" s="12"/>
      <c r="L555" s="12"/>
      <c r="M555" s="12"/>
      <c r="N555" s="12"/>
      <c r="O555" s="308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4"/>
      <c r="BF555" s="12"/>
      <c r="BG555" s="12"/>
      <c r="BH555" s="12" t="str">
        <f>IFERROR(__xludf.DUMMYFUNCTION("IFERROR(INDEX(QUERY(IMPORTRANGE(""1T7HG8KEs-Ob7f3M5atEVN9Yn7IeORGp0QGvggB62ELw"",""Maestro!A:I""),""SELECT Col8 WHERE Col3 = '""&amp;BE555&amp;""'"", 0), 1, 1),""NO ENCONTRADO"")"),"")</f>
        <v/>
      </c>
      <c r="BI555" s="12" t="str">
        <f>IFERROR(__xludf.DUMMYFUNCTION("IFERROR(INDEX(QUERY(IMPORTRANGE(""1T7HG8KEs-Ob7f3M5atEVN9Yn7IeORGp0QGvggB62ELw"",""Maestro!A:I""),""SELECT Col7 WHERE Col3 = '""&amp;BE555&amp;""'"", 0), 1, 1),""NO ENCONTRADO"")"),"")</f>
        <v/>
      </c>
      <c r="BJ555" s="16">
        <f t="shared" si="19"/>
        <v>0</v>
      </c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4"/>
      <c r="BX555" s="14"/>
      <c r="BY555" s="14"/>
      <c r="BZ555" s="14"/>
      <c r="CA555" s="14"/>
      <c r="CB555" s="14"/>
      <c r="CC555" s="14"/>
      <c r="CD555" s="14"/>
      <c r="CE555" s="14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</row>
    <row r="556">
      <c r="A556" s="12"/>
      <c r="B556" s="14"/>
      <c r="C556" s="14"/>
      <c r="D556" s="14"/>
      <c r="E556" s="12"/>
      <c r="F556" s="307"/>
      <c r="G556" s="307"/>
      <c r="H556" s="12"/>
      <c r="I556" s="30"/>
      <c r="J556" s="12"/>
      <c r="K556" s="12"/>
      <c r="L556" s="12"/>
      <c r="M556" s="12"/>
      <c r="N556" s="12"/>
      <c r="O556" s="308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4"/>
      <c r="BF556" s="12"/>
      <c r="BG556" s="12"/>
      <c r="BH556" s="12" t="str">
        <f>IFERROR(__xludf.DUMMYFUNCTION("IFERROR(INDEX(QUERY(IMPORTRANGE(""1T7HG8KEs-Ob7f3M5atEVN9Yn7IeORGp0QGvggB62ELw"",""Maestro!A:I""),""SELECT Col8 WHERE Col3 = '""&amp;BE556&amp;""'"", 0), 1, 1),""NO ENCONTRADO"")"),"")</f>
        <v/>
      </c>
      <c r="BI556" s="12" t="str">
        <f>IFERROR(__xludf.DUMMYFUNCTION("IFERROR(INDEX(QUERY(IMPORTRANGE(""1T7HG8KEs-Ob7f3M5atEVN9Yn7IeORGp0QGvggB62ELw"",""Maestro!A:I""),""SELECT Col7 WHERE Col3 = '""&amp;BE556&amp;""'"", 0), 1, 1),""NO ENCONTRADO"")"),"")</f>
        <v/>
      </c>
      <c r="BJ556" s="16">
        <f t="shared" si="19"/>
        <v>0</v>
      </c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4"/>
      <c r="BX556" s="14"/>
      <c r="BY556" s="14"/>
      <c r="BZ556" s="14"/>
      <c r="CA556" s="14"/>
      <c r="CB556" s="14"/>
      <c r="CC556" s="14"/>
      <c r="CD556" s="14"/>
      <c r="CE556" s="14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</row>
    <row r="557">
      <c r="A557" s="12"/>
      <c r="B557" s="14"/>
      <c r="C557" s="14"/>
      <c r="D557" s="14"/>
      <c r="E557" s="12"/>
      <c r="F557" s="307"/>
      <c r="G557" s="307"/>
      <c r="H557" s="12"/>
      <c r="I557" s="30"/>
      <c r="J557" s="12"/>
      <c r="K557" s="12"/>
      <c r="L557" s="12"/>
      <c r="M557" s="12"/>
      <c r="N557" s="12"/>
      <c r="O557" s="308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4"/>
      <c r="BF557" s="12"/>
      <c r="BG557" s="12"/>
      <c r="BH557" s="12" t="str">
        <f>IFERROR(__xludf.DUMMYFUNCTION("IFERROR(INDEX(QUERY(IMPORTRANGE(""1T7HG8KEs-Ob7f3M5atEVN9Yn7IeORGp0QGvggB62ELw"",""Maestro!A:I""),""SELECT Col8 WHERE Col3 = '""&amp;BE557&amp;""'"", 0), 1, 1),""NO ENCONTRADO"")"),"")</f>
        <v/>
      </c>
      <c r="BI557" s="12" t="str">
        <f>IFERROR(__xludf.DUMMYFUNCTION("IFERROR(INDEX(QUERY(IMPORTRANGE(""1T7HG8KEs-Ob7f3M5atEVN9Yn7IeORGp0QGvggB62ELw"",""Maestro!A:I""),""SELECT Col7 WHERE Col3 = '""&amp;BE557&amp;""'"", 0), 1, 1),""NO ENCONTRADO"")"),"")</f>
        <v/>
      </c>
      <c r="BJ557" s="16">
        <f t="shared" si="19"/>
        <v>0</v>
      </c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4"/>
      <c r="BX557" s="14"/>
      <c r="BY557" s="14"/>
      <c r="BZ557" s="14"/>
      <c r="CA557" s="14"/>
      <c r="CB557" s="14"/>
      <c r="CC557" s="14"/>
      <c r="CD557" s="14"/>
      <c r="CE557" s="14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</row>
    <row r="558">
      <c r="A558" s="12"/>
      <c r="B558" s="14"/>
      <c r="C558" s="14"/>
      <c r="D558" s="14"/>
      <c r="E558" s="12"/>
      <c r="F558" s="307"/>
      <c r="G558" s="307"/>
      <c r="H558" s="12"/>
      <c r="I558" s="30"/>
      <c r="J558" s="12"/>
      <c r="K558" s="12"/>
      <c r="L558" s="12"/>
      <c r="M558" s="12"/>
      <c r="N558" s="12"/>
      <c r="O558" s="308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4"/>
      <c r="BF558" s="12"/>
      <c r="BG558" s="12"/>
      <c r="BH558" s="12" t="str">
        <f>IFERROR(__xludf.DUMMYFUNCTION("IFERROR(INDEX(QUERY(IMPORTRANGE(""1T7HG8KEs-Ob7f3M5atEVN9Yn7IeORGp0QGvggB62ELw"",""Maestro!A:I""),""SELECT Col8 WHERE Col3 = '""&amp;BE558&amp;""'"", 0), 1, 1),""NO ENCONTRADO"")"),"")</f>
        <v/>
      </c>
      <c r="BI558" s="12" t="str">
        <f>IFERROR(__xludf.DUMMYFUNCTION("IFERROR(INDEX(QUERY(IMPORTRANGE(""1T7HG8KEs-Ob7f3M5atEVN9Yn7IeORGp0QGvggB62ELw"",""Maestro!A:I""),""SELECT Col7 WHERE Col3 = '""&amp;BE558&amp;""'"", 0), 1, 1),""NO ENCONTRADO"")"),"")</f>
        <v/>
      </c>
      <c r="BJ558" s="16">
        <f t="shared" si="19"/>
        <v>0</v>
      </c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4"/>
      <c r="BX558" s="14"/>
      <c r="BY558" s="14"/>
      <c r="BZ558" s="14"/>
      <c r="CA558" s="14"/>
      <c r="CB558" s="14"/>
      <c r="CC558" s="14"/>
      <c r="CD558" s="14"/>
      <c r="CE558" s="14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</row>
    <row r="559">
      <c r="A559" s="12"/>
      <c r="B559" s="14"/>
      <c r="C559" s="14"/>
      <c r="D559" s="14"/>
      <c r="E559" s="12"/>
      <c r="F559" s="307"/>
      <c r="G559" s="307"/>
      <c r="H559" s="12"/>
      <c r="I559" s="30"/>
      <c r="J559" s="12"/>
      <c r="K559" s="12"/>
      <c r="L559" s="12"/>
      <c r="M559" s="12"/>
      <c r="N559" s="12"/>
      <c r="O559" s="308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4"/>
      <c r="BF559" s="12"/>
      <c r="BG559" s="12"/>
      <c r="BH559" s="12" t="str">
        <f>IFERROR(__xludf.DUMMYFUNCTION("IFERROR(INDEX(QUERY(IMPORTRANGE(""1T7HG8KEs-Ob7f3M5atEVN9Yn7IeORGp0QGvggB62ELw"",""Maestro!A:I""),""SELECT Col8 WHERE Col3 = '""&amp;BE559&amp;""'"", 0), 1, 1),""NO ENCONTRADO"")"),"")</f>
        <v/>
      </c>
      <c r="BI559" s="12" t="str">
        <f>IFERROR(__xludf.DUMMYFUNCTION("IFERROR(INDEX(QUERY(IMPORTRANGE(""1T7HG8KEs-Ob7f3M5atEVN9Yn7IeORGp0QGvggB62ELw"",""Maestro!A:I""),""SELECT Col7 WHERE Col3 = '""&amp;BE559&amp;""'"", 0), 1, 1),""NO ENCONTRADO"")"),"")</f>
        <v/>
      </c>
      <c r="BJ559" s="16">
        <f t="shared" si="19"/>
        <v>0</v>
      </c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4"/>
      <c r="BX559" s="14"/>
      <c r="BY559" s="14"/>
      <c r="BZ559" s="14"/>
      <c r="CA559" s="14"/>
      <c r="CB559" s="14"/>
      <c r="CC559" s="14"/>
      <c r="CD559" s="14"/>
      <c r="CE559" s="14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</row>
    <row r="560">
      <c r="A560" s="12"/>
      <c r="B560" s="14"/>
      <c r="C560" s="14"/>
      <c r="D560" s="14"/>
      <c r="E560" s="12"/>
      <c r="F560" s="307"/>
      <c r="G560" s="307"/>
      <c r="H560" s="12"/>
      <c r="I560" s="30"/>
      <c r="J560" s="12"/>
      <c r="K560" s="12"/>
      <c r="L560" s="12"/>
      <c r="M560" s="12"/>
      <c r="N560" s="12"/>
      <c r="O560" s="308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4"/>
      <c r="BF560" s="12"/>
      <c r="BG560" s="12"/>
      <c r="BH560" s="12" t="str">
        <f>IFERROR(__xludf.DUMMYFUNCTION("IFERROR(INDEX(QUERY(IMPORTRANGE(""1T7HG8KEs-Ob7f3M5atEVN9Yn7IeORGp0QGvggB62ELw"",""Maestro!A:I""),""SELECT Col8 WHERE Col3 = '""&amp;BE560&amp;""'"", 0), 1, 1),""NO ENCONTRADO"")"),"")</f>
        <v/>
      </c>
      <c r="BI560" s="12" t="str">
        <f>IFERROR(__xludf.DUMMYFUNCTION("IFERROR(INDEX(QUERY(IMPORTRANGE(""1T7HG8KEs-Ob7f3M5atEVN9Yn7IeORGp0QGvggB62ELw"",""Maestro!A:I""),""SELECT Col7 WHERE Col3 = '""&amp;BE560&amp;""'"", 0), 1, 1),""NO ENCONTRADO"")"),"")</f>
        <v/>
      </c>
      <c r="BJ560" s="16">
        <f t="shared" si="19"/>
        <v>0</v>
      </c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4"/>
      <c r="BX560" s="14"/>
      <c r="BY560" s="14"/>
      <c r="BZ560" s="14"/>
      <c r="CA560" s="14"/>
      <c r="CB560" s="14"/>
      <c r="CC560" s="14"/>
      <c r="CD560" s="14"/>
      <c r="CE560" s="14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</row>
    <row r="561">
      <c r="A561" s="12"/>
      <c r="B561" s="14"/>
      <c r="C561" s="14"/>
      <c r="D561" s="14"/>
      <c r="E561" s="12"/>
      <c r="F561" s="307"/>
      <c r="G561" s="307"/>
      <c r="H561" s="12"/>
      <c r="I561" s="30"/>
      <c r="J561" s="12"/>
      <c r="K561" s="12"/>
      <c r="L561" s="12"/>
      <c r="M561" s="12"/>
      <c r="N561" s="12"/>
      <c r="O561" s="308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4"/>
      <c r="BF561" s="12"/>
      <c r="BG561" s="12"/>
      <c r="BH561" s="12" t="str">
        <f>IFERROR(__xludf.DUMMYFUNCTION("IFERROR(INDEX(QUERY(IMPORTRANGE(""1T7HG8KEs-Ob7f3M5atEVN9Yn7IeORGp0QGvggB62ELw"",""Maestro!A:I""),""SELECT Col8 WHERE Col3 = '""&amp;BE561&amp;""'"", 0), 1, 1),""NO ENCONTRADO"")"),"")</f>
        <v/>
      </c>
      <c r="BI561" s="12" t="str">
        <f>IFERROR(__xludf.DUMMYFUNCTION("IFERROR(INDEX(QUERY(IMPORTRANGE(""1T7HG8KEs-Ob7f3M5atEVN9Yn7IeORGp0QGvggB62ELw"",""Maestro!A:I""),""SELECT Col7 WHERE Col3 = '""&amp;BE561&amp;""'"", 0), 1, 1),""NO ENCONTRADO"")"),"")</f>
        <v/>
      </c>
      <c r="BJ561" s="16">
        <f t="shared" si="19"/>
        <v>0</v>
      </c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4"/>
      <c r="BX561" s="14"/>
      <c r="BY561" s="14"/>
      <c r="BZ561" s="14"/>
      <c r="CA561" s="14"/>
      <c r="CB561" s="14"/>
      <c r="CC561" s="14"/>
      <c r="CD561" s="14"/>
      <c r="CE561" s="14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</row>
    <row r="562">
      <c r="A562" s="12"/>
      <c r="B562" s="14"/>
      <c r="C562" s="14"/>
      <c r="D562" s="14"/>
      <c r="E562" s="12"/>
      <c r="F562" s="307"/>
      <c r="G562" s="307"/>
      <c r="H562" s="12"/>
      <c r="I562" s="30"/>
      <c r="J562" s="12"/>
      <c r="K562" s="12"/>
      <c r="L562" s="12"/>
      <c r="M562" s="12"/>
      <c r="N562" s="12"/>
      <c r="O562" s="308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4"/>
      <c r="BF562" s="12"/>
      <c r="BG562" s="12"/>
      <c r="BH562" s="12" t="str">
        <f>IFERROR(__xludf.DUMMYFUNCTION("IFERROR(INDEX(QUERY(IMPORTRANGE(""1T7HG8KEs-Ob7f3M5atEVN9Yn7IeORGp0QGvggB62ELw"",""Maestro!A:I""),""SELECT Col8 WHERE Col3 = '""&amp;BE562&amp;""'"", 0), 1, 1),""NO ENCONTRADO"")"),"")</f>
        <v/>
      </c>
      <c r="BI562" s="12" t="str">
        <f>IFERROR(__xludf.DUMMYFUNCTION("IFERROR(INDEX(QUERY(IMPORTRANGE(""1T7HG8KEs-Ob7f3M5atEVN9Yn7IeORGp0QGvggB62ELw"",""Maestro!A:I""),""SELECT Col7 WHERE Col3 = '""&amp;BE562&amp;""'"", 0), 1, 1),""NO ENCONTRADO"")"),"")</f>
        <v/>
      </c>
      <c r="BJ562" s="16">
        <f t="shared" si="19"/>
        <v>0</v>
      </c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4"/>
      <c r="BX562" s="14"/>
      <c r="BY562" s="14"/>
      <c r="BZ562" s="14"/>
      <c r="CA562" s="14"/>
      <c r="CB562" s="14"/>
      <c r="CC562" s="14"/>
      <c r="CD562" s="14"/>
      <c r="CE562" s="14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</row>
    <row r="563">
      <c r="A563" s="12"/>
      <c r="B563" s="14"/>
      <c r="C563" s="14"/>
      <c r="D563" s="14"/>
      <c r="E563" s="12"/>
      <c r="F563" s="307"/>
      <c r="G563" s="307"/>
      <c r="H563" s="12"/>
      <c r="I563" s="30"/>
      <c r="J563" s="12"/>
      <c r="K563" s="12"/>
      <c r="L563" s="12"/>
      <c r="M563" s="12"/>
      <c r="N563" s="12"/>
      <c r="O563" s="308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4"/>
      <c r="BF563" s="12"/>
      <c r="BG563" s="12"/>
      <c r="BH563" s="12" t="str">
        <f>IFERROR(__xludf.DUMMYFUNCTION("IFERROR(INDEX(QUERY(IMPORTRANGE(""1T7HG8KEs-Ob7f3M5atEVN9Yn7IeORGp0QGvggB62ELw"",""Maestro!A:I""),""SELECT Col8 WHERE Col3 = '""&amp;BE563&amp;""'"", 0), 1, 1),""NO ENCONTRADO"")"),"")</f>
        <v/>
      </c>
      <c r="BI563" s="12" t="str">
        <f>IFERROR(__xludf.DUMMYFUNCTION("IFERROR(INDEX(QUERY(IMPORTRANGE(""1T7HG8KEs-Ob7f3M5atEVN9Yn7IeORGp0QGvggB62ELw"",""Maestro!A:I""),""SELECT Col7 WHERE Col3 = '""&amp;BE563&amp;""'"", 0), 1, 1),""NO ENCONTRADO"")"),"")</f>
        <v/>
      </c>
      <c r="BJ563" s="16">
        <f t="shared" si="19"/>
        <v>0</v>
      </c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4"/>
      <c r="BX563" s="14"/>
      <c r="BY563" s="14"/>
      <c r="BZ563" s="14"/>
      <c r="CA563" s="14"/>
      <c r="CB563" s="14"/>
      <c r="CC563" s="14"/>
      <c r="CD563" s="14"/>
      <c r="CE563" s="14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</row>
    <row r="564">
      <c r="A564" s="12"/>
      <c r="B564" s="14"/>
      <c r="C564" s="14"/>
      <c r="D564" s="14"/>
      <c r="E564" s="12"/>
      <c r="F564" s="307"/>
      <c r="G564" s="307"/>
      <c r="H564" s="12"/>
      <c r="I564" s="30"/>
      <c r="J564" s="12"/>
      <c r="K564" s="12"/>
      <c r="L564" s="12"/>
      <c r="M564" s="12"/>
      <c r="N564" s="12"/>
      <c r="O564" s="308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4"/>
      <c r="BF564" s="12"/>
      <c r="BG564" s="12"/>
      <c r="BH564" s="12" t="str">
        <f>IFERROR(__xludf.DUMMYFUNCTION("IFERROR(INDEX(QUERY(IMPORTRANGE(""1T7HG8KEs-Ob7f3M5atEVN9Yn7IeORGp0QGvggB62ELw"",""Maestro!A:I""),""SELECT Col8 WHERE Col3 = '""&amp;BE564&amp;""'"", 0), 1, 1),""NO ENCONTRADO"")"),"")</f>
        <v/>
      </c>
      <c r="BI564" s="12" t="str">
        <f>IFERROR(__xludf.DUMMYFUNCTION("IFERROR(INDEX(QUERY(IMPORTRANGE(""1T7HG8KEs-Ob7f3M5atEVN9Yn7IeORGp0QGvggB62ELw"",""Maestro!A:I""),""SELECT Col7 WHERE Col3 = '""&amp;BE564&amp;""'"", 0), 1, 1),""NO ENCONTRADO"")"),"")</f>
        <v/>
      </c>
      <c r="BJ564" s="16">
        <f t="shared" si="19"/>
        <v>0</v>
      </c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4"/>
      <c r="BX564" s="14"/>
      <c r="BY564" s="14"/>
      <c r="BZ564" s="14"/>
      <c r="CA564" s="14"/>
      <c r="CB564" s="14"/>
      <c r="CC564" s="14"/>
      <c r="CD564" s="14"/>
      <c r="CE564" s="14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</row>
    <row r="565">
      <c r="A565" s="12"/>
      <c r="B565" s="14"/>
      <c r="C565" s="14"/>
      <c r="D565" s="14"/>
      <c r="E565" s="12"/>
      <c r="F565" s="307"/>
      <c r="G565" s="307"/>
      <c r="H565" s="12"/>
      <c r="I565" s="30"/>
      <c r="J565" s="12"/>
      <c r="K565" s="12"/>
      <c r="L565" s="12"/>
      <c r="M565" s="12"/>
      <c r="N565" s="12"/>
      <c r="O565" s="308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4"/>
      <c r="BF565" s="12"/>
      <c r="BG565" s="12"/>
      <c r="BH565" s="12" t="str">
        <f>IFERROR(__xludf.DUMMYFUNCTION("IFERROR(INDEX(QUERY(IMPORTRANGE(""1T7HG8KEs-Ob7f3M5atEVN9Yn7IeORGp0QGvggB62ELw"",""Maestro!A:I""),""SELECT Col8 WHERE Col3 = '""&amp;BE565&amp;""'"", 0), 1, 1),""NO ENCONTRADO"")"),"")</f>
        <v/>
      </c>
      <c r="BI565" s="12" t="str">
        <f>IFERROR(__xludf.DUMMYFUNCTION("IFERROR(INDEX(QUERY(IMPORTRANGE(""1T7HG8KEs-Ob7f3M5atEVN9Yn7IeORGp0QGvggB62ELw"",""Maestro!A:I""),""SELECT Col7 WHERE Col3 = '""&amp;BE565&amp;""'"", 0), 1, 1),""NO ENCONTRADO"")"),"")</f>
        <v/>
      </c>
      <c r="BJ565" s="16">
        <f t="shared" si="19"/>
        <v>0</v>
      </c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4"/>
      <c r="BX565" s="14"/>
      <c r="BY565" s="14"/>
      <c r="BZ565" s="14"/>
      <c r="CA565" s="14"/>
      <c r="CB565" s="14"/>
      <c r="CC565" s="14"/>
      <c r="CD565" s="14"/>
      <c r="CE565" s="14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</row>
    <row r="566">
      <c r="A566" s="12"/>
      <c r="B566" s="14"/>
      <c r="C566" s="14"/>
      <c r="D566" s="14"/>
      <c r="E566" s="12"/>
      <c r="F566" s="307"/>
      <c r="G566" s="307"/>
      <c r="H566" s="12"/>
      <c r="I566" s="30"/>
      <c r="J566" s="12"/>
      <c r="K566" s="12"/>
      <c r="L566" s="12"/>
      <c r="M566" s="12"/>
      <c r="N566" s="12"/>
      <c r="O566" s="308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4"/>
      <c r="BF566" s="12"/>
      <c r="BG566" s="12"/>
      <c r="BH566" s="12" t="str">
        <f>IFERROR(__xludf.DUMMYFUNCTION("IFERROR(INDEX(QUERY(IMPORTRANGE(""1T7HG8KEs-Ob7f3M5atEVN9Yn7IeORGp0QGvggB62ELw"",""Maestro!A:I""),""SELECT Col8 WHERE Col3 = '""&amp;BE566&amp;""'"", 0), 1, 1),""NO ENCONTRADO"")"),"")</f>
        <v/>
      </c>
      <c r="BI566" s="12" t="str">
        <f>IFERROR(__xludf.DUMMYFUNCTION("IFERROR(INDEX(QUERY(IMPORTRANGE(""1T7HG8KEs-Ob7f3M5atEVN9Yn7IeORGp0QGvggB62ELw"",""Maestro!A:I""),""SELECT Col7 WHERE Col3 = '""&amp;BE566&amp;""'"", 0), 1, 1),""NO ENCONTRADO"")"),"")</f>
        <v/>
      </c>
      <c r="BJ566" s="16">
        <f t="shared" si="19"/>
        <v>0</v>
      </c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4"/>
      <c r="BX566" s="14"/>
      <c r="BY566" s="14"/>
      <c r="BZ566" s="14"/>
      <c r="CA566" s="14"/>
      <c r="CB566" s="14"/>
      <c r="CC566" s="14"/>
      <c r="CD566" s="14"/>
      <c r="CE566" s="14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</row>
    <row r="567">
      <c r="A567" s="12"/>
      <c r="B567" s="14"/>
      <c r="C567" s="14"/>
      <c r="D567" s="14"/>
      <c r="E567" s="12"/>
      <c r="F567" s="307"/>
      <c r="G567" s="307"/>
      <c r="H567" s="12"/>
      <c r="I567" s="30"/>
      <c r="J567" s="12"/>
      <c r="K567" s="12"/>
      <c r="L567" s="12"/>
      <c r="M567" s="12"/>
      <c r="N567" s="12"/>
      <c r="O567" s="308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4"/>
      <c r="BF567" s="12"/>
      <c r="BG567" s="12"/>
      <c r="BH567" s="12" t="str">
        <f>IFERROR(__xludf.DUMMYFUNCTION("IFERROR(INDEX(QUERY(IMPORTRANGE(""1T7HG8KEs-Ob7f3M5atEVN9Yn7IeORGp0QGvggB62ELw"",""Maestro!A:I""),""SELECT Col8 WHERE Col3 = '""&amp;BE567&amp;""'"", 0), 1, 1),""NO ENCONTRADO"")"),"")</f>
        <v/>
      </c>
      <c r="BI567" s="12" t="str">
        <f>IFERROR(__xludf.DUMMYFUNCTION("IFERROR(INDEX(QUERY(IMPORTRANGE(""1T7HG8KEs-Ob7f3M5atEVN9Yn7IeORGp0QGvggB62ELw"",""Maestro!A:I""),""SELECT Col7 WHERE Col3 = '""&amp;BE567&amp;""'"", 0), 1, 1),""NO ENCONTRADO"")"),"")</f>
        <v/>
      </c>
      <c r="BJ567" s="16">
        <f t="shared" si="19"/>
        <v>0</v>
      </c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4"/>
      <c r="BX567" s="14"/>
      <c r="BY567" s="14"/>
      <c r="BZ567" s="14"/>
      <c r="CA567" s="14"/>
      <c r="CB567" s="14"/>
      <c r="CC567" s="14"/>
      <c r="CD567" s="14"/>
      <c r="CE567" s="14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</row>
    <row r="568">
      <c r="A568" s="12"/>
      <c r="B568" s="14"/>
      <c r="C568" s="14"/>
      <c r="D568" s="14"/>
      <c r="E568" s="12"/>
      <c r="F568" s="307"/>
      <c r="G568" s="307"/>
      <c r="H568" s="12"/>
      <c r="I568" s="30"/>
      <c r="J568" s="12"/>
      <c r="K568" s="12"/>
      <c r="L568" s="12"/>
      <c r="M568" s="12"/>
      <c r="N568" s="12"/>
      <c r="O568" s="308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4"/>
      <c r="BF568" s="12"/>
      <c r="BG568" s="12"/>
      <c r="BH568" s="12" t="str">
        <f>IFERROR(__xludf.DUMMYFUNCTION("IFERROR(INDEX(QUERY(IMPORTRANGE(""1T7HG8KEs-Ob7f3M5atEVN9Yn7IeORGp0QGvggB62ELw"",""Maestro!A:I""),""SELECT Col8 WHERE Col3 = '""&amp;BE568&amp;""'"", 0), 1, 1),""NO ENCONTRADO"")"),"")</f>
        <v/>
      </c>
      <c r="BI568" s="12" t="str">
        <f>IFERROR(__xludf.DUMMYFUNCTION("IFERROR(INDEX(QUERY(IMPORTRANGE(""1T7HG8KEs-Ob7f3M5atEVN9Yn7IeORGp0QGvggB62ELw"",""Maestro!A:I""),""SELECT Col7 WHERE Col3 = '""&amp;BE568&amp;""'"", 0), 1, 1),""NO ENCONTRADO"")"),"")</f>
        <v/>
      </c>
      <c r="BJ568" s="16">
        <f t="shared" si="19"/>
        <v>0</v>
      </c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4"/>
      <c r="BX568" s="14"/>
      <c r="BY568" s="14"/>
      <c r="BZ568" s="14"/>
      <c r="CA568" s="14"/>
      <c r="CB568" s="14"/>
      <c r="CC568" s="14"/>
      <c r="CD568" s="14"/>
      <c r="CE568" s="14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</row>
    <row r="569">
      <c r="A569" s="12"/>
      <c r="B569" s="14"/>
      <c r="C569" s="14"/>
      <c r="D569" s="14"/>
      <c r="E569" s="12"/>
      <c r="F569" s="307"/>
      <c r="G569" s="307"/>
      <c r="H569" s="12"/>
      <c r="I569" s="30"/>
      <c r="J569" s="12"/>
      <c r="K569" s="12"/>
      <c r="L569" s="12"/>
      <c r="M569" s="12"/>
      <c r="N569" s="12"/>
      <c r="O569" s="308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4"/>
      <c r="BF569" s="12"/>
      <c r="BG569" s="12"/>
      <c r="BH569" s="12" t="str">
        <f>IFERROR(__xludf.DUMMYFUNCTION("IFERROR(INDEX(QUERY(IMPORTRANGE(""1T7HG8KEs-Ob7f3M5atEVN9Yn7IeORGp0QGvggB62ELw"",""Maestro!A:I""),""SELECT Col8 WHERE Col3 = '""&amp;BE569&amp;""'"", 0), 1, 1),""NO ENCONTRADO"")"),"")</f>
        <v/>
      </c>
      <c r="BI569" s="12" t="str">
        <f>IFERROR(__xludf.DUMMYFUNCTION("IFERROR(INDEX(QUERY(IMPORTRANGE(""1T7HG8KEs-Ob7f3M5atEVN9Yn7IeORGp0QGvggB62ELw"",""Maestro!A:I""),""SELECT Col7 WHERE Col3 = '""&amp;BE569&amp;""'"", 0), 1, 1),""NO ENCONTRADO"")"),"")</f>
        <v/>
      </c>
      <c r="BJ569" s="16">
        <f t="shared" si="19"/>
        <v>0</v>
      </c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4"/>
      <c r="BX569" s="14"/>
      <c r="BY569" s="14"/>
      <c r="BZ569" s="14"/>
      <c r="CA569" s="14"/>
      <c r="CB569" s="14"/>
      <c r="CC569" s="14"/>
      <c r="CD569" s="14"/>
      <c r="CE569" s="14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</row>
    <row r="570">
      <c r="A570" s="12"/>
      <c r="B570" s="14"/>
      <c r="C570" s="14"/>
      <c r="D570" s="14"/>
      <c r="E570" s="12"/>
      <c r="F570" s="307"/>
      <c r="G570" s="307"/>
      <c r="H570" s="12"/>
      <c r="I570" s="30"/>
      <c r="J570" s="12"/>
      <c r="K570" s="12"/>
      <c r="L570" s="12"/>
      <c r="M570" s="12"/>
      <c r="N570" s="12"/>
      <c r="O570" s="308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4"/>
      <c r="BF570" s="12"/>
      <c r="BG570" s="12"/>
      <c r="BH570" s="12" t="str">
        <f>IFERROR(__xludf.DUMMYFUNCTION("IFERROR(INDEX(QUERY(IMPORTRANGE(""1T7HG8KEs-Ob7f3M5atEVN9Yn7IeORGp0QGvggB62ELw"",""Maestro!A:I""),""SELECT Col8 WHERE Col3 = '""&amp;BE570&amp;""'"", 0), 1, 1),""NO ENCONTRADO"")"),"")</f>
        <v/>
      </c>
      <c r="BI570" s="12" t="str">
        <f>IFERROR(__xludf.DUMMYFUNCTION("IFERROR(INDEX(QUERY(IMPORTRANGE(""1T7HG8KEs-Ob7f3M5atEVN9Yn7IeORGp0QGvggB62ELw"",""Maestro!A:I""),""SELECT Col7 WHERE Col3 = '""&amp;BE570&amp;""'"", 0), 1, 1),""NO ENCONTRADO"")"),"")</f>
        <v/>
      </c>
      <c r="BJ570" s="16">
        <f t="shared" si="19"/>
        <v>0</v>
      </c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4"/>
      <c r="BX570" s="14"/>
      <c r="BY570" s="14"/>
      <c r="BZ570" s="14"/>
      <c r="CA570" s="14"/>
      <c r="CB570" s="14"/>
      <c r="CC570" s="14"/>
      <c r="CD570" s="14"/>
      <c r="CE570" s="14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</row>
    <row r="571">
      <c r="A571" s="12"/>
      <c r="B571" s="14"/>
      <c r="C571" s="14"/>
      <c r="D571" s="14"/>
      <c r="E571" s="12"/>
      <c r="F571" s="307"/>
      <c r="G571" s="307"/>
      <c r="H571" s="12"/>
      <c r="I571" s="30"/>
      <c r="J571" s="12"/>
      <c r="K571" s="12"/>
      <c r="L571" s="12"/>
      <c r="M571" s="12"/>
      <c r="N571" s="12"/>
      <c r="O571" s="308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4"/>
      <c r="BF571" s="12"/>
      <c r="BG571" s="12"/>
      <c r="BH571" s="12" t="str">
        <f>IFERROR(__xludf.DUMMYFUNCTION("IFERROR(INDEX(QUERY(IMPORTRANGE(""1T7HG8KEs-Ob7f3M5atEVN9Yn7IeORGp0QGvggB62ELw"",""Maestro!A:I""),""SELECT Col8 WHERE Col3 = '""&amp;BE571&amp;""'"", 0), 1, 1),""NO ENCONTRADO"")"),"")</f>
        <v/>
      </c>
      <c r="BI571" s="12" t="str">
        <f>IFERROR(__xludf.DUMMYFUNCTION("IFERROR(INDEX(QUERY(IMPORTRANGE(""1T7HG8KEs-Ob7f3M5atEVN9Yn7IeORGp0QGvggB62ELw"",""Maestro!A:I""),""SELECT Col7 WHERE Col3 = '""&amp;BE571&amp;""'"", 0), 1, 1),""NO ENCONTRADO"")"),"")</f>
        <v/>
      </c>
      <c r="BJ571" s="16">
        <f t="shared" si="19"/>
        <v>0</v>
      </c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4"/>
      <c r="BX571" s="14"/>
      <c r="BY571" s="14"/>
      <c r="BZ571" s="14"/>
      <c r="CA571" s="14"/>
      <c r="CB571" s="14"/>
      <c r="CC571" s="14"/>
      <c r="CD571" s="14"/>
      <c r="CE571" s="14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</row>
    <row r="572">
      <c r="A572" s="12"/>
      <c r="B572" s="14"/>
      <c r="C572" s="14"/>
      <c r="D572" s="14"/>
      <c r="E572" s="12"/>
      <c r="F572" s="307"/>
      <c r="G572" s="307"/>
      <c r="H572" s="12"/>
      <c r="I572" s="30"/>
      <c r="J572" s="12"/>
      <c r="K572" s="12"/>
      <c r="L572" s="12"/>
      <c r="M572" s="12"/>
      <c r="N572" s="12"/>
      <c r="O572" s="308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4"/>
      <c r="BF572" s="12"/>
      <c r="BG572" s="12"/>
      <c r="BH572" s="12" t="str">
        <f>IFERROR(__xludf.DUMMYFUNCTION("IFERROR(INDEX(QUERY(IMPORTRANGE(""1T7HG8KEs-Ob7f3M5atEVN9Yn7IeORGp0QGvggB62ELw"",""Maestro!A:I""),""SELECT Col8 WHERE Col3 = '""&amp;BE572&amp;""'"", 0), 1, 1),""NO ENCONTRADO"")"),"")</f>
        <v/>
      </c>
      <c r="BI572" s="12" t="str">
        <f>IFERROR(__xludf.DUMMYFUNCTION("IFERROR(INDEX(QUERY(IMPORTRANGE(""1T7HG8KEs-Ob7f3M5atEVN9Yn7IeORGp0QGvggB62ELw"",""Maestro!A:I""),""SELECT Col7 WHERE Col3 = '""&amp;BE572&amp;""'"", 0), 1, 1),""NO ENCONTRADO"")"),"")</f>
        <v/>
      </c>
      <c r="BJ572" s="16">
        <f t="shared" si="19"/>
        <v>0</v>
      </c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4"/>
      <c r="BX572" s="14"/>
      <c r="BY572" s="14"/>
      <c r="BZ572" s="14"/>
      <c r="CA572" s="14"/>
      <c r="CB572" s="14"/>
      <c r="CC572" s="14"/>
      <c r="CD572" s="14"/>
      <c r="CE572" s="14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</row>
    <row r="573">
      <c r="A573" s="12"/>
      <c r="B573" s="14"/>
      <c r="C573" s="14"/>
      <c r="D573" s="14"/>
      <c r="E573" s="12"/>
      <c r="F573" s="307"/>
      <c r="G573" s="307"/>
      <c r="H573" s="12"/>
      <c r="I573" s="30"/>
      <c r="J573" s="12"/>
      <c r="K573" s="12"/>
      <c r="L573" s="12"/>
      <c r="M573" s="12"/>
      <c r="N573" s="12"/>
      <c r="O573" s="308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4"/>
      <c r="BF573" s="12"/>
      <c r="BG573" s="12"/>
      <c r="BH573" s="12" t="str">
        <f>IFERROR(__xludf.DUMMYFUNCTION("IFERROR(INDEX(QUERY(IMPORTRANGE(""1T7HG8KEs-Ob7f3M5atEVN9Yn7IeORGp0QGvggB62ELw"",""Maestro!A:I""),""SELECT Col8 WHERE Col3 = '""&amp;BE573&amp;""'"", 0), 1, 1),""NO ENCONTRADO"")"),"")</f>
        <v/>
      </c>
      <c r="BI573" s="12" t="str">
        <f>IFERROR(__xludf.DUMMYFUNCTION("IFERROR(INDEX(QUERY(IMPORTRANGE(""1T7HG8KEs-Ob7f3M5atEVN9Yn7IeORGp0QGvggB62ELw"",""Maestro!A:I""),""SELECT Col7 WHERE Col3 = '""&amp;BE573&amp;""'"", 0), 1, 1),""NO ENCONTRADO"")"),"")</f>
        <v/>
      </c>
      <c r="BJ573" s="16">
        <f t="shared" si="19"/>
        <v>0</v>
      </c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4"/>
      <c r="BX573" s="14"/>
      <c r="BY573" s="14"/>
      <c r="BZ573" s="14"/>
      <c r="CA573" s="14"/>
      <c r="CB573" s="14"/>
      <c r="CC573" s="14"/>
      <c r="CD573" s="14"/>
      <c r="CE573" s="14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</row>
    <row r="574">
      <c r="A574" s="12"/>
      <c r="B574" s="14"/>
      <c r="C574" s="14"/>
      <c r="D574" s="14"/>
      <c r="E574" s="12"/>
      <c r="F574" s="307"/>
      <c r="G574" s="307"/>
      <c r="H574" s="12"/>
      <c r="I574" s="30"/>
      <c r="J574" s="12"/>
      <c r="K574" s="12"/>
      <c r="L574" s="12"/>
      <c r="M574" s="12"/>
      <c r="N574" s="12"/>
      <c r="O574" s="308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4"/>
      <c r="BF574" s="12"/>
      <c r="BG574" s="12"/>
      <c r="BH574" s="12" t="str">
        <f>IFERROR(__xludf.DUMMYFUNCTION("IFERROR(INDEX(QUERY(IMPORTRANGE(""1T7HG8KEs-Ob7f3M5atEVN9Yn7IeORGp0QGvggB62ELw"",""Maestro!A:I""),""SELECT Col8 WHERE Col3 = '""&amp;BE574&amp;""'"", 0), 1, 1),""NO ENCONTRADO"")"),"")</f>
        <v/>
      </c>
      <c r="BI574" s="12" t="str">
        <f>IFERROR(__xludf.DUMMYFUNCTION("IFERROR(INDEX(QUERY(IMPORTRANGE(""1T7HG8KEs-Ob7f3M5atEVN9Yn7IeORGp0QGvggB62ELw"",""Maestro!A:I""),""SELECT Col7 WHERE Col3 = '""&amp;BE574&amp;""'"", 0), 1, 1),""NO ENCONTRADO"")"),"")</f>
        <v/>
      </c>
      <c r="BJ574" s="16">
        <f t="shared" si="19"/>
        <v>0</v>
      </c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4"/>
      <c r="BX574" s="14"/>
      <c r="BY574" s="14"/>
      <c r="BZ574" s="14"/>
      <c r="CA574" s="14"/>
      <c r="CB574" s="14"/>
      <c r="CC574" s="14"/>
      <c r="CD574" s="14"/>
      <c r="CE574" s="14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</row>
    <row r="575">
      <c r="A575" s="12"/>
      <c r="B575" s="14"/>
      <c r="C575" s="14"/>
      <c r="D575" s="14"/>
      <c r="E575" s="12"/>
      <c r="F575" s="307"/>
      <c r="G575" s="307"/>
      <c r="H575" s="12"/>
      <c r="I575" s="30"/>
      <c r="J575" s="12"/>
      <c r="K575" s="12"/>
      <c r="L575" s="12"/>
      <c r="M575" s="12"/>
      <c r="N575" s="12"/>
      <c r="O575" s="308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4"/>
      <c r="BF575" s="12"/>
      <c r="BG575" s="12"/>
      <c r="BH575" s="12" t="str">
        <f>IFERROR(__xludf.DUMMYFUNCTION("IFERROR(INDEX(QUERY(IMPORTRANGE(""1T7HG8KEs-Ob7f3M5atEVN9Yn7IeORGp0QGvggB62ELw"",""Maestro!A:I""),""SELECT Col8 WHERE Col3 = '""&amp;BE575&amp;""'"", 0), 1, 1),""NO ENCONTRADO"")"),"")</f>
        <v/>
      </c>
      <c r="BI575" s="12" t="str">
        <f>IFERROR(__xludf.DUMMYFUNCTION("IFERROR(INDEX(QUERY(IMPORTRANGE(""1T7HG8KEs-Ob7f3M5atEVN9Yn7IeORGp0QGvggB62ELw"",""Maestro!A:I""),""SELECT Col7 WHERE Col3 = '""&amp;BE575&amp;""'"", 0), 1, 1),""NO ENCONTRADO"")"),"")</f>
        <v/>
      </c>
      <c r="BJ575" s="16">
        <f t="shared" si="19"/>
        <v>0</v>
      </c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4"/>
      <c r="BX575" s="14"/>
      <c r="BY575" s="14"/>
      <c r="BZ575" s="14"/>
      <c r="CA575" s="14"/>
      <c r="CB575" s="14"/>
      <c r="CC575" s="14"/>
      <c r="CD575" s="14"/>
      <c r="CE575" s="14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</row>
    <row r="576">
      <c r="A576" s="12"/>
      <c r="B576" s="14"/>
      <c r="C576" s="14"/>
      <c r="D576" s="14"/>
      <c r="E576" s="12"/>
      <c r="F576" s="307"/>
      <c r="G576" s="307"/>
      <c r="H576" s="12"/>
      <c r="I576" s="30"/>
      <c r="J576" s="12"/>
      <c r="K576" s="12"/>
      <c r="L576" s="12"/>
      <c r="M576" s="12"/>
      <c r="N576" s="12"/>
      <c r="O576" s="308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4"/>
      <c r="BF576" s="12"/>
      <c r="BG576" s="12"/>
      <c r="BH576" s="12" t="str">
        <f>IFERROR(__xludf.DUMMYFUNCTION("IFERROR(INDEX(QUERY(IMPORTRANGE(""1T7HG8KEs-Ob7f3M5atEVN9Yn7IeORGp0QGvggB62ELw"",""Maestro!A:I""),""SELECT Col8 WHERE Col3 = '""&amp;BE576&amp;""'"", 0), 1, 1),""NO ENCONTRADO"")"),"")</f>
        <v/>
      </c>
      <c r="BI576" s="12" t="str">
        <f>IFERROR(__xludf.DUMMYFUNCTION("IFERROR(INDEX(QUERY(IMPORTRANGE(""1T7HG8KEs-Ob7f3M5atEVN9Yn7IeORGp0QGvggB62ELw"",""Maestro!A:I""),""SELECT Col7 WHERE Col3 = '""&amp;BE576&amp;""'"", 0), 1, 1),""NO ENCONTRADO"")"),"")</f>
        <v/>
      </c>
      <c r="BJ576" s="16">
        <f t="shared" si="19"/>
        <v>0</v>
      </c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4"/>
      <c r="BX576" s="14"/>
      <c r="BY576" s="14"/>
      <c r="BZ576" s="14"/>
      <c r="CA576" s="14"/>
      <c r="CB576" s="14"/>
      <c r="CC576" s="14"/>
      <c r="CD576" s="14"/>
      <c r="CE576" s="14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</row>
    <row r="577">
      <c r="A577" s="12"/>
      <c r="B577" s="14"/>
      <c r="C577" s="14"/>
      <c r="D577" s="14"/>
      <c r="E577" s="12"/>
      <c r="F577" s="307"/>
      <c r="G577" s="307"/>
      <c r="H577" s="12"/>
      <c r="I577" s="30"/>
      <c r="J577" s="12"/>
      <c r="K577" s="12"/>
      <c r="L577" s="12"/>
      <c r="M577" s="12"/>
      <c r="N577" s="12"/>
      <c r="O577" s="308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4"/>
      <c r="BF577" s="12"/>
      <c r="BG577" s="12"/>
      <c r="BH577" s="12" t="str">
        <f>IFERROR(__xludf.DUMMYFUNCTION("IFERROR(INDEX(QUERY(IMPORTRANGE(""1T7HG8KEs-Ob7f3M5atEVN9Yn7IeORGp0QGvggB62ELw"",""Maestro!A:I""),""SELECT Col8 WHERE Col3 = '""&amp;BE577&amp;""'"", 0), 1, 1),""NO ENCONTRADO"")"),"")</f>
        <v/>
      </c>
      <c r="BI577" s="12" t="str">
        <f>IFERROR(__xludf.DUMMYFUNCTION("IFERROR(INDEX(QUERY(IMPORTRANGE(""1T7HG8KEs-Ob7f3M5atEVN9Yn7IeORGp0QGvggB62ELw"",""Maestro!A:I""),""SELECT Col7 WHERE Col3 = '""&amp;BE577&amp;""'"", 0), 1, 1),""NO ENCONTRADO"")"),"")</f>
        <v/>
      </c>
      <c r="BJ577" s="16">
        <f t="shared" si="19"/>
        <v>0</v>
      </c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4"/>
      <c r="BX577" s="14"/>
      <c r="BY577" s="14"/>
      <c r="BZ577" s="14"/>
      <c r="CA577" s="14"/>
      <c r="CB577" s="14"/>
      <c r="CC577" s="14"/>
      <c r="CD577" s="14"/>
      <c r="CE577" s="14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</row>
    <row r="578">
      <c r="A578" s="12"/>
      <c r="B578" s="14"/>
      <c r="C578" s="14"/>
      <c r="D578" s="14"/>
      <c r="E578" s="12"/>
      <c r="F578" s="307"/>
      <c r="G578" s="307"/>
      <c r="H578" s="12"/>
      <c r="I578" s="30"/>
      <c r="J578" s="12"/>
      <c r="K578" s="12"/>
      <c r="L578" s="12"/>
      <c r="M578" s="12"/>
      <c r="N578" s="12"/>
      <c r="O578" s="308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4"/>
      <c r="BF578" s="12"/>
      <c r="BG578" s="12"/>
      <c r="BH578" s="12" t="str">
        <f>IFERROR(__xludf.DUMMYFUNCTION("IFERROR(INDEX(QUERY(IMPORTRANGE(""1T7HG8KEs-Ob7f3M5atEVN9Yn7IeORGp0QGvggB62ELw"",""Maestro!A:I""),""SELECT Col8 WHERE Col3 = '""&amp;BE578&amp;""'"", 0), 1, 1),""NO ENCONTRADO"")"),"")</f>
        <v/>
      </c>
      <c r="BI578" s="12" t="str">
        <f>IFERROR(__xludf.DUMMYFUNCTION("IFERROR(INDEX(QUERY(IMPORTRANGE(""1T7HG8KEs-Ob7f3M5atEVN9Yn7IeORGp0QGvggB62ELw"",""Maestro!A:I""),""SELECT Col7 WHERE Col3 = '""&amp;BE578&amp;""'"", 0), 1, 1),""NO ENCONTRADO"")"),"")</f>
        <v/>
      </c>
      <c r="BJ578" s="16">
        <f t="shared" si="19"/>
        <v>0</v>
      </c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4"/>
      <c r="BX578" s="14"/>
      <c r="BY578" s="14"/>
      <c r="BZ578" s="14"/>
      <c r="CA578" s="14"/>
      <c r="CB578" s="14"/>
      <c r="CC578" s="14"/>
      <c r="CD578" s="14"/>
      <c r="CE578" s="14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</row>
    <row r="579">
      <c r="A579" s="12"/>
      <c r="B579" s="14"/>
      <c r="C579" s="14"/>
      <c r="D579" s="14"/>
      <c r="E579" s="12"/>
      <c r="F579" s="307"/>
      <c r="G579" s="307"/>
      <c r="H579" s="12"/>
      <c r="I579" s="30"/>
      <c r="J579" s="12"/>
      <c r="K579" s="12"/>
      <c r="L579" s="12"/>
      <c r="M579" s="12"/>
      <c r="N579" s="12"/>
      <c r="O579" s="308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4"/>
      <c r="BF579" s="12"/>
      <c r="BG579" s="12"/>
      <c r="BH579" s="12" t="str">
        <f>IFERROR(__xludf.DUMMYFUNCTION("IFERROR(INDEX(QUERY(IMPORTRANGE(""1T7HG8KEs-Ob7f3M5atEVN9Yn7IeORGp0QGvggB62ELw"",""Maestro!A:I""),""SELECT Col8 WHERE Col3 = '""&amp;BE579&amp;""'"", 0), 1, 1),""NO ENCONTRADO"")"),"")</f>
        <v/>
      </c>
      <c r="BI579" s="12" t="str">
        <f>IFERROR(__xludf.DUMMYFUNCTION("IFERROR(INDEX(QUERY(IMPORTRANGE(""1T7HG8KEs-Ob7f3M5atEVN9Yn7IeORGp0QGvggB62ELw"",""Maestro!A:I""),""SELECT Col7 WHERE Col3 = '""&amp;BE579&amp;""'"", 0), 1, 1),""NO ENCONTRADO"")"),"")</f>
        <v/>
      </c>
      <c r="BJ579" s="16">
        <f t="shared" si="19"/>
        <v>0</v>
      </c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4"/>
      <c r="BX579" s="14"/>
      <c r="BY579" s="14"/>
      <c r="BZ579" s="14"/>
      <c r="CA579" s="14"/>
      <c r="CB579" s="14"/>
      <c r="CC579" s="14"/>
      <c r="CD579" s="14"/>
      <c r="CE579" s="14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</row>
    <row r="580">
      <c r="A580" s="12"/>
      <c r="B580" s="14"/>
      <c r="C580" s="14"/>
      <c r="D580" s="14"/>
      <c r="E580" s="12"/>
      <c r="F580" s="307"/>
      <c r="G580" s="307"/>
      <c r="H580" s="12"/>
      <c r="I580" s="30"/>
      <c r="J580" s="12"/>
      <c r="K580" s="12"/>
      <c r="L580" s="12"/>
      <c r="M580" s="12"/>
      <c r="N580" s="12"/>
      <c r="O580" s="308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4"/>
      <c r="BF580" s="12"/>
      <c r="BG580" s="12"/>
      <c r="BH580" s="12" t="str">
        <f>IFERROR(__xludf.DUMMYFUNCTION("IFERROR(INDEX(QUERY(IMPORTRANGE(""1T7HG8KEs-Ob7f3M5atEVN9Yn7IeORGp0QGvggB62ELw"",""Maestro!A:I""),""SELECT Col8 WHERE Col3 = '""&amp;BE580&amp;""'"", 0), 1, 1),""NO ENCONTRADO"")"),"")</f>
        <v/>
      </c>
      <c r="BI580" s="12" t="str">
        <f>IFERROR(__xludf.DUMMYFUNCTION("IFERROR(INDEX(QUERY(IMPORTRANGE(""1T7HG8KEs-Ob7f3M5atEVN9Yn7IeORGp0QGvggB62ELw"",""Maestro!A:I""),""SELECT Col7 WHERE Col3 = '""&amp;BE580&amp;""'"", 0), 1, 1),""NO ENCONTRADO"")"),"")</f>
        <v/>
      </c>
      <c r="BJ580" s="16">
        <f t="shared" si="19"/>
        <v>0</v>
      </c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4"/>
      <c r="BX580" s="14"/>
      <c r="BY580" s="14"/>
      <c r="BZ580" s="14"/>
      <c r="CA580" s="14"/>
      <c r="CB580" s="14"/>
      <c r="CC580" s="14"/>
      <c r="CD580" s="14"/>
      <c r="CE580" s="14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</row>
    <row r="581">
      <c r="A581" s="12"/>
      <c r="B581" s="14"/>
      <c r="C581" s="14"/>
      <c r="D581" s="14"/>
      <c r="E581" s="12"/>
      <c r="F581" s="307"/>
      <c r="G581" s="307"/>
      <c r="H581" s="12"/>
      <c r="I581" s="30"/>
      <c r="J581" s="12"/>
      <c r="K581" s="12"/>
      <c r="L581" s="12"/>
      <c r="M581" s="12"/>
      <c r="N581" s="12"/>
      <c r="O581" s="308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4"/>
      <c r="BF581" s="12"/>
      <c r="BG581" s="12"/>
      <c r="BH581" s="12" t="str">
        <f>IFERROR(__xludf.DUMMYFUNCTION("IFERROR(INDEX(QUERY(IMPORTRANGE(""1T7HG8KEs-Ob7f3M5atEVN9Yn7IeORGp0QGvggB62ELw"",""Maestro!A:I""),""SELECT Col8 WHERE Col3 = '""&amp;BE581&amp;""'"", 0), 1, 1),""NO ENCONTRADO"")"),"")</f>
        <v/>
      </c>
      <c r="BI581" s="12" t="str">
        <f>IFERROR(__xludf.DUMMYFUNCTION("IFERROR(INDEX(QUERY(IMPORTRANGE(""1T7HG8KEs-Ob7f3M5atEVN9Yn7IeORGp0QGvggB62ELw"",""Maestro!A:I""),""SELECT Col7 WHERE Col3 = '""&amp;BE581&amp;""'"", 0), 1, 1),""NO ENCONTRADO"")"),"")</f>
        <v/>
      </c>
      <c r="BJ581" s="16">
        <f t="shared" si="19"/>
        <v>0</v>
      </c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4"/>
      <c r="BX581" s="14"/>
      <c r="BY581" s="14"/>
      <c r="BZ581" s="14"/>
      <c r="CA581" s="14"/>
      <c r="CB581" s="14"/>
      <c r="CC581" s="14"/>
      <c r="CD581" s="14"/>
      <c r="CE581" s="14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</row>
    <row r="582">
      <c r="A582" s="12"/>
      <c r="B582" s="14"/>
      <c r="C582" s="14"/>
      <c r="D582" s="14"/>
      <c r="E582" s="12"/>
      <c r="F582" s="307"/>
      <c r="G582" s="307"/>
      <c r="H582" s="12"/>
      <c r="I582" s="30"/>
      <c r="J582" s="12"/>
      <c r="K582" s="12"/>
      <c r="L582" s="12"/>
      <c r="M582" s="12"/>
      <c r="N582" s="12"/>
      <c r="O582" s="308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4"/>
      <c r="BF582" s="12"/>
      <c r="BG582" s="12"/>
      <c r="BH582" s="12" t="str">
        <f>IFERROR(__xludf.DUMMYFUNCTION("IFERROR(INDEX(QUERY(IMPORTRANGE(""1T7HG8KEs-Ob7f3M5atEVN9Yn7IeORGp0QGvggB62ELw"",""Maestro!A:I""),""SELECT Col8 WHERE Col3 = '""&amp;BE582&amp;""'"", 0), 1, 1),""NO ENCONTRADO"")"),"")</f>
        <v/>
      </c>
      <c r="BI582" s="12" t="str">
        <f>IFERROR(__xludf.DUMMYFUNCTION("IFERROR(INDEX(QUERY(IMPORTRANGE(""1T7HG8KEs-Ob7f3M5atEVN9Yn7IeORGp0QGvggB62ELw"",""Maestro!A:I""),""SELECT Col7 WHERE Col3 = '""&amp;BE582&amp;""'"", 0), 1, 1),""NO ENCONTRADO"")"),"")</f>
        <v/>
      </c>
      <c r="BJ582" s="16">
        <f t="shared" si="19"/>
        <v>0</v>
      </c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4"/>
      <c r="BX582" s="14"/>
      <c r="BY582" s="14"/>
      <c r="BZ582" s="14"/>
      <c r="CA582" s="14"/>
      <c r="CB582" s="14"/>
      <c r="CC582" s="14"/>
      <c r="CD582" s="14"/>
      <c r="CE582" s="14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</row>
    <row r="583">
      <c r="A583" s="12"/>
      <c r="B583" s="14"/>
      <c r="C583" s="14"/>
      <c r="D583" s="14"/>
      <c r="E583" s="12"/>
      <c r="F583" s="307"/>
      <c r="G583" s="307"/>
      <c r="H583" s="12"/>
      <c r="I583" s="30"/>
      <c r="J583" s="12"/>
      <c r="K583" s="12"/>
      <c r="L583" s="12"/>
      <c r="M583" s="12"/>
      <c r="N583" s="12"/>
      <c r="O583" s="308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4"/>
      <c r="BF583" s="12"/>
      <c r="BG583" s="12"/>
      <c r="BH583" s="12" t="str">
        <f>IFERROR(__xludf.DUMMYFUNCTION("IFERROR(INDEX(QUERY(IMPORTRANGE(""1T7HG8KEs-Ob7f3M5atEVN9Yn7IeORGp0QGvggB62ELw"",""Maestro!A:I""),""SELECT Col8 WHERE Col3 = '""&amp;BE583&amp;""'"", 0), 1, 1),""NO ENCONTRADO"")"),"")</f>
        <v/>
      </c>
      <c r="BI583" s="12" t="str">
        <f>IFERROR(__xludf.DUMMYFUNCTION("IFERROR(INDEX(QUERY(IMPORTRANGE(""1T7HG8KEs-Ob7f3M5atEVN9Yn7IeORGp0QGvggB62ELw"",""Maestro!A:I""),""SELECT Col7 WHERE Col3 = '""&amp;BE583&amp;""'"", 0), 1, 1),""NO ENCONTRADO"")"),"")</f>
        <v/>
      </c>
      <c r="BJ583" s="16">
        <f t="shared" si="19"/>
        <v>0</v>
      </c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4"/>
      <c r="BX583" s="14"/>
      <c r="BY583" s="14"/>
      <c r="BZ583" s="14"/>
      <c r="CA583" s="14"/>
      <c r="CB583" s="14"/>
      <c r="CC583" s="14"/>
      <c r="CD583" s="14"/>
      <c r="CE583" s="14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</row>
    <row r="584">
      <c r="A584" s="12"/>
      <c r="B584" s="14"/>
      <c r="C584" s="14"/>
      <c r="D584" s="14"/>
      <c r="E584" s="12"/>
      <c r="F584" s="307"/>
      <c r="G584" s="307"/>
      <c r="H584" s="12"/>
      <c r="I584" s="30"/>
      <c r="J584" s="12"/>
      <c r="K584" s="12"/>
      <c r="L584" s="12"/>
      <c r="M584" s="12"/>
      <c r="N584" s="12"/>
      <c r="O584" s="308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4"/>
      <c r="BF584" s="12"/>
      <c r="BG584" s="12"/>
      <c r="BH584" s="12" t="str">
        <f>IFERROR(__xludf.DUMMYFUNCTION("IFERROR(INDEX(QUERY(IMPORTRANGE(""1T7HG8KEs-Ob7f3M5atEVN9Yn7IeORGp0QGvggB62ELw"",""Maestro!A:I""),""SELECT Col8 WHERE Col3 = '""&amp;BE584&amp;""'"", 0), 1, 1),""NO ENCONTRADO"")"),"")</f>
        <v/>
      </c>
      <c r="BI584" s="12" t="str">
        <f>IFERROR(__xludf.DUMMYFUNCTION("IFERROR(INDEX(QUERY(IMPORTRANGE(""1T7HG8KEs-Ob7f3M5atEVN9Yn7IeORGp0QGvggB62ELw"",""Maestro!A:I""),""SELECT Col7 WHERE Col3 = '""&amp;BE584&amp;""'"", 0), 1, 1),""NO ENCONTRADO"")"),"")</f>
        <v/>
      </c>
      <c r="BJ584" s="16">
        <f t="shared" si="19"/>
        <v>0</v>
      </c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4"/>
      <c r="BX584" s="14"/>
      <c r="BY584" s="14"/>
      <c r="BZ584" s="14"/>
      <c r="CA584" s="14"/>
      <c r="CB584" s="14"/>
      <c r="CC584" s="14"/>
      <c r="CD584" s="14"/>
      <c r="CE584" s="14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</row>
    <row r="585">
      <c r="A585" s="12"/>
      <c r="B585" s="14"/>
      <c r="C585" s="14"/>
      <c r="D585" s="14"/>
      <c r="E585" s="12"/>
      <c r="F585" s="307"/>
      <c r="G585" s="307"/>
      <c r="H585" s="12"/>
      <c r="I585" s="30"/>
      <c r="J585" s="12"/>
      <c r="K585" s="12"/>
      <c r="L585" s="12"/>
      <c r="M585" s="12"/>
      <c r="N585" s="12"/>
      <c r="O585" s="308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4"/>
      <c r="BF585" s="12"/>
      <c r="BG585" s="12"/>
      <c r="BH585" s="12" t="str">
        <f>IFERROR(__xludf.DUMMYFUNCTION("IFERROR(INDEX(QUERY(IMPORTRANGE(""1T7HG8KEs-Ob7f3M5atEVN9Yn7IeORGp0QGvggB62ELw"",""Maestro!A:I""),""SELECT Col8 WHERE Col3 = '""&amp;BE585&amp;""'"", 0), 1, 1),""NO ENCONTRADO"")"),"")</f>
        <v/>
      </c>
      <c r="BI585" s="12" t="str">
        <f>IFERROR(__xludf.DUMMYFUNCTION("IFERROR(INDEX(QUERY(IMPORTRANGE(""1T7HG8KEs-Ob7f3M5atEVN9Yn7IeORGp0QGvggB62ELw"",""Maestro!A:I""),""SELECT Col7 WHERE Col3 = '""&amp;BE585&amp;""'"", 0), 1, 1),""NO ENCONTRADO"")"),"")</f>
        <v/>
      </c>
      <c r="BJ585" s="16">
        <f t="shared" si="19"/>
        <v>0</v>
      </c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4"/>
      <c r="BX585" s="14"/>
      <c r="BY585" s="14"/>
      <c r="BZ585" s="14"/>
      <c r="CA585" s="14"/>
      <c r="CB585" s="14"/>
      <c r="CC585" s="14"/>
      <c r="CD585" s="14"/>
      <c r="CE585" s="14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</row>
    <row r="586">
      <c r="A586" s="12"/>
      <c r="B586" s="14"/>
      <c r="C586" s="14"/>
      <c r="D586" s="14"/>
      <c r="E586" s="12"/>
      <c r="F586" s="307"/>
      <c r="G586" s="307"/>
      <c r="H586" s="12"/>
      <c r="I586" s="30"/>
      <c r="J586" s="12"/>
      <c r="K586" s="12"/>
      <c r="L586" s="12"/>
      <c r="M586" s="12"/>
      <c r="N586" s="12"/>
      <c r="O586" s="308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4"/>
      <c r="BF586" s="12"/>
      <c r="BG586" s="12"/>
      <c r="BH586" s="12" t="str">
        <f>IFERROR(__xludf.DUMMYFUNCTION("IFERROR(INDEX(QUERY(IMPORTRANGE(""1T7HG8KEs-Ob7f3M5atEVN9Yn7IeORGp0QGvggB62ELw"",""Maestro!A:I""),""SELECT Col8 WHERE Col3 = '""&amp;BE586&amp;""'"", 0), 1, 1),""NO ENCONTRADO"")"),"")</f>
        <v/>
      </c>
      <c r="BI586" s="12" t="str">
        <f>IFERROR(__xludf.DUMMYFUNCTION("IFERROR(INDEX(QUERY(IMPORTRANGE(""1T7HG8KEs-Ob7f3M5atEVN9Yn7IeORGp0QGvggB62ELw"",""Maestro!A:I""),""SELECT Col7 WHERE Col3 = '""&amp;BE586&amp;""'"", 0), 1, 1),""NO ENCONTRADO"")"),"")</f>
        <v/>
      </c>
      <c r="BJ586" s="16">
        <f t="shared" si="19"/>
        <v>0</v>
      </c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4"/>
      <c r="BX586" s="14"/>
      <c r="BY586" s="14"/>
      <c r="BZ586" s="14"/>
      <c r="CA586" s="14"/>
      <c r="CB586" s="14"/>
      <c r="CC586" s="14"/>
      <c r="CD586" s="14"/>
      <c r="CE586" s="14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</row>
    <row r="587">
      <c r="A587" s="12"/>
      <c r="B587" s="14"/>
      <c r="C587" s="14"/>
      <c r="D587" s="14"/>
      <c r="E587" s="12"/>
      <c r="F587" s="307"/>
      <c r="G587" s="307"/>
      <c r="H587" s="12"/>
      <c r="I587" s="30"/>
      <c r="J587" s="12"/>
      <c r="K587" s="12"/>
      <c r="L587" s="12"/>
      <c r="M587" s="12"/>
      <c r="N587" s="12"/>
      <c r="O587" s="308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4"/>
      <c r="BF587" s="12"/>
      <c r="BG587" s="12"/>
      <c r="BH587" s="12" t="str">
        <f>IFERROR(__xludf.DUMMYFUNCTION("IFERROR(INDEX(QUERY(IMPORTRANGE(""1T7HG8KEs-Ob7f3M5atEVN9Yn7IeORGp0QGvggB62ELw"",""Maestro!A:I""),""SELECT Col8 WHERE Col3 = '""&amp;BE587&amp;""'"", 0), 1, 1),""NO ENCONTRADO"")"),"")</f>
        <v/>
      </c>
      <c r="BI587" s="12" t="str">
        <f>IFERROR(__xludf.DUMMYFUNCTION("IFERROR(INDEX(QUERY(IMPORTRANGE(""1T7HG8KEs-Ob7f3M5atEVN9Yn7IeORGp0QGvggB62ELw"",""Maestro!A:I""),""SELECT Col7 WHERE Col3 = '""&amp;BE587&amp;""'"", 0), 1, 1),""NO ENCONTRADO"")"),"")</f>
        <v/>
      </c>
      <c r="BJ587" s="16">
        <f t="shared" si="19"/>
        <v>0</v>
      </c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4"/>
      <c r="BX587" s="14"/>
      <c r="BY587" s="14"/>
      <c r="BZ587" s="14"/>
      <c r="CA587" s="14"/>
      <c r="CB587" s="14"/>
      <c r="CC587" s="14"/>
      <c r="CD587" s="14"/>
      <c r="CE587" s="14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</row>
    <row r="588">
      <c r="A588" s="12"/>
      <c r="B588" s="14"/>
      <c r="C588" s="14"/>
      <c r="D588" s="14"/>
      <c r="E588" s="12"/>
      <c r="F588" s="307"/>
      <c r="G588" s="307"/>
      <c r="H588" s="12"/>
      <c r="I588" s="30"/>
      <c r="J588" s="12"/>
      <c r="K588" s="12"/>
      <c r="L588" s="12"/>
      <c r="M588" s="12"/>
      <c r="N588" s="12"/>
      <c r="O588" s="308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4"/>
      <c r="BF588" s="12"/>
      <c r="BG588" s="12"/>
      <c r="BH588" s="12" t="str">
        <f>IFERROR(__xludf.DUMMYFUNCTION("IFERROR(INDEX(QUERY(IMPORTRANGE(""1T7HG8KEs-Ob7f3M5atEVN9Yn7IeORGp0QGvggB62ELw"",""Maestro!A:I""),""SELECT Col8 WHERE Col3 = '""&amp;BE588&amp;""'"", 0), 1, 1),""NO ENCONTRADO"")"),"")</f>
        <v/>
      </c>
      <c r="BI588" s="12" t="str">
        <f>IFERROR(__xludf.DUMMYFUNCTION("IFERROR(INDEX(QUERY(IMPORTRANGE(""1T7HG8KEs-Ob7f3M5atEVN9Yn7IeORGp0QGvggB62ELw"",""Maestro!A:I""),""SELECT Col7 WHERE Col3 = '""&amp;BE588&amp;""'"", 0), 1, 1),""NO ENCONTRADO"")"),"")</f>
        <v/>
      </c>
      <c r="BJ588" s="16">
        <f t="shared" si="19"/>
        <v>0</v>
      </c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4"/>
      <c r="BX588" s="14"/>
      <c r="BY588" s="14"/>
      <c r="BZ588" s="14"/>
      <c r="CA588" s="14"/>
      <c r="CB588" s="14"/>
      <c r="CC588" s="14"/>
      <c r="CD588" s="14"/>
      <c r="CE588" s="14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</row>
    <row r="589">
      <c r="A589" s="12"/>
      <c r="B589" s="14"/>
      <c r="C589" s="14"/>
      <c r="D589" s="14"/>
      <c r="E589" s="12"/>
      <c r="F589" s="307"/>
      <c r="G589" s="307"/>
      <c r="H589" s="12"/>
      <c r="I589" s="30"/>
      <c r="J589" s="12"/>
      <c r="K589" s="12"/>
      <c r="L589" s="12"/>
      <c r="M589" s="12"/>
      <c r="N589" s="12"/>
      <c r="O589" s="308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4"/>
      <c r="BF589" s="12"/>
      <c r="BG589" s="12"/>
      <c r="BH589" s="12" t="str">
        <f>IFERROR(__xludf.DUMMYFUNCTION("IFERROR(INDEX(QUERY(IMPORTRANGE(""1T7HG8KEs-Ob7f3M5atEVN9Yn7IeORGp0QGvggB62ELw"",""Maestro!A:I""),""SELECT Col8 WHERE Col3 = '""&amp;BE589&amp;""'"", 0), 1, 1),""NO ENCONTRADO"")"),"")</f>
        <v/>
      </c>
      <c r="BI589" s="12" t="str">
        <f>IFERROR(__xludf.DUMMYFUNCTION("IFERROR(INDEX(QUERY(IMPORTRANGE(""1T7HG8KEs-Ob7f3M5atEVN9Yn7IeORGp0QGvggB62ELw"",""Maestro!A:I""),""SELECT Col7 WHERE Col3 = '""&amp;BE589&amp;""'"", 0), 1, 1),""NO ENCONTRADO"")"),"")</f>
        <v/>
      </c>
      <c r="BJ589" s="16">
        <f t="shared" si="19"/>
        <v>0</v>
      </c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4"/>
      <c r="BX589" s="14"/>
      <c r="BY589" s="14"/>
      <c r="BZ589" s="14"/>
      <c r="CA589" s="14"/>
      <c r="CB589" s="14"/>
      <c r="CC589" s="14"/>
      <c r="CD589" s="14"/>
      <c r="CE589" s="14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</row>
    <row r="590">
      <c r="A590" s="12"/>
      <c r="B590" s="14"/>
      <c r="C590" s="14"/>
      <c r="D590" s="14"/>
      <c r="E590" s="12"/>
      <c r="F590" s="307"/>
      <c r="G590" s="307"/>
      <c r="H590" s="12"/>
      <c r="I590" s="30"/>
      <c r="J590" s="12"/>
      <c r="K590" s="12"/>
      <c r="L590" s="12"/>
      <c r="M590" s="12"/>
      <c r="N590" s="12"/>
      <c r="O590" s="308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4"/>
      <c r="BF590" s="12"/>
      <c r="BG590" s="12"/>
      <c r="BH590" s="12" t="str">
        <f>IFERROR(__xludf.DUMMYFUNCTION("IFERROR(INDEX(QUERY(IMPORTRANGE(""1T7HG8KEs-Ob7f3M5atEVN9Yn7IeORGp0QGvggB62ELw"",""Maestro!A:I""),""SELECT Col8 WHERE Col3 = '""&amp;BE590&amp;""'"", 0), 1, 1),""NO ENCONTRADO"")"),"")</f>
        <v/>
      </c>
      <c r="BI590" s="12" t="str">
        <f>IFERROR(__xludf.DUMMYFUNCTION("IFERROR(INDEX(QUERY(IMPORTRANGE(""1T7HG8KEs-Ob7f3M5atEVN9Yn7IeORGp0QGvggB62ELw"",""Maestro!A:I""),""SELECT Col7 WHERE Col3 = '""&amp;BE590&amp;""'"", 0), 1, 1),""NO ENCONTRADO"")"),"")</f>
        <v/>
      </c>
      <c r="BJ590" s="16">
        <f t="shared" si="19"/>
        <v>0</v>
      </c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4"/>
      <c r="BX590" s="14"/>
      <c r="BY590" s="14"/>
      <c r="BZ590" s="14"/>
      <c r="CA590" s="14"/>
      <c r="CB590" s="14"/>
      <c r="CC590" s="14"/>
      <c r="CD590" s="14"/>
      <c r="CE590" s="14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</row>
    <row r="591">
      <c r="A591" s="12"/>
      <c r="B591" s="14"/>
      <c r="C591" s="14"/>
      <c r="D591" s="14"/>
      <c r="E591" s="12"/>
      <c r="F591" s="307"/>
      <c r="G591" s="307"/>
      <c r="H591" s="12"/>
      <c r="I591" s="30"/>
      <c r="J591" s="12"/>
      <c r="K591" s="12"/>
      <c r="L591" s="12"/>
      <c r="M591" s="12"/>
      <c r="N591" s="12"/>
      <c r="O591" s="308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4"/>
      <c r="BF591" s="12"/>
      <c r="BG591" s="12"/>
      <c r="BH591" s="12" t="str">
        <f>IFERROR(__xludf.DUMMYFUNCTION("IFERROR(INDEX(QUERY(IMPORTRANGE(""1T7HG8KEs-Ob7f3M5atEVN9Yn7IeORGp0QGvggB62ELw"",""Maestro!A:I""),""SELECT Col8 WHERE Col3 = '""&amp;BE591&amp;""'"", 0), 1, 1),""NO ENCONTRADO"")"),"")</f>
        <v/>
      </c>
      <c r="BI591" s="12" t="str">
        <f>IFERROR(__xludf.DUMMYFUNCTION("IFERROR(INDEX(QUERY(IMPORTRANGE(""1T7HG8KEs-Ob7f3M5atEVN9Yn7IeORGp0QGvggB62ELw"",""Maestro!A:I""),""SELECT Col7 WHERE Col3 = '""&amp;BE591&amp;""'"", 0), 1, 1),""NO ENCONTRADO"")"),"")</f>
        <v/>
      </c>
      <c r="BJ591" s="16">
        <f t="shared" si="19"/>
        <v>0</v>
      </c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4"/>
      <c r="BX591" s="14"/>
      <c r="BY591" s="14"/>
      <c r="BZ591" s="14"/>
      <c r="CA591" s="14"/>
      <c r="CB591" s="14"/>
      <c r="CC591" s="14"/>
      <c r="CD591" s="14"/>
      <c r="CE591" s="14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</row>
    <row r="592">
      <c r="A592" s="12"/>
      <c r="B592" s="14"/>
      <c r="C592" s="14"/>
      <c r="D592" s="14"/>
      <c r="E592" s="12"/>
      <c r="F592" s="307"/>
      <c r="G592" s="307"/>
      <c r="H592" s="12"/>
      <c r="I592" s="30"/>
      <c r="J592" s="12"/>
      <c r="K592" s="12"/>
      <c r="L592" s="12"/>
      <c r="M592" s="12"/>
      <c r="N592" s="12"/>
      <c r="O592" s="308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4"/>
      <c r="BF592" s="12"/>
      <c r="BG592" s="12"/>
      <c r="BH592" s="12" t="str">
        <f>IFERROR(__xludf.DUMMYFUNCTION("IFERROR(INDEX(QUERY(IMPORTRANGE(""1T7HG8KEs-Ob7f3M5atEVN9Yn7IeORGp0QGvggB62ELw"",""Maestro!A:I""),""SELECT Col8 WHERE Col3 = '""&amp;BE592&amp;""'"", 0), 1, 1),""NO ENCONTRADO"")"),"")</f>
        <v/>
      </c>
      <c r="BI592" s="12" t="str">
        <f>IFERROR(__xludf.DUMMYFUNCTION("IFERROR(INDEX(QUERY(IMPORTRANGE(""1T7HG8KEs-Ob7f3M5atEVN9Yn7IeORGp0QGvggB62ELw"",""Maestro!A:I""),""SELECT Col7 WHERE Col3 = '""&amp;BE592&amp;""'"", 0), 1, 1),""NO ENCONTRADO"")"),"")</f>
        <v/>
      </c>
      <c r="BJ592" s="16">
        <f t="shared" si="19"/>
        <v>0</v>
      </c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4"/>
      <c r="BX592" s="14"/>
      <c r="BY592" s="14"/>
      <c r="BZ592" s="14"/>
      <c r="CA592" s="14"/>
      <c r="CB592" s="14"/>
      <c r="CC592" s="14"/>
      <c r="CD592" s="14"/>
      <c r="CE592" s="14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</row>
    <row r="593">
      <c r="A593" s="12"/>
      <c r="B593" s="14"/>
      <c r="C593" s="14"/>
      <c r="D593" s="14"/>
      <c r="E593" s="12"/>
      <c r="F593" s="307"/>
      <c r="G593" s="307"/>
      <c r="H593" s="12"/>
      <c r="I593" s="30"/>
      <c r="J593" s="12"/>
      <c r="K593" s="12"/>
      <c r="L593" s="12"/>
      <c r="M593" s="12"/>
      <c r="N593" s="12"/>
      <c r="O593" s="308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4"/>
      <c r="BF593" s="12"/>
      <c r="BG593" s="12"/>
      <c r="BH593" s="12" t="str">
        <f>IFERROR(__xludf.DUMMYFUNCTION("IFERROR(INDEX(QUERY(IMPORTRANGE(""1T7HG8KEs-Ob7f3M5atEVN9Yn7IeORGp0QGvggB62ELw"",""Maestro!A:I""),""SELECT Col8 WHERE Col3 = '""&amp;BE593&amp;""'"", 0), 1, 1),""NO ENCONTRADO"")"),"")</f>
        <v/>
      </c>
      <c r="BI593" s="12" t="str">
        <f>IFERROR(__xludf.DUMMYFUNCTION("IFERROR(INDEX(QUERY(IMPORTRANGE(""1T7HG8KEs-Ob7f3M5atEVN9Yn7IeORGp0QGvggB62ELw"",""Maestro!A:I""),""SELECT Col7 WHERE Col3 = '""&amp;BE593&amp;""'"", 0), 1, 1),""NO ENCONTRADO"")"),"")</f>
        <v/>
      </c>
      <c r="BJ593" s="16">
        <f t="shared" si="19"/>
        <v>0</v>
      </c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4"/>
      <c r="BX593" s="14"/>
      <c r="BY593" s="14"/>
      <c r="BZ593" s="14"/>
      <c r="CA593" s="14"/>
      <c r="CB593" s="14"/>
      <c r="CC593" s="14"/>
      <c r="CD593" s="14"/>
      <c r="CE593" s="14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</row>
    <row r="594">
      <c r="A594" s="12"/>
      <c r="B594" s="14"/>
      <c r="C594" s="14"/>
      <c r="D594" s="14"/>
      <c r="E594" s="12"/>
      <c r="F594" s="307"/>
      <c r="G594" s="307"/>
      <c r="H594" s="12"/>
      <c r="I594" s="30"/>
      <c r="J594" s="12"/>
      <c r="K594" s="12"/>
      <c r="L594" s="12"/>
      <c r="M594" s="12"/>
      <c r="N594" s="12"/>
      <c r="O594" s="308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4"/>
      <c r="BF594" s="12"/>
      <c r="BG594" s="12"/>
      <c r="BH594" s="12" t="str">
        <f>IFERROR(__xludf.DUMMYFUNCTION("IFERROR(INDEX(QUERY(IMPORTRANGE(""1T7HG8KEs-Ob7f3M5atEVN9Yn7IeORGp0QGvggB62ELw"",""Maestro!A:I""),""SELECT Col8 WHERE Col3 = '""&amp;BE594&amp;""'"", 0), 1, 1),""NO ENCONTRADO"")"),"")</f>
        <v/>
      </c>
      <c r="BI594" s="12" t="str">
        <f>IFERROR(__xludf.DUMMYFUNCTION("IFERROR(INDEX(QUERY(IMPORTRANGE(""1T7HG8KEs-Ob7f3M5atEVN9Yn7IeORGp0QGvggB62ELw"",""Maestro!A:I""),""SELECT Col7 WHERE Col3 = '""&amp;BE594&amp;""'"", 0), 1, 1),""NO ENCONTRADO"")"),"")</f>
        <v/>
      </c>
      <c r="BJ594" s="16">
        <f t="shared" si="19"/>
        <v>0</v>
      </c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4"/>
      <c r="BX594" s="14"/>
      <c r="BY594" s="14"/>
      <c r="BZ594" s="14"/>
      <c r="CA594" s="14"/>
      <c r="CB594" s="14"/>
      <c r="CC594" s="14"/>
      <c r="CD594" s="14"/>
      <c r="CE594" s="14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</row>
    <row r="595">
      <c r="A595" s="12"/>
      <c r="B595" s="14"/>
      <c r="C595" s="14"/>
      <c r="D595" s="14"/>
      <c r="E595" s="12"/>
      <c r="F595" s="307"/>
      <c r="G595" s="307"/>
      <c r="H595" s="12"/>
      <c r="I595" s="30"/>
      <c r="J595" s="12"/>
      <c r="K595" s="12"/>
      <c r="L595" s="12"/>
      <c r="M595" s="12"/>
      <c r="N595" s="12"/>
      <c r="O595" s="308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4"/>
      <c r="BF595" s="12"/>
      <c r="BG595" s="12"/>
      <c r="BH595" s="12" t="str">
        <f>IFERROR(__xludf.DUMMYFUNCTION("IFERROR(INDEX(QUERY(IMPORTRANGE(""1T7HG8KEs-Ob7f3M5atEVN9Yn7IeORGp0QGvggB62ELw"",""Maestro!A:I""),""SELECT Col8 WHERE Col3 = '""&amp;BE595&amp;""'"", 0), 1, 1),""NO ENCONTRADO"")"),"")</f>
        <v/>
      </c>
      <c r="BI595" s="12" t="str">
        <f>IFERROR(__xludf.DUMMYFUNCTION("IFERROR(INDEX(QUERY(IMPORTRANGE(""1T7HG8KEs-Ob7f3M5atEVN9Yn7IeORGp0QGvggB62ELw"",""Maestro!A:I""),""SELECT Col7 WHERE Col3 = '""&amp;BE595&amp;""'"", 0), 1, 1),""NO ENCONTRADO"")"),"")</f>
        <v/>
      </c>
      <c r="BJ595" s="16">
        <f t="shared" si="19"/>
        <v>0</v>
      </c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4"/>
      <c r="BX595" s="14"/>
      <c r="BY595" s="14"/>
      <c r="BZ595" s="14"/>
      <c r="CA595" s="14"/>
      <c r="CB595" s="14"/>
      <c r="CC595" s="14"/>
      <c r="CD595" s="14"/>
      <c r="CE595" s="14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</row>
    <row r="596">
      <c r="A596" s="12"/>
      <c r="B596" s="14"/>
      <c r="C596" s="14"/>
      <c r="D596" s="14"/>
      <c r="E596" s="12"/>
      <c r="F596" s="307"/>
      <c r="G596" s="307"/>
      <c r="H596" s="12"/>
      <c r="I596" s="30"/>
      <c r="J596" s="12"/>
      <c r="K596" s="12"/>
      <c r="L596" s="12"/>
      <c r="M596" s="12"/>
      <c r="N596" s="12"/>
      <c r="O596" s="308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4"/>
      <c r="BF596" s="12"/>
      <c r="BG596" s="12"/>
      <c r="BH596" s="12" t="str">
        <f>IFERROR(__xludf.DUMMYFUNCTION("IFERROR(INDEX(QUERY(IMPORTRANGE(""1T7HG8KEs-Ob7f3M5atEVN9Yn7IeORGp0QGvggB62ELw"",""Maestro!A:I""),""SELECT Col8 WHERE Col3 = '""&amp;BE596&amp;""'"", 0), 1, 1),""NO ENCONTRADO"")"),"")</f>
        <v/>
      </c>
      <c r="BI596" s="12" t="str">
        <f>IFERROR(__xludf.DUMMYFUNCTION("IFERROR(INDEX(QUERY(IMPORTRANGE(""1T7HG8KEs-Ob7f3M5atEVN9Yn7IeORGp0QGvggB62ELw"",""Maestro!A:I""),""SELECT Col7 WHERE Col3 = '""&amp;BE596&amp;""'"", 0), 1, 1),""NO ENCONTRADO"")"),"")</f>
        <v/>
      </c>
      <c r="BJ596" s="16">
        <f t="shared" si="19"/>
        <v>0</v>
      </c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4"/>
      <c r="BX596" s="14"/>
      <c r="BY596" s="14"/>
      <c r="BZ596" s="14"/>
      <c r="CA596" s="14"/>
      <c r="CB596" s="14"/>
      <c r="CC596" s="14"/>
      <c r="CD596" s="14"/>
      <c r="CE596" s="14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</row>
    <row r="597">
      <c r="A597" s="12"/>
      <c r="B597" s="14"/>
      <c r="C597" s="14"/>
      <c r="D597" s="14"/>
      <c r="E597" s="12"/>
      <c r="F597" s="307"/>
      <c r="G597" s="307"/>
      <c r="H597" s="12"/>
      <c r="I597" s="30"/>
      <c r="J597" s="12"/>
      <c r="K597" s="12"/>
      <c r="L597" s="12"/>
      <c r="M597" s="12"/>
      <c r="N597" s="12"/>
      <c r="O597" s="308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4"/>
      <c r="BF597" s="12"/>
      <c r="BG597" s="12"/>
      <c r="BH597" s="12" t="str">
        <f>IFERROR(__xludf.DUMMYFUNCTION("IFERROR(INDEX(QUERY(IMPORTRANGE(""1T7HG8KEs-Ob7f3M5atEVN9Yn7IeORGp0QGvggB62ELw"",""Maestro!A:I""),""SELECT Col8 WHERE Col3 = '""&amp;BE597&amp;""'"", 0), 1, 1),""NO ENCONTRADO"")"),"")</f>
        <v/>
      </c>
      <c r="BI597" s="12" t="str">
        <f>IFERROR(__xludf.DUMMYFUNCTION("IFERROR(INDEX(QUERY(IMPORTRANGE(""1T7HG8KEs-Ob7f3M5atEVN9Yn7IeORGp0QGvggB62ELw"",""Maestro!A:I""),""SELECT Col7 WHERE Col3 = '""&amp;BE597&amp;""'"", 0), 1, 1),""NO ENCONTRADO"")"),"")</f>
        <v/>
      </c>
      <c r="BJ597" s="16">
        <f t="shared" si="19"/>
        <v>0</v>
      </c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4"/>
      <c r="BX597" s="14"/>
      <c r="BY597" s="14"/>
      <c r="BZ597" s="14"/>
      <c r="CA597" s="14"/>
      <c r="CB597" s="14"/>
      <c r="CC597" s="14"/>
      <c r="CD597" s="14"/>
      <c r="CE597" s="14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</row>
    <row r="598">
      <c r="A598" s="12"/>
      <c r="B598" s="14"/>
      <c r="C598" s="14"/>
      <c r="D598" s="14"/>
      <c r="E598" s="12"/>
      <c r="F598" s="307"/>
      <c r="G598" s="307"/>
      <c r="H598" s="12"/>
      <c r="I598" s="30"/>
      <c r="J598" s="12"/>
      <c r="K598" s="12"/>
      <c r="L598" s="12"/>
      <c r="M598" s="12"/>
      <c r="N598" s="12"/>
      <c r="O598" s="308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4"/>
      <c r="BF598" s="12"/>
      <c r="BG598" s="12"/>
      <c r="BH598" s="12" t="str">
        <f>IFERROR(__xludf.DUMMYFUNCTION("IFERROR(INDEX(QUERY(IMPORTRANGE(""1T7HG8KEs-Ob7f3M5atEVN9Yn7IeORGp0QGvggB62ELw"",""Maestro!A:I""),""SELECT Col8 WHERE Col3 = '""&amp;BE598&amp;""'"", 0), 1, 1),""NO ENCONTRADO"")"),"")</f>
        <v/>
      </c>
      <c r="BI598" s="12" t="str">
        <f>IFERROR(__xludf.DUMMYFUNCTION("IFERROR(INDEX(QUERY(IMPORTRANGE(""1T7HG8KEs-Ob7f3M5atEVN9Yn7IeORGp0QGvggB62ELw"",""Maestro!A:I""),""SELECT Col7 WHERE Col3 = '""&amp;BE598&amp;""'"", 0), 1, 1),""NO ENCONTRADO"")"),"")</f>
        <v/>
      </c>
      <c r="BJ598" s="16">
        <f t="shared" si="19"/>
        <v>0</v>
      </c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4"/>
      <c r="BX598" s="14"/>
      <c r="BY598" s="14"/>
      <c r="BZ598" s="14"/>
      <c r="CA598" s="14"/>
      <c r="CB598" s="14"/>
      <c r="CC598" s="14"/>
      <c r="CD598" s="14"/>
      <c r="CE598" s="14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</row>
    <row r="599">
      <c r="A599" s="12"/>
      <c r="B599" s="14"/>
      <c r="C599" s="14"/>
      <c r="D599" s="14"/>
      <c r="E599" s="12"/>
      <c r="F599" s="307"/>
      <c r="G599" s="307"/>
      <c r="H599" s="12"/>
      <c r="I599" s="30"/>
      <c r="J599" s="12"/>
      <c r="K599" s="12"/>
      <c r="L599" s="12"/>
      <c r="M599" s="12"/>
      <c r="N599" s="12"/>
      <c r="O599" s="308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4"/>
      <c r="BF599" s="12"/>
      <c r="BG599" s="12"/>
      <c r="BH599" s="12" t="str">
        <f>IFERROR(__xludf.DUMMYFUNCTION("IFERROR(INDEX(QUERY(IMPORTRANGE(""1T7HG8KEs-Ob7f3M5atEVN9Yn7IeORGp0QGvggB62ELw"",""Maestro!A:I""),""SELECT Col8 WHERE Col3 = '""&amp;BE599&amp;""'"", 0), 1, 1),""NO ENCONTRADO"")"),"")</f>
        <v/>
      </c>
      <c r="BI599" s="12" t="str">
        <f>IFERROR(__xludf.DUMMYFUNCTION("IFERROR(INDEX(QUERY(IMPORTRANGE(""1T7HG8KEs-Ob7f3M5atEVN9Yn7IeORGp0QGvggB62ELw"",""Maestro!A:I""),""SELECT Col7 WHERE Col3 = '""&amp;BE599&amp;""'"", 0), 1, 1),""NO ENCONTRADO"")"),"")</f>
        <v/>
      </c>
      <c r="BJ599" s="16">
        <f t="shared" si="19"/>
        <v>0</v>
      </c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4"/>
      <c r="BX599" s="14"/>
      <c r="BY599" s="14"/>
      <c r="BZ599" s="14"/>
      <c r="CA599" s="14"/>
      <c r="CB599" s="14"/>
      <c r="CC599" s="14"/>
      <c r="CD599" s="14"/>
      <c r="CE599" s="14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</row>
    <row r="600">
      <c r="A600" s="12"/>
      <c r="B600" s="14"/>
      <c r="C600" s="14"/>
      <c r="D600" s="14"/>
      <c r="E600" s="12"/>
      <c r="F600" s="307"/>
      <c r="G600" s="307"/>
      <c r="H600" s="12"/>
      <c r="I600" s="30"/>
      <c r="J600" s="12"/>
      <c r="K600" s="12"/>
      <c r="L600" s="12"/>
      <c r="M600" s="12"/>
      <c r="N600" s="12"/>
      <c r="O600" s="308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4"/>
      <c r="BF600" s="12"/>
      <c r="BG600" s="12"/>
      <c r="BH600" s="12" t="str">
        <f>IFERROR(__xludf.DUMMYFUNCTION("IFERROR(INDEX(QUERY(IMPORTRANGE(""1T7HG8KEs-Ob7f3M5atEVN9Yn7IeORGp0QGvggB62ELw"",""Maestro!A:I""),""SELECT Col8 WHERE Col3 = '""&amp;BE600&amp;""'"", 0), 1, 1),""NO ENCONTRADO"")"),"")</f>
        <v/>
      </c>
      <c r="BI600" s="12" t="str">
        <f>IFERROR(__xludf.DUMMYFUNCTION("IFERROR(INDEX(QUERY(IMPORTRANGE(""1T7HG8KEs-Ob7f3M5atEVN9Yn7IeORGp0QGvggB62ELw"",""Maestro!A:I""),""SELECT Col7 WHERE Col3 = '""&amp;BE600&amp;""'"", 0), 1, 1),""NO ENCONTRADO"")"),"")</f>
        <v/>
      </c>
      <c r="BJ600" s="16">
        <f t="shared" si="19"/>
        <v>0</v>
      </c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4"/>
      <c r="BX600" s="14"/>
      <c r="BY600" s="14"/>
      <c r="BZ600" s="14"/>
      <c r="CA600" s="14"/>
      <c r="CB600" s="14"/>
      <c r="CC600" s="14"/>
      <c r="CD600" s="14"/>
      <c r="CE600" s="14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</row>
    <row r="601">
      <c r="A601" s="12"/>
      <c r="B601" s="14"/>
      <c r="C601" s="14"/>
      <c r="D601" s="14"/>
      <c r="E601" s="12"/>
      <c r="F601" s="307"/>
      <c r="G601" s="307"/>
      <c r="H601" s="12"/>
      <c r="I601" s="30"/>
      <c r="J601" s="12"/>
      <c r="K601" s="12"/>
      <c r="L601" s="12"/>
      <c r="M601" s="12"/>
      <c r="N601" s="12"/>
      <c r="O601" s="308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4"/>
      <c r="BF601" s="12"/>
      <c r="BG601" s="12"/>
      <c r="BH601" s="12" t="str">
        <f>IFERROR(__xludf.DUMMYFUNCTION("IFERROR(INDEX(QUERY(IMPORTRANGE(""1T7HG8KEs-Ob7f3M5atEVN9Yn7IeORGp0QGvggB62ELw"",""Maestro!A:I""),""SELECT Col8 WHERE Col3 = '""&amp;BE601&amp;""'"", 0), 1, 1),""NO ENCONTRADO"")"),"")</f>
        <v/>
      </c>
      <c r="BI601" s="12" t="str">
        <f>IFERROR(__xludf.DUMMYFUNCTION("IFERROR(INDEX(QUERY(IMPORTRANGE(""1T7HG8KEs-Ob7f3M5atEVN9Yn7IeORGp0QGvggB62ELw"",""Maestro!A:I""),""SELECT Col7 WHERE Col3 = '""&amp;BE601&amp;""'"", 0), 1, 1),""NO ENCONTRADO"")"),"")</f>
        <v/>
      </c>
      <c r="BJ601" s="16">
        <f t="shared" si="19"/>
        <v>0</v>
      </c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4"/>
      <c r="BX601" s="14"/>
      <c r="BY601" s="14"/>
      <c r="BZ601" s="14"/>
      <c r="CA601" s="14"/>
      <c r="CB601" s="14"/>
      <c r="CC601" s="14"/>
      <c r="CD601" s="14"/>
      <c r="CE601" s="14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</row>
    <row r="602">
      <c r="A602" s="12"/>
      <c r="B602" s="14"/>
      <c r="C602" s="14"/>
      <c r="D602" s="14"/>
      <c r="E602" s="12"/>
      <c r="F602" s="307"/>
      <c r="G602" s="307"/>
      <c r="H602" s="12"/>
      <c r="I602" s="30"/>
      <c r="J602" s="12"/>
      <c r="K602" s="12"/>
      <c r="L602" s="12"/>
      <c r="M602" s="12"/>
      <c r="N602" s="12"/>
      <c r="O602" s="308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4"/>
      <c r="BF602" s="12"/>
      <c r="BG602" s="12"/>
      <c r="BH602" s="12" t="str">
        <f>IFERROR(__xludf.DUMMYFUNCTION("IFERROR(INDEX(QUERY(IMPORTRANGE(""1T7HG8KEs-Ob7f3M5atEVN9Yn7IeORGp0QGvggB62ELw"",""Maestro!A:I""),""SELECT Col8 WHERE Col3 = '""&amp;BE602&amp;""'"", 0), 1, 1),""NO ENCONTRADO"")"),"")</f>
        <v/>
      </c>
      <c r="BI602" s="12" t="str">
        <f>IFERROR(__xludf.DUMMYFUNCTION("IFERROR(INDEX(QUERY(IMPORTRANGE(""1T7HG8KEs-Ob7f3M5atEVN9Yn7IeORGp0QGvggB62ELw"",""Maestro!A:I""),""SELECT Col7 WHERE Col3 = '""&amp;BE602&amp;""'"", 0), 1, 1),""NO ENCONTRADO"")"),"")</f>
        <v/>
      </c>
      <c r="BJ602" s="16">
        <f t="shared" si="19"/>
        <v>0</v>
      </c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4"/>
      <c r="BX602" s="14"/>
      <c r="BY602" s="14"/>
      <c r="BZ602" s="14"/>
      <c r="CA602" s="14"/>
      <c r="CB602" s="14"/>
      <c r="CC602" s="14"/>
      <c r="CD602" s="14"/>
      <c r="CE602" s="14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</row>
    <row r="603">
      <c r="A603" s="12"/>
      <c r="B603" s="14"/>
      <c r="C603" s="14"/>
      <c r="D603" s="14"/>
      <c r="E603" s="12"/>
      <c r="F603" s="307"/>
      <c r="G603" s="307"/>
      <c r="H603" s="12"/>
      <c r="I603" s="30"/>
      <c r="J603" s="12"/>
      <c r="K603" s="12"/>
      <c r="L603" s="12"/>
      <c r="M603" s="12"/>
      <c r="N603" s="12"/>
      <c r="O603" s="308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4"/>
      <c r="BF603" s="12"/>
      <c r="BG603" s="12"/>
      <c r="BH603" s="12" t="str">
        <f>IFERROR(__xludf.DUMMYFUNCTION("IFERROR(INDEX(QUERY(IMPORTRANGE(""1T7HG8KEs-Ob7f3M5atEVN9Yn7IeORGp0QGvggB62ELw"",""Maestro!A:I""),""SELECT Col8 WHERE Col3 = '""&amp;BE603&amp;""'"", 0), 1, 1),""NO ENCONTRADO"")"),"")</f>
        <v/>
      </c>
      <c r="BI603" s="12" t="str">
        <f>IFERROR(__xludf.DUMMYFUNCTION("IFERROR(INDEX(QUERY(IMPORTRANGE(""1T7HG8KEs-Ob7f3M5atEVN9Yn7IeORGp0QGvggB62ELw"",""Maestro!A:I""),""SELECT Col7 WHERE Col3 = '""&amp;BE603&amp;""'"", 0), 1, 1),""NO ENCONTRADO"")"),"")</f>
        <v/>
      </c>
      <c r="BJ603" s="16">
        <f t="shared" si="19"/>
        <v>0</v>
      </c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4"/>
      <c r="BX603" s="14"/>
      <c r="BY603" s="14"/>
      <c r="BZ603" s="14"/>
      <c r="CA603" s="14"/>
      <c r="CB603" s="14"/>
      <c r="CC603" s="14"/>
      <c r="CD603" s="14"/>
      <c r="CE603" s="14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</row>
    <row r="604">
      <c r="A604" s="12"/>
      <c r="B604" s="14"/>
      <c r="C604" s="14"/>
      <c r="D604" s="14"/>
      <c r="E604" s="12"/>
      <c r="F604" s="307"/>
      <c r="G604" s="307"/>
      <c r="H604" s="12"/>
      <c r="I604" s="30"/>
      <c r="J604" s="12"/>
      <c r="K604" s="12"/>
      <c r="L604" s="12"/>
      <c r="M604" s="12"/>
      <c r="N604" s="12"/>
      <c r="O604" s="308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4"/>
      <c r="BF604" s="12"/>
      <c r="BG604" s="12"/>
      <c r="BH604" s="12" t="str">
        <f>IFERROR(__xludf.DUMMYFUNCTION("IFERROR(INDEX(QUERY(IMPORTRANGE(""1T7HG8KEs-Ob7f3M5atEVN9Yn7IeORGp0QGvggB62ELw"",""Maestro!A:I""),""SELECT Col8 WHERE Col3 = '""&amp;BE604&amp;""'"", 0), 1, 1),""NO ENCONTRADO"")"),"")</f>
        <v/>
      </c>
      <c r="BI604" s="12" t="str">
        <f>IFERROR(__xludf.DUMMYFUNCTION("IFERROR(INDEX(QUERY(IMPORTRANGE(""1T7HG8KEs-Ob7f3M5atEVN9Yn7IeORGp0QGvggB62ELw"",""Maestro!A:I""),""SELECT Col7 WHERE Col3 = '""&amp;BE604&amp;""'"", 0), 1, 1),""NO ENCONTRADO"")"),"")</f>
        <v/>
      </c>
      <c r="BJ604" s="16">
        <f t="shared" si="19"/>
        <v>0</v>
      </c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4"/>
      <c r="BX604" s="14"/>
      <c r="BY604" s="14"/>
      <c r="BZ604" s="14"/>
      <c r="CA604" s="14"/>
      <c r="CB604" s="14"/>
      <c r="CC604" s="14"/>
      <c r="CD604" s="14"/>
      <c r="CE604" s="14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</row>
    <row r="605">
      <c r="A605" s="12"/>
      <c r="B605" s="14"/>
      <c r="C605" s="14"/>
      <c r="D605" s="14"/>
      <c r="E605" s="12"/>
      <c r="F605" s="307"/>
      <c r="G605" s="307"/>
      <c r="H605" s="12"/>
      <c r="I605" s="30"/>
      <c r="J605" s="12"/>
      <c r="K605" s="12"/>
      <c r="L605" s="12"/>
      <c r="M605" s="12"/>
      <c r="N605" s="12"/>
      <c r="O605" s="308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4"/>
      <c r="BF605" s="12"/>
      <c r="BG605" s="12"/>
      <c r="BH605" s="12" t="str">
        <f>IFERROR(__xludf.DUMMYFUNCTION("IFERROR(INDEX(QUERY(IMPORTRANGE(""1T7HG8KEs-Ob7f3M5atEVN9Yn7IeORGp0QGvggB62ELw"",""Maestro!A:I""),""SELECT Col8 WHERE Col3 = '""&amp;BE605&amp;""'"", 0), 1, 1),""NO ENCONTRADO"")"),"")</f>
        <v/>
      </c>
      <c r="BI605" s="12" t="str">
        <f>IFERROR(__xludf.DUMMYFUNCTION("IFERROR(INDEX(QUERY(IMPORTRANGE(""1T7HG8KEs-Ob7f3M5atEVN9Yn7IeORGp0QGvggB62ELw"",""Maestro!A:I""),""SELECT Col7 WHERE Col3 = '""&amp;BE605&amp;""'"", 0), 1, 1),""NO ENCONTRADO"")"),"")</f>
        <v/>
      </c>
      <c r="BJ605" s="16">
        <f t="shared" si="19"/>
        <v>0</v>
      </c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4"/>
      <c r="BX605" s="14"/>
      <c r="BY605" s="14"/>
      <c r="BZ605" s="14"/>
      <c r="CA605" s="14"/>
      <c r="CB605" s="14"/>
      <c r="CC605" s="14"/>
      <c r="CD605" s="14"/>
      <c r="CE605" s="14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</row>
    <row r="606">
      <c r="A606" s="12"/>
      <c r="B606" s="14"/>
      <c r="C606" s="14"/>
      <c r="D606" s="14"/>
      <c r="E606" s="12"/>
      <c r="F606" s="307"/>
      <c r="G606" s="307"/>
      <c r="H606" s="12"/>
      <c r="I606" s="30"/>
      <c r="J606" s="12"/>
      <c r="K606" s="12"/>
      <c r="L606" s="12"/>
      <c r="M606" s="12"/>
      <c r="N606" s="12"/>
      <c r="O606" s="308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4"/>
      <c r="BF606" s="12"/>
      <c r="BG606" s="12"/>
      <c r="BH606" s="12" t="str">
        <f>IFERROR(__xludf.DUMMYFUNCTION("IFERROR(INDEX(QUERY(IMPORTRANGE(""1T7HG8KEs-Ob7f3M5atEVN9Yn7IeORGp0QGvggB62ELw"",""Maestro!A:I""),""SELECT Col8 WHERE Col3 = '""&amp;BE606&amp;""'"", 0), 1, 1),""NO ENCONTRADO"")"),"")</f>
        <v/>
      </c>
      <c r="BI606" s="12" t="str">
        <f>IFERROR(__xludf.DUMMYFUNCTION("IFERROR(INDEX(QUERY(IMPORTRANGE(""1T7HG8KEs-Ob7f3M5atEVN9Yn7IeORGp0QGvggB62ELw"",""Maestro!A:I""),""SELECT Col7 WHERE Col3 = '""&amp;BE606&amp;""'"", 0), 1, 1),""NO ENCONTRADO"")"),"")</f>
        <v/>
      </c>
      <c r="BJ606" s="16">
        <f t="shared" si="19"/>
        <v>0</v>
      </c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4"/>
      <c r="BX606" s="14"/>
      <c r="BY606" s="14"/>
      <c r="BZ606" s="14"/>
      <c r="CA606" s="14"/>
      <c r="CB606" s="14"/>
      <c r="CC606" s="14"/>
      <c r="CD606" s="14"/>
      <c r="CE606" s="14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</row>
    <row r="607">
      <c r="A607" s="12"/>
      <c r="B607" s="14"/>
      <c r="C607" s="14"/>
      <c r="D607" s="14"/>
      <c r="E607" s="12"/>
      <c r="F607" s="307"/>
      <c r="G607" s="307"/>
      <c r="H607" s="12"/>
      <c r="I607" s="30"/>
      <c r="J607" s="12"/>
      <c r="K607" s="12"/>
      <c r="L607" s="12"/>
      <c r="M607" s="12"/>
      <c r="N607" s="12"/>
      <c r="O607" s="308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4"/>
      <c r="BF607" s="12"/>
      <c r="BG607" s="12"/>
      <c r="BH607" s="12" t="str">
        <f>IFERROR(__xludf.DUMMYFUNCTION("IFERROR(INDEX(QUERY(IMPORTRANGE(""1T7HG8KEs-Ob7f3M5atEVN9Yn7IeORGp0QGvggB62ELw"",""Maestro!A:I""),""SELECT Col8 WHERE Col3 = '""&amp;BE607&amp;""'"", 0), 1, 1),""NO ENCONTRADO"")"),"")</f>
        <v/>
      </c>
      <c r="BI607" s="12" t="str">
        <f>IFERROR(__xludf.DUMMYFUNCTION("IFERROR(INDEX(QUERY(IMPORTRANGE(""1T7HG8KEs-Ob7f3M5atEVN9Yn7IeORGp0QGvggB62ELw"",""Maestro!A:I""),""SELECT Col7 WHERE Col3 = '""&amp;BE607&amp;""'"", 0), 1, 1),""NO ENCONTRADO"")"),"")</f>
        <v/>
      </c>
      <c r="BJ607" s="16">
        <f t="shared" si="19"/>
        <v>0</v>
      </c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4"/>
      <c r="BX607" s="14"/>
      <c r="BY607" s="14"/>
      <c r="BZ607" s="14"/>
      <c r="CA607" s="14"/>
      <c r="CB607" s="14"/>
      <c r="CC607" s="14"/>
      <c r="CD607" s="14"/>
      <c r="CE607" s="14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</row>
    <row r="608">
      <c r="A608" s="12"/>
      <c r="B608" s="14"/>
      <c r="C608" s="14"/>
      <c r="D608" s="14"/>
      <c r="E608" s="12"/>
      <c r="F608" s="307"/>
      <c r="G608" s="307"/>
      <c r="H608" s="12"/>
      <c r="I608" s="30"/>
      <c r="J608" s="12"/>
      <c r="K608" s="12"/>
      <c r="L608" s="12"/>
      <c r="M608" s="12"/>
      <c r="N608" s="12"/>
      <c r="O608" s="308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4"/>
      <c r="BF608" s="12"/>
      <c r="BG608" s="12"/>
      <c r="BH608" s="12" t="str">
        <f>IFERROR(__xludf.DUMMYFUNCTION("IFERROR(INDEX(QUERY(IMPORTRANGE(""1T7HG8KEs-Ob7f3M5atEVN9Yn7IeORGp0QGvggB62ELw"",""Maestro!A:I""),""SELECT Col8 WHERE Col3 = '""&amp;BE608&amp;""'"", 0), 1, 1),""NO ENCONTRADO"")"),"")</f>
        <v/>
      </c>
      <c r="BI608" s="12" t="str">
        <f>IFERROR(__xludf.DUMMYFUNCTION("IFERROR(INDEX(QUERY(IMPORTRANGE(""1T7HG8KEs-Ob7f3M5atEVN9Yn7IeORGp0QGvggB62ELw"",""Maestro!A:I""),""SELECT Col7 WHERE Col3 = '""&amp;BE608&amp;""'"", 0), 1, 1),""NO ENCONTRADO"")"),"")</f>
        <v/>
      </c>
      <c r="BJ608" s="16">
        <f t="shared" si="19"/>
        <v>0</v>
      </c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4"/>
      <c r="BX608" s="14"/>
      <c r="BY608" s="14"/>
      <c r="BZ608" s="14"/>
      <c r="CA608" s="14"/>
      <c r="CB608" s="14"/>
      <c r="CC608" s="14"/>
      <c r="CD608" s="14"/>
      <c r="CE608" s="14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</row>
    <row r="609">
      <c r="A609" s="12"/>
      <c r="B609" s="14"/>
      <c r="C609" s="14"/>
      <c r="D609" s="14"/>
      <c r="E609" s="12"/>
      <c r="F609" s="307"/>
      <c r="G609" s="307"/>
      <c r="H609" s="12"/>
      <c r="I609" s="30"/>
      <c r="J609" s="12"/>
      <c r="K609" s="12"/>
      <c r="L609" s="12"/>
      <c r="M609" s="12"/>
      <c r="N609" s="12"/>
      <c r="O609" s="308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4"/>
      <c r="BF609" s="12"/>
      <c r="BG609" s="12"/>
      <c r="BH609" s="12" t="str">
        <f>IFERROR(__xludf.DUMMYFUNCTION("IFERROR(INDEX(QUERY(IMPORTRANGE(""1T7HG8KEs-Ob7f3M5atEVN9Yn7IeORGp0QGvggB62ELw"",""Maestro!A:I""),""SELECT Col8 WHERE Col3 = '""&amp;BE609&amp;""'"", 0), 1, 1),""NO ENCONTRADO"")"),"")</f>
        <v/>
      </c>
      <c r="BI609" s="12" t="str">
        <f>IFERROR(__xludf.DUMMYFUNCTION("IFERROR(INDEX(QUERY(IMPORTRANGE(""1T7HG8KEs-Ob7f3M5atEVN9Yn7IeORGp0QGvggB62ELw"",""Maestro!A:I""),""SELECT Col7 WHERE Col3 = '""&amp;BE609&amp;""'"", 0), 1, 1),""NO ENCONTRADO"")"),"")</f>
        <v/>
      </c>
      <c r="BJ609" s="16">
        <f t="shared" si="19"/>
        <v>0</v>
      </c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4"/>
      <c r="BX609" s="14"/>
      <c r="BY609" s="14"/>
      <c r="BZ609" s="14"/>
      <c r="CA609" s="14"/>
      <c r="CB609" s="14"/>
      <c r="CC609" s="14"/>
      <c r="CD609" s="14"/>
      <c r="CE609" s="14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</row>
    <row r="610">
      <c r="A610" s="12"/>
      <c r="B610" s="14"/>
      <c r="C610" s="14"/>
      <c r="D610" s="14"/>
      <c r="E610" s="12"/>
      <c r="F610" s="307"/>
      <c r="G610" s="307"/>
      <c r="H610" s="12"/>
      <c r="I610" s="30"/>
      <c r="J610" s="12"/>
      <c r="K610" s="12"/>
      <c r="L610" s="12"/>
      <c r="M610" s="12"/>
      <c r="N610" s="12"/>
      <c r="O610" s="308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4"/>
      <c r="BF610" s="12"/>
      <c r="BG610" s="12"/>
      <c r="BH610" s="12" t="str">
        <f>IFERROR(__xludf.DUMMYFUNCTION("IFERROR(INDEX(QUERY(IMPORTRANGE(""1T7HG8KEs-Ob7f3M5atEVN9Yn7IeORGp0QGvggB62ELw"",""Maestro!A:I""),""SELECT Col8 WHERE Col3 = '""&amp;BE610&amp;""'"", 0), 1, 1),""NO ENCONTRADO"")"),"")</f>
        <v/>
      </c>
      <c r="BI610" s="12" t="str">
        <f>IFERROR(__xludf.DUMMYFUNCTION("IFERROR(INDEX(QUERY(IMPORTRANGE(""1T7HG8KEs-Ob7f3M5atEVN9Yn7IeORGp0QGvggB62ELw"",""Maestro!A:I""),""SELECT Col7 WHERE Col3 = '""&amp;BE610&amp;""'"", 0), 1, 1),""NO ENCONTRADO"")"),"")</f>
        <v/>
      </c>
      <c r="BJ610" s="16">
        <f t="shared" si="19"/>
        <v>0</v>
      </c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4"/>
      <c r="BX610" s="14"/>
      <c r="BY610" s="14"/>
      <c r="BZ610" s="14"/>
      <c r="CA610" s="14"/>
      <c r="CB610" s="14"/>
      <c r="CC610" s="14"/>
      <c r="CD610" s="14"/>
      <c r="CE610" s="14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</row>
    <row r="611">
      <c r="A611" s="12"/>
      <c r="B611" s="14"/>
      <c r="C611" s="14"/>
      <c r="D611" s="14"/>
      <c r="E611" s="12"/>
      <c r="F611" s="307"/>
      <c r="G611" s="307"/>
      <c r="H611" s="12"/>
      <c r="I611" s="30"/>
      <c r="J611" s="12"/>
      <c r="K611" s="12"/>
      <c r="L611" s="12"/>
      <c r="M611" s="12"/>
      <c r="N611" s="12"/>
      <c r="O611" s="308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4"/>
      <c r="BF611" s="12"/>
      <c r="BG611" s="12"/>
      <c r="BH611" s="12" t="str">
        <f>IFERROR(__xludf.DUMMYFUNCTION("IFERROR(INDEX(QUERY(IMPORTRANGE(""1T7HG8KEs-Ob7f3M5atEVN9Yn7IeORGp0QGvggB62ELw"",""Maestro!A:I""),""SELECT Col8 WHERE Col3 = '""&amp;BE611&amp;""'"", 0), 1, 1),""NO ENCONTRADO"")"),"")</f>
        <v/>
      </c>
      <c r="BI611" s="12" t="str">
        <f>IFERROR(__xludf.DUMMYFUNCTION("IFERROR(INDEX(QUERY(IMPORTRANGE(""1T7HG8KEs-Ob7f3M5atEVN9Yn7IeORGp0QGvggB62ELw"",""Maestro!A:I""),""SELECT Col7 WHERE Col3 = '""&amp;BE611&amp;""'"", 0), 1, 1),""NO ENCONTRADO"")"),"")</f>
        <v/>
      </c>
      <c r="BJ611" s="16">
        <f t="shared" si="19"/>
        <v>0</v>
      </c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4"/>
      <c r="BX611" s="14"/>
      <c r="BY611" s="14"/>
      <c r="BZ611" s="14"/>
      <c r="CA611" s="14"/>
      <c r="CB611" s="14"/>
      <c r="CC611" s="14"/>
      <c r="CD611" s="14"/>
      <c r="CE611" s="14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</row>
    <row r="612">
      <c r="A612" s="12"/>
      <c r="B612" s="14"/>
      <c r="C612" s="14"/>
      <c r="D612" s="14"/>
      <c r="E612" s="12"/>
      <c r="F612" s="307"/>
      <c r="G612" s="307"/>
      <c r="H612" s="12"/>
      <c r="I612" s="30"/>
      <c r="J612" s="12"/>
      <c r="K612" s="12"/>
      <c r="L612" s="12"/>
      <c r="M612" s="12"/>
      <c r="N612" s="12"/>
      <c r="O612" s="308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4"/>
      <c r="BF612" s="12"/>
      <c r="BG612" s="12"/>
      <c r="BH612" s="12" t="str">
        <f>IFERROR(__xludf.DUMMYFUNCTION("IFERROR(INDEX(QUERY(IMPORTRANGE(""1T7HG8KEs-Ob7f3M5atEVN9Yn7IeORGp0QGvggB62ELw"",""Maestro!A:I""),""SELECT Col8 WHERE Col3 = '""&amp;BE612&amp;""'"", 0), 1, 1),""NO ENCONTRADO"")"),"")</f>
        <v/>
      </c>
      <c r="BI612" s="12" t="str">
        <f>IFERROR(__xludf.DUMMYFUNCTION("IFERROR(INDEX(QUERY(IMPORTRANGE(""1T7HG8KEs-Ob7f3M5atEVN9Yn7IeORGp0QGvggB62ELw"",""Maestro!A:I""),""SELECT Col7 WHERE Col3 = '""&amp;BE612&amp;""'"", 0), 1, 1),""NO ENCONTRADO"")"),"")</f>
        <v/>
      </c>
      <c r="BJ612" s="16">
        <f t="shared" si="19"/>
        <v>0</v>
      </c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4"/>
      <c r="BX612" s="14"/>
      <c r="BY612" s="14"/>
      <c r="BZ612" s="14"/>
      <c r="CA612" s="14"/>
      <c r="CB612" s="14"/>
      <c r="CC612" s="14"/>
      <c r="CD612" s="14"/>
      <c r="CE612" s="14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</row>
    <row r="613">
      <c r="A613" s="12"/>
      <c r="B613" s="14"/>
      <c r="C613" s="14"/>
      <c r="D613" s="14"/>
      <c r="E613" s="12"/>
      <c r="F613" s="307"/>
      <c r="G613" s="307"/>
      <c r="H613" s="12"/>
      <c r="I613" s="30"/>
      <c r="J613" s="12"/>
      <c r="K613" s="12"/>
      <c r="L613" s="12"/>
      <c r="M613" s="12"/>
      <c r="N613" s="12"/>
      <c r="O613" s="308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4"/>
      <c r="BF613" s="12"/>
      <c r="BG613" s="12"/>
      <c r="BH613" s="12" t="str">
        <f>IFERROR(__xludf.DUMMYFUNCTION("IFERROR(INDEX(QUERY(IMPORTRANGE(""1T7HG8KEs-Ob7f3M5atEVN9Yn7IeORGp0QGvggB62ELw"",""Maestro!A:I""),""SELECT Col8 WHERE Col3 = '""&amp;BE613&amp;""'"", 0), 1, 1),""NO ENCONTRADO"")"),"")</f>
        <v/>
      </c>
      <c r="BI613" s="12" t="str">
        <f>IFERROR(__xludf.DUMMYFUNCTION("IFERROR(INDEX(QUERY(IMPORTRANGE(""1T7HG8KEs-Ob7f3M5atEVN9Yn7IeORGp0QGvggB62ELw"",""Maestro!A:I""),""SELECT Col7 WHERE Col3 = '""&amp;BE613&amp;""'"", 0), 1, 1),""NO ENCONTRADO"")"),"")</f>
        <v/>
      </c>
      <c r="BJ613" s="16">
        <f t="shared" si="19"/>
        <v>0</v>
      </c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4"/>
      <c r="BX613" s="14"/>
      <c r="BY613" s="14"/>
      <c r="BZ613" s="14"/>
      <c r="CA613" s="14"/>
      <c r="CB613" s="14"/>
      <c r="CC613" s="14"/>
      <c r="CD613" s="14"/>
      <c r="CE613" s="14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</row>
    <row r="614">
      <c r="A614" s="12"/>
      <c r="B614" s="14"/>
      <c r="C614" s="14"/>
      <c r="D614" s="14"/>
      <c r="E614" s="12"/>
      <c r="F614" s="307"/>
      <c r="G614" s="307"/>
      <c r="H614" s="12"/>
      <c r="I614" s="30"/>
      <c r="J614" s="12"/>
      <c r="K614" s="12"/>
      <c r="L614" s="12"/>
      <c r="M614" s="12"/>
      <c r="N614" s="12"/>
      <c r="O614" s="308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4"/>
      <c r="BF614" s="12"/>
      <c r="BG614" s="12"/>
      <c r="BH614" s="12" t="str">
        <f>IFERROR(__xludf.DUMMYFUNCTION("IFERROR(INDEX(QUERY(IMPORTRANGE(""1T7HG8KEs-Ob7f3M5atEVN9Yn7IeORGp0QGvggB62ELw"",""Maestro!A:I""),""SELECT Col8 WHERE Col3 = '""&amp;BE614&amp;""'"", 0), 1, 1),""NO ENCONTRADO"")"),"")</f>
        <v/>
      </c>
      <c r="BI614" s="12" t="str">
        <f>IFERROR(__xludf.DUMMYFUNCTION("IFERROR(INDEX(QUERY(IMPORTRANGE(""1T7HG8KEs-Ob7f3M5atEVN9Yn7IeORGp0QGvggB62ELw"",""Maestro!A:I""),""SELECT Col7 WHERE Col3 = '""&amp;BE614&amp;""'"", 0), 1, 1),""NO ENCONTRADO"")"),"")</f>
        <v/>
      </c>
      <c r="BJ614" s="16">
        <f t="shared" si="19"/>
        <v>0</v>
      </c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4"/>
      <c r="BX614" s="14"/>
      <c r="BY614" s="14"/>
      <c r="BZ614" s="14"/>
      <c r="CA614" s="14"/>
      <c r="CB614" s="14"/>
      <c r="CC614" s="14"/>
      <c r="CD614" s="14"/>
      <c r="CE614" s="14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</row>
    <row r="615">
      <c r="A615" s="12"/>
      <c r="B615" s="14"/>
      <c r="C615" s="14"/>
      <c r="D615" s="14"/>
      <c r="E615" s="12"/>
      <c r="F615" s="307"/>
      <c r="G615" s="307"/>
      <c r="H615" s="12"/>
      <c r="I615" s="30"/>
      <c r="J615" s="12"/>
      <c r="K615" s="12"/>
      <c r="L615" s="12"/>
      <c r="M615" s="12"/>
      <c r="N615" s="12"/>
      <c r="O615" s="308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4"/>
      <c r="BF615" s="12"/>
      <c r="BG615" s="12"/>
      <c r="BH615" s="12" t="str">
        <f>IFERROR(__xludf.DUMMYFUNCTION("IFERROR(INDEX(QUERY(IMPORTRANGE(""1T7HG8KEs-Ob7f3M5atEVN9Yn7IeORGp0QGvggB62ELw"",""Maestro!A:I""),""SELECT Col8 WHERE Col3 = '""&amp;BE615&amp;""'"", 0), 1, 1),""NO ENCONTRADO"")"),"")</f>
        <v/>
      </c>
      <c r="BI615" s="12" t="str">
        <f>IFERROR(__xludf.DUMMYFUNCTION("IFERROR(INDEX(QUERY(IMPORTRANGE(""1T7HG8KEs-Ob7f3M5atEVN9Yn7IeORGp0QGvggB62ELw"",""Maestro!A:I""),""SELECT Col7 WHERE Col3 = '""&amp;BE615&amp;""'"", 0), 1, 1),""NO ENCONTRADO"")"),"")</f>
        <v/>
      </c>
      <c r="BJ615" s="16">
        <f t="shared" si="19"/>
        <v>0</v>
      </c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4"/>
      <c r="BX615" s="14"/>
      <c r="BY615" s="14"/>
      <c r="BZ615" s="14"/>
      <c r="CA615" s="14"/>
      <c r="CB615" s="14"/>
      <c r="CC615" s="14"/>
      <c r="CD615" s="14"/>
      <c r="CE615" s="14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</row>
    <row r="616">
      <c r="A616" s="12"/>
      <c r="B616" s="14"/>
      <c r="C616" s="14"/>
      <c r="D616" s="14"/>
      <c r="E616" s="12"/>
      <c r="F616" s="307"/>
      <c r="G616" s="307"/>
      <c r="H616" s="12"/>
      <c r="I616" s="30"/>
      <c r="J616" s="12"/>
      <c r="K616" s="12"/>
      <c r="L616" s="12"/>
      <c r="M616" s="12"/>
      <c r="N616" s="12"/>
      <c r="O616" s="308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4"/>
      <c r="BF616" s="12"/>
      <c r="BG616" s="12"/>
      <c r="BH616" s="12" t="str">
        <f>IFERROR(__xludf.DUMMYFUNCTION("IFERROR(INDEX(QUERY(IMPORTRANGE(""1T7HG8KEs-Ob7f3M5atEVN9Yn7IeORGp0QGvggB62ELw"",""Maestro!A:I""),""SELECT Col8 WHERE Col3 = '""&amp;BE616&amp;""'"", 0), 1, 1),""NO ENCONTRADO"")"),"")</f>
        <v/>
      </c>
      <c r="BI616" s="12" t="str">
        <f>IFERROR(__xludf.DUMMYFUNCTION("IFERROR(INDEX(QUERY(IMPORTRANGE(""1T7HG8KEs-Ob7f3M5atEVN9Yn7IeORGp0QGvggB62ELw"",""Maestro!A:I""),""SELECT Col7 WHERE Col3 = '""&amp;BE616&amp;""'"", 0), 1, 1),""NO ENCONTRADO"")"),"")</f>
        <v/>
      </c>
      <c r="BJ616" s="16">
        <f t="shared" si="19"/>
        <v>0</v>
      </c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4"/>
      <c r="BX616" s="14"/>
      <c r="BY616" s="14"/>
      <c r="BZ616" s="14"/>
      <c r="CA616" s="14"/>
      <c r="CB616" s="14"/>
      <c r="CC616" s="14"/>
      <c r="CD616" s="14"/>
      <c r="CE616" s="14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</row>
    <row r="617">
      <c r="A617" s="12"/>
      <c r="B617" s="14"/>
      <c r="C617" s="14"/>
      <c r="D617" s="14"/>
      <c r="E617" s="12"/>
      <c r="F617" s="307"/>
      <c r="G617" s="307"/>
      <c r="H617" s="12"/>
      <c r="I617" s="30"/>
      <c r="J617" s="12"/>
      <c r="K617" s="12"/>
      <c r="L617" s="12"/>
      <c r="M617" s="12"/>
      <c r="N617" s="12"/>
      <c r="O617" s="308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4"/>
      <c r="BF617" s="12"/>
      <c r="BG617" s="12"/>
      <c r="BH617" s="12" t="str">
        <f>IFERROR(__xludf.DUMMYFUNCTION("IFERROR(INDEX(QUERY(IMPORTRANGE(""1T7HG8KEs-Ob7f3M5atEVN9Yn7IeORGp0QGvggB62ELw"",""Maestro!A:I""),""SELECT Col8 WHERE Col3 = '""&amp;BE617&amp;""'"", 0), 1, 1),""NO ENCONTRADO"")"),"")</f>
        <v/>
      </c>
      <c r="BI617" s="12" t="str">
        <f>IFERROR(__xludf.DUMMYFUNCTION("IFERROR(INDEX(QUERY(IMPORTRANGE(""1T7HG8KEs-Ob7f3M5atEVN9Yn7IeORGp0QGvggB62ELw"",""Maestro!A:I""),""SELECT Col7 WHERE Col3 = '""&amp;BE617&amp;""'"", 0), 1, 1),""NO ENCONTRADO"")"),"")</f>
        <v/>
      </c>
      <c r="BJ617" s="16">
        <f t="shared" si="19"/>
        <v>0</v>
      </c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4"/>
      <c r="BX617" s="14"/>
      <c r="BY617" s="14"/>
      <c r="BZ617" s="14"/>
      <c r="CA617" s="14"/>
      <c r="CB617" s="14"/>
      <c r="CC617" s="14"/>
      <c r="CD617" s="14"/>
      <c r="CE617" s="14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</row>
    <row r="618">
      <c r="A618" s="12"/>
      <c r="B618" s="14"/>
      <c r="C618" s="14"/>
      <c r="D618" s="14"/>
      <c r="E618" s="12"/>
      <c r="F618" s="307"/>
      <c r="G618" s="307"/>
      <c r="H618" s="12"/>
      <c r="I618" s="30"/>
      <c r="J618" s="12"/>
      <c r="K618" s="12"/>
      <c r="L618" s="12"/>
      <c r="M618" s="12"/>
      <c r="N618" s="12"/>
      <c r="O618" s="308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4"/>
      <c r="BF618" s="12"/>
      <c r="BG618" s="12"/>
      <c r="BH618" s="12" t="str">
        <f>IFERROR(__xludf.DUMMYFUNCTION("IFERROR(INDEX(QUERY(IMPORTRANGE(""1T7HG8KEs-Ob7f3M5atEVN9Yn7IeORGp0QGvggB62ELw"",""Maestro!A:I""),""SELECT Col8 WHERE Col3 = '""&amp;BE618&amp;""'"", 0), 1, 1),""NO ENCONTRADO"")"),"")</f>
        <v/>
      </c>
      <c r="BI618" s="12" t="str">
        <f>IFERROR(__xludf.DUMMYFUNCTION("IFERROR(INDEX(QUERY(IMPORTRANGE(""1T7HG8KEs-Ob7f3M5atEVN9Yn7IeORGp0QGvggB62ELw"",""Maestro!A:I""),""SELECT Col7 WHERE Col3 = '""&amp;BE618&amp;""'"", 0), 1, 1),""NO ENCONTRADO"")"),"")</f>
        <v/>
      </c>
      <c r="BJ618" s="16">
        <f t="shared" si="19"/>
        <v>0</v>
      </c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4"/>
      <c r="BX618" s="14"/>
      <c r="BY618" s="14"/>
      <c r="BZ618" s="14"/>
      <c r="CA618" s="14"/>
      <c r="CB618" s="14"/>
      <c r="CC618" s="14"/>
      <c r="CD618" s="14"/>
      <c r="CE618" s="14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</row>
    <row r="619">
      <c r="A619" s="12"/>
      <c r="B619" s="14"/>
      <c r="C619" s="14"/>
      <c r="D619" s="14"/>
      <c r="E619" s="12"/>
      <c r="F619" s="307"/>
      <c r="G619" s="307"/>
      <c r="H619" s="12"/>
      <c r="I619" s="30"/>
      <c r="J619" s="12"/>
      <c r="K619" s="12"/>
      <c r="L619" s="12"/>
      <c r="M619" s="12"/>
      <c r="N619" s="12"/>
      <c r="O619" s="308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4"/>
      <c r="BF619" s="12"/>
      <c r="BG619" s="12"/>
      <c r="BH619" s="12" t="str">
        <f>IFERROR(__xludf.DUMMYFUNCTION("IFERROR(INDEX(QUERY(IMPORTRANGE(""1T7HG8KEs-Ob7f3M5atEVN9Yn7IeORGp0QGvggB62ELw"",""Maestro!A:I""),""SELECT Col8 WHERE Col3 = '""&amp;BE619&amp;""'"", 0), 1, 1),""NO ENCONTRADO"")"),"")</f>
        <v/>
      </c>
      <c r="BI619" s="12" t="str">
        <f>IFERROR(__xludf.DUMMYFUNCTION("IFERROR(INDEX(QUERY(IMPORTRANGE(""1T7HG8KEs-Ob7f3M5atEVN9Yn7IeORGp0QGvggB62ELw"",""Maestro!A:I""),""SELECT Col7 WHERE Col3 = '""&amp;BE619&amp;""'"", 0), 1, 1),""NO ENCONTRADO"")"),"")</f>
        <v/>
      </c>
      <c r="BJ619" s="16">
        <f t="shared" si="19"/>
        <v>0</v>
      </c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4"/>
      <c r="BX619" s="14"/>
      <c r="BY619" s="14"/>
      <c r="BZ619" s="14"/>
      <c r="CA619" s="14"/>
      <c r="CB619" s="14"/>
      <c r="CC619" s="14"/>
      <c r="CD619" s="14"/>
      <c r="CE619" s="14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</row>
    <row r="620">
      <c r="A620" s="12"/>
      <c r="B620" s="14"/>
      <c r="C620" s="14"/>
      <c r="D620" s="14"/>
      <c r="E620" s="12"/>
      <c r="F620" s="307"/>
      <c r="G620" s="307"/>
      <c r="H620" s="12"/>
      <c r="I620" s="30"/>
      <c r="J620" s="12"/>
      <c r="K620" s="12"/>
      <c r="L620" s="12"/>
      <c r="M620" s="12"/>
      <c r="N620" s="12"/>
      <c r="O620" s="308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4"/>
      <c r="BF620" s="12"/>
      <c r="BG620" s="12"/>
      <c r="BH620" s="12" t="str">
        <f>IFERROR(__xludf.DUMMYFUNCTION("IFERROR(INDEX(QUERY(IMPORTRANGE(""1T7HG8KEs-Ob7f3M5atEVN9Yn7IeORGp0QGvggB62ELw"",""Maestro!A:I""),""SELECT Col8 WHERE Col3 = '""&amp;BE620&amp;""'"", 0), 1, 1),""NO ENCONTRADO"")"),"")</f>
        <v/>
      </c>
      <c r="BI620" s="12" t="str">
        <f>IFERROR(__xludf.DUMMYFUNCTION("IFERROR(INDEX(QUERY(IMPORTRANGE(""1T7HG8KEs-Ob7f3M5atEVN9Yn7IeORGp0QGvggB62ELw"",""Maestro!A:I""),""SELECT Col7 WHERE Col3 = '""&amp;BE620&amp;""'"", 0), 1, 1),""NO ENCONTRADO"")"),"")</f>
        <v/>
      </c>
      <c r="BJ620" s="16">
        <f t="shared" si="19"/>
        <v>0</v>
      </c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4"/>
      <c r="BX620" s="14"/>
      <c r="BY620" s="14"/>
      <c r="BZ620" s="14"/>
      <c r="CA620" s="14"/>
      <c r="CB620" s="14"/>
      <c r="CC620" s="14"/>
      <c r="CD620" s="14"/>
      <c r="CE620" s="14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</row>
    <row r="621">
      <c r="A621" s="12"/>
      <c r="B621" s="14"/>
      <c r="C621" s="14"/>
      <c r="D621" s="14"/>
      <c r="E621" s="12"/>
      <c r="F621" s="307"/>
      <c r="G621" s="307"/>
      <c r="H621" s="12"/>
      <c r="I621" s="30"/>
      <c r="J621" s="12"/>
      <c r="K621" s="12"/>
      <c r="L621" s="12"/>
      <c r="M621" s="12"/>
      <c r="N621" s="12"/>
      <c r="O621" s="308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4"/>
      <c r="BF621" s="12"/>
      <c r="BG621" s="12"/>
      <c r="BH621" s="12" t="str">
        <f>IFERROR(__xludf.DUMMYFUNCTION("IFERROR(INDEX(QUERY(IMPORTRANGE(""1T7HG8KEs-Ob7f3M5atEVN9Yn7IeORGp0QGvggB62ELw"",""Maestro!A:I""),""SELECT Col8 WHERE Col3 = '""&amp;BE621&amp;""'"", 0), 1, 1),""NO ENCONTRADO"")"),"")</f>
        <v/>
      </c>
      <c r="BI621" s="12" t="str">
        <f>IFERROR(__xludf.DUMMYFUNCTION("IFERROR(INDEX(QUERY(IMPORTRANGE(""1T7HG8KEs-Ob7f3M5atEVN9Yn7IeORGp0QGvggB62ELw"",""Maestro!A:I""),""SELECT Col7 WHERE Col3 = '""&amp;BE621&amp;""'"", 0), 1, 1),""NO ENCONTRADO"")"),"")</f>
        <v/>
      </c>
      <c r="BJ621" s="16">
        <f t="shared" si="19"/>
        <v>0</v>
      </c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4"/>
      <c r="BX621" s="14"/>
      <c r="BY621" s="14"/>
      <c r="BZ621" s="14"/>
      <c r="CA621" s="14"/>
      <c r="CB621" s="14"/>
      <c r="CC621" s="14"/>
      <c r="CD621" s="14"/>
      <c r="CE621" s="14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</row>
    <row r="622">
      <c r="A622" s="12"/>
      <c r="B622" s="14"/>
      <c r="C622" s="14"/>
      <c r="D622" s="14"/>
      <c r="E622" s="12"/>
      <c r="F622" s="307"/>
      <c r="G622" s="307"/>
      <c r="H622" s="12"/>
      <c r="I622" s="30"/>
      <c r="J622" s="12"/>
      <c r="K622" s="12"/>
      <c r="L622" s="12"/>
      <c r="M622" s="12"/>
      <c r="N622" s="12"/>
      <c r="O622" s="308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4"/>
      <c r="BF622" s="12"/>
      <c r="BG622" s="12"/>
      <c r="BH622" s="12" t="str">
        <f>IFERROR(__xludf.DUMMYFUNCTION("IFERROR(INDEX(QUERY(IMPORTRANGE(""1T7HG8KEs-Ob7f3M5atEVN9Yn7IeORGp0QGvggB62ELw"",""Maestro!A:I""),""SELECT Col8 WHERE Col3 = '""&amp;BE622&amp;""'"", 0), 1, 1),""NO ENCONTRADO"")"),"")</f>
        <v/>
      </c>
      <c r="BI622" s="12" t="str">
        <f>IFERROR(__xludf.DUMMYFUNCTION("IFERROR(INDEX(QUERY(IMPORTRANGE(""1T7HG8KEs-Ob7f3M5atEVN9Yn7IeORGp0QGvggB62ELw"",""Maestro!A:I""),""SELECT Col7 WHERE Col3 = '""&amp;BE622&amp;""'"", 0), 1, 1),""NO ENCONTRADO"")"),"")</f>
        <v/>
      </c>
      <c r="BJ622" s="16">
        <f t="shared" si="19"/>
        <v>0</v>
      </c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4"/>
      <c r="BX622" s="14"/>
      <c r="BY622" s="14"/>
      <c r="BZ622" s="14"/>
      <c r="CA622" s="14"/>
      <c r="CB622" s="14"/>
      <c r="CC622" s="14"/>
      <c r="CD622" s="14"/>
      <c r="CE622" s="14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</row>
    <row r="623">
      <c r="A623" s="12"/>
      <c r="B623" s="14"/>
      <c r="C623" s="14"/>
      <c r="D623" s="14"/>
      <c r="E623" s="12"/>
      <c r="F623" s="307"/>
      <c r="G623" s="307"/>
      <c r="H623" s="12"/>
      <c r="I623" s="30"/>
      <c r="J623" s="12"/>
      <c r="K623" s="12"/>
      <c r="L623" s="12"/>
      <c r="M623" s="12"/>
      <c r="N623" s="12"/>
      <c r="O623" s="308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4"/>
      <c r="BF623" s="12"/>
      <c r="BG623" s="12"/>
      <c r="BH623" s="12" t="str">
        <f>IFERROR(__xludf.DUMMYFUNCTION("IFERROR(INDEX(QUERY(IMPORTRANGE(""1T7HG8KEs-Ob7f3M5atEVN9Yn7IeORGp0QGvggB62ELw"",""Maestro!A:I""),""SELECT Col8 WHERE Col3 = '""&amp;BE623&amp;""'"", 0), 1, 1),""NO ENCONTRADO"")"),"")</f>
        <v/>
      </c>
      <c r="BI623" s="12" t="str">
        <f>IFERROR(__xludf.DUMMYFUNCTION("IFERROR(INDEX(QUERY(IMPORTRANGE(""1T7HG8KEs-Ob7f3M5atEVN9Yn7IeORGp0QGvggB62ELw"",""Maestro!A:I""),""SELECT Col7 WHERE Col3 = '""&amp;BE623&amp;""'"", 0), 1, 1),""NO ENCONTRADO"")"),"")</f>
        <v/>
      </c>
      <c r="BJ623" s="16">
        <f t="shared" si="19"/>
        <v>0</v>
      </c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4"/>
      <c r="BX623" s="14"/>
      <c r="BY623" s="14"/>
      <c r="BZ623" s="14"/>
      <c r="CA623" s="14"/>
      <c r="CB623" s="14"/>
      <c r="CC623" s="14"/>
      <c r="CD623" s="14"/>
      <c r="CE623" s="14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</row>
    <row r="624">
      <c r="A624" s="12"/>
      <c r="B624" s="14"/>
      <c r="C624" s="14"/>
      <c r="D624" s="14"/>
      <c r="E624" s="12"/>
      <c r="F624" s="307"/>
      <c r="G624" s="307"/>
      <c r="H624" s="12"/>
      <c r="I624" s="30"/>
      <c r="J624" s="12"/>
      <c r="K624" s="12"/>
      <c r="L624" s="12"/>
      <c r="M624" s="12"/>
      <c r="N624" s="12"/>
      <c r="O624" s="308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4"/>
      <c r="BF624" s="12"/>
      <c r="BG624" s="12"/>
      <c r="BH624" s="12" t="str">
        <f>IFERROR(__xludf.DUMMYFUNCTION("IFERROR(INDEX(QUERY(IMPORTRANGE(""1T7HG8KEs-Ob7f3M5atEVN9Yn7IeORGp0QGvggB62ELw"",""Maestro!A:I""),""SELECT Col8 WHERE Col3 = '""&amp;BE624&amp;""'"", 0), 1, 1),""NO ENCONTRADO"")"),"")</f>
        <v/>
      </c>
      <c r="BI624" s="12" t="str">
        <f>IFERROR(__xludf.DUMMYFUNCTION("IFERROR(INDEX(QUERY(IMPORTRANGE(""1T7HG8KEs-Ob7f3M5atEVN9Yn7IeORGp0QGvggB62ELw"",""Maestro!A:I""),""SELECT Col7 WHERE Col3 = '""&amp;BE624&amp;""'"", 0), 1, 1),""NO ENCONTRADO"")"),"")</f>
        <v/>
      </c>
      <c r="BJ624" s="16">
        <f t="shared" si="19"/>
        <v>0</v>
      </c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4"/>
      <c r="BX624" s="14"/>
      <c r="BY624" s="14"/>
      <c r="BZ624" s="14"/>
      <c r="CA624" s="14"/>
      <c r="CB624" s="14"/>
      <c r="CC624" s="14"/>
      <c r="CD624" s="14"/>
      <c r="CE624" s="14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</row>
    <row r="625">
      <c r="A625" s="12"/>
      <c r="B625" s="14"/>
      <c r="C625" s="14"/>
      <c r="D625" s="14"/>
      <c r="E625" s="12"/>
      <c r="F625" s="307"/>
      <c r="G625" s="307"/>
      <c r="H625" s="12"/>
      <c r="I625" s="30"/>
      <c r="J625" s="12"/>
      <c r="K625" s="12"/>
      <c r="L625" s="12"/>
      <c r="M625" s="12"/>
      <c r="N625" s="12"/>
      <c r="O625" s="308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4"/>
      <c r="BF625" s="12"/>
      <c r="BG625" s="12"/>
      <c r="BH625" s="12" t="str">
        <f>IFERROR(__xludf.DUMMYFUNCTION("IFERROR(INDEX(QUERY(IMPORTRANGE(""1T7HG8KEs-Ob7f3M5atEVN9Yn7IeORGp0QGvggB62ELw"",""Maestro!A:I""),""SELECT Col8 WHERE Col3 = '""&amp;BE625&amp;""'"", 0), 1, 1),""NO ENCONTRADO"")"),"")</f>
        <v/>
      </c>
      <c r="BI625" s="12" t="str">
        <f>IFERROR(__xludf.DUMMYFUNCTION("IFERROR(INDEX(QUERY(IMPORTRANGE(""1T7HG8KEs-Ob7f3M5atEVN9Yn7IeORGp0QGvggB62ELw"",""Maestro!A:I""),""SELECT Col7 WHERE Col3 = '""&amp;BE625&amp;""'"", 0), 1, 1),""NO ENCONTRADO"")"),"")</f>
        <v/>
      </c>
      <c r="BJ625" s="16">
        <f t="shared" si="19"/>
        <v>0</v>
      </c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4"/>
      <c r="BX625" s="14"/>
      <c r="BY625" s="14"/>
      <c r="BZ625" s="14"/>
      <c r="CA625" s="14"/>
      <c r="CB625" s="14"/>
      <c r="CC625" s="14"/>
      <c r="CD625" s="14"/>
      <c r="CE625" s="14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</row>
    <row r="626">
      <c r="A626" s="12"/>
      <c r="B626" s="14"/>
      <c r="C626" s="14"/>
      <c r="D626" s="14"/>
      <c r="E626" s="12"/>
      <c r="F626" s="307"/>
      <c r="G626" s="307"/>
      <c r="H626" s="12"/>
      <c r="I626" s="30"/>
      <c r="J626" s="12"/>
      <c r="K626" s="12"/>
      <c r="L626" s="12"/>
      <c r="M626" s="12"/>
      <c r="N626" s="12"/>
      <c r="O626" s="308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4"/>
      <c r="BF626" s="12"/>
      <c r="BG626" s="12"/>
      <c r="BH626" s="12" t="str">
        <f>IFERROR(__xludf.DUMMYFUNCTION("IFERROR(INDEX(QUERY(IMPORTRANGE(""1T7HG8KEs-Ob7f3M5atEVN9Yn7IeORGp0QGvggB62ELw"",""Maestro!A:I""),""SELECT Col8 WHERE Col3 = '""&amp;BE626&amp;""'"", 0), 1, 1),""NO ENCONTRADO"")"),"")</f>
        <v/>
      </c>
      <c r="BI626" s="12" t="str">
        <f>IFERROR(__xludf.DUMMYFUNCTION("IFERROR(INDEX(QUERY(IMPORTRANGE(""1T7HG8KEs-Ob7f3M5atEVN9Yn7IeORGp0QGvggB62ELw"",""Maestro!A:I""),""SELECT Col7 WHERE Col3 = '""&amp;BE626&amp;""'"", 0), 1, 1),""NO ENCONTRADO"")"),"")</f>
        <v/>
      </c>
      <c r="BJ626" s="16">
        <f t="shared" si="19"/>
        <v>0</v>
      </c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4"/>
      <c r="BX626" s="14"/>
      <c r="BY626" s="14"/>
      <c r="BZ626" s="14"/>
      <c r="CA626" s="14"/>
      <c r="CB626" s="14"/>
      <c r="CC626" s="14"/>
      <c r="CD626" s="14"/>
      <c r="CE626" s="14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</row>
    <row r="627">
      <c r="A627" s="12"/>
      <c r="B627" s="14"/>
      <c r="C627" s="14"/>
      <c r="D627" s="14"/>
      <c r="E627" s="12"/>
      <c r="F627" s="307"/>
      <c r="G627" s="307"/>
      <c r="H627" s="12"/>
      <c r="I627" s="30"/>
      <c r="J627" s="12"/>
      <c r="K627" s="12"/>
      <c r="L627" s="12"/>
      <c r="M627" s="12"/>
      <c r="N627" s="12"/>
      <c r="O627" s="308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4"/>
      <c r="BF627" s="12"/>
      <c r="BG627" s="12"/>
      <c r="BH627" s="12" t="str">
        <f>IFERROR(__xludf.DUMMYFUNCTION("IFERROR(INDEX(QUERY(IMPORTRANGE(""1T7HG8KEs-Ob7f3M5atEVN9Yn7IeORGp0QGvggB62ELw"",""Maestro!A:I""),""SELECT Col8 WHERE Col3 = '""&amp;BE627&amp;""'"", 0), 1, 1),""NO ENCONTRADO"")"),"")</f>
        <v/>
      </c>
      <c r="BI627" s="12" t="str">
        <f>IFERROR(__xludf.DUMMYFUNCTION("IFERROR(INDEX(QUERY(IMPORTRANGE(""1T7HG8KEs-Ob7f3M5atEVN9Yn7IeORGp0QGvggB62ELw"",""Maestro!A:I""),""SELECT Col7 WHERE Col3 = '""&amp;BE627&amp;""'"", 0), 1, 1),""NO ENCONTRADO"")"),"")</f>
        <v/>
      </c>
      <c r="BJ627" s="16">
        <f t="shared" si="19"/>
        <v>0</v>
      </c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4"/>
      <c r="BX627" s="14"/>
      <c r="BY627" s="14"/>
      <c r="BZ627" s="14"/>
      <c r="CA627" s="14"/>
      <c r="CB627" s="14"/>
      <c r="CC627" s="14"/>
      <c r="CD627" s="14"/>
      <c r="CE627" s="14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</row>
    <row r="628">
      <c r="A628" s="12"/>
      <c r="B628" s="14"/>
      <c r="C628" s="14"/>
      <c r="D628" s="14"/>
      <c r="E628" s="12"/>
      <c r="F628" s="307"/>
      <c r="G628" s="307"/>
      <c r="H628" s="12"/>
      <c r="I628" s="30"/>
      <c r="J628" s="12"/>
      <c r="K628" s="12"/>
      <c r="L628" s="12"/>
      <c r="M628" s="12"/>
      <c r="N628" s="12"/>
      <c r="O628" s="308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4"/>
      <c r="BF628" s="12"/>
      <c r="BG628" s="12"/>
      <c r="BH628" s="12" t="str">
        <f>IFERROR(__xludf.DUMMYFUNCTION("IFERROR(INDEX(QUERY(IMPORTRANGE(""1T7HG8KEs-Ob7f3M5atEVN9Yn7IeORGp0QGvggB62ELw"",""Maestro!A:I""),""SELECT Col8 WHERE Col3 = '""&amp;BE628&amp;""'"", 0), 1, 1),""NO ENCONTRADO"")"),"")</f>
        <v/>
      </c>
      <c r="BI628" s="12" t="str">
        <f>IFERROR(__xludf.DUMMYFUNCTION("IFERROR(INDEX(QUERY(IMPORTRANGE(""1T7HG8KEs-Ob7f3M5atEVN9Yn7IeORGp0QGvggB62ELw"",""Maestro!A:I""),""SELECT Col7 WHERE Col3 = '""&amp;BE628&amp;""'"", 0), 1, 1),""NO ENCONTRADO"")"),"")</f>
        <v/>
      </c>
      <c r="BJ628" s="16">
        <f t="shared" si="19"/>
        <v>0</v>
      </c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4"/>
      <c r="BX628" s="14"/>
      <c r="BY628" s="14"/>
      <c r="BZ628" s="14"/>
      <c r="CA628" s="14"/>
      <c r="CB628" s="14"/>
      <c r="CC628" s="14"/>
      <c r="CD628" s="14"/>
      <c r="CE628" s="14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</row>
    <row r="629">
      <c r="A629" s="12"/>
      <c r="B629" s="14"/>
      <c r="C629" s="14"/>
      <c r="D629" s="14"/>
      <c r="E629" s="12"/>
      <c r="F629" s="307"/>
      <c r="G629" s="307"/>
      <c r="H629" s="12"/>
      <c r="I629" s="30"/>
      <c r="J629" s="12"/>
      <c r="K629" s="12"/>
      <c r="L629" s="12"/>
      <c r="M629" s="12"/>
      <c r="N629" s="12"/>
      <c r="O629" s="308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4"/>
      <c r="BF629" s="12"/>
      <c r="BG629" s="12"/>
      <c r="BH629" s="12" t="str">
        <f>IFERROR(__xludf.DUMMYFUNCTION("IFERROR(INDEX(QUERY(IMPORTRANGE(""1T7HG8KEs-Ob7f3M5atEVN9Yn7IeORGp0QGvggB62ELw"",""Maestro!A:I""),""SELECT Col8 WHERE Col3 = '""&amp;BE629&amp;""'"", 0), 1, 1),""NO ENCONTRADO"")"),"")</f>
        <v/>
      </c>
      <c r="BI629" s="12" t="str">
        <f>IFERROR(__xludf.DUMMYFUNCTION("IFERROR(INDEX(QUERY(IMPORTRANGE(""1T7HG8KEs-Ob7f3M5atEVN9Yn7IeORGp0QGvggB62ELw"",""Maestro!A:I""),""SELECT Col7 WHERE Col3 = '""&amp;BE629&amp;""'"", 0), 1, 1),""NO ENCONTRADO"")"),"")</f>
        <v/>
      </c>
      <c r="BJ629" s="16">
        <f t="shared" si="19"/>
        <v>0</v>
      </c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4"/>
      <c r="BX629" s="14"/>
      <c r="BY629" s="14"/>
      <c r="BZ629" s="14"/>
      <c r="CA629" s="14"/>
      <c r="CB629" s="14"/>
      <c r="CC629" s="14"/>
      <c r="CD629" s="14"/>
      <c r="CE629" s="14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</row>
    <row r="630">
      <c r="A630" s="12"/>
      <c r="B630" s="14"/>
      <c r="C630" s="14"/>
      <c r="D630" s="14"/>
      <c r="E630" s="12"/>
      <c r="F630" s="307"/>
      <c r="G630" s="307"/>
      <c r="H630" s="12"/>
      <c r="I630" s="30"/>
      <c r="J630" s="12"/>
      <c r="K630" s="12"/>
      <c r="L630" s="12"/>
      <c r="M630" s="12"/>
      <c r="N630" s="12"/>
      <c r="O630" s="308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4"/>
      <c r="BF630" s="12"/>
      <c r="BG630" s="12"/>
      <c r="BH630" s="12" t="str">
        <f>IFERROR(__xludf.DUMMYFUNCTION("IFERROR(INDEX(QUERY(IMPORTRANGE(""1T7HG8KEs-Ob7f3M5atEVN9Yn7IeORGp0QGvggB62ELw"",""Maestro!A:I""),""SELECT Col8 WHERE Col3 = '""&amp;BE630&amp;""'"", 0), 1, 1),""NO ENCONTRADO"")"),"")</f>
        <v/>
      </c>
      <c r="BI630" s="12" t="str">
        <f>IFERROR(__xludf.DUMMYFUNCTION("IFERROR(INDEX(QUERY(IMPORTRANGE(""1T7HG8KEs-Ob7f3M5atEVN9Yn7IeORGp0QGvggB62ELw"",""Maestro!A:I""),""SELECT Col7 WHERE Col3 = '""&amp;BE630&amp;""'"", 0), 1, 1),""NO ENCONTRADO"")"),"")</f>
        <v/>
      </c>
      <c r="BJ630" s="16">
        <f t="shared" si="19"/>
        <v>0</v>
      </c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4"/>
      <c r="BX630" s="14"/>
      <c r="BY630" s="14"/>
      <c r="BZ630" s="14"/>
      <c r="CA630" s="14"/>
      <c r="CB630" s="14"/>
      <c r="CC630" s="14"/>
      <c r="CD630" s="14"/>
      <c r="CE630" s="14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</row>
    <row r="631">
      <c r="A631" s="12"/>
      <c r="B631" s="14"/>
      <c r="C631" s="14"/>
      <c r="D631" s="14"/>
      <c r="E631" s="12"/>
      <c r="F631" s="307"/>
      <c r="G631" s="307"/>
      <c r="H631" s="12"/>
      <c r="I631" s="30"/>
      <c r="J631" s="12"/>
      <c r="K631" s="12"/>
      <c r="L631" s="12"/>
      <c r="M631" s="12"/>
      <c r="N631" s="12"/>
      <c r="O631" s="308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4"/>
      <c r="BF631" s="12"/>
      <c r="BG631" s="12"/>
      <c r="BH631" s="12" t="str">
        <f>IFERROR(__xludf.DUMMYFUNCTION("IFERROR(INDEX(QUERY(IMPORTRANGE(""1T7HG8KEs-Ob7f3M5atEVN9Yn7IeORGp0QGvggB62ELw"",""Maestro!A:I""),""SELECT Col8 WHERE Col3 = '""&amp;BE631&amp;""'"", 0), 1, 1),""NO ENCONTRADO"")"),"")</f>
        <v/>
      </c>
      <c r="BI631" s="12" t="str">
        <f>IFERROR(__xludf.DUMMYFUNCTION("IFERROR(INDEX(QUERY(IMPORTRANGE(""1T7HG8KEs-Ob7f3M5atEVN9Yn7IeORGp0QGvggB62ELw"",""Maestro!A:I""),""SELECT Col7 WHERE Col3 = '""&amp;BE631&amp;""'"", 0), 1, 1),""NO ENCONTRADO"")"),"")</f>
        <v/>
      </c>
      <c r="BJ631" s="16">
        <f t="shared" si="19"/>
        <v>0</v>
      </c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4"/>
      <c r="BX631" s="14"/>
      <c r="BY631" s="14"/>
      <c r="BZ631" s="14"/>
      <c r="CA631" s="14"/>
      <c r="CB631" s="14"/>
      <c r="CC631" s="14"/>
      <c r="CD631" s="14"/>
      <c r="CE631" s="14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</row>
    <row r="632">
      <c r="A632" s="12"/>
      <c r="B632" s="14"/>
      <c r="C632" s="14"/>
      <c r="D632" s="14"/>
      <c r="E632" s="12"/>
      <c r="F632" s="307"/>
      <c r="G632" s="307"/>
      <c r="H632" s="12"/>
      <c r="I632" s="30"/>
      <c r="J632" s="12"/>
      <c r="K632" s="12"/>
      <c r="L632" s="12"/>
      <c r="M632" s="12"/>
      <c r="N632" s="12"/>
      <c r="O632" s="308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4"/>
      <c r="BF632" s="12"/>
      <c r="BG632" s="12"/>
      <c r="BH632" s="12" t="str">
        <f>IFERROR(__xludf.DUMMYFUNCTION("IFERROR(INDEX(QUERY(IMPORTRANGE(""1T7HG8KEs-Ob7f3M5atEVN9Yn7IeORGp0QGvggB62ELw"",""Maestro!A:I""),""SELECT Col8 WHERE Col3 = '""&amp;BE632&amp;""'"", 0), 1, 1),""NO ENCONTRADO"")"),"")</f>
        <v/>
      </c>
      <c r="BI632" s="12" t="str">
        <f>IFERROR(__xludf.DUMMYFUNCTION("IFERROR(INDEX(QUERY(IMPORTRANGE(""1T7HG8KEs-Ob7f3M5atEVN9Yn7IeORGp0QGvggB62ELw"",""Maestro!A:I""),""SELECT Col7 WHERE Col3 = '""&amp;BE632&amp;""'"", 0), 1, 1),""NO ENCONTRADO"")"),"")</f>
        <v/>
      </c>
      <c r="BJ632" s="16">
        <f t="shared" si="19"/>
        <v>0</v>
      </c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4"/>
      <c r="BX632" s="14"/>
      <c r="BY632" s="14"/>
      <c r="BZ632" s="14"/>
      <c r="CA632" s="14"/>
      <c r="CB632" s="14"/>
      <c r="CC632" s="14"/>
      <c r="CD632" s="14"/>
      <c r="CE632" s="14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</row>
    <row r="633">
      <c r="A633" s="12"/>
      <c r="B633" s="14"/>
      <c r="C633" s="14"/>
      <c r="D633" s="14"/>
      <c r="E633" s="12"/>
      <c r="F633" s="307"/>
      <c r="G633" s="307"/>
      <c r="H633" s="12"/>
      <c r="I633" s="30"/>
      <c r="J633" s="12"/>
      <c r="K633" s="12"/>
      <c r="L633" s="12"/>
      <c r="M633" s="12"/>
      <c r="N633" s="12"/>
      <c r="O633" s="308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4"/>
      <c r="BF633" s="12"/>
      <c r="BG633" s="12"/>
      <c r="BH633" s="12" t="str">
        <f>IFERROR(__xludf.DUMMYFUNCTION("IFERROR(INDEX(QUERY(IMPORTRANGE(""1T7HG8KEs-Ob7f3M5atEVN9Yn7IeORGp0QGvggB62ELw"",""Maestro!A:I""),""SELECT Col8 WHERE Col3 = '""&amp;BE633&amp;""'"", 0), 1, 1),""NO ENCONTRADO"")"),"")</f>
        <v/>
      </c>
      <c r="BI633" s="12" t="str">
        <f>IFERROR(__xludf.DUMMYFUNCTION("IFERROR(INDEX(QUERY(IMPORTRANGE(""1T7HG8KEs-Ob7f3M5atEVN9Yn7IeORGp0QGvggB62ELw"",""Maestro!A:I""),""SELECT Col7 WHERE Col3 = '""&amp;BE633&amp;""'"", 0), 1, 1),""NO ENCONTRADO"")"),"")</f>
        <v/>
      </c>
      <c r="BJ633" s="16">
        <f t="shared" si="19"/>
        <v>0</v>
      </c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4"/>
      <c r="BX633" s="14"/>
      <c r="BY633" s="14"/>
      <c r="BZ633" s="14"/>
      <c r="CA633" s="14"/>
      <c r="CB633" s="14"/>
      <c r="CC633" s="14"/>
      <c r="CD633" s="14"/>
      <c r="CE633" s="14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</row>
    <row r="634">
      <c r="A634" s="12"/>
      <c r="B634" s="14"/>
      <c r="C634" s="14"/>
      <c r="D634" s="14"/>
      <c r="E634" s="12"/>
      <c r="F634" s="307"/>
      <c r="G634" s="307"/>
      <c r="H634" s="12"/>
      <c r="I634" s="30"/>
      <c r="J634" s="12"/>
      <c r="K634" s="12"/>
      <c r="L634" s="12"/>
      <c r="M634" s="12"/>
      <c r="N634" s="12"/>
      <c r="O634" s="308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4"/>
      <c r="BF634" s="12"/>
      <c r="BG634" s="12"/>
      <c r="BH634" s="12" t="str">
        <f>IFERROR(__xludf.DUMMYFUNCTION("IFERROR(INDEX(QUERY(IMPORTRANGE(""1T7HG8KEs-Ob7f3M5atEVN9Yn7IeORGp0QGvggB62ELw"",""Maestro!A:I""),""SELECT Col8 WHERE Col3 = '""&amp;BE634&amp;""'"", 0), 1, 1),""NO ENCONTRADO"")"),"")</f>
        <v/>
      </c>
      <c r="BI634" s="12" t="str">
        <f>IFERROR(__xludf.DUMMYFUNCTION("IFERROR(INDEX(QUERY(IMPORTRANGE(""1T7HG8KEs-Ob7f3M5atEVN9Yn7IeORGp0QGvggB62ELw"",""Maestro!A:I""),""SELECT Col7 WHERE Col3 = '""&amp;BE634&amp;""'"", 0), 1, 1),""NO ENCONTRADO"")"),"")</f>
        <v/>
      </c>
      <c r="BJ634" s="16">
        <f t="shared" si="19"/>
        <v>0</v>
      </c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4"/>
      <c r="BX634" s="14"/>
      <c r="BY634" s="14"/>
      <c r="BZ634" s="14"/>
      <c r="CA634" s="14"/>
      <c r="CB634" s="14"/>
      <c r="CC634" s="14"/>
      <c r="CD634" s="14"/>
      <c r="CE634" s="14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</row>
    <row r="635">
      <c r="A635" s="12"/>
      <c r="B635" s="14"/>
      <c r="C635" s="14"/>
      <c r="D635" s="14"/>
      <c r="E635" s="12"/>
      <c r="F635" s="307"/>
      <c r="G635" s="307"/>
      <c r="H635" s="12"/>
      <c r="I635" s="30"/>
      <c r="J635" s="12"/>
      <c r="K635" s="12"/>
      <c r="L635" s="12"/>
      <c r="M635" s="12"/>
      <c r="N635" s="12"/>
      <c r="O635" s="308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4"/>
      <c r="BF635" s="12"/>
      <c r="BG635" s="12"/>
      <c r="BH635" s="12" t="str">
        <f>IFERROR(__xludf.DUMMYFUNCTION("IFERROR(INDEX(QUERY(IMPORTRANGE(""1T7HG8KEs-Ob7f3M5atEVN9Yn7IeORGp0QGvggB62ELw"",""Maestro!A:I""),""SELECT Col8 WHERE Col3 = '""&amp;BE635&amp;""'"", 0), 1, 1),""NO ENCONTRADO"")"),"")</f>
        <v/>
      </c>
      <c r="BI635" s="12" t="str">
        <f>IFERROR(__xludf.DUMMYFUNCTION("IFERROR(INDEX(QUERY(IMPORTRANGE(""1T7HG8KEs-Ob7f3M5atEVN9Yn7IeORGp0QGvggB62ELw"",""Maestro!A:I""),""SELECT Col7 WHERE Col3 = '""&amp;BE635&amp;""'"", 0), 1, 1),""NO ENCONTRADO"")"),"")</f>
        <v/>
      </c>
      <c r="BJ635" s="16">
        <f t="shared" si="19"/>
        <v>0</v>
      </c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4"/>
      <c r="BX635" s="14"/>
      <c r="BY635" s="14"/>
      <c r="BZ635" s="14"/>
      <c r="CA635" s="14"/>
      <c r="CB635" s="14"/>
      <c r="CC635" s="14"/>
      <c r="CD635" s="14"/>
      <c r="CE635" s="14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</row>
    <row r="636">
      <c r="A636" s="12"/>
      <c r="B636" s="14"/>
      <c r="C636" s="14"/>
      <c r="D636" s="14"/>
      <c r="E636" s="12"/>
      <c r="F636" s="307"/>
      <c r="G636" s="307"/>
      <c r="H636" s="12"/>
      <c r="I636" s="30"/>
      <c r="J636" s="12"/>
      <c r="K636" s="12"/>
      <c r="L636" s="12"/>
      <c r="M636" s="12"/>
      <c r="N636" s="12"/>
      <c r="O636" s="308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4"/>
      <c r="BF636" s="12"/>
      <c r="BG636" s="12"/>
      <c r="BH636" s="12" t="str">
        <f>IFERROR(__xludf.DUMMYFUNCTION("IFERROR(INDEX(QUERY(IMPORTRANGE(""1T7HG8KEs-Ob7f3M5atEVN9Yn7IeORGp0QGvggB62ELw"",""Maestro!A:I""),""SELECT Col8 WHERE Col3 = '""&amp;BE636&amp;""'"", 0), 1, 1),""NO ENCONTRADO"")"),"")</f>
        <v/>
      </c>
      <c r="BI636" s="12" t="str">
        <f>IFERROR(__xludf.DUMMYFUNCTION("IFERROR(INDEX(QUERY(IMPORTRANGE(""1T7HG8KEs-Ob7f3M5atEVN9Yn7IeORGp0QGvggB62ELw"",""Maestro!A:I""),""SELECT Col7 WHERE Col3 = '""&amp;BE636&amp;""'"", 0), 1, 1),""NO ENCONTRADO"")"),"")</f>
        <v/>
      </c>
      <c r="BJ636" s="16">
        <f t="shared" si="19"/>
        <v>0</v>
      </c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4"/>
      <c r="BX636" s="14"/>
      <c r="BY636" s="14"/>
      <c r="BZ636" s="14"/>
      <c r="CA636" s="14"/>
      <c r="CB636" s="14"/>
      <c r="CC636" s="14"/>
      <c r="CD636" s="14"/>
      <c r="CE636" s="14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</row>
    <row r="637">
      <c r="A637" s="12"/>
      <c r="B637" s="14"/>
      <c r="C637" s="14"/>
      <c r="D637" s="14"/>
      <c r="E637" s="12"/>
      <c r="F637" s="307"/>
      <c r="G637" s="307"/>
      <c r="H637" s="12"/>
      <c r="I637" s="30"/>
      <c r="J637" s="12"/>
      <c r="K637" s="12"/>
      <c r="L637" s="12"/>
      <c r="M637" s="12"/>
      <c r="N637" s="12"/>
      <c r="O637" s="308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4"/>
      <c r="BF637" s="12"/>
      <c r="BG637" s="12"/>
      <c r="BH637" s="12" t="str">
        <f>IFERROR(__xludf.DUMMYFUNCTION("IFERROR(INDEX(QUERY(IMPORTRANGE(""1T7HG8KEs-Ob7f3M5atEVN9Yn7IeORGp0QGvggB62ELw"",""Maestro!A:I""),""SELECT Col8 WHERE Col3 = '""&amp;BE637&amp;""'"", 0), 1, 1),""NO ENCONTRADO"")"),"")</f>
        <v/>
      </c>
      <c r="BI637" s="12" t="str">
        <f>IFERROR(__xludf.DUMMYFUNCTION("IFERROR(INDEX(QUERY(IMPORTRANGE(""1T7HG8KEs-Ob7f3M5atEVN9Yn7IeORGp0QGvggB62ELw"",""Maestro!A:I""),""SELECT Col7 WHERE Col3 = '""&amp;BE637&amp;""'"", 0), 1, 1),""NO ENCONTRADO"")"),"")</f>
        <v/>
      </c>
      <c r="BJ637" s="16">
        <f t="shared" si="19"/>
        <v>0</v>
      </c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4"/>
      <c r="BX637" s="14"/>
      <c r="BY637" s="14"/>
      <c r="BZ637" s="14"/>
      <c r="CA637" s="14"/>
      <c r="CB637" s="14"/>
      <c r="CC637" s="14"/>
      <c r="CD637" s="14"/>
      <c r="CE637" s="14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</row>
    <row r="638">
      <c r="A638" s="12"/>
      <c r="B638" s="14"/>
      <c r="C638" s="14"/>
      <c r="D638" s="14"/>
      <c r="E638" s="12"/>
      <c r="F638" s="307"/>
      <c r="G638" s="307"/>
      <c r="H638" s="12"/>
      <c r="I638" s="30"/>
      <c r="J638" s="12"/>
      <c r="K638" s="12"/>
      <c r="L638" s="12"/>
      <c r="M638" s="12"/>
      <c r="N638" s="12"/>
      <c r="O638" s="308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4"/>
      <c r="BF638" s="12"/>
      <c r="BG638" s="12"/>
      <c r="BH638" s="12" t="str">
        <f>IFERROR(__xludf.DUMMYFUNCTION("IFERROR(INDEX(QUERY(IMPORTRANGE(""1T7HG8KEs-Ob7f3M5atEVN9Yn7IeORGp0QGvggB62ELw"",""Maestro!A:I""),""SELECT Col8 WHERE Col3 = '""&amp;BE638&amp;""'"", 0), 1, 1),""NO ENCONTRADO"")"),"")</f>
        <v/>
      </c>
      <c r="BI638" s="12" t="str">
        <f>IFERROR(__xludf.DUMMYFUNCTION("IFERROR(INDEX(QUERY(IMPORTRANGE(""1T7HG8KEs-Ob7f3M5atEVN9Yn7IeORGp0QGvggB62ELw"",""Maestro!A:I""),""SELECT Col7 WHERE Col3 = '""&amp;BE638&amp;""'"", 0), 1, 1),""NO ENCONTRADO"")"),"")</f>
        <v/>
      </c>
      <c r="BJ638" s="16">
        <f t="shared" si="19"/>
        <v>0</v>
      </c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4"/>
      <c r="BX638" s="14"/>
      <c r="BY638" s="14"/>
      <c r="BZ638" s="14"/>
      <c r="CA638" s="14"/>
      <c r="CB638" s="14"/>
      <c r="CC638" s="14"/>
      <c r="CD638" s="14"/>
      <c r="CE638" s="14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</row>
    <row r="639">
      <c r="A639" s="12"/>
      <c r="B639" s="14"/>
      <c r="C639" s="14"/>
      <c r="D639" s="14"/>
      <c r="E639" s="12"/>
      <c r="F639" s="307"/>
      <c r="G639" s="307"/>
      <c r="H639" s="12"/>
      <c r="I639" s="30"/>
      <c r="J639" s="12"/>
      <c r="K639" s="12"/>
      <c r="L639" s="12"/>
      <c r="M639" s="12"/>
      <c r="N639" s="12"/>
      <c r="O639" s="308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4"/>
      <c r="BF639" s="12"/>
      <c r="BG639" s="12"/>
      <c r="BH639" s="12" t="str">
        <f>IFERROR(__xludf.DUMMYFUNCTION("IFERROR(INDEX(QUERY(IMPORTRANGE(""1T7HG8KEs-Ob7f3M5atEVN9Yn7IeORGp0QGvggB62ELw"",""Maestro!A:I""),""SELECT Col8 WHERE Col3 = '""&amp;BE639&amp;""'"", 0), 1, 1),""NO ENCONTRADO"")"),"")</f>
        <v/>
      </c>
      <c r="BI639" s="12" t="str">
        <f>IFERROR(__xludf.DUMMYFUNCTION("IFERROR(INDEX(QUERY(IMPORTRANGE(""1T7HG8KEs-Ob7f3M5atEVN9Yn7IeORGp0QGvggB62ELw"",""Maestro!A:I""),""SELECT Col7 WHERE Col3 = '""&amp;BE639&amp;""'"", 0), 1, 1),""NO ENCONTRADO"")"),"")</f>
        <v/>
      </c>
      <c r="BJ639" s="16">
        <f t="shared" si="19"/>
        <v>0</v>
      </c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4"/>
      <c r="BX639" s="14"/>
      <c r="BY639" s="14"/>
      <c r="BZ639" s="14"/>
      <c r="CA639" s="14"/>
      <c r="CB639" s="14"/>
      <c r="CC639" s="14"/>
      <c r="CD639" s="14"/>
      <c r="CE639" s="14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</row>
    <row r="640">
      <c r="A640" s="12"/>
      <c r="B640" s="14"/>
      <c r="C640" s="14"/>
      <c r="D640" s="14"/>
      <c r="E640" s="12"/>
      <c r="F640" s="307"/>
      <c r="G640" s="307"/>
      <c r="H640" s="12"/>
      <c r="I640" s="30"/>
      <c r="J640" s="12"/>
      <c r="K640" s="12"/>
      <c r="L640" s="12"/>
      <c r="M640" s="12"/>
      <c r="N640" s="12"/>
      <c r="O640" s="308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4"/>
      <c r="BF640" s="12"/>
      <c r="BG640" s="12"/>
      <c r="BH640" s="12" t="str">
        <f>IFERROR(__xludf.DUMMYFUNCTION("IFERROR(INDEX(QUERY(IMPORTRANGE(""1T7HG8KEs-Ob7f3M5atEVN9Yn7IeORGp0QGvggB62ELw"",""Maestro!A:I""),""SELECT Col8 WHERE Col3 = '""&amp;BE640&amp;""'"", 0), 1, 1),""NO ENCONTRADO"")"),"")</f>
        <v/>
      </c>
      <c r="BI640" s="12" t="str">
        <f>IFERROR(__xludf.DUMMYFUNCTION("IFERROR(INDEX(QUERY(IMPORTRANGE(""1T7HG8KEs-Ob7f3M5atEVN9Yn7IeORGp0QGvggB62ELw"",""Maestro!A:I""),""SELECT Col7 WHERE Col3 = '""&amp;BE640&amp;""'"", 0), 1, 1),""NO ENCONTRADO"")"),"")</f>
        <v/>
      </c>
      <c r="BJ640" s="16">
        <f t="shared" si="19"/>
        <v>0</v>
      </c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4"/>
      <c r="BX640" s="14"/>
      <c r="BY640" s="14"/>
      <c r="BZ640" s="14"/>
      <c r="CA640" s="14"/>
      <c r="CB640" s="14"/>
      <c r="CC640" s="14"/>
      <c r="CD640" s="14"/>
      <c r="CE640" s="14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</row>
    <row r="641">
      <c r="A641" s="12"/>
      <c r="B641" s="14"/>
      <c r="C641" s="14"/>
      <c r="D641" s="14"/>
      <c r="E641" s="12"/>
      <c r="F641" s="307"/>
      <c r="G641" s="307"/>
      <c r="H641" s="12"/>
      <c r="I641" s="30"/>
      <c r="J641" s="12"/>
      <c r="K641" s="12"/>
      <c r="L641" s="12"/>
      <c r="M641" s="12"/>
      <c r="N641" s="12"/>
      <c r="O641" s="308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4"/>
      <c r="BF641" s="12"/>
      <c r="BG641" s="12"/>
      <c r="BH641" s="12" t="str">
        <f>IFERROR(__xludf.DUMMYFUNCTION("IFERROR(INDEX(QUERY(IMPORTRANGE(""1T7HG8KEs-Ob7f3M5atEVN9Yn7IeORGp0QGvggB62ELw"",""Maestro!A:I""),""SELECT Col8 WHERE Col3 = '""&amp;BE641&amp;""'"", 0), 1, 1),""NO ENCONTRADO"")"),"")</f>
        <v/>
      </c>
      <c r="BI641" s="12" t="str">
        <f>IFERROR(__xludf.DUMMYFUNCTION("IFERROR(INDEX(QUERY(IMPORTRANGE(""1T7HG8KEs-Ob7f3M5atEVN9Yn7IeORGp0QGvggB62ELw"",""Maestro!A:I""),""SELECT Col7 WHERE Col3 = '""&amp;BE641&amp;""'"", 0), 1, 1),""NO ENCONTRADO"")"),"")</f>
        <v/>
      </c>
      <c r="BJ641" s="16">
        <f t="shared" si="19"/>
        <v>0</v>
      </c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4"/>
      <c r="BX641" s="14"/>
      <c r="BY641" s="14"/>
      <c r="BZ641" s="14"/>
      <c r="CA641" s="14"/>
      <c r="CB641" s="14"/>
      <c r="CC641" s="14"/>
      <c r="CD641" s="14"/>
      <c r="CE641" s="14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</row>
    <row r="642">
      <c r="A642" s="12"/>
      <c r="B642" s="14"/>
      <c r="C642" s="14"/>
      <c r="D642" s="14"/>
      <c r="E642" s="12"/>
      <c r="F642" s="307"/>
      <c r="G642" s="307"/>
      <c r="H642" s="12"/>
      <c r="I642" s="30"/>
      <c r="J642" s="12"/>
      <c r="K642" s="12"/>
      <c r="L642" s="12"/>
      <c r="M642" s="12"/>
      <c r="N642" s="12"/>
      <c r="O642" s="308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4"/>
      <c r="BF642" s="12"/>
      <c r="BG642" s="12"/>
      <c r="BH642" s="12" t="str">
        <f>IFERROR(__xludf.DUMMYFUNCTION("IFERROR(INDEX(QUERY(IMPORTRANGE(""1T7HG8KEs-Ob7f3M5atEVN9Yn7IeORGp0QGvggB62ELw"",""Maestro!A:I""),""SELECT Col8 WHERE Col3 = '""&amp;BE642&amp;""'"", 0), 1, 1),""NO ENCONTRADO"")"),"")</f>
        <v/>
      </c>
      <c r="BI642" s="12" t="str">
        <f>IFERROR(__xludf.DUMMYFUNCTION("IFERROR(INDEX(QUERY(IMPORTRANGE(""1T7HG8KEs-Ob7f3M5atEVN9Yn7IeORGp0QGvggB62ELw"",""Maestro!A:I""),""SELECT Col7 WHERE Col3 = '""&amp;BE642&amp;""'"", 0), 1, 1),""NO ENCONTRADO"")"),"")</f>
        <v/>
      </c>
      <c r="BJ642" s="16">
        <f t="shared" si="19"/>
        <v>0</v>
      </c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4"/>
      <c r="BX642" s="14"/>
      <c r="BY642" s="14"/>
      <c r="BZ642" s="14"/>
      <c r="CA642" s="14"/>
      <c r="CB642" s="14"/>
      <c r="CC642" s="14"/>
      <c r="CD642" s="14"/>
      <c r="CE642" s="14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</row>
    <row r="643">
      <c r="A643" s="12"/>
      <c r="B643" s="14"/>
      <c r="C643" s="14"/>
      <c r="D643" s="14"/>
      <c r="E643" s="12"/>
      <c r="F643" s="307"/>
      <c r="G643" s="307"/>
      <c r="H643" s="12"/>
      <c r="I643" s="30"/>
      <c r="J643" s="12"/>
      <c r="K643" s="12"/>
      <c r="L643" s="12"/>
      <c r="M643" s="12"/>
      <c r="N643" s="12"/>
      <c r="O643" s="308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4"/>
      <c r="BF643" s="12"/>
      <c r="BG643" s="12"/>
      <c r="BH643" s="12" t="str">
        <f>IFERROR(__xludf.DUMMYFUNCTION("IFERROR(INDEX(QUERY(IMPORTRANGE(""1T7HG8KEs-Ob7f3M5atEVN9Yn7IeORGp0QGvggB62ELw"",""Maestro!A:I""),""SELECT Col8 WHERE Col3 = '""&amp;BE643&amp;""'"", 0), 1, 1),""NO ENCONTRADO"")"),"")</f>
        <v/>
      </c>
      <c r="BI643" s="12" t="str">
        <f>IFERROR(__xludf.DUMMYFUNCTION("IFERROR(INDEX(QUERY(IMPORTRANGE(""1T7HG8KEs-Ob7f3M5atEVN9Yn7IeORGp0QGvggB62ELw"",""Maestro!A:I""),""SELECT Col7 WHERE Col3 = '""&amp;BE643&amp;""'"", 0), 1, 1),""NO ENCONTRADO"")"),"")</f>
        <v/>
      </c>
      <c r="BJ643" s="16">
        <f t="shared" si="19"/>
        <v>0</v>
      </c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4"/>
      <c r="BX643" s="14"/>
      <c r="BY643" s="14"/>
      <c r="BZ643" s="14"/>
      <c r="CA643" s="14"/>
      <c r="CB643" s="14"/>
      <c r="CC643" s="14"/>
      <c r="CD643" s="14"/>
      <c r="CE643" s="14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</row>
    <row r="644">
      <c r="A644" s="12"/>
      <c r="B644" s="14"/>
      <c r="C644" s="14"/>
      <c r="D644" s="14"/>
      <c r="E644" s="12"/>
      <c r="F644" s="307"/>
      <c r="G644" s="307"/>
      <c r="H644" s="12"/>
      <c r="I644" s="30"/>
      <c r="J644" s="12"/>
      <c r="K644" s="12"/>
      <c r="L644" s="12"/>
      <c r="M644" s="12"/>
      <c r="N644" s="12"/>
      <c r="O644" s="308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4"/>
      <c r="BF644" s="12"/>
      <c r="BG644" s="12"/>
      <c r="BH644" s="12" t="str">
        <f>IFERROR(__xludf.DUMMYFUNCTION("IFERROR(INDEX(QUERY(IMPORTRANGE(""1T7HG8KEs-Ob7f3M5atEVN9Yn7IeORGp0QGvggB62ELw"",""Maestro!A:I""),""SELECT Col8 WHERE Col3 = '""&amp;BE644&amp;""'"", 0), 1, 1),""NO ENCONTRADO"")"),"")</f>
        <v/>
      </c>
      <c r="BI644" s="12" t="str">
        <f>IFERROR(__xludf.DUMMYFUNCTION("IFERROR(INDEX(QUERY(IMPORTRANGE(""1T7HG8KEs-Ob7f3M5atEVN9Yn7IeORGp0QGvggB62ELw"",""Maestro!A:I""),""SELECT Col7 WHERE Col3 = '""&amp;BE644&amp;""'"", 0), 1, 1),""NO ENCONTRADO"")"),"")</f>
        <v/>
      </c>
      <c r="BJ644" s="16">
        <f t="shared" si="19"/>
        <v>0</v>
      </c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4"/>
      <c r="BX644" s="14"/>
      <c r="BY644" s="14"/>
      <c r="BZ644" s="14"/>
      <c r="CA644" s="14"/>
      <c r="CB644" s="14"/>
      <c r="CC644" s="14"/>
      <c r="CD644" s="14"/>
      <c r="CE644" s="14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</row>
    <row r="645">
      <c r="A645" s="12"/>
      <c r="B645" s="14"/>
      <c r="C645" s="14"/>
      <c r="D645" s="14"/>
      <c r="E645" s="12"/>
      <c r="F645" s="307"/>
      <c r="G645" s="307"/>
      <c r="H645" s="12"/>
      <c r="I645" s="30"/>
      <c r="J645" s="12"/>
      <c r="K645" s="12"/>
      <c r="L645" s="12"/>
      <c r="M645" s="12"/>
      <c r="N645" s="12"/>
      <c r="O645" s="308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4"/>
      <c r="BF645" s="12"/>
      <c r="BG645" s="12"/>
      <c r="BH645" s="12" t="str">
        <f>IFERROR(__xludf.DUMMYFUNCTION("IFERROR(INDEX(QUERY(IMPORTRANGE(""1T7HG8KEs-Ob7f3M5atEVN9Yn7IeORGp0QGvggB62ELw"",""Maestro!A:I""),""SELECT Col8 WHERE Col3 = '""&amp;BE645&amp;""'"", 0), 1, 1),""NO ENCONTRADO"")"),"")</f>
        <v/>
      </c>
      <c r="BI645" s="12" t="str">
        <f>IFERROR(__xludf.DUMMYFUNCTION("IFERROR(INDEX(QUERY(IMPORTRANGE(""1T7HG8KEs-Ob7f3M5atEVN9Yn7IeORGp0QGvggB62ELw"",""Maestro!A:I""),""SELECT Col7 WHERE Col3 = '""&amp;BE645&amp;""'"", 0), 1, 1),""NO ENCONTRADO"")"),"")</f>
        <v/>
      </c>
      <c r="BJ645" s="16">
        <f t="shared" si="19"/>
        <v>0</v>
      </c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4"/>
      <c r="BX645" s="14"/>
      <c r="BY645" s="14"/>
      <c r="BZ645" s="14"/>
      <c r="CA645" s="14"/>
      <c r="CB645" s="14"/>
      <c r="CC645" s="14"/>
      <c r="CD645" s="14"/>
      <c r="CE645" s="14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</row>
    <row r="646">
      <c r="A646" s="12"/>
      <c r="B646" s="14"/>
      <c r="C646" s="14"/>
      <c r="D646" s="14"/>
      <c r="E646" s="12"/>
      <c r="F646" s="307"/>
      <c r="G646" s="307"/>
      <c r="H646" s="12"/>
      <c r="I646" s="30"/>
      <c r="J646" s="12"/>
      <c r="K646" s="12"/>
      <c r="L646" s="12"/>
      <c r="M646" s="12"/>
      <c r="N646" s="12"/>
      <c r="O646" s="308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4"/>
      <c r="BF646" s="12"/>
      <c r="BG646" s="12"/>
      <c r="BH646" s="12" t="str">
        <f>IFERROR(__xludf.DUMMYFUNCTION("IFERROR(INDEX(QUERY(IMPORTRANGE(""1T7HG8KEs-Ob7f3M5atEVN9Yn7IeORGp0QGvggB62ELw"",""Maestro!A:I""),""SELECT Col8 WHERE Col3 = '""&amp;BE646&amp;""'"", 0), 1, 1),""NO ENCONTRADO"")"),"")</f>
        <v/>
      </c>
      <c r="BI646" s="12" t="str">
        <f>IFERROR(__xludf.DUMMYFUNCTION("IFERROR(INDEX(QUERY(IMPORTRANGE(""1T7HG8KEs-Ob7f3M5atEVN9Yn7IeORGp0QGvggB62ELw"",""Maestro!A:I""),""SELECT Col7 WHERE Col3 = '""&amp;BE646&amp;""'"", 0), 1, 1),""NO ENCONTRADO"")"),"")</f>
        <v/>
      </c>
      <c r="BJ646" s="16">
        <f t="shared" si="19"/>
        <v>0</v>
      </c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4"/>
      <c r="BX646" s="14"/>
      <c r="BY646" s="14"/>
      <c r="BZ646" s="14"/>
      <c r="CA646" s="14"/>
      <c r="CB646" s="14"/>
      <c r="CC646" s="14"/>
      <c r="CD646" s="14"/>
      <c r="CE646" s="14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</row>
    <row r="647">
      <c r="A647" s="12"/>
      <c r="B647" s="14"/>
      <c r="C647" s="14"/>
      <c r="D647" s="14"/>
      <c r="E647" s="12"/>
      <c r="F647" s="307"/>
      <c r="G647" s="307"/>
      <c r="H647" s="12"/>
      <c r="I647" s="30"/>
      <c r="J647" s="12"/>
      <c r="K647" s="12"/>
      <c r="L647" s="12"/>
      <c r="M647" s="12"/>
      <c r="N647" s="12"/>
      <c r="O647" s="308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4"/>
      <c r="BF647" s="12"/>
      <c r="BG647" s="12"/>
      <c r="BH647" s="12" t="str">
        <f>IFERROR(__xludf.DUMMYFUNCTION("IFERROR(INDEX(QUERY(IMPORTRANGE(""1T7HG8KEs-Ob7f3M5atEVN9Yn7IeORGp0QGvggB62ELw"",""Maestro!A:I""),""SELECT Col8 WHERE Col3 = '""&amp;BE647&amp;""'"", 0), 1, 1),""NO ENCONTRADO"")"),"")</f>
        <v/>
      </c>
      <c r="BI647" s="12" t="str">
        <f>IFERROR(__xludf.DUMMYFUNCTION("IFERROR(INDEX(QUERY(IMPORTRANGE(""1T7HG8KEs-Ob7f3M5atEVN9Yn7IeORGp0QGvggB62ELw"",""Maestro!A:I""),""SELECT Col7 WHERE Col3 = '""&amp;BE647&amp;""'"", 0), 1, 1),""NO ENCONTRADO"")"),"")</f>
        <v/>
      </c>
      <c r="BJ647" s="16">
        <f t="shared" si="19"/>
        <v>0</v>
      </c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4"/>
      <c r="BX647" s="14"/>
      <c r="BY647" s="14"/>
      <c r="BZ647" s="14"/>
      <c r="CA647" s="14"/>
      <c r="CB647" s="14"/>
      <c r="CC647" s="14"/>
      <c r="CD647" s="14"/>
      <c r="CE647" s="14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</row>
    <row r="648">
      <c r="A648" s="12"/>
      <c r="B648" s="14"/>
      <c r="C648" s="14"/>
      <c r="D648" s="14"/>
      <c r="E648" s="12"/>
      <c r="F648" s="307"/>
      <c r="G648" s="307"/>
      <c r="H648" s="12"/>
      <c r="I648" s="30"/>
      <c r="J648" s="12"/>
      <c r="K648" s="12"/>
      <c r="L648" s="12"/>
      <c r="M648" s="12"/>
      <c r="N648" s="12"/>
      <c r="O648" s="308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4"/>
      <c r="BF648" s="12"/>
      <c r="BG648" s="12"/>
      <c r="BH648" s="12" t="str">
        <f>IFERROR(__xludf.DUMMYFUNCTION("IFERROR(INDEX(QUERY(IMPORTRANGE(""1T7HG8KEs-Ob7f3M5atEVN9Yn7IeORGp0QGvggB62ELw"",""Maestro!A:I""),""SELECT Col8 WHERE Col3 = '""&amp;BE648&amp;""'"", 0), 1, 1),""NO ENCONTRADO"")"),"")</f>
        <v/>
      </c>
      <c r="BI648" s="12" t="str">
        <f>IFERROR(__xludf.DUMMYFUNCTION("IFERROR(INDEX(QUERY(IMPORTRANGE(""1T7HG8KEs-Ob7f3M5atEVN9Yn7IeORGp0QGvggB62ELw"",""Maestro!A:I""),""SELECT Col7 WHERE Col3 = '""&amp;BE648&amp;""'"", 0), 1, 1),""NO ENCONTRADO"")"),"")</f>
        <v/>
      </c>
      <c r="BJ648" s="16">
        <f t="shared" si="19"/>
        <v>0</v>
      </c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4"/>
      <c r="BX648" s="14"/>
      <c r="BY648" s="14"/>
      <c r="BZ648" s="14"/>
      <c r="CA648" s="14"/>
      <c r="CB648" s="14"/>
      <c r="CC648" s="14"/>
      <c r="CD648" s="14"/>
      <c r="CE648" s="14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</row>
    <row r="649">
      <c r="A649" s="12"/>
      <c r="B649" s="14"/>
      <c r="C649" s="14"/>
      <c r="D649" s="14"/>
      <c r="E649" s="12"/>
      <c r="F649" s="307"/>
      <c r="G649" s="307"/>
      <c r="H649" s="12"/>
      <c r="I649" s="30"/>
      <c r="J649" s="12"/>
      <c r="K649" s="12"/>
      <c r="L649" s="12"/>
      <c r="M649" s="12"/>
      <c r="N649" s="12"/>
      <c r="O649" s="308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4"/>
      <c r="BF649" s="12"/>
      <c r="BG649" s="12"/>
      <c r="BH649" s="12" t="str">
        <f>IFERROR(__xludf.DUMMYFUNCTION("IFERROR(INDEX(QUERY(IMPORTRANGE(""1T7HG8KEs-Ob7f3M5atEVN9Yn7IeORGp0QGvggB62ELw"",""Maestro!A:I""),""SELECT Col8 WHERE Col3 = '""&amp;BE649&amp;""'"", 0), 1, 1),""NO ENCONTRADO"")"),"")</f>
        <v/>
      </c>
      <c r="BI649" s="12" t="str">
        <f>IFERROR(__xludf.DUMMYFUNCTION("IFERROR(INDEX(QUERY(IMPORTRANGE(""1T7HG8KEs-Ob7f3M5atEVN9Yn7IeORGp0QGvggB62ELw"",""Maestro!A:I""),""SELECT Col7 WHERE Col3 = '""&amp;BE649&amp;""'"", 0), 1, 1),""NO ENCONTRADO"")"),"")</f>
        <v/>
      </c>
      <c r="BJ649" s="16">
        <f t="shared" si="19"/>
        <v>0</v>
      </c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4"/>
      <c r="BX649" s="14"/>
      <c r="BY649" s="14"/>
      <c r="BZ649" s="14"/>
      <c r="CA649" s="14"/>
      <c r="CB649" s="14"/>
      <c r="CC649" s="14"/>
      <c r="CD649" s="14"/>
      <c r="CE649" s="14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</row>
    <row r="650">
      <c r="A650" s="12"/>
      <c r="B650" s="14"/>
      <c r="C650" s="14"/>
      <c r="D650" s="14"/>
      <c r="E650" s="12"/>
      <c r="F650" s="307"/>
      <c r="G650" s="307"/>
      <c r="H650" s="12"/>
      <c r="I650" s="30"/>
      <c r="J650" s="12"/>
      <c r="K650" s="12"/>
      <c r="L650" s="12"/>
      <c r="M650" s="12"/>
      <c r="N650" s="12"/>
      <c r="O650" s="308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4"/>
      <c r="BF650" s="12"/>
      <c r="BG650" s="12"/>
      <c r="BH650" s="12" t="str">
        <f>IFERROR(__xludf.DUMMYFUNCTION("IFERROR(INDEX(QUERY(IMPORTRANGE(""1T7HG8KEs-Ob7f3M5atEVN9Yn7IeORGp0QGvggB62ELw"",""Maestro!A:I""),""SELECT Col8 WHERE Col3 = '""&amp;BE650&amp;""'"", 0), 1, 1),""NO ENCONTRADO"")"),"")</f>
        <v/>
      </c>
      <c r="BI650" s="12" t="str">
        <f>IFERROR(__xludf.DUMMYFUNCTION("IFERROR(INDEX(QUERY(IMPORTRANGE(""1T7HG8KEs-Ob7f3M5atEVN9Yn7IeORGp0QGvggB62ELw"",""Maestro!A:I""),""SELECT Col7 WHERE Col3 = '""&amp;BE650&amp;""'"", 0), 1, 1),""NO ENCONTRADO"")"),"")</f>
        <v/>
      </c>
      <c r="BJ650" s="16">
        <f t="shared" si="19"/>
        <v>0</v>
      </c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4"/>
      <c r="BX650" s="14"/>
      <c r="BY650" s="14"/>
      <c r="BZ650" s="14"/>
      <c r="CA650" s="14"/>
      <c r="CB650" s="14"/>
      <c r="CC650" s="14"/>
      <c r="CD650" s="14"/>
      <c r="CE650" s="14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</row>
    <row r="651">
      <c r="A651" s="12"/>
      <c r="B651" s="14"/>
      <c r="C651" s="14"/>
      <c r="D651" s="14"/>
      <c r="E651" s="12"/>
      <c r="F651" s="307"/>
      <c r="G651" s="307"/>
      <c r="H651" s="12"/>
      <c r="I651" s="30"/>
      <c r="J651" s="12"/>
      <c r="K651" s="12"/>
      <c r="L651" s="12"/>
      <c r="M651" s="12"/>
      <c r="N651" s="12"/>
      <c r="O651" s="308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4"/>
      <c r="BF651" s="12"/>
      <c r="BG651" s="12"/>
      <c r="BH651" s="12" t="str">
        <f>IFERROR(__xludf.DUMMYFUNCTION("IFERROR(INDEX(QUERY(IMPORTRANGE(""1T7HG8KEs-Ob7f3M5atEVN9Yn7IeORGp0QGvggB62ELw"",""Maestro!A:I""),""SELECT Col8 WHERE Col3 = '""&amp;BE651&amp;""'"", 0), 1, 1),""NO ENCONTRADO"")"),"")</f>
        <v/>
      </c>
      <c r="BI651" s="12" t="str">
        <f>IFERROR(__xludf.DUMMYFUNCTION("IFERROR(INDEX(QUERY(IMPORTRANGE(""1T7HG8KEs-Ob7f3M5atEVN9Yn7IeORGp0QGvggB62ELw"",""Maestro!A:I""),""SELECT Col7 WHERE Col3 = '""&amp;BE651&amp;""'"", 0), 1, 1),""NO ENCONTRADO"")"),"")</f>
        <v/>
      </c>
      <c r="BJ651" s="16">
        <f t="shared" si="19"/>
        <v>0</v>
      </c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4"/>
      <c r="BX651" s="14"/>
      <c r="BY651" s="14"/>
      <c r="BZ651" s="14"/>
      <c r="CA651" s="14"/>
      <c r="CB651" s="14"/>
      <c r="CC651" s="14"/>
      <c r="CD651" s="14"/>
      <c r="CE651" s="14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</row>
    <row r="652">
      <c r="A652" s="12"/>
      <c r="B652" s="14"/>
      <c r="C652" s="14"/>
      <c r="D652" s="14"/>
      <c r="E652" s="12"/>
      <c r="F652" s="307"/>
      <c r="G652" s="307"/>
      <c r="H652" s="12"/>
      <c r="I652" s="30"/>
      <c r="J652" s="12"/>
      <c r="K652" s="12"/>
      <c r="L652" s="12"/>
      <c r="M652" s="12"/>
      <c r="N652" s="12"/>
      <c r="O652" s="308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4"/>
      <c r="BF652" s="12"/>
      <c r="BG652" s="12"/>
      <c r="BH652" s="12" t="str">
        <f>IFERROR(__xludf.DUMMYFUNCTION("IFERROR(INDEX(QUERY(IMPORTRANGE(""1T7HG8KEs-Ob7f3M5atEVN9Yn7IeORGp0QGvggB62ELw"",""Maestro!A:I""),""SELECT Col8 WHERE Col3 = '""&amp;BE652&amp;""'"", 0), 1, 1),""NO ENCONTRADO"")"),"")</f>
        <v/>
      </c>
      <c r="BI652" s="12" t="str">
        <f>IFERROR(__xludf.DUMMYFUNCTION("IFERROR(INDEX(QUERY(IMPORTRANGE(""1T7HG8KEs-Ob7f3M5atEVN9Yn7IeORGp0QGvggB62ELw"",""Maestro!A:I""),""SELECT Col7 WHERE Col3 = '""&amp;BE652&amp;""'"", 0), 1, 1),""NO ENCONTRADO"")"),"")</f>
        <v/>
      </c>
      <c r="BJ652" s="16">
        <f t="shared" si="19"/>
        <v>0</v>
      </c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4"/>
      <c r="BX652" s="14"/>
      <c r="BY652" s="14"/>
      <c r="BZ652" s="14"/>
      <c r="CA652" s="14"/>
      <c r="CB652" s="14"/>
      <c r="CC652" s="14"/>
      <c r="CD652" s="14"/>
      <c r="CE652" s="14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</row>
    <row r="653">
      <c r="A653" s="12"/>
      <c r="B653" s="14"/>
      <c r="C653" s="14"/>
      <c r="D653" s="14"/>
      <c r="E653" s="12"/>
      <c r="F653" s="307"/>
      <c r="G653" s="307"/>
      <c r="H653" s="12"/>
      <c r="I653" s="30"/>
      <c r="J653" s="12"/>
      <c r="K653" s="12"/>
      <c r="L653" s="12"/>
      <c r="M653" s="12"/>
      <c r="N653" s="12"/>
      <c r="O653" s="308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4"/>
      <c r="BF653" s="12"/>
      <c r="BG653" s="12"/>
      <c r="BH653" s="12" t="str">
        <f>IFERROR(__xludf.DUMMYFUNCTION("IFERROR(INDEX(QUERY(IMPORTRANGE(""1T7HG8KEs-Ob7f3M5atEVN9Yn7IeORGp0QGvggB62ELw"",""Maestro!A:I""),""SELECT Col8 WHERE Col3 = '""&amp;BE653&amp;""'"", 0), 1, 1),""NO ENCONTRADO"")"),"")</f>
        <v/>
      </c>
      <c r="BI653" s="12" t="str">
        <f>IFERROR(__xludf.DUMMYFUNCTION("IFERROR(INDEX(QUERY(IMPORTRANGE(""1T7HG8KEs-Ob7f3M5atEVN9Yn7IeORGp0QGvggB62ELw"",""Maestro!A:I""),""SELECT Col7 WHERE Col3 = '""&amp;BE653&amp;""'"", 0), 1, 1),""NO ENCONTRADO"")"),"")</f>
        <v/>
      </c>
      <c r="BJ653" s="16">
        <f t="shared" si="19"/>
        <v>0</v>
      </c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4"/>
      <c r="BX653" s="14"/>
      <c r="BY653" s="14"/>
      <c r="BZ653" s="14"/>
      <c r="CA653" s="14"/>
      <c r="CB653" s="14"/>
      <c r="CC653" s="14"/>
      <c r="CD653" s="14"/>
      <c r="CE653" s="14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</row>
    <row r="654">
      <c r="A654" s="12"/>
      <c r="B654" s="14"/>
      <c r="C654" s="14"/>
      <c r="D654" s="14"/>
      <c r="E654" s="12"/>
      <c r="F654" s="307"/>
      <c r="G654" s="307"/>
      <c r="H654" s="12"/>
      <c r="I654" s="30"/>
      <c r="J654" s="12"/>
      <c r="K654" s="12"/>
      <c r="L654" s="12"/>
      <c r="M654" s="12"/>
      <c r="N654" s="12"/>
      <c r="O654" s="308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4"/>
      <c r="BF654" s="12"/>
      <c r="BG654" s="12"/>
      <c r="BH654" s="12" t="str">
        <f>IFERROR(__xludf.DUMMYFUNCTION("IFERROR(INDEX(QUERY(IMPORTRANGE(""1T7HG8KEs-Ob7f3M5atEVN9Yn7IeORGp0QGvggB62ELw"",""Maestro!A:I""),""SELECT Col8 WHERE Col3 = '""&amp;BE654&amp;""'"", 0), 1, 1),""NO ENCONTRADO"")"),"")</f>
        <v/>
      </c>
      <c r="BI654" s="12" t="str">
        <f>IFERROR(__xludf.DUMMYFUNCTION("IFERROR(INDEX(QUERY(IMPORTRANGE(""1T7HG8KEs-Ob7f3M5atEVN9Yn7IeORGp0QGvggB62ELw"",""Maestro!A:I""),""SELECT Col7 WHERE Col3 = '""&amp;BE654&amp;""'"", 0), 1, 1),""NO ENCONTRADO"")"),"")</f>
        <v/>
      </c>
      <c r="BJ654" s="16">
        <f t="shared" si="19"/>
        <v>0</v>
      </c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4"/>
      <c r="BX654" s="14"/>
      <c r="BY654" s="14"/>
      <c r="BZ654" s="14"/>
      <c r="CA654" s="14"/>
      <c r="CB654" s="14"/>
      <c r="CC654" s="14"/>
      <c r="CD654" s="14"/>
      <c r="CE654" s="14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</row>
    <row r="655">
      <c r="A655" s="12"/>
      <c r="B655" s="14"/>
      <c r="C655" s="14"/>
      <c r="D655" s="14"/>
      <c r="E655" s="12"/>
      <c r="F655" s="307"/>
      <c r="G655" s="307"/>
      <c r="H655" s="12"/>
      <c r="I655" s="30"/>
      <c r="J655" s="12"/>
      <c r="K655" s="12"/>
      <c r="L655" s="12"/>
      <c r="M655" s="12"/>
      <c r="N655" s="12"/>
      <c r="O655" s="308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4"/>
      <c r="BF655" s="12"/>
      <c r="BG655" s="12"/>
      <c r="BH655" s="12" t="str">
        <f>IFERROR(__xludf.DUMMYFUNCTION("IFERROR(INDEX(QUERY(IMPORTRANGE(""1T7HG8KEs-Ob7f3M5atEVN9Yn7IeORGp0QGvggB62ELw"",""Maestro!A:I""),""SELECT Col8 WHERE Col3 = '""&amp;BE655&amp;""'"", 0), 1, 1),""NO ENCONTRADO"")"),"")</f>
        <v/>
      </c>
      <c r="BI655" s="12" t="str">
        <f>IFERROR(__xludf.DUMMYFUNCTION("IFERROR(INDEX(QUERY(IMPORTRANGE(""1T7HG8KEs-Ob7f3M5atEVN9Yn7IeORGp0QGvggB62ELw"",""Maestro!A:I""),""SELECT Col7 WHERE Col3 = '""&amp;BE655&amp;""'"", 0), 1, 1),""NO ENCONTRADO"")"),"")</f>
        <v/>
      </c>
      <c r="BJ655" s="16">
        <f t="shared" si="19"/>
        <v>0</v>
      </c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4"/>
      <c r="BX655" s="14"/>
      <c r="BY655" s="14"/>
      <c r="BZ655" s="14"/>
      <c r="CA655" s="14"/>
      <c r="CB655" s="14"/>
      <c r="CC655" s="14"/>
      <c r="CD655" s="14"/>
      <c r="CE655" s="14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</row>
    <row r="656">
      <c r="A656" s="12"/>
      <c r="B656" s="14"/>
      <c r="C656" s="14"/>
      <c r="D656" s="14"/>
      <c r="E656" s="12"/>
      <c r="F656" s="307"/>
      <c r="G656" s="307"/>
      <c r="H656" s="12"/>
      <c r="I656" s="30"/>
      <c r="J656" s="12"/>
      <c r="K656" s="12"/>
      <c r="L656" s="12"/>
      <c r="M656" s="12"/>
      <c r="N656" s="12"/>
      <c r="O656" s="308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4"/>
      <c r="BF656" s="12"/>
      <c r="BG656" s="12"/>
      <c r="BH656" s="12" t="str">
        <f>IFERROR(__xludf.DUMMYFUNCTION("IFERROR(INDEX(QUERY(IMPORTRANGE(""1T7HG8KEs-Ob7f3M5atEVN9Yn7IeORGp0QGvggB62ELw"",""Maestro!A:I""),""SELECT Col8 WHERE Col3 = '""&amp;BE656&amp;""'"", 0), 1, 1),""NO ENCONTRADO"")"),"")</f>
        <v/>
      </c>
      <c r="BI656" s="12" t="str">
        <f>IFERROR(__xludf.DUMMYFUNCTION("IFERROR(INDEX(QUERY(IMPORTRANGE(""1T7HG8KEs-Ob7f3M5atEVN9Yn7IeORGp0QGvggB62ELw"",""Maestro!A:I""),""SELECT Col7 WHERE Col3 = '""&amp;BE656&amp;""'"", 0), 1, 1),""NO ENCONTRADO"")"),"")</f>
        <v/>
      </c>
      <c r="BJ656" s="16">
        <f t="shared" si="19"/>
        <v>0</v>
      </c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4"/>
      <c r="BX656" s="14"/>
      <c r="BY656" s="14"/>
      <c r="BZ656" s="14"/>
      <c r="CA656" s="14"/>
      <c r="CB656" s="14"/>
      <c r="CC656" s="14"/>
      <c r="CD656" s="14"/>
      <c r="CE656" s="14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</row>
    <row r="657">
      <c r="A657" s="12"/>
      <c r="B657" s="14"/>
      <c r="C657" s="14"/>
      <c r="D657" s="14"/>
      <c r="E657" s="12"/>
      <c r="F657" s="307"/>
      <c r="G657" s="307"/>
      <c r="H657" s="12"/>
      <c r="I657" s="30"/>
      <c r="J657" s="12"/>
      <c r="K657" s="12"/>
      <c r="L657" s="12"/>
      <c r="M657" s="12"/>
      <c r="N657" s="12"/>
      <c r="O657" s="308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4"/>
      <c r="BF657" s="12"/>
      <c r="BG657" s="12"/>
      <c r="BH657" s="12" t="str">
        <f>IFERROR(__xludf.DUMMYFUNCTION("IFERROR(INDEX(QUERY(IMPORTRANGE(""1T7HG8KEs-Ob7f3M5atEVN9Yn7IeORGp0QGvggB62ELw"",""Maestro!A:I""),""SELECT Col8 WHERE Col3 = '""&amp;BE657&amp;""'"", 0), 1, 1),""NO ENCONTRADO"")"),"")</f>
        <v/>
      </c>
      <c r="BI657" s="12" t="str">
        <f>IFERROR(__xludf.DUMMYFUNCTION("IFERROR(INDEX(QUERY(IMPORTRANGE(""1T7HG8KEs-Ob7f3M5atEVN9Yn7IeORGp0QGvggB62ELw"",""Maestro!A:I""),""SELECT Col7 WHERE Col3 = '""&amp;BE657&amp;""'"", 0), 1, 1),""NO ENCONTRADO"")"),"")</f>
        <v/>
      </c>
      <c r="BJ657" s="16">
        <f t="shared" si="19"/>
        <v>0</v>
      </c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4"/>
      <c r="BX657" s="14"/>
      <c r="BY657" s="14"/>
      <c r="BZ657" s="14"/>
      <c r="CA657" s="14"/>
      <c r="CB657" s="14"/>
      <c r="CC657" s="14"/>
      <c r="CD657" s="14"/>
      <c r="CE657" s="14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</row>
    <row r="658">
      <c r="A658" s="12"/>
      <c r="B658" s="14"/>
      <c r="C658" s="14"/>
      <c r="D658" s="14"/>
      <c r="E658" s="12"/>
      <c r="F658" s="307"/>
      <c r="G658" s="307"/>
      <c r="H658" s="12"/>
      <c r="I658" s="30"/>
      <c r="J658" s="12"/>
      <c r="K658" s="12"/>
      <c r="L658" s="12"/>
      <c r="M658" s="12"/>
      <c r="N658" s="12"/>
      <c r="O658" s="308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4"/>
      <c r="BF658" s="12"/>
      <c r="BG658" s="12"/>
      <c r="BH658" s="12" t="str">
        <f>IFERROR(__xludf.DUMMYFUNCTION("IFERROR(INDEX(QUERY(IMPORTRANGE(""1T7HG8KEs-Ob7f3M5atEVN9Yn7IeORGp0QGvggB62ELw"",""Maestro!A:I""),""SELECT Col8 WHERE Col3 = '""&amp;BE658&amp;""'"", 0), 1, 1),""NO ENCONTRADO"")"),"")</f>
        <v/>
      </c>
      <c r="BI658" s="12" t="str">
        <f>IFERROR(__xludf.DUMMYFUNCTION("IFERROR(INDEX(QUERY(IMPORTRANGE(""1T7HG8KEs-Ob7f3M5atEVN9Yn7IeORGp0QGvggB62ELw"",""Maestro!A:I""),""SELECT Col7 WHERE Col3 = '""&amp;BE658&amp;""'"", 0), 1, 1),""NO ENCONTRADO"")"),"")</f>
        <v/>
      </c>
      <c r="BJ658" s="16">
        <f t="shared" si="19"/>
        <v>0</v>
      </c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4"/>
      <c r="BX658" s="14"/>
      <c r="BY658" s="14"/>
      <c r="BZ658" s="14"/>
      <c r="CA658" s="14"/>
      <c r="CB658" s="14"/>
      <c r="CC658" s="14"/>
      <c r="CD658" s="14"/>
      <c r="CE658" s="14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</row>
    <row r="659">
      <c r="A659" s="12"/>
      <c r="B659" s="14"/>
      <c r="C659" s="14"/>
      <c r="D659" s="14"/>
      <c r="E659" s="12"/>
      <c r="F659" s="307"/>
      <c r="G659" s="307"/>
      <c r="H659" s="12"/>
      <c r="I659" s="30"/>
      <c r="J659" s="12"/>
      <c r="K659" s="12"/>
      <c r="L659" s="12"/>
      <c r="M659" s="12"/>
      <c r="N659" s="12"/>
      <c r="O659" s="308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4"/>
      <c r="BF659" s="12"/>
      <c r="BG659" s="12"/>
      <c r="BH659" s="12" t="str">
        <f>IFERROR(__xludf.DUMMYFUNCTION("IFERROR(INDEX(QUERY(IMPORTRANGE(""1T7HG8KEs-Ob7f3M5atEVN9Yn7IeORGp0QGvggB62ELw"",""Maestro!A:I""),""SELECT Col8 WHERE Col3 = '""&amp;BE659&amp;""'"", 0), 1, 1),""NO ENCONTRADO"")"),"")</f>
        <v/>
      </c>
      <c r="BI659" s="12" t="str">
        <f>IFERROR(__xludf.DUMMYFUNCTION("IFERROR(INDEX(QUERY(IMPORTRANGE(""1T7HG8KEs-Ob7f3M5atEVN9Yn7IeORGp0QGvggB62ELw"",""Maestro!A:I""),""SELECT Col7 WHERE Col3 = '""&amp;BE659&amp;""'"", 0), 1, 1),""NO ENCONTRADO"")"),"")</f>
        <v/>
      </c>
      <c r="BJ659" s="16">
        <f t="shared" si="19"/>
        <v>0</v>
      </c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4"/>
      <c r="BX659" s="14"/>
      <c r="BY659" s="14"/>
      <c r="BZ659" s="14"/>
      <c r="CA659" s="14"/>
      <c r="CB659" s="14"/>
      <c r="CC659" s="14"/>
      <c r="CD659" s="14"/>
      <c r="CE659" s="14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</row>
    <row r="660">
      <c r="A660" s="12"/>
      <c r="B660" s="14"/>
      <c r="C660" s="14"/>
      <c r="D660" s="14"/>
      <c r="E660" s="12"/>
      <c r="F660" s="307"/>
      <c r="G660" s="307"/>
      <c r="H660" s="12"/>
      <c r="I660" s="30"/>
      <c r="J660" s="12"/>
      <c r="K660" s="12"/>
      <c r="L660" s="12"/>
      <c r="M660" s="12"/>
      <c r="N660" s="12"/>
      <c r="O660" s="308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4"/>
      <c r="BF660" s="12"/>
      <c r="BG660" s="12"/>
      <c r="BH660" s="12" t="str">
        <f>IFERROR(__xludf.DUMMYFUNCTION("IFERROR(INDEX(QUERY(IMPORTRANGE(""1T7HG8KEs-Ob7f3M5atEVN9Yn7IeORGp0QGvggB62ELw"",""Maestro!A:I""),""SELECT Col8 WHERE Col3 = '""&amp;BE660&amp;""'"", 0), 1, 1),""NO ENCONTRADO"")"),"")</f>
        <v/>
      </c>
      <c r="BI660" s="12" t="str">
        <f>IFERROR(__xludf.DUMMYFUNCTION("IFERROR(INDEX(QUERY(IMPORTRANGE(""1T7HG8KEs-Ob7f3M5atEVN9Yn7IeORGp0QGvggB62ELw"",""Maestro!A:I""),""SELECT Col7 WHERE Col3 = '""&amp;BE660&amp;""'"", 0), 1, 1),""NO ENCONTRADO"")"),"")</f>
        <v/>
      </c>
      <c r="BJ660" s="16">
        <f t="shared" si="19"/>
        <v>0</v>
      </c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4"/>
      <c r="BX660" s="14"/>
      <c r="BY660" s="14"/>
      <c r="BZ660" s="14"/>
      <c r="CA660" s="14"/>
      <c r="CB660" s="14"/>
      <c r="CC660" s="14"/>
      <c r="CD660" s="14"/>
      <c r="CE660" s="14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</row>
    <row r="661">
      <c r="A661" s="12"/>
      <c r="B661" s="14"/>
      <c r="C661" s="14"/>
      <c r="D661" s="14"/>
      <c r="E661" s="12"/>
      <c r="F661" s="307"/>
      <c r="G661" s="307"/>
      <c r="H661" s="12"/>
      <c r="I661" s="30"/>
      <c r="J661" s="12"/>
      <c r="K661" s="12"/>
      <c r="L661" s="12"/>
      <c r="M661" s="12"/>
      <c r="N661" s="12"/>
      <c r="O661" s="308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4"/>
      <c r="BF661" s="12"/>
      <c r="BG661" s="12"/>
      <c r="BH661" s="12" t="str">
        <f>IFERROR(__xludf.DUMMYFUNCTION("IFERROR(INDEX(QUERY(IMPORTRANGE(""1T7HG8KEs-Ob7f3M5atEVN9Yn7IeORGp0QGvggB62ELw"",""Maestro!A:I""),""SELECT Col8 WHERE Col3 = '""&amp;BE661&amp;""'"", 0), 1, 1),""NO ENCONTRADO"")"),"")</f>
        <v/>
      </c>
      <c r="BI661" s="12" t="str">
        <f>IFERROR(__xludf.DUMMYFUNCTION("IFERROR(INDEX(QUERY(IMPORTRANGE(""1T7HG8KEs-Ob7f3M5atEVN9Yn7IeORGp0QGvggB62ELw"",""Maestro!A:I""),""SELECT Col7 WHERE Col3 = '""&amp;BE661&amp;""'"", 0), 1, 1),""NO ENCONTRADO"")"),"")</f>
        <v/>
      </c>
      <c r="BJ661" s="16">
        <f t="shared" si="19"/>
        <v>0</v>
      </c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4"/>
      <c r="BX661" s="14"/>
      <c r="BY661" s="14"/>
      <c r="BZ661" s="14"/>
      <c r="CA661" s="14"/>
      <c r="CB661" s="14"/>
      <c r="CC661" s="14"/>
      <c r="CD661" s="14"/>
      <c r="CE661" s="14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</row>
    <row r="662">
      <c r="A662" s="12"/>
      <c r="B662" s="14"/>
      <c r="C662" s="14"/>
      <c r="D662" s="14"/>
      <c r="E662" s="12"/>
      <c r="F662" s="307"/>
      <c r="G662" s="307"/>
      <c r="H662" s="12"/>
      <c r="I662" s="30"/>
      <c r="J662" s="12"/>
      <c r="K662" s="12"/>
      <c r="L662" s="12"/>
      <c r="M662" s="12"/>
      <c r="N662" s="12"/>
      <c r="O662" s="308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4"/>
      <c r="BF662" s="12"/>
      <c r="BG662" s="12"/>
      <c r="BH662" s="12" t="str">
        <f>IFERROR(__xludf.DUMMYFUNCTION("IFERROR(INDEX(QUERY(IMPORTRANGE(""1T7HG8KEs-Ob7f3M5atEVN9Yn7IeORGp0QGvggB62ELw"",""Maestro!A:I""),""SELECT Col8 WHERE Col3 = '""&amp;BE662&amp;""'"", 0), 1, 1),""NO ENCONTRADO"")"),"")</f>
        <v/>
      </c>
      <c r="BI662" s="12" t="str">
        <f>IFERROR(__xludf.DUMMYFUNCTION("IFERROR(INDEX(QUERY(IMPORTRANGE(""1T7HG8KEs-Ob7f3M5atEVN9Yn7IeORGp0QGvggB62ELw"",""Maestro!A:I""),""SELECT Col7 WHERE Col3 = '""&amp;BE662&amp;""'"", 0), 1, 1),""NO ENCONTRADO"")"),"")</f>
        <v/>
      </c>
      <c r="BJ662" s="16">
        <f t="shared" si="19"/>
        <v>0</v>
      </c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4"/>
      <c r="BX662" s="14"/>
      <c r="BY662" s="14"/>
      <c r="BZ662" s="14"/>
      <c r="CA662" s="14"/>
      <c r="CB662" s="14"/>
      <c r="CC662" s="14"/>
      <c r="CD662" s="14"/>
      <c r="CE662" s="14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</row>
    <row r="663">
      <c r="A663" s="12"/>
      <c r="B663" s="14"/>
      <c r="C663" s="14"/>
      <c r="D663" s="14"/>
      <c r="E663" s="12"/>
      <c r="F663" s="307"/>
      <c r="G663" s="307"/>
      <c r="H663" s="12"/>
      <c r="I663" s="30"/>
      <c r="J663" s="12"/>
      <c r="K663" s="12"/>
      <c r="L663" s="12"/>
      <c r="M663" s="12"/>
      <c r="N663" s="12"/>
      <c r="O663" s="308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4"/>
      <c r="BF663" s="12"/>
      <c r="BG663" s="12"/>
      <c r="BH663" s="12" t="str">
        <f>IFERROR(__xludf.DUMMYFUNCTION("IFERROR(INDEX(QUERY(IMPORTRANGE(""1T7HG8KEs-Ob7f3M5atEVN9Yn7IeORGp0QGvggB62ELw"",""Maestro!A:I""),""SELECT Col8 WHERE Col3 = '""&amp;BE663&amp;""'"", 0), 1, 1),""NO ENCONTRADO"")"),"")</f>
        <v/>
      </c>
      <c r="BI663" s="12" t="str">
        <f>IFERROR(__xludf.DUMMYFUNCTION("IFERROR(INDEX(QUERY(IMPORTRANGE(""1T7HG8KEs-Ob7f3M5atEVN9Yn7IeORGp0QGvggB62ELw"",""Maestro!A:I""),""SELECT Col7 WHERE Col3 = '""&amp;BE663&amp;""'"", 0), 1, 1),""NO ENCONTRADO"")"),"")</f>
        <v/>
      </c>
      <c r="BJ663" s="16">
        <f t="shared" si="19"/>
        <v>0</v>
      </c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4"/>
      <c r="BX663" s="14"/>
      <c r="BY663" s="14"/>
      <c r="BZ663" s="14"/>
      <c r="CA663" s="14"/>
      <c r="CB663" s="14"/>
      <c r="CC663" s="14"/>
      <c r="CD663" s="14"/>
      <c r="CE663" s="14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</row>
    <row r="664">
      <c r="A664" s="12"/>
      <c r="B664" s="14"/>
      <c r="C664" s="14"/>
      <c r="D664" s="14"/>
      <c r="E664" s="12"/>
      <c r="F664" s="307"/>
      <c r="G664" s="307"/>
      <c r="H664" s="12"/>
      <c r="I664" s="30"/>
      <c r="J664" s="12"/>
      <c r="K664" s="12"/>
      <c r="L664" s="12"/>
      <c r="M664" s="12"/>
      <c r="N664" s="12"/>
      <c r="O664" s="308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4"/>
      <c r="BF664" s="12"/>
      <c r="BG664" s="12"/>
      <c r="BH664" s="12" t="str">
        <f>IFERROR(__xludf.DUMMYFUNCTION("IFERROR(INDEX(QUERY(IMPORTRANGE(""1T7HG8KEs-Ob7f3M5atEVN9Yn7IeORGp0QGvggB62ELw"",""Maestro!A:I""),""SELECT Col8 WHERE Col3 = '""&amp;BE664&amp;""'"", 0), 1, 1),""NO ENCONTRADO"")"),"")</f>
        <v/>
      </c>
      <c r="BI664" s="12" t="str">
        <f>IFERROR(__xludf.DUMMYFUNCTION("IFERROR(INDEX(QUERY(IMPORTRANGE(""1T7HG8KEs-Ob7f3M5atEVN9Yn7IeORGp0QGvggB62ELw"",""Maestro!A:I""),""SELECT Col7 WHERE Col3 = '""&amp;BE664&amp;""'"", 0), 1, 1),""NO ENCONTRADO"")"),"")</f>
        <v/>
      </c>
      <c r="BJ664" s="16">
        <f t="shared" si="19"/>
        <v>0</v>
      </c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4"/>
      <c r="BX664" s="14"/>
      <c r="BY664" s="14"/>
      <c r="BZ664" s="14"/>
      <c r="CA664" s="14"/>
      <c r="CB664" s="14"/>
      <c r="CC664" s="14"/>
      <c r="CD664" s="14"/>
      <c r="CE664" s="14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</row>
    <row r="665">
      <c r="A665" s="12"/>
      <c r="B665" s="14"/>
      <c r="C665" s="14"/>
      <c r="D665" s="14"/>
      <c r="E665" s="12"/>
      <c r="F665" s="307"/>
      <c r="G665" s="307"/>
      <c r="H665" s="12"/>
      <c r="I665" s="30"/>
      <c r="J665" s="12"/>
      <c r="K665" s="12"/>
      <c r="L665" s="12"/>
      <c r="M665" s="12"/>
      <c r="N665" s="12"/>
      <c r="O665" s="308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4"/>
      <c r="BF665" s="12"/>
      <c r="BG665" s="12"/>
      <c r="BH665" s="12" t="str">
        <f>IFERROR(__xludf.DUMMYFUNCTION("IFERROR(INDEX(QUERY(IMPORTRANGE(""1T7HG8KEs-Ob7f3M5atEVN9Yn7IeORGp0QGvggB62ELw"",""Maestro!A:I""),""SELECT Col8 WHERE Col3 = '""&amp;BE665&amp;""'"", 0), 1, 1),""NO ENCONTRADO"")"),"")</f>
        <v/>
      </c>
      <c r="BI665" s="12" t="str">
        <f>IFERROR(__xludf.DUMMYFUNCTION("IFERROR(INDEX(QUERY(IMPORTRANGE(""1T7HG8KEs-Ob7f3M5atEVN9Yn7IeORGp0QGvggB62ELw"",""Maestro!A:I""),""SELECT Col7 WHERE Col3 = '""&amp;BE665&amp;""'"", 0), 1, 1),""NO ENCONTRADO"")"),"")</f>
        <v/>
      </c>
      <c r="BJ665" s="16">
        <f t="shared" si="19"/>
        <v>0</v>
      </c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4"/>
      <c r="BX665" s="14"/>
      <c r="BY665" s="14"/>
      <c r="BZ665" s="14"/>
      <c r="CA665" s="14"/>
      <c r="CB665" s="14"/>
      <c r="CC665" s="14"/>
      <c r="CD665" s="14"/>
      <c r="CE665" s="14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</row>
    <row r="666">
      <c r="A666" s="12"/>
      <c r="B666" s="14"/>
      <c r="C666" s="14"/>
      <c r="D666" s="14"/>
      <c r="E666" s="12"/>
      <c r="F666" s="307"/>
      <c r="G666" s="307"/>
      <c r="H666" s="12"/>
      <c r="I666" s="30"/>
      <c r="J666" s="12"/>
      <c r="K666" s="12"/>
      <c r="L666" s="12"/>
      <c r="M666" s="12"/>
      <c r="N666" s="12"/>
      <c r="O666" s="308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4"/>
      <c r="BF666" s="12"/>
      <c r="BG666" s="12"/>
      <c r="BH666" s="12" t="str">
        <f>IFERROR(__xludf.DUMMYFUNCTION("IFERROR(INDEX(QUERY(IMPORTRANGE(""1T7HG8KEs-Ob7f3M5atEVN9Yn7IeORGp0QGvggB62ELw"",""Maestro!A:I""),""SELECT Col8 WHERE Col3 = '""&amp;BE666&amp;""'"", 0), 1, 1),""NO ENCONTRADO"")"),"")</f>
        <v/>
      </c>
      <c r="BI666" s="12" t="str">
        <f>IFERROR(__xludf.DUMMYFUNCTION("IFERROR(INDEX(QUERY(IMPORTRANGE(""1T7HG8KEs-Ob7f3M5atEVN9Yn7IeORGp0QGvggB62ELw"",""Maestro!A:I""),""SELECT Col7 WHERE Col3 = '""&amp;BE666&amp;""'"", 0), 1, 1),""NO ENCONTRADO"")"),"")</f>
        <v/>
      </c>
      <c r="BJ666" s="16">
        <f t="shared" si="19"/>
        <v>0</v>
      </c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4"/>
      <c r="BX666" s="14"/>
      <c r="BY666" s="14"/>
      <c r="BZ666" s="14"/>
      <c r="CA666" s="14"/>
      <c r="CB666" s="14"/>
      <c r="CC666" s="14"/>
      <c r="CD666" s="14"/>
      <c r="CE666" s="14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</row>
    <row r="667">
      <c r="A667" s="12"/>
      <c r="B667" s="14"/>
      <c r="C667" s="14"/>
      <c r="D667" s="14"/>
      <c r="E667" s="12"/>
      <c r="F667" s="307"/>
      <c r="G667" s="307"/>
      <c r="H667" s="12"/>
      <c r="I667" s="30"/>
      <c r="J667" s="12"/>
      <c r="K667" s="12"/>
      <c r="L667" s="12"/>
      <c r="M667" s="12"/>
      <c r="N667" s="12"/>
      <c r="O667" s="308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4"/>
      <c r="BF667" s="12"/>
      <c r="BG667" s="12"/>
      <c r="BH667" s="12" t="str">
        <f>IFERROR(__xludf.DUMMYFUNCTION("IFERROR(INDEX(QUERY(IMPORTRANGE(""1T7HG8KEs-Ob7f3M5atEVN9Yn7IeORGp0QGvggB62ELw"",""Maestro!A:I""),""SELECT Col8 WHERE Col3 = '""&amp;BE667&amp;""'"", 0), 1, 1),""NO ENCONTRADO"")"),"")</f>
        <v/>
      </c>
      <c r="BI667" s="12" t="str">
        <f>IFERROR(__xludf.DUMMYFUNCTION("IFERROR(INDEX(QUERY(IMPORTRANGE(""1T7HG8KEs-Ob7f3M5atEVN9Yn7IeORGp0QGvggB62ELw"",""Maestro!A:I""),""SELECT Col7 WHERE Col3 = '""&amp;BE667&amp;""'"", 0), 1, 1),""NO ENCONTRADO"")"),"")</f>
        <v/>
      </c>
      <c r="BJ667" s="16">
        <f t="shared" si="19"/>
        <v>0</v>
      </c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4"/>
      <c r="BX667" s="14"/>
      <c r="BY667" s="14"/>
      <c r="BZ667" s="14"/>
      <c r="CA667" s="14"/>
      <c r="CB667" s="14"/>
      <c r="CC667" s="14"/>
      <c r="CD667" s="14"/>
      <c r="CE667" s="14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</row>
    <row r="668">
      <c r="A668" s="12"/>
      <c r="B668" s="14"/>
      <c r="C668" s="14"/>
      <c r="D668" s="14"/>
      <c r="E668" s="12"/>
      <c r="F668" s="307"/>
      <c r="G668" s="307"/>
      <c r="H668" s="12"/>
      <c r="I668" s="30"/>
      <c r="J668" s="12"/>
      <c r="K668" s="12"/>
      <c r="L668" s="12"/>
      <c r="M668" s="12"/>
      <c r="N668" s="12"/>
      <c r="O668" s="308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4"/>
      <c r="BF668" s="12"/>
      <c r="BG668" s="12"/>
      <c r="BH668" s="12" t="str">
        <f>IFERROR(__xludf.DUMMYFUNCTION("IFERROR(INDEX(QUERY(IMPORTRANGE(""1T7HG8KEs-Ob7f3M5atEVN9Yn7IeORGp0QGvggB62ELw"",""Maestro!A:I""),""SELECT Col8 WHERE Col3 = '""&amp;BE668&amp;""'"", 0), 1, 1),""NO ENCONTRADO"")"),"")</f>
        <v/>
      </c>
      <c r="BI668" s="12" t="str">
        <f>IFERROR(__xludf.DUMMYFUNCTION("IFERROR(INDEX(QUERY(IMPORTRANGE(""1T7HG8KEs-Ob7f3M5atEVN9Yn7IeORGp0QGvggB62ELw"",""Maestro!A:I""),""SELECT Col7 WHERE Col3 = '""&amp;BE668&amp;""'"", 0), 1, 1),""NO ENCONTRADO"")"),"")</f>
        <v/>
      </c>
      <c r="BJ668" s="16">
        <f t="shared" si="19"/>
        <v>0</v>
      </c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4"/>
      <c r="BX668" s="14"/>
      <c r="BY668" s="14"/>
      <c r="BZ668" s="14"/>
      <c r="CA668" s="14"/>
      <c r="CB668" s="14"/>
      <c r="CC668" s="14"/>
      <c r="CD668" s="14"/>
      <c r="CE668" s="14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</row>
    <row r="669">
      <c r="A669" s="12"/>
      <c r="B669" s="14"/>
      <c r="C669" s="14"/>
      <c r="D669" s="14"/>
      <c r="E669" s="12"/>
      <c r="F669" s="307"/>
      <c r="G669" s="307"/>
      <c r="H669" s="12"/>
      <c r="I669" s="30"/>
      <c r="J669" s="12"/>
      <c r="K669" s="12"/>
      <c r="L669" s="12"/>
      <c r="M669" s="12"/>
      <c r="N669" s="12"/>
      <c r="O669" s="308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4"/>
      <c r="BF669" s="12"/>
      <c r="BG669" s="12"/>
      <c r="BH669" s="12" t="str">
        <f>IFERROR(__xludf.DUMMYFUNCTION("IFERROR(INDEX(QUERY(IMPORTRANGE(""1T7HG8KEs-Ob7f3M5atEVN9Yn7IeORGp0QGvggB62ELw"",""Maestro!A:I""),""SELECT Col8 WHERE Col3 = '""&amp;BE669&amp;""'"", 0), 1, 1),""NO ENCONTRADO"")"),"")</f>
        <v/>
      </c>
      <c r="BI669" s="12" t="str">
        <f>IFERROR(__xludf.DUMMYFUNCTION("IFERROR(INDEX(QUERY(IMPORTRANGE(""1T7HG8KEs-Ob7f3M5atEVN9Yn7IeORGp0QGvggB62ELw"",""Maestro!A:I""),""SELECT Col7 WHERE Col3 = '""&amp;BE669&amp;""'"", 0), 1, 1),""NO ENCONTRADO"")"),"")</f>
        <v/>
      </c>
      <c r="BJ669" s="16">
        <f t="shared" si="19"/>
        <v>0</v>
      </c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4"/>
      <c r="BX669" s="14"/>
      <c r="BY669" s="14"/>
      <c r="BZ669" s="14"/>
      <c r="CA669" s="14"/>
      <c r="CB669" s="14"/>
      <c r="CC669" s="14"/>
      <c r="CD669" s="14"/>
      <c r="CE669" s="14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</row>
    <row r="670">
      <c r="A670" s="12"/>
      <c r="B670" s="14"/>
      <c r="C670" s="14"/>
      <c r="D670" s="14"/>
      <c r="E670" s="12"/>
      <c r="F670" s="307"/>
      <c r="G670" s="307"/>
      <c r="H670" s="12"/>
      <c r="I670" s="30"/>
      <c r="J670" s="12"/>
      <c r="K670" s="12"/>
      <c r="L670" s="12"/>
      <c r="M670" s="12"/>
      <c r="N670" s="12"/>
      <c r="O670" s="308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4"/>
      <c r="BF670" s="12"/>
      <c r="BG670" s="12"/>
      <c r="BH670" s="12" t="str">
        <f>IFERROR(__xludf.DUMMYFUNCTION("IFERROR(INDEX(QUERY(IMPORTRANGE(""1T7HG8KEs-Ob7f3M5atEVN9Yn7IeORGp0QGvggB62ELw"",""Maestro!A:I""),""SELECT Col8 WHERE Col3 = '""&amp;BE670&amp;""'"", 0), 1, 1),""NO ENCONTRADO"")"),"")</f>
        <v/>
      </c>
      <c r="BI670" s="12" t="str">
        <f>IFERROR(__xludf.DUMMYFUNCTION("IFERROR(INDEX(QUERY(IMPORTRANGE(""1T7HG8KEs-Ob7f3M5atEVN9Yn7IeORGp0QGvggB62ELw"",""Maestro!A:I""),""SELECT Col7 WHERE Col3 = '""&amp;BE670&amp;""'"", 0), 1, 1),""NO ENCONTRADO"")"),"")</f>
        <v/>
      </c>
      <c r="BJ670" s="16">
        <f t="shared" si="19"/>
        <v>0</v>
      </c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4"/>
      <c r="BX670" s="14"/>
      <c r="BY670" s="14"/>
      <c r="BZ670" s="14"/>
      <c r="CA670" s="14"/>
      <c r="CB670" s="14"/>
      <c r="CC670" s="14"/>
      <c r="CD670" s="14"/>
      <c r="CE670" s="14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</row>
    <row r="671">
      <c r="A671" s="12"/>
      <c r="B671" s="14"/>
      <c r="C671" s="14"/>
      <c r="D671" s="14"/>
      <c r="E671" s="12"/>
      <c r="F671" s="307"/>
      <c r="G671" s="307"/>
      <c r="H671" s="12"/>
      <c r="I671" s="30"/>
      <c r="J671" s="12"/>
      <c r="K671" s="12"/>
      <c r="L671" s="12"/>
      <c r="M671" s="12"/>
      <c r="N671" s="12"/>
      <c r="O671" s="308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4"/>
      <c r="BF671" s="12"/>
      <c r="BG671" s="12"/>
      <c r="BH671" s="12" t="str">
        <f>IFERROR(__xludf.DUMMYFUNCTION("IFERROR(INDEX(QUERY(IMPORTRANGE(""1T7HG8KEs-Ob7f3M5atEVN9Yn7IeORGp0QGvggB62ELw"",""Maestro!A:I""),""SELECT Col8 WHERE Col3 = '""&amp;BE671&amp;""'"", 0), 1, 1),""NO ENCONTRADO"")"),"")</f>
        <v/>
      </c>
      <c r="BI671" s="12" t="str">
        <f>IFERROR(__xludf.DUMMYFUNCTION("IFERROR(INDEX(QUERY(IMPORTRANGE(""1T7HG8KEs-Ob7f3M5atEVN9Yn7IeORGp0QGvggB62ELw"",""Maestro!A:I""),""SELECT Col7 WHERE Col3 = '""&amp;BE671&amp;""'"", 0), 1, 1),""NO ENCONTRADO"")"),"")</f>
        <v/>
      </c>
      <c r="BJ671" s="16">
        <f t="shared" si="19"/>
        <v>0</v>
      </c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4"/>
      <c r="BX671" s="14"/>
      <c r="BY671" s="14"/>
      <c r="BZ671" s="14"/>
      <c r="CA671" s="14"/>
      <c r="CB671" s="14"/>
      <c r="CC671" s="14"/>
      <c r="CD671" s="14"/>
      <c r="CE671" s="14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</row>
    <row r="672">
      <c r="A672" s="12"/>
      <c r="B672" s="14"/>
      <c r="C672" s="14"/>
      <c r="D672" s="14"/>
      <c r="E672" s="12"/>
      <c r="F672" s="307"/>
      <c r="G672" s="307"/>
      <c r="H672" s="12"/>
      <c r="I672" s="30"/>
      <c r="J672" s="12"/>
      <c r="K672" s="12"/>
      <c r="L672" s="12"/>
      <c r="M672" s="12"/>
      <c r="N672" s="12"/>
      <c r="O672" s="308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4"/>
      <c r="BF672" s="12"/>
      <c r="BG672" s="12"/>
      <c r="BH672" s="12" t="str">
        <f>IFERROR(__xludf.DUMMYFUNCTION("IFERROR(INDEX(QUERY(IMPORTRANGE(""1T7HG8KEs-Ob7f3M5atEVN9Yn7IeORGp0QGvggB62ELw"",""Maestro!A:I""),""SELECT Col8 WHERE Col3 = '""&amp;BE672&amp;""'"", 0), 1, 1),""NO ENCONTRADO"")"),"")</f>
        <v/>
      </c>
      <c r="BI672" s="12" t="str">
        <f>IFERROR(__xludf.DUMMYFUNCTION("IFERROR(INDEX(QUERY(IMPORTRANGE(""1T7HG8KEs-Ob7f3M5atEVN9Yn7IeORGp0QGvggB62ELw"",""Maestro!A:I""),""SELECT Col7 WHERE Col3 = '""&amp;BE672&amp;""'"", 0), 1, 1),""NO ENCONTRADO"")"),"")</f>
        <v/>
      </c>
      <c r="BJ672" s="16">
        <f t="shared" si="19"/>
        <v>0</v>
      </c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4"/>
      <c r="BX672" s="14"/>
      <c r="BY672" s="14"/>
      <c r="BZ672" s="14"/>
      <c r="CA672" s="14"/>
      <c r="CB672" s="14"/>
      <c r="CC672" s="14"/>
      <c r="CD672" s="14"/>
      <c r="CE672" s="14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</row>
    <row r="673">
      <c r="A673" s="12"/>
      <c r="B673" s="14"/>
      <c r="C673" s="14"/>
      <c r="D673" s="14"/>
      <c r="E673" s="12"/>
      <c r="F673" s="307"/>
      <c r="G673" s="307"/>
      <c r="H673" s="12"/>
      <c r="I673" s="30"/>
      <c r="J673" s="12"/>
      <c r="K673" s="12"/>
      <c r="L673" s="12"/>
      <c r="M673" s="12"/>
      <c r="N673" s="12"/>
      <c r="O673" s="308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4"/>
      <c r="BF673" s="12"/>
      <c r="BG673" s="12"/>
      <c r="BH673" s="12" t="str">
        <f>IFERROR(__xludf.DUMMYFUNCTION("IFERROR(INDEX(QUERY(IMPORTRANGE(""1T7HG8KEs-Ob7f3M5atEVN9Yn7IeORGp0QGvggB62ELw"",""Maestro!A:I""),""SELECT Col8 WHERE Col3 = '""&amp;BE673&amp;""'"", 0), 1, 1),""NO ENCONTRADO"")"),"")</f>
        <v/>
      </c>
      <c r="BI673" s="12" t="str">
        <f>IFERROR(__xludf.DUMMYFUNCTION("IFERROR(INDEX(QUERY(IMPORTRANGE(""1T7HG8KEs-Ob7f3M5atEVN9Yn7IeORGp0QGvggB62ELw"",""Maestro!A:I""),""SELECT Col7 WHERE Col3 = '""&amp;BE673&amp;""'"", 0), 1, 1),""NO ENCONTRADO"")"),"")</f>
        <v/>
      </c>
      <c r="BJ673" s="16">
        <f t="shared" si="19"/>
        <v>0</v>
      </c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4"/>
      <c r="BX673" s="14"/>
      <c r="BY673" s="14"/>
      <c r="BZ673" s="14"/>
      <c r="CA673" s="14"/>
      <c r="CB673" s="14"/>
      <c r="CC673" s="14"/>
      <c r="CD673" s="14"/>
      <c r="CE673" s="14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</row>
    <row r="674">
      <c r="A674" s="12"/>
      <c r="B674" s="14"/>
      <c r="C674" s="14"/>
      <c r="D674" s="14"/>
      <c r="E674" s="12"/>
      <c r="F674" s="307"/>
      <c r="G674" s="307"/>
      <c r="H674" s="12"/>
      <c r="I674" s="30"/>
      <c r="J674" s="12"/>
      <c r="K674" s="12"/>
      <c r="L674" s="12"/>
      <c r="M674" s="12"/>
      <c r="N674" s="12"/>
      <c r="O674" s="308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4"/>
      <c r="BF674" s="12"/>
      <c r="BG674" s="12"/>
      <c r="BH674" s="12" t="str">
        <f>IFERROR(__xludf.DUMMYFUNCTION("IFERROR(INDEX(QUERY(IMPORTRANGE(""1T7HG8KEs-Ob7f3M5atEVN9Yn7IeORGp0QGvggB62ELw"",""Maestro!A:I""),""SELECT Col8 WHERE Col3 = '""&amp;BE674&amp;""'"", 0), 1, 1),""NO ENCONTRADO"")"),"")</f>
        <v/>
      </c>
      <c r="BI674" s="12" t="str">
        <f>IFERROR(__xludf.DUMMYFUNCTION("IFERROR(INDEX(QUERY(IMPORTRANGE(""1T7HG8KEs-Ob7f3M5atEVN9Yn7IeORGp0QGvggB62ELw"",""Maestro!A:I""),""SELECT Col7 WHERE Col3 = '""&amp;BE674&amp;""'"", 0), 1, 1),""NO ENCONTRADO"")"),"")</f>
        <v/>
      </c>
      <c r="BJ674" s="16">
        <f t="shared" si="19"/>
        <v>0</v>
      </c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4"/>
      <c r="BX674" s="14"/>
      <c r="BY674" s="14"/>
      <c r="BZ674" s="14"/>
      <c r="CA674" s="14"/>
      <c r="CB674" s="14"/>
      <c r="CC674" s="14"/>
      <c r="CD674" s="14"/>
      <c r="CE674" s="14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</row>
    <row r="675">
      <c r="A675" s="12"/>
      <c r="B675" s="14"/>
      <c r="C675" s="14"/>
      <c r="D675" s="14"/>
      <c r="E675" s="12"/>
      <c r="F675" s="307"/>
      <c r="G675" s="307"/>
      <c r="H675" s="12"/>
      <c r="I675" s="30"/>
      <c r="J675" s="12"/>
      <c r="K675" s="12"/>
      <c r="L675" s="12"/>
      <c r="M675" s="12"/>
      <c r="N675" s="12"/>
      <c r="O675" s="308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4"/>
      <c r="BF675" s="12"/>
      <c r="BG675" s="12"/>
      <c r="BH675" s="12" t="str">
        <f>IFERROR(__xludf.DUMMYFUNCTION("IFERROR(INDEX(QUERY(IMPORTRANGE(""1T7HG8KEs-Ob7f3M5atEVN9Yn7IeORGp0QGvggB62ELw"",""Maestro!A:I""),""SELECT Col8 WHERE Col3 = '""&amp;BE675&amp;""'"", 0), 1, 1),""NO ENCONTRADO"")"),"")</f>
        <v/>
      </c>
      <c r="BI675" s="12" t="str">
        <f>IFERROR(__xludf.DUMMYFUNCTION("IFERROR(INDEX(QUERY(IMPORTRANGE(""1T7HG8KEs-Ob7f3M5atEVN9Yn7IeORGp0QGvggB62ELw"",""Maestro!A:I""),""SELECT Col7 WHERE Col3 = '""&amp;BE675&amp;""'"", 0), 1, 1),""NO ENCONTRADO"")"),"")</f>
        <v/>
      </c>
      <c r="BJ675" s="16">
        <f t="shared" si="19"/>
        <v>0</v>
      </c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4"/>
      <c r="BX675" s="14"/>
      <c r="BY675" s="14"/>
      <c r="BZ675" s="14"/>
      <c r="CA675" s="14"/>
      <c r="CB675" s="14"/>
      <c r="CC675" s="14"/>
      <c r="CD675" s="14"/>
      <c r="CE675" s="14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</row>
    <row r="676">
      <c r="A676" s="12"/>
      <c r="B676" s="14"/>
      <c r="C676" s="14"/>
      <c r="D676" s="14"/>
      <c r="E676" s="12"/>
      <c r="F676" s="307"/>
      <c r="G676" s="307"/>
      <c r="H676" s="12"/>
      <c r="I676" s="30"/>
      <c r="J676" s="12"/>
      <c r="K676" s="12"/>
      <c r="L676" s="12"/>
      <c r="M676" s="12"/>
      <c r="N676" s="12"/>
      <c r="O676" s="308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4"/>
      <c r="BF676" s="12"/>
      <c r="BG676" s="12"/>
      <c r="BH676" s="12" t="str">
        <f>IFERROR(__xludf.DUMMYFUNCTION("IFERROR(INDEX(QUERY(IMPORTRANGE(""1T7HG8KEs-Ob7f3M5atEVN9Yn7IeORGp0QGvggB62ELw"",""Maestro!A:I""),""SELECT Col8 WHERE Col3 = '""&amp;BE676&amp;""'"", 0), 1, 1),""NO ENCONTRADO"")"),"")</f>
        <v/>
      </c>
      <c r="BI676" s="12" t="str">
        <f>IFERROR(__xludf.DUMMYFUNCTION("IFERROR(INDEX(QUERY(IMPORTRANGE(""1T7HG8KEs-Ob7f3M5atEVN9Yn7IeORGp0QGvggB62ELw"",""Maestro!A:I""),""SELECT Col7 WHERE Col3 = '""&amp;BE676&amp;""'"", 0), 1, 1),""NO ENCONTRADO"")"),"")</f>
        <v/>
      </c>
      <c r="BJ676" s="16">
        <f t="shared" si="19"/>
        <v>0</v>
      </c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4"/>
      <c r="BX676" s="14"/>
      <c r="BY676" s="14"/>
      <c r="BZ676" s="14"/>
      <c r="CA676" s="14"/>
      <c r="CB676" s="14"/>
      <c r="CC676" s="14"/>
      <c r="CD676" s="14"/>
      <c r="CE676" s="14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</row>
    <row r="677">
      <c r="A677" s="12"/>
      <c r="B677" s="14"/>
      <c r="C677" s="14"/>
      <c r="D677" s="14"/>
      <c r="E677" s="12"/>
      <c r="F677" s="307"/>
      <c r="G677" s="307"/>
      <c r="H677" s="12"/>
      <c r="I677" s="30"/>
      <c r="J677" s="12"/>
      <c r="K677" s="12"/>
      <c r="L677" s="12"/>
      <c r="M677" s="12"/>
      <c r="N677" s="12"/>
      <c r="O677" s="308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4"/>
      <c r="BF677" s="12"/>
      <c r="BG677" s="12"/>
      <c r="BH677" s="12" t="str">
        <f>IFERROR(__xludf.DUMMYFUNCTION("IFERROR(INDEX(QUERY(IMPORTRANGE(""1T7HG8KEs-Ob7f3M5atEVN9Yn7IeORGp0QGvggB62ELw"",""Maestro!A:I""),""SELECT Col8 WHERE Col3 = '""&amp;BE677&amp;""'"", 0), 1, 1),""NO ENCONTRADO"")"),"")</f>
        <v/>
      </c>
      <c r="BI677" s="12" t="str">
        <f>IFERROR(__xludf.DUMMYFUNCTION("IFERROR(INDEX(QUERY(IMPORTRANGE(""1T7HG8KEs-Ob7f3M5atEVN9Yn7IeORGp0QGvggB62ELw"",""Maestro!A:I""),""SELECT Col7 WHERE Col3 = '""&amp;BE677&amp;""'"", 0), 1, 1),""NO ENCONTRADO"")"),"")</f>
        <v/>
      </c>
      <c r="BJ677" s="16">
        <f t="shared" si="19"/>
        <v>0</v>
      </c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4"/>
      <c r="BX677" s="14"/>
      <c r="BY677" s="14"/>
      <c r="BZ677" s="14"/>
      <c r="CA677" s="14"/>
      <c r="CB677" s="14"/>
      <c r="CC677" s="14"/>
      <c r="CD677" s="14"/>
      <c r="CE677" s="14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</row>
    <row r="678">
      <c r="A678" s="12"/>
      <c r="B678" s="14"/>
      <c r="C678" s="14"/>
      <c r="D678" s="14"/>
      <c r="E678" s="12"/>
      <c r="F678" s="307"/>
      <c r="G678" s="307"/>
      <c r="H678" s="12"/>
      <c r="I678" s="30"/>
      <c r="J678" s="12"/>
      <c r="K678" s="12"/>
      <c r="L678" s="12"/>
      <c r="M678" s="12"/>
      <c r="N678" s="12"/>
      <c r="O678" s="308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4"/>
      <c r="BF678" s="12"/>
      <c r="BG678" s="12"/>
      <c r="BH678" s="12" t="str">
        <f>IFERROR(__xludf.DUMMYFUNCTION("IFERROR(INDEX(QUERY(IMPORTRANGE(""1T7HG8KEs-Ob7f3M5atEVN9Yn7IeORGp0QGvggB62ELw"",""Maestro!A:I""),""SELECT Col8 WHERE Col3 = '""&amp;BE678&amp;""'"", 0), 1, 1),""NO ENCONTRADO"")"),"")</f>
        <v/>
      </c>
      <c r="BI678" s="12" t="str">
        <f>IFERROR(__xludf.DUMMYFUNCTION("IFERROR(INDEX(QUERY(IMPORTRANGE(""1T7HG8KEs-Ob7f3M5atEVN9Yn7IeORGp0QGvggB62ELw"",""Maestro!A:I""),""SELECT Col7 WHERE Col3 = '""&amp;BE678&amp;""'"", 0), 1, 1),""NO ENCONTRADO"")"),"")</f>
        <v/>
      </c>
      <c r="BJ678" s="16">
        <f t="shared" si="19"/>
        <v>0</v>
      </c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4"/>
      <c r="BX678" s="14"/>
      <c r="BY678" s="14"/>
      <c r="BZ678" s="14"/>
      <c r="CA678" s="14"/>
      <c r="CB678" s="14"/>
      <c r="CC678" s="14"/>
      <c r="CD678" s="14"/>
      <c r="CE678" s="14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</row>
    <row r="679">
      <c r="A679" s="12"/>
      <c r="B679" s="14"/>
      <c r="C679" s="14"/>
      <c r="D679" s="14"/>
      <c r="E679" s="12"/>
      <c r="F679" s="307"/>
      <c r="G679" s="307"/>
      <c r="H679" s="12"/>
      <c r="I679" s="30"/>
      <c r="J679" s="12"/>
      <c r="K679" s="12"/>
      <c r="L679" s="12"/>
      <c r="M679" s="12"/>
      <c r="N679" s="12"/>
      <c r="O679" s="308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4"/>
      <c r="BF679" s="12"/>
      <c r="BG679" s="12"/>
      <c r="BH679" s="12" t="str">
        <f>IFERROR(__xludf.DUMMYFUNCTION("IFERROR(INDEX(QUERY(IMPORTRANGE(""1T7HG8KEs-Ob7f3M5atEVN9Yn7IeORGp0QGvggB62ELw"",""Maestro!A:I""),""SELECT Col8 WHERE Col3 = '""&amp;BE679&amp;""'"", 0), 1, 1),""NO ENCONTRADO"")"),"")</f>
        <v/>
      </c>
      <c r="BI679" s="12" t="str">
        <f>IFERROR(__xludf.DUMMYFUNCTION("IFERROR(INDEX(QUERY(IMPORTRANGE(""1T7HG8KEs-Ob7f3M5atEVN9Yn7IeORGp0QGvggB62ELw"",""Maestro!A:I""),""SELECT Col7 WHERE Col3 = '""&amp;BE679&amp;""'"", 0), 1, 1),""NO ENCONTRADO"")"),"")</f>
        <v/>
      </c>
      <c r="BJ679" s="16">
        <f t="shared" si="19"/>
        <v>0</v>
      </c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4"/>
      <c r="BX679" s="14"/>
      <c r="BY679" s="14"/>
      <c r="BZ679" s="14"/>
      <c r="CA679" s="14"/>
      <c r="CB679" s="14"/>
      <c r="CC679" s="14"/>
      <c r="CD679" s="14"/>
      <c r="CE679" s="14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</row>
    <row r="680">
      <c r="A680" s="12"/>
      <c r="B680" s="14"/>
      <c r="C680" s="14"/>
      <c r="D680" s="14"/>
      <c r="E680" s="12"/>
      <c r="F680" s="307"/>
      <c r="G680" s="307"/>
      <c r="H680" s="12"/>
      <c r="I680" s="30"/>
      <c r="J680" s="12"/>
      <c r="K680" s="12"/>
      <c r="L680" s="12"/>
      <c r="M680" s="12"/>
      <c r="N680" s="12"/>
      <c r="O680" s="308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4"/>
      <c r="BF680" s="12"/>
      <c r="BG680" s="12"/>
      <c r="BH680" s="12" t="str">
        <f>IFERROR(__xludf.DUMMYFUNCTION("IFERROR(INDEX(QUERY(IMPORTRANGE(""1T7HG8KEs-Ob7f3M5atEVN9Yn7IeORGp0QGvggB62ELw"",""Maestro!A:I""),""SELECT Col8 WHERE Col3 = '""&amp;BE680&amp;""'"", 0), 1, 1),""NO ENCONTRADO"")"),"")</f>
        <v/>
      </c>
      <c r="BI680" s="12" t="str">
        <f>IFERROR(__xludf.DUMMYFUNCTION("IFERROR(INDEX(QUERY(IMPORTRANGE(""1T7HG8KEs-Ob7f3M5atEVN9Yn7IeORGp0QGvggB62ELw"",""Maestro!A:I""),""SELECT Col7 WHERE Col3 = '""&amp;BE680&amp;""'"", 0), 1, 1),""NO ENCONTRADO"")"),"")</f>
        <v/>
      </c>
      <c r="BJ680" s="16">
        <f t="shared" si="19"/>
        <v>0</v>
      </c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4"/>
      <c r="BX680" s="14"/>
      <c r="BY680" s="14"/>
      <c r="BZ680" s="14"/>
      <c r="CA680" s="14"/>
      <c r="CB680" s="14"/>
      <c r="CC680" s="14"/>
      <c r="CD680" s="14"/>
      <c r="CE680" s="14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</row>
    <row r="681">
      <c r="A681" s="12"/>
      <c r="B681" s="14"/>
      <c r="C681" s="14"/>
      <c r="D681" s="14"/>
      <c r="E681" s="12"/>
      <c r="F681" s="307"/>
      <c r="G681" s="307"/>
      <c r="H681" s="12"/>
      <c r="I681" s="30"/>
      <c r="J681" s="12"/>
      <c r="K681" s="12"/>
      <c r="L681" s="12"/>
      <c r="M681" s="12"/>
      <c r="N681" s="12"/>
      <c r="O681" s="308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4"/>
      <c r="BF681" s="12"/>
      <c r="BG681" s="12"/>
      <c r="BH681" s="12" t="str">
        <f>IFERROR(__xludf.DUMMYFUNCTION("IFERROR(INDEX(QUERY(IMPORTRANGE(""1T7HG8KEs-Ob7f3M5atEVN9Yn7IeORGp0QGvggB62ELw"",""Maestro!A:I""),""SELECT Col8 WHERE Col3 = '""&amp;BE681&amp;""'"", 0), 1, 1),""NO ENCONTRADO"")"),"")</f>
        <v/>
      </c>
      <c r="BI681" s="12" t="str">
        <f>IFERROR(__xludf.DUMMYFUNCTION("IFERROR(INDEX(QUERY(IMPORTRANGE(""1T7HG8KEs-Ob7f3M5atEVN9Yn7IeORGp0QGvggB62ELw"",""Maestro!A:I""),""SELECT Col7 WHERE Col3 = '""&amp;BE681&amp;""'"", 0), 1, 1),""NO ENCONTRADO"")"),"")</f>
        <v/>
      </c>
      <c r="BJ681" s="16">
        <f t="shared" si="19"/>
        <v>0</v>
      </c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4"/>
      <c r="BX681" s="14"/>
      <c r="BY681" s="14"/>
      <c r="BZ681" s="14"/>
      <c r="CA681" s="14"/>
      <c r="CB681" s="14"/>
      <c r="CC681" s="14"/>
      <c r="CD681" s="14"/>
      <c r="CE681" s="14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</row>
    <row r="682">
      <c r="A682" s="12"/>
      <c r="B682" s="14"/>
      <c r="C682" s="14"/>
      <c r="D682" s="14"/>
      <c r="E682" s="12"/>
      <c r="F682" s="307"/>
      <c r="G682" s="307"/>
      <c r="H682" s="12"/>
      <c r="I682" s="30"/>
      <c r="J682" s="12"/>
      <c r="K682" s="12"/>
      <c r="L682" s="12"/>
      <c r="M682" s="12"/>
      <c r="N682" s="12"/>
      <c r="O682" s="308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4"/>
      <c r="BF682" s="12"/>
      <c r="BG682" s="12"/>
      <c r="BH682" s="12" t="str">
        <f>IFERROR(__xludf.DUMMYFUNCTION("IFERROR(INDEX(QUERY(IMPORTRANGE(""1T7HG8KEs-Ob7f3M5atEVN9Yn7IeORGp0QGvggB62ELw"",""Maestro!A:I""),""SELECT Col8 WHERE Col3 = '""&amp;BE682&amp;""'"", 0), 1, 1),""NO ENCONTRADO"")"),"")</f>
        <v/>
      </c>
      <c r="BI682" s="12" t="str">
        <f>IFERROR(__xludf.DUMMYFUNCTION("IFERROR(INDEX(QUERY(IMPORTRANGE(""1T7HG8KEs-Ob7f3M5atEVN9Yn7IeORGp0QGvggB62ELw"",""Maestro!A:I""),""SELECT Col7 WHERE Col3 = '""&amp;BE682&amp;""'"", 0), 1, 1),""NO ENCONTRADO"")"),"")</f>
        <v/>
      </c>
      <c r="BJ682" s="16">
        <f t="shared" si="19"/>
        <v>0</v>
      </c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4"/>
      <c r="BX682" s="14"/>
      <c r="BY682" s="14"/>
      <c r="BZ682" s="14"/>
      <c r="CA682" s="14"/>
      <c r="CB682" s="14"/>
      <c r="CC682" s="14"/>
      <c r="CD682" s="14"/>
      <c r="CE682" s="14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</row>
    <row r="683">
      <c r="A683" s="12"/>
      <c r="B683" s="14"/>
      <c r="C683" s="14"/>
      <c r="D683" s="14"/>
      <c r="E683" s="12"/>
      <c r="F683" s="307"/>
      <c r="G683" s="307"/>
      <c r="H683" s="12"/>
      <c r="I683" s="30"/>
      <c r="J683" s="12"/>
      <c r="K683" s="12"/>
      <c r="L683" s="12"/>
      <c r="M683" s="12"/>
      <c r="N683" s="12"/>
      <c r="O683" s="308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4"/>
      <c r="BF683" s="12"/>
      <c r="BG683" s="12"/>
      <c r="BH683" s="12" t="str">
        <f>IFERROR(__xludf.DUMMYFUNCTION("IFERROR(INDEX(QUERY(IMPORTRANGE(""1T7HG8KEs-Ob7f3M5atEVN9Yn7IeORGp0QGvggB62ELw"",""Maestro!A:I""),""SELECT Col8 WHERE Col3 = '""&amp;BE683&amp;""'"", 0), 1, 1),""NO ENCONTRADO"")"),"")</f>
        <v/>
      </c>
      <c r="BI683" s="12" t="str">
        <f>IFERROR(__xludf.DUMMYFUNCTION("IFERROR(INDEX(QUERY(IMPORTRANGE(""1T7HG8KEs-Ob7f3M5atEVN9Yn7IeORGp0QGvggB62ELw"",""Maestro!A:I""),""SELECT Col7 WHERE Col3 = '""&amp;BE683&amp;""'"", 0), 1, 1),""NO ENCONTRADO"")"),"")</f>
        <v/>
      </c>
      <c r="BJ683" s="16">
        <f t="shared" si="19"/>
        <v>0</v>
      </c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4"/>
      <c r="BX683" s="14"/>
      <c r="BY683" s="14"/>
      <c r="BZ683" s="14"/>
      <c r="CA683" s="14"/>
      <c r="CB683" s="14"/>
      <c r="CC683" s="14"/>
      <c r="CD683" s="14"/>
      <c r="CE683" s="14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</row>
    <row r="684">
      <c r="A684" s="12"/>
      <c r="B684" s="14"/>
      <c r="C684" s="14"/>
      <c r="D684" s="14"/>
      <c r="E684" s="12"/>
      <c r="F684" s="307"/>
      <c r="G684" s="307"/>
      <c r="H684" s="12"/>
      <c r="I684" s="30"/>
      <c r="J684" s="12"/>
      <c r="K684" s="12"/>
      <c r="L684" s="12"/>
      <c r="M684" s="12"/>
      <c r="N684" s="12"/>
      <c r="O684" s="308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4"/>
      <c r="BF684" s="12"/>
      <c r="BG684" s="12"/>
      <c r="BH684" s="12" t="str">
        <f>IFERROR(__xludf.DUMMYFUNCTION("IFERROR(INDEX(QUERY(IMPORTRANGE(""1T7HG8KEs-Ob7f3M5atEVN9Yn7IeORGp0QGvggB62ELw"",""Maestro!A:I""),""SELECT Col8 WHERE Col3 = '""&amp;BE684&amp;""'"", 0), 1, 1),""NO ENCONTRADO"")"),"")</f>
        <v/>
      </c>
      <c r="BI684" s="12" t="str">
        <f>IFERROR(__xludf.DUMMYFUNCTION("IFERROR(INDEX(QUERY(IMPORTRANGE(""1T7HG8KEs-Ob7f3M5atEVN9Yn7IeORGp0QGvggB62ELw"",""Maestro!A:I""),""SELECT Col7 WHERE Col3 = '""&amp;BE684&amp;""'"", 0), 1, 1),""NO ENCONTRADO"")"),"")</f>
        <v/>
      </c>
      <c r="BJ684" s="16">
        <f t="shared" si="19"/>
        <v>0</v>
      </c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4"/>
      <c r="BX684" s="14"/>
      <c r="BY684" s="14"/>
      <c r="BZ684" s="14"/>
      <c r="CA684" s="14"/>
      <c r="CB684" s="14"/>
      <c r="CC684" s="14"/>
      <c r="CD684" s="14"/>
      <c r="CE684" s="14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</row>
    <row r="685">
      <c r="A685" s="12"/>
      <c r="B685" s="14"/>
      <c r="C685" s="14"/>
      <c r="D685" s="14"/>
      <c r="E685" s="12"/>
      <c r="F685" s="307"/>
      <c r="G685" s="307"/>
      <c r="H685" s="12"/>
      <c r="I685" s="30"/>
      <c r="J685" s="12"/>
      <c r="K685" s="12"/>
      <c r="L685" s="12"/>
      <c r="M685" s="12"/>
      <c r="N685" s="12"/>
      <c r="O685" s="308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4"/>
      <c r="BF685" s="12"/>
      <c r="BG685" s="12"/>
      <c r="BH685" s="12" t="str">
        <f>IFERROR(__xludf.DUMMYFUNCTION("IFERROR(INDEX(QUERY(IMPORTRANGE(""1T7HG8KEs-Ob7f3M5atEVN9Yn7IeORGp0QGvggB62ELw"",""Maestro!A:I""),""SELECT Col8 WHERE Col3 = '""&amp;BE685&amp;""'"", 0), 1, 1),""NO ENCONTRADO"")"),"")</f>
        <v/>
      </c>
      <c r="BI685" s="12" t="str">
        <f>IFERROR(__xludf.DUMMYFUNCTION("IFERROR(INDEX(QUERY(IMPORTRANGE(""1T7HG8KEs-Ob7f3M5atEVN9Yn7IeORGp0QGvggB62ELw"",""Maestro!A:I""),""SELECT Col7 WHERE Col3 = '""&amp;BE685&amp;""'"", 0), 1, 1),""NO ENCONTRADO"")"),"")</f>
        <v/>
      </c>
      <c r="BJ685" s="16">
        <f t="shared" si="19"/>
        <v>0</v>
      </c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4"/>
      <c r="BX685" s="14"/>
      <c r="BY685" s="14"/>
      <c r="BZ685" s="14"/>
      <c r="CA685" s="14"/>
      <c r="CB685" s="14"/>
      <c r="CC685" s="14"/>
      <c r="CD685" s="14"/>
      <c r="CE685" s="14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</row>
    <row r="686">
      <c r="A686" s="12"/>
      <c r="B686" s="14"/>
      <c r="C686" s="14"/>
      <c r="D686" s="14"/>
      <c r="E686" s="12"/>
      <c r="F686" s="307"/>
      <c r="G686" s="307"/>
      <c r="H686" s="12"/>
      <c r="I686" s="30"/>
      <c r="J686" s="12"/>
      <c r="K686" s="12"/>
      <c r="L686" s="12"/>
      <c r="M686" s="12"/>
      <c r="N686" s="12"/>
      <c r="O686" s="308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4"/>
      <c r="BF686" s="12"/>
      <c r="BG686" s="12"/>
      <c r="BH686" s="12" t="str">
        <f>IFERROR(__xludf.DUMMYFUNCTION("IFERROR(INDEX(QUERY(IMPORTRANGE(""1T7HG8KEs-Ob7f3M5atEVN9Yn7IeORGp0QGvggB62ELw"",""Maestro!A:I""),""SELECT Col8 WHERE Col3 = '""&amp;BE686&amp;""'"", 0), 1, 1),""NO ENCONTRADO"")"),"")</f>
        <v/>
      </c>
      <c r="BI686" s="12" t="str">
        <f>IFERROR(__xludf.DUMMYFUNCTION("IFERROR(INDEX(QUERY(IMPORTRANGE(""1T7HG8KEs-Ob7f3M5atEVN9Yn7IeORGp0QGvggB62ELw"",""Maestro!A:I""),""SELECT Col7 WHERE Col3 = '""&amp;BE686&amp;""'"", 0), 1, 1),""NO ENCONTRADO"")"),"")</f>
        <v/>
      </c>
      <c r="BJ686" s="16">
        <f t="shared" si="19"/>
        <v>0</v>
      </c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4"/>
      <c r="BX686" s="14"/>
      <c r="BY686" s="14"/>
      <c r="BZ686" s="14"/>
      <c r="CA686" s="14"/>
      <c r="CB686" s="14"/>
      <c r="CC686" s="14"/>
      <c r="CD686" s="14"/>
      <c r="CE686" s="14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</row>
    <row r="687">
      <c r="A687" s="12"/>
      <c r="B687" s="14"/>
      <c r="C687" s="14"/>
      <c r="D687" s="14"/>
      <c r="E687" s="12"/>
      <c r="F687" s="307"/>
      <c r="G687" s="307"/>
      <c r="H687" s="12"/>
      <c r="I687" s="30"/>
      <c r="J687" s="12"/>
      <c r="K687" s="12"/>
      <c r="L687" s="12"/>
      <c r="M687" s="12"/>
      <c r="N687" s="12"/>
      <c r="O687" s="308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4"/>
      <c r="BF687" s="12"/>
      <c r="BG687" s="12"/>
      <c r="BH687" s="12" t="str">
        <f>IFERROR(__xludf.DUMMYFUNCTION("IFERROR(INDEX(QUERY(IMPORTRANGE(""1T7HG8KEs-Ob7f3M5atEVN9Yn7IeORGp0QGvggB62ELw"",""Maestro!A:I""),""SELECT Col8 WHERE Col3 = '""&amp;BE687&amp;""'"", 0), 1, 1),""NO ENCONTRADO"")"),"")</f>
        <v/>
      </c>
      <c r="BI687" s="12" t="str">
        <f>IFERROR(__xludf.DUMMYFUNCTION("IFERROR(INDEX(QUERY(IMPORTRANGE(""1T7HG8KEs-Ob7f3M5atEVN9Yn7IeORGp0QGvggB62ELw"",""Maestro!A:I""),""SELECT Col7 WHERE Col3 = '""&amp;BE687&amp;""'"", 0), 1, 1),""NO ENCONTRADO"")"),"")</f>
        <v/>
      </c>
      <c r="BJ687" s="16">
        <f t="shared" si="19"/>
        <v>0</v>
      </c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4"/>
      <c r="BX687" s="14"/>
      <c r="BY687" s="14"/>
      <c r="BZ687" s="14"/>
      <c r="CA687" s="14"/>
      <c r="CB687" s="14"/>
      <c r="CC687" s="14"/>
      <c r="CD687" s="14"/>
      <c r="CE687" s="14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</row>
    <row r="688">
      <c r="A688" s="12"/>
      <c r="B688" s="14"/>
      <c r="C688" s="14"/>
      <c r="D688" s="14"/>
      <c r="E688" s="12"/>
      <c r="F688" s="307"/>
      <c r="G688" s="307"/>
      <c r="H688" s="12"/>
      <c r="I688" s="30"/>
      <c r="J688" s="12"/>
      <c r="K688" s="12"/>
      <c r="L688" s="12"/>
      <c r="M688" s="12"/>
      <c r="N688" s="12"/>
      <c r="O688" s="308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4"/>
      <c r="BF688" s="12"/>
      <c r="BG688" s="12"/>
      <c r="BH688" s="12" t="str">
        <f>IFERROR(__xludf.DUMMYFUNCTION("IFERROR(INDEX(QUERY(IMPORTRANGE(""1T7HG8KEs-Ob7f3M5atEVN9Yn7IeORGp0QGvggB62ELw"",""Maestro!A:I""),""SELECT Col8 WHERE Col3 = '""&amp;BE688&amp;""'"", 0), 1, 1),""NO ENCONTRADO"")"),"")</f>
        <v/>
      </c>
      <c r="BI688" s="12" t="str">
        <f>IFERROR(__xludf.DUMMYFUNCTION("IFERROR(INDEX(QUERY(IMPORTRANGE(""1T7HG8KEs-Ob7f3M5atEVN9Yn7IeORGp0QGvggB62ELw"",""Maestro!A:I""),""SELECT Col7 WHERE Col3 = '""&amp;BE688&amp;""'"", 0), 1, 1),""NO ENCONTRADO"")"),"")</f>
        <v/>
      </c>
      <c r="BJ688" s="16">
        <f t="shared" si="19"/>
        <v>0</v>
      </c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4"/>
      <c r="BX688" s="14"/>
      <c r="BY688" s="14"/>
      <c r="BZ688" s="14"/>
      <c r="CA688" s="14"/>
      <c r="CB688" s="14"/>
      <c r="CC688" s="14"/>
      <c r="CD688" s="14"/>
      <c r="CE688" s="14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</row>
    <row r="689">
      <c r="A689" s="12"/>
      <c r="B689" s="14"/>
      <c r="C689" s="14"/>
      <c r="D689" s="14"/>
      <c r="E689" s="12"/>
      <c r="F689" s="307"/>
      <c r="G689" s="307"/>
      <c r="H689" s="12"/>
      <c r="I689" s="30"/>
      <c r="J689" s="12"/>
      <c r="K689" s="12"/>
      <c r="L689" s="12"/>
      <c r="M689" s="12"/>
      <c r="N689" s="12"/>
      <c r="O689" s="308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4"/>
      <c r="BF689" s="12"/>
      <c r="BG689" s="12"/>
      <c r="BH689" s="12" t="str">
        <f>IFERROR(__xludf.DUMMYFUNCTION("IFERROR(INDEX(QUERY(IMPORTRANGE(""1T7HG8KEs-Ob7f3M5atEVN9Yn7IeORGp0QGvggB62ELw"",""Maestro!A:I""),""SELECT Col8 WHERE Col3 = '""&amp;BE689&amp;""'"", 0), 1, 1),""NO ENCONTRADO"")"),"")</f>
        <v/>
      </c>
      <c r="BI689" s="12" t="str">
        <f>IFERROR(__xludf.DUMMYFUNCTION("IFERROR(INDEX(QUERY(IMPORTRANGE(""1T7HG8KEs-Ob7f3M5atEVN9Yn7IeORGp0QGvggB62ELw"",""Maestro!A:I""),""SELECT Col7 WHERE Col3 = '""&amp;BE689&amp;""'"", 0), 1, 1),""NO ENCONTRADO"")"),"")</f>
        <v/>
      </c>
      <c r="BJ689" s="16">
        <f t="shared" si="19"/>
        <v>0</v>
      </c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4"/>
      <c r="BX689" s="14"/>
      <c r="BY689" s="14"/>
      <c r="BZ689" s="14"/>
      <c r="CA689" s="14"/>
      <c r="CB689" s="14"/>
      <c r="CC689" s="14"/>
      <c r="CD689" s="14"/>
      <c r="CE689" s="14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</row>
    <row r="690">
      <c r="A690" s="12"/>
      <c r="B690" s="14"/>
      <c r="C690" s="14"/>
      <c r="D690" s="14"/>
      <c r="E690" s="12"/>
      <c r="F690" s="307"/>
      <c r="G690" s="307"/>
      <c r="H690" s="12"/>
      <c r="I690" s="30"/>
      <c r="J690" s="12"/>
      <c r="K690" s="12"/>
      <c r="L690" s="12"/>
      <c r="M690" s="12"/>
      <c r="N690" s="12"/>
      <c r="O690" s="308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4"/>
      <c r="BF690" s="12"/>
      <c r="BG690" s="12"/>
      <c r="BH690" s="12" t="str">
        <f>IFERROR(__xludf.DUMMYFUNCTION("IFERROR(INDEX(QUERY(IMPORTRANGE(""1T7HG8KEs-Ob7f3M5atEVN9Yn7IeORGp0QGvggB62ELw"",""Maestro!A:I""),""SELECT Col8 WHERE Col3 = '""&amp;BE690&amp;""'"", 0), 1, 1),""NO ENCONTRADO"")"),"")</f>
        <v/>
      </c>
      <c r="BI690" s="12" t="str">
        <f>IFERROR(__xludf.DUMMYFUNCTION("IFERROR(INDEX(QUERY(IMPORTRANGE(""1T7HG8KEs-Ob7f3M5atEVN9Yn7IeORGp0QGvggB62ELw"",""Maestro!A:I""),""SELECT Col7 WHERE Col3 = '""&amp;BE690&amp;""'"", 0), 1, 1),""NO ENCONTRADO"")"),"")</f>
        <v/>
      </c>
      <c r="BJ690" s="16">
        <f t="shared" si="19"/>
        <v>0</v>
      </c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4"/>
      <c r="BX690" s="14"/>
      <c r="BY690" s="14"/>
      <c r="BZ690" s="14"/>
      <c r="CA690" s="14"/>
      <c r="CB690" s="14"/>
      <c r="CC690" s="14"/>
      <c r="CD690" s="14"/>
      <c r="CE690" s="14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</row>
    <row r="691">
      <c r="A691" s="12"/>
      <c r="B691" s="14"/>
      <c r="C691" s="14"/>
      <c r="D691" s="14"/>
      <c r="E691" s="12"/>
      <c r="F691" s="307"/>
      <c r="G691" s="307"/>
      <c r="H691" s="12"/>
      <c r="I691" s="30"/>
      <c r="J691" s="12"/>
      <c r="K691" s="12"/>
      <c r="L691" s="12"/>
      <c r="M691" s="12"/>
      <c r="N691" s="12"/>
      <c r="O691" s="308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4"/>
      <c r="BF691" s="12"/>
      <c r="BG691" s="12"/>
      <c r="BH691" s="12" t="str">
        <f>IFERROR(__xludf.DUMMYFUNCTION("IFERROR(INDEX(QUERY(IMPORTRANGE(""1T7HG8KEs-Ob7f3M5atEVN9Yn7IeORGp0QGvggB62ELw"",""Maestro!A:I""),""SELECT Col8 WHERE Col3 = '""&amp;BE691&amp;""'"", 0), 1, 1),""NO ENCONTRADO"")"),"")</f>
        <v/>
      </c>
      <c r="BI691" s="12" t="str">
        <f>IFERROR(__xludf.DUMMYFUNCTION("IFERROR(INDEX(QUERY(IMPORTRANGE(""1T7HG8KEs-Ob7f3M5atEVN9Yn7IeORGp0QGvggB62ELw"",""Maestro!A:I""),""SELECT Col7 WHERE Col3 = '""&amp;BE691&amp;""'"", 0), 1, 1),""NO ENCONTRADO"")"),"")</f>
        <v/>
      </c>
      <c r="BJ691" s="16">
        <f t="shared" si="19"/>
        <v>0</v>
      </c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4"/>
      <c r="BX691" s="14"/>
      <c r="BY691" s="14"/>
      <c r="BZ691" s="14"/>
      <c r="CA691" s="14"/>
      <c r="CB691" s="14"/>
      <c r="CC691" s="14"/>
      <c r="CD691" s="14"/>
      <c r="CE691" s="14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</row>
    <row r="692">
      <c r="A692" s="12"/>
      <c r="B692" s="14"/>
      <c r="C692" s="14"/>
      <c r="D692" s="14"/>
      <c r="E692" s="12"/>
      <c r="F692" s="307"/>
      <c r="G692" s="307"/>
      <c r="H692" s="12"/>
      <c r="I692" s="30"/>
      <c r="J692" s="12"/>
      <c r="K692" s="12"/>
      <c r="L692" s="12"/>
      <c r="M692" s="12"/>
      <c r="N692" s="12"/>
      <c r="O692" s="308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4"/>
      <c r="BF692" s="12"/>
      <c r="BG692" s="12"/>
      <c r="BH692" s="12" t="str">
        <f>IFERROR(__xludf.DUMMYFUNCTION("IFERROR(INDEX(QUERY(IMPORTRANGE(""1T7HG8KEs-Ob7f3M5atEVN9Yn7IeORGp0QGvggB62ELw"",""Maestro!A:I""),""SELECT Col8 WHERE Col3 = '""&amp;BE692&amp;""'"", 0), 1, 1),""NO ENCONTRADO"")"),"")</f>
        <v/>
      </c>
      <c r="BI692" s="12" t="str">
        <f>IFERROR(__xludf.DUMMYFUNCTION("IFERROR(INDEX(QUERY(IMPORTRANGE(""1T7HG8KEs-Ob7f3M5atEVN9Yn7IeORGp0QGvggB62ELw"",""Maestro!A:I""),""SELECT Col7 WHERE Col3 = '""&amp;BE692&amp;""'"", 0), 1, 1),""NO ENCONTRADO"")"),"")</f>
        <v/>
      </c>
      <c r="BJ692" s="16">
        <f t="shared" si="19"/>
        <v>0</v>
      </c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4"/>
      <c r="BX692" s="14"/>
      <c r="BY692" s="14"/>
      <c r="BZ692" s="14"/>
      <c r="CA692" s="14"/>
      <c r="CB692" s="14"/>
      <c r="CC692" s="14"/>
      <c r="CD692" s="14"/>
      <c r="CE692" s="14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</row>
    <row r="693">
      <c r="A693" s="12"/>
      <c r="B693" s="14"/>
      <c r="C693" s="14"/>
      <c r="D693" s="14"/>
      <c r="E693" s="12"/>
      <c r="F693" s="307"/>
      <c r="G693" s="307"/>
      <c r="H693" s="12"/>
      <c r="I693" s="30"/>
      <c r="J693" s="12"/>
      <c r="K693" s="12"/>
      <c r="L693" s="12"/>
      <c r="M693" s="12"/>
      <c r="N693" s="12"/>
      <c r="O693" s="308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4"/>
      <c r="BF693" s="12"/>
      <c r="BG693" s="12"/>
      <c r="BH693" s="12" t="str">
        <f>IFERROR(__xludf.DUMMYFUNCTION("IFERROR(INDEX(QUERY(IMPORTRANGE(""1T7HG8KEs-Ob7f3M5atEVN9Yn7IeORGp0QGvggB62ELw"",""Maestro!A:I""),""SELECT Col8 WHERE Col3 = '""&amp;BE693&amp;""'"", 0), 1, 1),""NO ENCONTRADO"")"),"")</f>
        <v/>
      </c>
      <c r="BI693" s="12" t="str">
        <f>IFERROR(__xludf.DUMMYFUNCTION("IFERROR(INDEX(QUERY(IMPORTRANGE(""1T7HG8KEs-Ob7f3M5atEVN9Yn7IeORGp0QGvggB62ELw"",""Maestro!A:I""),""SELECT Col7 WHERE Col3 = '""&amp;BE693&amp;""'"", 0), 1, 1),""NO ENCONTRADO"")"),"")</f>
        <v/>
      </c>
      <c r="BJ693" s="16">
        <f t="shared" si="19"/>
        <v>0</v>
      </c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4"/>
      <c r="BX693" s="14"/>
      <c r="BY693" s="14"/>
      <c r="BZ693" s="14"/>
      <c r="CA693" s="14"/>
      <c r="CB693" s="14"/>
      <c r="CC693" s="14"/>
      <c r="CD693" s="14"/>
      <c r="CE693" s="14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</row>
    <row r="694">
      <c r="A694" s="12"/>
      <c r="B694" s="14"/>
      <c r="C694" s="14"/>
      <c r="D694" s="14"/>
      <c r="E694" s="12"/>
      <c r="F694" s="307"/>
      <c r="G694" s="307"/>
      <c r="H694" s="12"/>
      <c r="I694" s="30"/>
      <c r="J694" s="12"/>
      <c r="K694" s="12"/>
      <c r="L694" s="12"/>
      <c r="M694" s="12"/>
      <c r="N694" s="12"/>
      <c r="O694" s="308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4"/>
      <c r="BF694" s="12"/>
      <c r="BG694" s="12"/>
      <c r="BH694" s="12" t="str">
        <f>IFERROR(__xludf.DUMMYFUNCTION("IFERROR(INDEX(QUERY(IMPORTRANGE(""1T7HG8KEs-Ob7f3M5atEVN9Yn7IeORGp0QGvggB62ELw"",""Maestro!A:I""),""SELECT Col8 WHERE Col3 = '""&amp;BE694&amp;""'"", 0), 1, 1),""NO ENCONTRADO"")"),"")</f>
        <v/>
      </c>
      <c r="BI694" s="12" t="str">
        <f>IFERROR(__xludf.DUMMYFUNCTION("IFERROR(INDEX(QUERY(IMPORTRANGE(""1T7HG8KEs-Ob7f3M5atEVN9Yn7IeORGp0QGvggB62ELw"",""Maestro!A:I""),""SELECT Col7 WHERE Col3 = '""&amp;BE694&amp;""'"", 0), 1, 1),""NO ENCONTRADO"")"),"")</f>
        <v/>
      </c>
      <c r="BJ694" s="16">
        <f t="shared" si="19"/>
        <v>0</v>
      </c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4"/>
      <c r="BX694" s="14"/>
      <c r="BY694" s="14"/>
      <c r="BZ694" s="14"/>
      <c r="CA694" s="14"/>
      <c r="CB694" s="14"/>
      <c r="CC694" s="14"/>
      <c r="CD694" s="14"/>
      <c r="CE694" s="14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</row>
    <row r="695">
      <c r="A695" s="12"/>
      <c r="B695" s="14"/>
      <c r="C695" s="14"/>
      <c r="D695" s="14"/>
      <c r="E695" s="12"/>
      <c r="F695" s="307"/>
      <c r="G695" s="307"/>
      <c r="H695" s="12"/>
      <c r="I695" s="30"/>
      <c r="J695" s="12"/>
      <c r="K695" s="12"/>
      <c r="L695" s="12"/>
      <c r="M695" s="12"/>
      <c r="N695" s="12"/>
      <c r="O695" s="308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4"/>
      <c r="BF695" s="12"/>
      <c r="BG695" s="12"/>
      <c r="BH695" s="12" t="str">
        <f>IFERROR(__xludf.DUMMYFUNCTION("IFERROR(INDEX(QUERY(IMPORTRANGE(""1T7HG8KEs-Ob7f3M5atEVN9Yn7IeORGp0QGvggB62ELw"",""Maestro!A:I""),""SELECT Col8 WHERE Col3 = '""&amp;BE695&amp;""'"", 0), 1, 1),""NO ENCONTRADO"")"),"")</f>
        <v/>
      </c>
      <c r="BI695" s="12" t="str">
        <f>IFERROR(__xludf.DUMMYFUNCTION("IFERROR(INDEX(QUERY(IMPORTRANGE(""1T7HG8KEs-Ob7f3M5atEVN9Yn7IeORGp0QGvggB62ELw"",""Maestro!A:I""),""SELECT Col7 WHERE Col3 = '""&amp;BE695&amp;""'"", 0), 1, 1),""NO ENCONTRADO"")"),"")</f>
        <v/>
      </c>
      <c r="BJ695" s="16">
        <f t="shared" si="19"/>
        <v>0</v>
      </c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4"/>
      <c r="BX695" s="14"/>
      <c r="BY695" s="14"/>
      <c r="BZ695" s="14"/>
      <c r="CA695" s="14"/>
      <c r="CB695" s="14"/>
      <c r="CC695" s="14"/>
      <c r="CD695" s="14"/>
      <c r="CE695" s="14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</row>
    <row r="696">
      <c r="A696" s="12"/>
      <c r="B696" s="14"/>
      <c r="C696" s="14"/>
      <c r="D696" s="14"/>
      <c r="E696" s="12"/>
      <c r="F696" s="307"/>
      <c r="G696" s="307"/>
      <c r="H696" s="12"/>
      <c r="I696" s="30"/>
      <c r="J696" s="12"/>
      <c r="K696" s="12"/>
      <c r="L696" s="12"/>
      <c r="M696" s="12"/>
      <c r="N696" s="12"/>
      <c r="O696" s="308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4"/>
      <c r="BF696" s="12"/>
      <c r="BG696" s="12"/>
      <c r="BH696" s="12" t="str">
        <f>IFERROR(__xludf.DUMMYFUNCTION("IFERROR(INDEX(QUERY(IMPORTRANGE(""1T7HG8KEs-Ob7f3M5atEVN9Yn7IeORGp0QGvggB62ELw"",""Maestro!A:I""),""SELECT Col8 WHERE Col3 = '""&amp;BE696&amp;""'"", 0), 1, 1),""NO ENCONTRADO"")"),"")</f>
        <v/>
      </c>
      <c r="BI696" s="12" t="str">
        <f>IFERROR(__xludf.DUMMYFUNCTION("IFERROR(INDEX(QUERY(IMPORTRANGE(""1T7HG8KEs-Ob7f3M5atEVN9Yn7IeORGp0QGvggB62ELw"",""Maestro!A:I""),""SELECT Col7 WHERE Col3 = '""&amp;BE696&amp;""'"", 0), 1, 1),""NO ENCONTRADO"")"),"")</f>
        <v/>
      </c>
      <c r="BJ696" s="16">
        <f t="shared" si="19"/>
        <v>0</v>
      </c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4"/>
      <c r="BX696" s="14"/>
      <c r="BY696" s="14"/>
      <c r="BZ696" s="14"/>
      <c r="CA696" s="14"/>
      <c r="CB696" s="14"/>
      <c r="CC696" s="14"/>
      <c r="CD696" s="14"/>
      <c r="CE696" s="14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</row>
    <row r="697">
      <c r="A697" s="12"/>
      <c r="B697" s="14"/>
      <c r="C697" s="14"/>
      <c r="D697" s="14"/>
      <c r="E697" s="12"/>
      <c r="F697" s="307"/>
      <c r="G697" s="307"/>
      <c r="H697" s="12"/>
      <c r="I697" s="30"/>
      <c r="J697" s="12"/>
      <c r="K697" s="12"/>
      <c r="L697" s="12"/>
      <c r="M697" s="12"/>
      <c r="N697" s="12"/>
      <c r="O697" s="308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4"/>
      <c r="BF697" s="12"/>
      <c r="BG697" s="12"/>
      <c r="BH697" s="12" t="str">
        <f>IFERROR(__xludf.DUMMYFUNCTION("IFERROR(INDEX(QUERY(IMPORTRANGE(""1T7HG8KEs-Ob7f3M5atEVN9Yn7IeORGp0QGvggB62ELw"",""Maestro!A:I""),""SELECT Col8 WHERE Col3 = '""&amp;BE697&amp;""'"", 0), 1, 1),""NO ENCONTRADO"")"),"")</f>
        <v/>
      </c>
      <c r="BI697" s="12" t="str">
        <f>IFERROR(__xludf.DUMMYFUNCTION("IFERROR(INDEX(QUERY(IMPORTRANGE(""1T7HG8KEs-Ob7f3M5atEVN9Yn7IeORGp0QGvggB62ELw"",""Maestro!A:I""),""SELECT Col7 WHERE Col3 = '""&amp;BE697&amp;""'"", 0), 1, 1),""NO ENCONTRADO"")"),"")</f>
        <v/>
      </c>
      <c r="BJ697" s="16">
        <f t="shared" si="19"/>
        <v>0</v>
      </c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4"/>
      <c r="BX697" s="14"/>
      <c r="BY697" s="14"/>
      <c r="BZ697" s="14"/>
      <c r="CA697" s="14"/>
      <c r="CB697" s="14"/>
      <c r="CC697" s="14"/>
      <c r="CD697" s="14"/>
      <c r="CE697" s="14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</row>
    <row r="698">
      <c r="A698" s="12"/>
      <c r="B698" s="14"/>
      <c r="C698" s="14"/>
      <c r="D698" s="14"/>
      <c r="E698" s="12"/>
      <c r="F698" s="307"/>
      <c r="G698" s="307"/>
      <c r="H698" s="12"/>
      <c r="I698" s="30"/>
      <c r="J698" s="12"/>
      <c r="K698" s="12"/>
      <c r="L698" s="12"/>
      <c r="M698" s="12"/>
      <c r="N698" s="12"/>
      <c r="O698" s="308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4"/>
      <c r="BF698" s="12"/>
      <c r="BG698" s="12"/>
      <c r="BH698" s="12" t="str">
        <f>IFERROR(__xludf.DUMMYFUNCTION("IFERROR(INDEX(QUERY(IMPORTRANGE(""1T7HG8KEs-Ob7f3M5atEVN9Yn7IeORGp0QGvggB62ELw"",""Maestro!A:I""),""SELECT Col8 WHERE Col3 = '""&amp;BE698&amp;""'"", 0), 1, 1),""NO ENCONTRADO"")"),"")</f>
        <v/>
      </c>
      <c r="BI698" s="12" t="str">
        <f>IFERROR(__xludf.DUMMYFUNCTION("IFERROR(INDEX(QUERY(IMPORTRANGE(""1T7HG8KEs-Ob7f3M5atEVN9Yn7IeORGp0QGvggB62ELw"",""Maestro!A:I""),""SELECT Col7 WHERE Col3 = '""&amp;BE698&amp;""'"", 0), 1, 1),""NO ENCONTRADO"")"),"")</f>
        <v/>
      </c>
      <c r="BJ698" s="16">
        <f t="shared" si="19"/>
        <v>0</v>
      </c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4"/>
      <c r="BX698" s="14"/>
      <c r="BY698" s="14"/>
      <c r="BZ698" s="14"/>
      <c r="CA698" s="14"/>
      <c r="CB698" s="14"/>
      <c r="CC698" s="14"/>
      <c r="CD698" s="14"/>
      <c r="CE698" s="14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</row>
    <row r="699">
      <c r="A699" s="12"/>
      <c r="B699" s="14"/>
      <c r="C699" s="14"/>
      <c r="D699" s="14"/>
      <c r="E699" s="12"/>
      <c r="F699" s="307"/>
      <c r="G699" s="307"/>
      <c r="H699" s="12"/>
      <c r="I699" s="30"/>
      <c r="J699" s="12"/>
      <c r="K699" s="12"/>
      <c r="L699" s="12"/>
      <c r="M699" s="12"/>
      <c r="N699" s="12"/>
      <c r="O699" s="308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4"/>
      <c r="BF699" s="12"/>
      <c r="BG699" s="12"/>
      <c r="BH699" s="12" t="str">
        <f>IFERROR(__xludf.DUMMYFUNCTION("IFERROR(INDEX(QUERY(IMPORTRANGE(""1T7HG8KEs-Ob7f3M5atEVN9Yn7IeORGp0QGvggB62ELw"",""Maestro!A:I""),""SELECT Col8 WHERE Col3 = '""&amp;BE699&amp;""'"", 0), 1, 1),""NO ENCONTRADO"")"),"")</f>
        <v/>
      </c>
      <c r="BI699" s="12" t="str">
        <f>IFERROR(__xludf.DUMMYFUNCTION("IFERROR(INDEX(QUERY(IMPORTRANGE(""1T7HG8KEs-Ob7f3M5atEVN9Yn7IeORGp0QGvggB62ELw"",""Maestro!A:I""),""SELECT Col7 WHERE Col3 = '""&amp;BE699&amp;""'"", 0), 1, 1),""NO ENCONTRADO"")"),"")</f>
        <v/>
      </c>
      <c r="BJ699" s="16">
        <f t="shared" si="19"/>
        <v>0</v>
      </c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4"/>
      <c r="BX699" s="14"/>
      <c r="BY699" s="14"/>
      <c r="BZ699" s="14"/>
      <c r="CA699" s="14"/>
      <c r="CB699" s="14"/>
      <c r="CC699" s="14"/>
      <c r="CD699" s="14"/>
      <c r="CE699" s="14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</row>
    <row r="700">
      <c r="A700" s="12"/>
      <c r="B700" s="14"/>
      <c r="C700" s="14"/>
      <c r="D700" s="14"/>
      <c r="E700" s="12"/>
      <c r="F700" s="307"/>
      <c r="G700" s="307"/>
      <c r="H700" s="12"/>
      <c r="I700" s="30"/>
      <c r="J700" s="12"/>
      <c r="K700" s="12"/>
      <c r="L700" s="12"/>
      <c r="M700" s="12"/>
      <c r="N700" s="12"/>
      <c r="O700" s="308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4"/>
      <c r="BF700" s="12"/>
      <c r="BG700" s="12"/>
      <c r="BH700" s="12" t="str">
        <f>IFERROR(__xludf.DUMMYFUNCTION("IFERROR(INDEX(QUERY(IMPORTRANGE(""1T7HG8KEs-Ob7f3M5atEVN9Yn7IeORGp0QGvggB62ELw"",""Maestro!A:I""),""SELECT Col8 WHERE Col3 = '""&amp;BE700&amp;""'"", 0), 1, 1),""NO ENCONTRADO"")"),"")</f>
        <v/>
      </c>
      <c r="BI700" s="12" t="str">
        <f>IFERROR(__xludf.DUMMYFUNCTION("IFERROR(INDEX(QUERY(IMPORTRANGE(""1T7HG8KEs-Ob7f3M5atEVN9Yn7IeORGp0QGvggB62ELw"",""Maestro!A:I""),""SELECT Col7 WHERE Col3 = '""&amp;BE700&amp;""'"", 0), 1, 1),""NO ENCONTRADO"")"),"")</f>
        <v/>
      </c>
      <c r="BJ700" s="16">
        <f t="shared" si="19"/>
        <v>0</v>
      </c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4"/>
      <c r="BX700" s="14"/>
      <c r="BY700" s="14"/>
      <c r="BZ700" s="14"/>
      <c r="CA700" s="14"/>
      <c r="CB700" s="14"/>
      <c r="CC700" s="14"/>
      <c r="CD700" s="14"/>
      <c r="CE700" s="14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</row>
    <row r="701">
      <c r="A701" s="12"/>
      <c r="B701" s="14"/>
      <c r="C701" s="14"/>
      <c r="D701" s="14"/>
      <c r="E701" s="12"/>
      <c r="F701" s="307"/>
      <c r="G701" s="307"/>
      <c r="H701" s="12"/>
      <c r="I701" s="30"/>
      <c r="J701" s="12"/>
      <c r="K701" s="12"/>
      <c r="L701" s="12"/>
      <c r="M701" s="12"/>
      <c r="N701" s="12"/>
      <c r="O701" s="308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4"/>
      <c r="BF701" s="12"/>
      <c r="BG701" s="12"/>
      <c r="BH701" s="12" t="str">
        <f>IFERROR(__xludf.DUMMYFUNCTION("IFERROR(INDEX(QUERY(IMPORTRANGE(""1T7HG8KEs-Ob7f3M5atEVN9Yn7IeORGp0QGvggB62ELw"",""Maestro!A:I""),""SELECT Col8 WHERE Col3 = '""&amp;BE701&amp;""'"", 0), 1, 1),""NO ENCONTRADO"")"),"")</f>
        <v/>
      </c>
      <c r="BI701" s="12" t="str">
        <f>IFERROR(__xludf.DUMMYFUNCTION("IFERROR(INDEX(QUERY(IMPORTRANGE(""1T7HG8KEs-Ob7f3M5atEVN9Yn7IeORGp0QGvggB62ELw"",""Maestro!A:I""),""SELECT Col7 WHERE Col3 = '""&amp;BE701&amp;""'"", 0), 1, 1),""NO ENCONTRADO"")"),"")</f>
        <v/>
      </c>
      <c r="BJ701" s="16">
        <f t="shared" si="19"/>
        <v>0</v>
      </c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4"/>
      <c r="BX701" s="14"/>
      <c r="BY701" s="14"/>
      <c r="BZ701" s="14"/>
      <c r="CA701" s="14"/>
      <c r="CB701" s="14"/>
      <c r="CC701" s="14"/>
      <c r="CD701" s="14"/>
      <c r="CE701" s="14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</row>
    <row r="702">
      <c r="A702" s="12"/>
      <c r="B702" s="14"/>
      <c r="C702" s="14"/>
      <c r="D702" s="14"/>
      <c r="E702" s="12"/>
      <c r="F702" s="307"/>
      <c r="G702" s="307"/>
      <c r="H702" s="12"/>
      <c r="I702" s="30"/>
      <c r="J702" s="12"/>
      <c r="K702" s="12"/>
      <c r="L702" s="12"/>
      <c r="M702" s="12"/>
      <c r="N702" s="12"/>
      <c r="O702" s="308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4"/>
      <c r="BF702" s="12"/>
      <c r="BG702" s="12"/>
      <c r="BH702" s="12" t="str">
        <f>IFERROR(__xludf.DUMMYFUNCTION("IFERROR(INDEX(QUERY(IMPORTRANGE(""1T7HG8KEs-Ob7f3M5atEVN9Yn7IeORGp0QGvggB62ELw"",""Maestro!A:I""),""SELECT Col8 WHERE Col3 = '""&amp;BE702&amp;""'"", 0), 1, 1),""NO ENCONTRADO"")"),"")</f>
        <v/>
      </c>
      <c r="BI702" s="12" t="str">
        <f>IFERROR(__xludf.DUMMYFUNCTION("IFERROR(INDEX(QUERY(IMPORTRANGE(""1T7HG8KEs-Ob7f3M5atEVN9Yn7IeORGp0QGvggB62ELw"",""Maestro!A:I""),""SELECT Col7 WHERE Col3 = '""&amp;BE702&amp;""'"", 0), 1, 1),""NO ENCONTRADO"")"),"")</f>
        <v/>
      </c>
      <c r="BJ702" s="16">
        <f t="shared" si="19"/>
        <v>0</v>
      </c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4"/>
      <c r="BX702" s="14"/>
      <c r="BY702" s="14"/>
      <c r="BZ702" s="14"/>
      <c r="CA702" s="14"/>
      <c r="CB702" s="14"/>
      <c r="CC702" s="14"/>
      <c r="CD702" s="14"/>
      <c r="CE702" s="14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</row>
    <row r="703">
      <c r="A703" s="12"/>
      <c r="B703" s="14"/>
      <c r="C703" s="14"/>
      <c r="D703" s="14"/>
      <c r="E703" s="12"/>
      <c r="F703" s="307"/>
      <c r="G703" s="307"/>
      <c r="H703" s="12"/>
      <c r="I703" s="30"/>
      <c r="J703" s="12"/>
      <c r="K703" s="12"/>
      <c r="L703" s="12"/>
      <c r="M703" s="12"/>
      <c r="N703" s="12"/>
      <c r="O703" s="308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4"/>
      <c r="BF703" s="12"/>
      <c r="BG703" s="12"/>
      <c r="BH703" s="12" t="str">
        <f>IFERROR(__xludf.DUMMYFUNCTION("IFERROR(INDEX(QUERY(IMPORTRANGE(""1T7HG8KEs-Ob7f3M5atEVN9Yn7IeORGp0QGvggB62ELw"",""Maestro!A:I""),""SELECT Col8 WHERE Col3 = '""&amp;BE703&amp;""'"", 0), 1, 1),""NO ENCONTRADO"")"),"")</f>
        <v/>
      </c>
      <c r="BI703" s="12" t="str">
        <f>IFERROR(__xludf.DUMMYFUNCTION("IFERROR(INDEX(QUERY(IMPORTRANGE(""1T7HG8KEs-Ob7f3M5atEVN9Yn7IeORGp0QGvggB62ELw"",""Maestro!A:I""),""SELECT Col7 WHERE Col3 = '""&amp;BE703&amp;""'"", 0), 1, 1),""NO ENCONTRADO"")"),"")</f>
        <v/>
      </c>
      <c r="BJ703" s="16">
        <f t="shared" si="19"/>
        <v>0</v>
      </c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4"/>
      <c r="BX703" s="14"/>
      <c r="BY703" s="14"/>
      <c r="BZ703" s="14"/>
      <c r="CA703" s="14"/>
      <c r="CB703" s="14"/>
      <c r="CC703" s="14"/>
      <c r="CD703" s="14"/>
      <c r="CE703" s="14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</row>
    <row r="704">
      <c r="A704" s="12"/>
      <c r="B704" s="14"/>
      <c r="C704" s="14"/>
      <c r="D704" s="14"/>
      <c r="E704" s="12"/>
      <c r="F704" s="307"/>
      <c r="G704" s="307"/>
      <c r="H704" s="12"/>
      <c r="I704" s="30"/>
      <c r="J704" s="12"/>
      <c r="K704" s="12"/>
      <c r="L704" s="12"/>
      <c r="M704" s="12"/>
      <c r="N704" s="12"/>
      <c r="O704" s="308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4"/>
      <c r="BF704" s="12"/>
      <c r="BG704" s="12"/>
      <c r="BH704" s="12" t="str">
        <f>IFERROR(__xludf.DUMMYFUNCTION("IFERROR(INDEX(QUERY(IMPORTRANGE(""1T7HG8KEs-Ob7f3M5atEVN9Yn7IeORGp0QGvggB62ELw"",""Maestro!A:I""),""SELECT Col8 WHERE Col3 = '""&amp;BE704&amp;""'"", 0), 1, 1),""NO ENCONTRADO"")"),"")</f>
        <v/>
      </c>
      <c r="BI704" s="12" t="str">
        <f>IFERROR(__xludf.DUMMYFUNCTION("IFERROR(INDEX(QUERY(IMPORTRANGE(""1T7HG8KEs-Ob7f3M5atEVN9Yn7IeORGp0QGvggB62ELw"",""Maestro!A:I""),""SELECT Col7 WHERE Col3 = '""&amp;BE704&amp;""'"", 0), 1, 1),""NO ENCONTRADO"")"),"")</f>
        <v/>
      </c>
      <c r="BJ704" s="16">
        <f t="shared" si="19"/>
        <v>0</v>
      </c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4"/>
      <c r="BX704" s="14"/>
      <c r="BY704" s="14"/>
      <c r="BZ704" s="14"/>
      <c r="CA704" s="14"/>
      <c r="CB704" s="14"/>
      <c r="CC704" s="14"/>
      <c r="CD704" s="14"/>
      <c r="CE704" s="14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</row>
    <row r="705">
      <c r="A705" s="12"/>
      <c r="B705" s="14"/>
      <c r="C705" s="14"/>
      <c r="D705" s="14"/>
      <c r="E705" s="12"/>
      <c r="F705" s="307"/>
      <c r="G705" s="307"/>
      <c r="H705" s="12"/>
      <c r="I705" s="30"/>
      <c r="J705" s="12"/>
      <c r="K705" s="12"/>
      <c r="L705" s="12"/>
      <c r="M705" s="12"/>
      <c r="N705" s="12"/>
      <c r="O705" s="308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4"/>
      <c r="BF705" s="12"/>
      <c r="BG705" s="12"/>
      <c r="BH705" s="12" t="str">
        <f>IFERROR(__xludf.DUMMYFUNCTION("IFERROR(INDEX(QUERY(IMPORTRANGE(""1T7HG8KEs-Ob7f3M5atEVN9Yn7IeORGp0QGvggB62ELw"",""Maestro!A:I""),""SELECT Col8 WHERE Col3 = '""&amp;BE705&amp;""'"", 0), 1, 1),""NO ENCONTRADO"")"),"")</f>
        <v/>
      </c>
      <c r="BI705" s="12" t="str">
        <f>IFERROR(__xludf.DUMMYFUNCTION("IFERROR(INDEX(QUERY(IMPORTRANGE(""1T7HG8KEs-Ob7f3M5atEVN9Yn7IeORGp0QGvggB62ELw"",""Maestro!A:I""),""SELECT Col7 WHERE Col3 = '""&amp;BE705&amp;""'"", 0), 1, 1),""NO ENCONTRADO"")"),"")</f>
        <v/>
      </c>
      <c r="BJ705" s="16">
        <f t="shared" si="19"/>
        <v>0</v>
      </c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4"/>
      <c r="BX705" s="14"/>
      <c r="BY705" s="14"/>
      <c r="BZ705" s="14"/>
      <c r="CA705" s="14"/>
      <c r="CB705" s="14"/>
      <c r="CC705" s="14"/>
      <c r="CD705" s="14"/>
      <c r="CE705" s="14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</row>
    <row r="706">
      <c r="A706" s="12"/>
      <c r="B706" s="14"/>
      <c r="C706" s="14"/>
      <c r="D706" s="14"/>
      <c r="E706" s="12"/>
      <c r="F706" s="307"/>
      <c r="G706" s="307"/>
      <c r="H706" s="12"/>
      <c r="I706" s="30"/>
      <c r="J706" s="12"/>
      <c r="K706" s="12"/>
      <c r="L706" s="12"/>
      <c r="M706" s="12"/>
      <c r="N706" s="12"/>
      <c r="O706" s="308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4"/>
      <c r="BF706" s="12"/>
      <c r="BG706" s="12"/>
      <c r="BH706" s="12" t="str">
        <f>IFERROR(__xludf.DUMMYFUNCTION("IFERROR(INDEX(QUERY(IMPORTRANGE(""1T7HG8KEs-Ob7f3M5atEVN9Yn7IeORGp0QGvggB62ELw"",""Maestro!A:I""),""SELECT Col8 WHERE Col3 = '""&amp;BE706&amp;""'"", 0), 1, 1),""NO ENCONTRADO"")"),"")</f>
        <v/>
      </c>
      <c r="BI706" s="12" t="str">
        <f>IFERROR(__xludf.DUMMYFUNCTION("IFERROR(INDEX(QUERY(IMPORTRANGE(""1T7HG8KEs-Ob7f3M5atEVN9Yn7IeORGp0QGvggB62ELw"",""Maestro!A:I""),""SELECT Col7 WHERE Col3 = '""&amp;BE706&amp;""'"", 0), 1, 1),""NO ENCONTRADO"")"),"")</f>
        <v/>
      </c>
      <c r="BJ706" s="16">
        <f t="shared" si="19"/>
        <v>0</v>
      </c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4"/>
      <c r="BX706" s="14"/>
      <c r="BY706" s="14"/>
      <c r="BZ706" s="14"/>
      <c r="CA706" s="14"/>
      <c r="CB706" s="14"/>
      <c r="CC706" s="14"/>
      <c r="CD706" s="14"/>
      <c r="CE706" s="14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</row>
    <row r="707">
      <c r="A707" s="12"/>
      <c r="B707" s="14"/>
      <c r="C707" s="14"/>
      <c r="D707" s="14"/>
      <c r="E707" s="12"/>
      <c r="F707" s="307"/>
      <c r="G707" s="307"/>
      <c r="H707" s="12"/>
      <c r="I707" s="30"/>
      <c r="J707" s="12"/>
      <c r="K707" s="12"/>
      <c r="L707" s="12"/>
      <c r="M707" s="12"/>
      <c r="N707" s="12"/>
      <c r="O707" s="308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4"/>
      <c r="BF707" s="12"/>
      <c r="BG707" s="12"/>
      <c r="BH707" s="12" t="str">
        <f>IFERROR(__xludf.DUMMYFUNCTION("IFERROR(INDEX(QUERY(IMPORTRANGE(""1T7HG8KEs-Ob7f3M5atEVN9Yn7IeORGp0QGvggB62ELw"",""Maestro!A:I""),""SELECT Col8 WHERE Col3 = '""&amp;BE707&amp;""'"", 0), 1, 1),""NO ENCONTRADO"")"),"")</f>
        <v/>
      </c>
      <c r="BI707" s="12" t="str">
        <f>IFERROR(__xludf.DUMMYFUNCTION("IFERROR(INDEX(QUERY(IMPORTRANGE(""1T7HG8KEs-Ob7f3M5atEVN9Yn7IeORGp0QGvggB62ELw"",""Maestro!A:I""),""SELECT Col7 WHERE Col3 = '""&amp;BE707&amp;""'"", 0), 1, 1),""NO ENCONTRADO"")"),"")</f>
        <v/>
      </c>
      <c r="BJ707" s="16">
        <f t="shared" si="19"/>
        <v>0</v>
      </c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4"/>
      <c r="BX707" s="14"/>
      <c r="BY707" s="14"/>
      <c r="BZ707" s="14"/>
      <c r="CA707" s="14"/>
      <c r="CB707" s="14"/>
      <c r="CC707" s="14"/>
      <c r="CD707" s="14"/>
      <c r="CE707" s="14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</row>
    <row r="708">
      <c r="A708" s="12"/>
      <c r="B708" s="14"/>
      <c r="C708" s="14"/>
      <c r="D708" s="14"/>
      <c r="E708" s="12"/>
      <c r="F708" s="307"/>
      <c r="G708" s="307"/>
      <c r="H708" s="12"/>
      <c r="I708" s="30"/>
      <c r="J708" s="12"/>
      <c r="K708" s="12"/>
      <c r="L708" s="12"/>
      <c r="M708" s="12"/>
      <c r="N708" s="12"/>
      <c r="O708" s="308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4"/>
      <c r="BF708" s="12"/>
      <c r="BG708" s="12"/>
      <c r="BH708" s="12" t="str">
        <f>IFERROR(__xludf.DUMMYFUNCTION("IFERROR(INDEX(QUERY(IMPORTRANGE(""1T7HG8KEs-Ob7f3M5atEVN9Yn7IeORGp0QGvggB62ELw"",""Maestro!A:I""),""SELECT Col8 WHERE Col3 = '""&amp;BE708&amp;""'"", 0), 1, 1),""NO ENCONTRADO"")"),"")</f>
        <v/>
      </c>
      <c r="BI708" s="12" t="str">
        <f>IFERROR(__xludf.DUMMYFUNCTION("IFERROR(INDEX(QUERY(IMPORTRANGE(""1T7HG8KEs-Ob7f3M5atEVN9Yn7IeORGp0QGvggB62ELw"",""Maestro!A:I""),""SELECT Col7 WHERE Col3 = '""&amp;BE708&amp;""'"", 0), 1, 1),""NO ENCONTRADO"")"),"")</f>
        <v/>
      </c>
      <c r="BJ708" s="16">
        <f t="shared" si="19"/>
        <v>0</v>
      </c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4"/>
      <c r="BX708" s="14"/>
      <c r="BY708" s="14"/>
      <c r="BZ708" s="14"/>
      <c r="CA708" s="14"/>
      <c r="CB708" s="14"/>
      <c r="CC708" s="14"/>
      <c r="CD708" s="14"/>
      <c r="CE708" s="14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</row>
    <row r="709">
      <c r="A709" s="12"/>
      <c r="B709" s="14"/>
      <c r="C709" s="14"/>
      <c r="D709" s="14"/>
      <c r="E709" s="12"/>
      <c r="F709" s="307"/>
      <c r="G709" s="307"/>
      <c r="H709" s="12"/>
      <c r="I709" s="30"/>
      <c r="J709" s="12"/>
      <c r="K709" s="12"/>
      <c r="L709" s="12"/>
      <c r="M709" s="12"/>
      <c r="N709" s="12"/>
      <c r="O709" s="308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4"/>
      <c r="BF709" s="12"/>
      <c r="BG709" s="12"/>
      <c r="BH709" s="12" t="str">
        <f>IFERROR(__xludf.DUMMYFUNCTION("IFERROR(INDEX(QUERY(IMPORTRANGE(""1T7HG8KEs-Ob7f3M5atEVN9Yn7IeORGp0QGvggB62ELw"",""Maestro!A:I""),""SELECT Col8 WHERE Col3 = '""&amp;BE709&amp;""'"", 0), 1, 1),""NO ENCONTRADO"")"),"")</f>
        <v/>
      </c>
      <c r="BI709" s="12" t="str">
        <f>IFERROR(__xludf.DUMMYFUNCTION("IFERROR(INDEX(QUERY(IMPORTRANGE(""1T7HG8KEs-Ob7f3M5atEVN9Yn7IeORGp0QGvggB62ELw"",""Maestro!A:I""),""SELECT Col7 WHERE Col3 = '""&amp;BE709&amp;""'"", 0), 1, 1),""NO ENCONTRADO"")"),"")</f>
        <v/>
      </c>
      <c r="BJ709" s="16">
        <f t="shared" si="19"/>
        <v>0</v>
      </c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4"/>
      <c r="BX709" s="14"/>
      <c r="BY709" s="14"/>
      <c r="BZ709" s="14"/>
      <c r="CA709" s="14"/>
      <c r="CB709" s="14"/>
      <c r="CC709" s="14"/>
      <c r="CD709" s="14"/>
      <c r="CE709" s="14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</row>
    <row r="710">
      <c r="A710" s="12"/>
      <c r="B710" s="14"/>
      <c r="C710" s="14"/>
      <c r="D710" s="14"/>
      <c r="E710" s="12"/>
      <c r="F710" s="307"/>
      <c r="G710" s="307"/>
      <c r="H710" s="12"/>
      <c r="I710" s="30"/>
      <c r="J710" s="12"/>
      <c r="K710" s="12"/>
      <c r="L710" s="12"/>
      <c r="M710" s="12"/>
      <c r="N710" s="12"/>
      <c r="O710" s="308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4"/>
      <c r="BF710" s="12"/>
      <c r="BG710" s="12"/>
      <c r="BH710" s="12" t="str">
        <f>IFERROR(__xludf.DUMMYFUNCTION("IFERROR(INDEX(QUERY(IMPORTRANGE(""1T7HG8KEs-Ob7f3M5atEVN9Yn7IeORGp0QGvggB62ELw"",""Maestro!A:I""),""SELECT Col8 WHERE Col3 = '""&amp;BE710&amp;""'"", 0), 1, 1),""NO ENCONTRADO"")"),"")</f>
        <v/>
      </c>
      <c r="BI710" s="12" t="str">
        <f>IFERROR(__xludf.DUMMYFUNCTION("IFERROR(INDEX(QUERY(IMPORTRANGE(""1T7HG8KEs-Ob7f3M5atEVN9Yn7IeORGp0QGvggB62ELw"",""Maestro!A:I""),""SELECT Col7 WHERE Col3 = '""&amp;BE710&amp;""'"", 0), 1, 1),""NO ENCONTRADO"")"),"")</f>
        <v/>
      </c>
      <c r="BJ710" s="16">
        <f t="shared" si="19"/>
        <v>0</v>
      </c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4"/>
      <c r="BX710" s="14"/>
      <c r="BY710" s="14"/>
      <c r="BZ710" s="14"/>
      <c r="CA710" s="14"/>
      <c r="CB710" s="14"/>
      <c r="CC710" s="14"/>
      <c r="CD710" s="14"/>
      <c r="CE710" s="14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</row>
    <row r="711">
      <c r="A711" s="12"/>
      <c r="B711" s="14"/>
      <c r="C711" s="14"/>
      <c r="D711" s="14"/>
      <c r="E711" s="12"/>
      <c r="F711" s="307"/>
      <c r="G711" s="307"/>
      <c r="H711" s="12"/>
      <c r="I711" s="30"/>
      <c r="J711" s="12"/>
      <c r="K711" s="12"/>
      <c r="L711" s="12"/>
      <c r="M711" s="12"/>
      <c r="N711" s="12"/>
      <c r="O711" s="308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4"/>
      <c r="BF711" s="12"/>
      <c r="BG711" s="12"/>
      <c r="BH711" s="12" t="str">
        <f>IFERROR(__xludf.DUMMYFUNCTION("IFERROR(INDEX(QUERY(IMPORTRANGE(""1T7HG8KEs-Ob7f3M5atEVN9Yn7IeORGp0QGvggB62ELw"",""Maestro!A:I""),""SELECT Col8 WHERE Col3 = '""&amp;BE711&amp;""'"", 0), 1, 1),""NO ENCONTRADO"")"),"")</f>
        <v/>
      </c>
      <c r="BI711" s="12" t="str">
        <f>IFERROR(__xludf.DUMMYFUNCTION("IFERROR(INDEX(QUERY(IMPORTRANGE(""1T7HG8KEs-Ob7f3M5atEVN9Yn7IeORGp0QGvggB62ELw"",""Maestro!A:I""),""SELECT Col7 WHERE Col3 = '""&amp;BE711&amp;""'"", 0), 1, 1),""NO ENCONTRADO"")"),"")</f>
        <v/>
      </c>
      <c r="BJ711" s="16">
        <f t="shared" si="19"/>
        <v>0</v>
      </c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4"/>
      <c r="BX711" s="14"/>
      <c r="BY711" s="14"/>
      <c r="BZ711" s="14"/>
      <c r="CA711" s="14"/>
      <c r="CB711" s="14"/>
      <c r="CC711" s="14"/>
      <c r="CD711" s="14"/>
      <c r="CE711" s="14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</row>
    <row r="712">
      <c r="A712" s="12"/>
      <c r="B712" s="14"/>
      <c r="C712" s="14"/>
      <c r="D712" s="14"/>
      <c r="E712" s="12"/>
      <c r="F712" s="307"/>
      <c r="G712" s="307"/>
      <c r="H712" s="12"/>
      <c r="I712" s="30"/>
      <c r="J712" s="12"/>
      <c r="K712" s="12"/>
      <c r="L712" s="12"/>
      <c r="M712" s="12"/>
      <c r="N712" s="12"/>
      <c r="O712" s="308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4"/>
      <c r="BF712" s="12"/>
      <c r="BG712" s="12"/>
      <c r="BH712" s="12" t="str">
        <f>IFERROR(__xludf.DUMMYFUNCTION("IFERROR(INDEX(QUERY(IMPORTRANGE(""1T7HG8KEs-Ob7f3M5atEVN9Yn7IeORGp0QGvggB62ELw"",""Maestro!A:I""),""SELECT Col8 WHERE Col3 = '""&amp;BE712&amp;""'"", 0), 1, 1),""NO ENCONTRADO"")"),"")</f>
        <v/>
      </c>
      <c r="BI712" s="12" t="str">
        <f>IFERROR(__xludf.DUMMYFUNCTION("IFERROR(INDEX(QUERY(IMPORTRANGE(""1T7HG8KEs-Ob7f3M5atEVN9Yn7IeORGp0QGvggB62ELw"",""Maestro!A:I""),""SELECT Col7 WHERE Col3 = '""&amp;BE712&amp;""'"", 0), 1, 1),""NO ENCONTRADO"")"),"")</f>
        <v/>
      </c>
      <c r="BJ712" s="16">
        <f t="shared" si="19"/>
        <v>0</v>
      </c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4"/>
      <c r="BX712" s="14"/>
      <c r="BY712" s="14"/>
      <c r="BZ712" s="14"/>
      <c r="CA712" s="14"/>
      <c r="CB712" s="14"/>
      <c r="CC712" s="14"/>
      <c r="CD712" s="14"/>
      <c r="CE712" s="14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</row>
    <row r="713">
      <c r="A713" s="12"/>
      <c r="B713" s="14"/>
      <c r="C713" s="14"/>
      <c r="D713" s="14"/>
      <c r="E713" s="12"/>
      <c r="F713" s="307"/>
      <c r="G713" s="307"/>
      <c r="H713" s="12"/>
      <c r="I713" s="30"/>
      <c r="J713" s="12"/>
      <c r="K713" s="12"/>
      <c r="L713" s="12"/>
      <c r="M713" s="12"/>
      <c r="N713" s="12"/>
      <c r="O713" s="308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4"/>
      <c r="BF713" s="12"/>
      <c r="BG713" s="12"/>
      <c r="BH713" s="12" t="str">
        <f>IFERROR(__xludf.DUMMYFUNCTION("IFERROR(INDEX(QUERY(IMPORTRANGE(""1T7HG8KEs-Ob7f3M5atEVN9Yn7IeORGp0QGvggB62ELw"",""Maestro!A:I""),""SELECT Col8 WHERE Col3 = '""&amp;BE713&amp;""'"", 0), 1, 1),""NO ENCONTRADO"")"),"")</f>
        <v/>
      </c>
      <c r="BI713" s="12" t="str">
        <f>IFERROR(__xludf.DUMMYFUNCTION("IFERROR(INDEX(QUERY(IMPORTRANGE(""1T7HG8KEs-Ob7f3M5atEVN9Yn7IeORGp0QGvggB62ELw"",""Maestro!A:I""),""SELECT Col7 WHERE Col3 = '""&amp;BE713&amp;""'"", 0), 1, 1),""NO ENCONTRADO"")"),"")</f>
        <v/>
      </c>
      <c r="BJ713" s="16">
        <f t="shared" si="19"/>
        <v>0</v>
      </c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4"/>
      <c r="BX713" s="14"/>
      <c r="BY713" s="14"/>
      <c r="BZ713" s="14"/>
      <c r="CA713" s="14"/>
      <c r="CB713" s="14"/>
      <c r="CC713" s="14"/>
      <c r="CD713" s="14"/>
      <c r="CE713" s="14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</row>
    <row r="714">
      <c r="A714" s="12"/>
      <c r="B714" s="14"/>
      <c r="C714" s="14"/>
      <c r="D714" s="14"/>
      <c r="E714" s="12"/>
      <c r="F714" s="307"/>
      <c r="G714" s="307"/>
      <c r="H714" s="12"/>
      <c r="I714" s="30"/>
      <c r="J714" s="12"/>
      <c r="K714" s="12"/>
      <c r="L714" s="12"/>
      <c r="M714" s="12"/>
      <c r="N714" s="12"/>
      <c r="O714" s="308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4"/>
      <c r="BF714" s="12"/>
      <c r="BG714" s="12"/>
      <c r="BH714" s="12" t="str">
        <f>IFERROR(__xludf.DUMMYFUNCTION("IFERROR(INDEX(QUERY(IMPORTRANGE(""1T7HG8KEs-Ob7f3M5atEVN9Yn7IeORGp0QGvggB62ELw"",""Maestro!A:I""),""SELECT Col8 WHERE Col3 = '""&amp;BE714&amp;""'"", 0), 1, 1),""NO ENCONTRADO"")"),"")</f>
        <v/>
      </c>
      <c r="BI714" s="12" t="str">
        <f>IFERROR(__xludf.DUMMYFUNCTION("IFERROR(INDEX(QUERY(IMPORTRANGE(""1T7HG8KEs-Ob7f3M5atEVN9Yn7IeORGp0QGvggB62ELw"",""Maestro!A:I""),""SELECT Col7 WHERE Col3 = '""&amp;BE714&amp;""'"", 0), 1, 1),""NO ENCONTRADO"")"),"")</f>
        <v/>
      </c>
      <c r="BJ714" s="16">
        <f t="shared" si="19"/>
        <v>0</v>
      </c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4"/>
      <c r="BX714" s="14"/>
      <c r="BY714" s="14"/>
      <c r="BZ714" s="14"/>
      <c r="CA714" s="14"/>
      <c r="CB714" s="14"/>
      <c r="CC714" s="14"/>
      <c r="CD714" s="14"/>
      <c r="CE714" s="14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</row>
    <row r="715">
      <c r="A715" s="12"/>
      <c r="B715" s="14"/>
      <c r="C715" s="14"/>
      <c r="D715" s="14"/>
      <c r="E715" s="12"/>
      <c r="F715" s="307"/>
      <c r="G715" s="307"/>
      <c r="H715" s="12"/>
      <c r="I715" s="30"/>
      <c r="J715" s="12"/>
      <c r="K715" s="12"/>
      <c r="L715" s="12"/>
      <c r="M715" s="12"/>
      <c r="N715" s="12"/>
      <c r="O715" s="308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4"/>
      <c r="BF715" s="12"/>
      <c r="BG715" s="12"/>
      <c r="BH715" s="12" t="str">
        <f>IFERROR(__xludf.DUMMYFUNCTION("IFERROR(INDEX(QUERY(IMPORTRANGE(""1T7HG8KEs-Ob7f3M5atEVN9Yn7IeORGp0QGvggB62ELw"",""Maestro!A:I""),""SELECT Col8 WHERE Col3 = '""&amp;BE715&amp;""'"", 0), 1, 1),""NO ENCONTRADO"")"),"")</f>
        <v/>
      </c>
      <c r="BI715" s="12" t="str">
        <f>IFERROR(__xludf.DUMMYFUNCTION("IFERROR(INDEX(QUERY(IMPORTRANGE(""1T7HG8KEs-Ob7f3M5atEVN9Yn7IeORGp0QGvggB62ELw"",""Maestro!A:I""),""SELECT Col7 WHERE Col3 = '""&amp;BE715&amp;""'"", 0), 1, 1),""NO ENCONTRADO"")"),"")</f>
        <v/>
      </c>
      <c r="BJ715" s="16">
        <f t="shared" si="19"/>
        <v>0</v>
      </c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4"/>
      <c r="BX715" s="14"/>
      <c r="BY715" s="14"/>
      <c r="BZ715" s="14"/>
      <c r="CA715" s="14"/>
      <c r="CB715" s="14"/>
      <c r="CC715" s="14"/>
      <c r="CD715" s="14"/>
      <c r="CE715" s="14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</row>
    <row r="716">
      <c r="A716" s="12"/>
      <c r="B716" s="14"/>
      <c r="C716" s="14"/>
      <c r="D716" s="14"/>
      <c r="E716" s="12"/>
      <c r="F716" s="307"/>
      <c r="G716" s="307"/>
      <c r="H716" s="12"/>
      <c r="I716" s="30"/>
      <c r="J716" s="12"/>
      <c r="K716" s="12"/>
      <c r="L716" s="12"/>
      <c r="M716" s="12"/>
      <c r="N716" s="12"/>
      <c r="O716" s="308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4"/>
      <c r="BF716" s="12"/>
      <c r="BG716" s="12"/>
      <c r="BH716" s="12" t="str">
        <f>IFERROR(__xludf.DUMMYFUNCTION("IFERROR(INDEX(QUERY(IMPORTRANGE(""1T7HG8KEs-Ob7f3M5atEVN9Yn7IeORGp0QGvggB62ELw"",""Maestro!A:I""),""SELECT Col8 WHERE Col3 = '""&amp;BE716&amp;""'"", 0), 1, 1),""NO ENCONTRADO"")"),"")</f>
        <v/>
      </c>
      <c r="BI716" s="12" t="str">
        <f>IFERROR(__xludf.DUMMYFUNCTION("IFERROR(INDEX(QUERY(IMPORTRANGE(""1T7HG8KEs-Ob7f3M5atEVN9Yn7IeORGp0QGvggB62ELw"",""Maestro!A:I""),""SELECT Col7 WHERE Col3 = '""&amp;BE716&amp;""'"", 0), 1, 1),""NO ENCONTRADO"")"),"")</f>
        <v/>
      </c>
      <c r="BJ716" s="16">
        <f t="shared" si="19"/>
        <v>0</v>
      </c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4"/>
      <c r="BX716" s="14"/>
      <c r="BY716" s="14"/>
      <c r="BZ716" s="14"/>
      <c r="CA716" s="14"/>
      <c r="CB716" s="14"/>
      <c r="CC716" s="14"/>
      <c r="CD716" s="14"/>
      <c r="CE716" s="14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</row>
    <row r="717">
      <c r="A717" s="12"/>
      <c r="B717" s="14"/>
      <c r="C717" s="14"/>
      <c r="D717" s="14"/>
      <c r="E717" s="12"/>
      <c r="F717" s="307"/>
      <c r="G717" s="307"/>
      <c r="H717" s="12"/>
      <c r="I717" s="30"/>
      <c r="J717" s="12"/>
      <c r="K717" s="12"/>
      <c r="L717" s="12"/>
      <c r="M717" s="12"/>
      <c r="N717" s="12"/>
      <c r="O717" s="308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4"/>
      <c r="BF717" s="12"/>
      <c r="BG717" s="12"/>
      <c r="BH717" s="12" t="str">
        <f>IFERROR(__xludf.DUMMYFUNCTION("IFERROR(INDEX(QUERY(IMPORTRANGE(""1T7HG8KEs-Ob7f3M5atEVN9Yn7IeORGp0QGvggB62ELw"",""Maestro!A:I""),""SELECT Col8 WHERE Col3 = '""&amp;BE717&amp;""'"", 0), 1, 1),""NO ENCONTRADO"")"),"")</f>
        <v/>
      </c>
      <c r="BI717" s="12" t="str">
        <f>IFERROR(__xludf.DUMMYFUNCTION("IFERROR(INDEX(QUERY(IMPORTRANGE(""1T7HG8KEs-Ob7f3M5atEVN9Yn7IeORGp0QGvggB62ELw"",""Maestro!A:I""),""SELECT Col7 WHERE Col3 = '""&amp;BE717&amp;""'"", 0), 1, 1),""NO ENCONTRADO"")"),"")</f>
        <v/>
      </c>
      <c r="BJ717" s="16">
        <f t="shared" si="19"/>
        <v>0</v>
      </c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4"/>
      <c r="BX717" s="14"/>
      <c r="BY717" s="14"/>
      <c r="BZ717" s="14"/>
      <c r="CA717" s="14"/>
      <c r="CB717" s="14"/>
      <c r="CC717" s="14"/>
      <c r="CD717" s="14"/>
      <c r="CE717" s="14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</row>
    <row r="718">
      <c r="A718" s="12"/>
      <c r="B718" s="14"/>
      <c r="C718" s="14"/>
      <c r="D718" s="14"/>
      <c r="E718" s="12"/>
      <c r="F718" s="307"/>
      <c r="G718" s="307"/>
      <c r="H718" s="12"/>
      <c r="I718" s="30"/>
      <c r="J718" s="12"/>
      <c r="K718" s="12"/>
      <c r="L718" s="12"/>
      <c r="M718" s="12"/>
      <c r="N718" s="12"/>
      <c r="O718" s="308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4"/>
      <c r="BF718" s="12"/>
      <c r="BG718" s="12"/>
      <c r="BH718" s="12" t="str">
        <f>IFERROR(__xludf.DUMMYFUNCTION("IFERROR(INDEX(QUERY(IMPORTRANGE(""1T7HG8KEs-Ob7f3M5atEVN9Yn7IeORGp0QGvggB62ELw"",""Maestro!A:I""),""SELECT Col8 WHERE Col3 = '""&amp;BE718&amp;""'"", 0), 1, 1),""NO ENCONTRADO"")"),"")</f>
        <v/>
      </c>
      <c r="BI718" s="12" t="str">
        <f>IFERROR(__xludf.DUMMYFUNCTION("IFERROR(INDEX(QUERY(IMPORTRANGE(""1T7HG8KEs-Ob7f3M5atEVN9Yn7IeORGp0QGvggB62ELw"",""Maestro!A:I""),""SELECT Col7 WHERE Col3 = '""&amp;BE718&amp;""'"", 0), 1, 1),""NO ENCONTRADO"")"),"")</f>
        <v/>
      </c>
      <c r="BJ718" s="16">
        <f t="shared" si="19"/>
        <v>0</v>
      </c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4"/>
      <c r="BX718" s="14"/>
      <c r="BY718" s="14"/>
      <c r="BZ718" s="14"/>
      <c r="CA718" s="14"/>
      <c r="CB718" s="14"/>
      <c r="CC718" s="14"/>
      <c r="CD718" s="14"/>
      <c r="CE718" s="14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</row>
    <row r="719">
      <c r="A719" s="12"/>
      <c r="B719" s="14"/>
      <c r="C719" s="14"/>
      <c r="D719" s="14"/>
      <c r="E719" s="12"/>
      <c r="F719" s="307"/>
      <c r="G719" s="307"/>
      <c r="H719" s="12"/>
      <c r="I719" s="30"/>
      <c r="J719" s="12"/>
      <c r="K719" s="12"/>
      <c r="L719" s="12"/>
      <c r="M719" s="12"/>
      <c r="N719" s="12"/>
      <c r="O719" s="308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4"/>
      <c r="BF719" s="12"/>
      <c r="BG719" s="12"/>
      <c r="BH719" s="12" t="str">
        <f>IFERROR(__xludf.DUMMYFUNCTION("IFERROR(INDEX(QUERY(IMPORTRANGE(""1T7HG8KEs-Ob7f3M5atEVN9Yn7IeORGp0QGvggB62ELw"",""Maestro!A:I""),""SELECT Col8 WHERE Col3 = '""&amp;BE719&amp;""'"", 0), 1, 1),""NO ENCONTRADO"")"),"")</f>
        <v/>
      </c>
      <c r="BI719" s="12" t="str">
        <f>IFERROR(__xludf.DUMMYFUNCTION("IFERROR(INDEX(QUERY(IMPORTRANGE(""1T7HG8KEs-Ob7f3M5atEVN9Yn7IeORGp0QGvggB62ELw"",""Maestro!A:I""),""SELECT Col7 WHERE Col3 = '""&amp;BE719&amp;""'"", 0), 1, 1),""NO ENCONTRADO"")"),"")</f>
        <v/>
      </c>
      <c r="BJ719" s="16">
        <f t="shared" si="19"/>
        <v>0</v>
      </c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4"/>
      <c r="BX719" s="14"/>
      <c r="BY719" s="14"/>
      <c r="BZ719" s="14"/>
      <c r="CA719" s="14"/>
      <c r="CB719" s="14"/>
      <c r="CC719" s="14"/>
      <c r="CD719" s="14"/>
      <c r="CE719" s="14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</row>
    <row r="720">
      <c r="A720" s="12"/>
      <c r="B720" s="14"/>
      <c r="C720" s="14"/>
      <c r="D720" s="14"/>
      <c r="E720" s="12"/>
      <c r="F720" s="307"/>
      <c r="G720" s="307"/>
      <c r="H720" s="12"/>
      <c r="I720" s="30"/>
      <c r="J720" s="12"/>
      <c r="K720" s="12"/>
      <c r="L720" s="12"/>
      <c r="M720" s="12"/>
      <c r="N720" s="12"/>
      <c r="O720" s="308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4"/>
      <c r="BF720" s="12"/>
      <c r="BG720" s="12"/>
      <c r="BH720" s="12" t="str">
        <f>IFERROR(__xludf.DUMMYFUNCTION("IFERROR(INDEX(QUERY(IMPORTRANGE(""1T7HG8KEs-Ob7f3M5atEVN9Yn7IeORGp0QGvggB62ELw"",""Maestro!A:I""),""SELECT Col8 WHERE Col3 = '""&amp;BE720&amp;""'"", 0), 1, 1),""NO ENCONTRADO"")"),"")</f>
        <v/>
      </c>
      <c r="BI720" s="12" t="str">
        <f>IFERROR(__xludf.DUMMYFUNCTION("IFERROR(INDEX(QUERY(IMPORTRANGE(""1T7HG8KEs-Ob7f3M5atEVN9Yn7IeORGp0QGvggB62ELw"",""Maestro!A:I""),""SELECT Col7 WHERE Col3 = '""&amp;BE720&amp;""'"", 0), 1, 1),""NO ENCONTRADO"")"),"")</f>
        <v/>
      </c>
      <c r="BJ720" s="16">
        <f t="shared" si="19"/>
        <v>0</v>
      </c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4"/>
      <c r="BX720" s="14"/>
      <c r="BY720" s="14"/>
      <c r="BZ720" s="14"/>
      <c r="CA720" s="14"/>
      <c r="CB720" s="14"/>
      <c r="CC720" s="14"/>
      <c r="CD720" s="14"/>
      <c r="CE720" s="14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</row>
    <row r="721">
      <c r="A721" s="12"/>
      <c r="B721" s="14"/>
      <c r="C721" s="14"/>
      <c r="D721" s="14"/>
      <c r="E721" s="12"/>
      <c r="F721" s="307"/>
      <c r="G721" s="307"/>
      <c r="H721" s="12"/>
      <c r="I721" s="30"/>
      <c r="J721" s="12"/>
      <c r="K721" s="12"/>
      <c r="L721" s="12"/>
      <c r="M721" s="12"/>
      <c r="N721" s="12"/>
      <c r="O721" s="308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4"/>
      <c r="BF721" s="12"/>
      <c r="BG721" s="12"/>
      <c r="BH721" s="12" t="str">
        <f>IFERROR(__xludf.DUMMYFUNCTION("IFERROR(INDEX(QUERY(IMPORTRANGE(""1T7HG8KEs-Ob7f3M5atEVN9Yn7IeORGp0QGvggB62ELw"",""Maestro!A:I""),""SELECT Col8 WHERE Col3 = '""&amp;BE721&amp;""'"", 0), 1, 1),""NO ENCONTRADO"")"),"")</f>
        <v/>
      </c>
      <c r="BI721" s="12" t="str">
        <f>IFERROR(__xludf.DUMMYFUNCTION("IFERROR(INDEX(QUERY(IMPORTRANGE(""1T7HG8KEs-Ob7f3M5atEVN9Yn7IeORGp0QGvggB62ELw"",""Maestro!A:I""),""SELECT Col7 WHERE Col3 = '""&amp;BE721&amp;""'"", 0), 1, 1),""NO ENCONTRADO"")"),"")</f>
        <v/>
      </c>
      <c r="BJ721" s="16">
        <f t="shared" si="19"/>
        <v>0</v>
      </c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4"/>
      <c r="BX721" s="14"/>
      <c r="BY721" s="14"/>
      <c r="BZ721" s="14"/>
      <c r="CA721" s="14"/>
      <c r="CB721" s="14"/>
      <c r="CC721" s="14"/>
      <c r="CD721" s="14"/>
      <c r="CE721" s="14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</row>
    <row r="722">
      <c r="A722" s="12"/>
      <c r="B722" s="14"/>
      <c r="C722" s="14"/>
      <c r="D722" s="14"/>
      <c r="E722" s="12"/>
      <c r="F722" s="307"/>
      <c r="G722" s="307"/>
      <c r="H722" s="12"/>
      <c r="I722" s="30"/>
      <c r="J722" s="12"/>
      <c r="K722" s="12"/>
      <c r="L722" s="12"/>
      <c r="M722" s="12"/>
      <c r="N722" s="12"/>
      <c r="O722" s="308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4"/>
      <c r="BF722" s="12"/>
      <c r="BG722" s="12"/>
      <c r="BH722" s="12" t="str">
        <f>IFERROR(__xludf.DUMMYFUNCTION("IFERROR(INDEX(QUERY(IMPORTRANGE(""1T7HG8KEs-Ob7f3M5atEVN9Yn7IeORGp0QGvggB62ELw"",""Maestro!A:I""),""SELECT Col8 WHERE Col3 = '""&amp;BE722&amp;""'"", 0), 1, 1),""NO ENCONTRADO"")"),"")</f>
        <v/>
      </c>
      <c r="BI722" s="12" t="str">
        <f>IFERROR(__xludf.DUMMYFUNCTION("IFERROR(INDEX(QUERY(IMPORTRANGE(""1T7HG8KEs-Ob7f3M5atEVN9Yn7IeORGp0QGvggB62ELw"",""Maestro!A:I""),""SELECT Col7 WHERE Col3 = '""&amp;BE722&amp;""'"", 0), 1, 1),""NO ENCONTRADO"")"),"")</f>
        <v/>
      </c>
      <c r="BJ722" s="16">
        <f t="shared" si="19"/>
        <v>0</v>
      </c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4"/>
      <c r="BX722" s="14"/>
      <c r="BY722" s="14"/>
      <c r="BZ722" s="14"/>
      <c r="CA722" s="14"/>
      <c r="CB722" s="14"/>
      <c r="CC722" s="14"/>
      <c r="CD722" s="14"/>
      <c r="CE722" s="14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</row>
    <row r="723">
      <c r="A723" s="12"/>
      <c r="B723" s="14"/>
      <c r="C723" s="14"/>
      <c r="D723" s="14"/>
      <c r="E723" s="12"/>
      <c r="F723" s="307"/>
      <c r="G723" s="307"/>
      <c r="H723" s="12"/>
      <c r="I723" s="30"/>
      <c r="J723" s="12"/>
      <c r="K723" s="12"/>
      <c r="L723" s="12"/>
      <c r="M723" s="12"/>
      <c r="N723" s="12"/>
      <c r="O723" s="308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4"/>
      <c r="BF723" s="12"/>
      <c r="BG723" s="12"/>
      <c r="BH723" s="12" t="str">
        <f>IFERROR(__xludf.DUMMYFUNCTION("IFERROR(INDEX(QUERY(IMPORTRANGE(""1T7HG8KEs-Ob7f3M5atEVN9Yn7IeORGp0QGvggB62ELw"",""Maestro!A:I""),""SELECT Col8 WHERE Col3 = '""&amp;BE723&amp;""'"", 0), 1, 1),""NO ENCONTRADO"")"),"")</f>
        <v/>
      </c>
      <c r="BI723" s="12" t="str">
        <f>IFERROR(__xludf.DUMMYFUNCTION("IFERROR(INDEX(QUERY(IMPORTRANGE(""1T7HG8KEs-Ob7f3M5atEVN9Yn7IeORGp0QGvggB62ELw"",""Maestro!A:I""),""SELECT Col7 WHERE Col3 = '""&amp;BE723&amp;""'"", 0), 1, 1),""NO ENCONTRADO"")"),"")</f>
        <v/>
      </c>
      <c r="BJ723" s="16">
        <f t="shared" si="19"/>
        <v>0</v>
      </c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4"/>
      <c r="BX723" s="14"/>
      <c r="BY723" s="14"/>
      <c r="BZ723" s="14"/>
      <c r="CA723" s="14"/>
      <c r="CB723" s="14"/>
      <c r="CC723" s="14"/>
      <c r="CD723" s="14"/>
      <c r="CE723" s="14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</row>
    <row r="724">
      <c r="A724" s="12"/>
      <c r="B724" s="14"/>
      <c r="C724" s="14"/>
      <c r="D724" s="14"/>
      <c r="E724" s="12"/>
      <c r="F724" s="307"/>
      <c r="G724" s="307"/>
      <c r="H724" s="12"/>
      <c r="I724" s="30"/>
      <c r="J724" s="12"/>
      <c r="K724" s="12"/>
      <c r="L724" s="12"/>
      <c r="M724" s="12"/>
      <c r="N724" s="12"/>
      <c r="O724" s="308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4"/>
      <c r="BF724" s="12"/>
      <c r="BG724" s="12"/>
      <c r="BH724" s="12" t="str">
        <f>IFERROR(__xludf.DUMMYFUNCTION("IFERROR(INDEX(QUERY(IMPORTRANGE(""1T7HG8KEs-Ob7f3M5atEVN9Yn7IeORGp0QGvggB62ELw"",""Maestro!A:I""),""SELECT Col8 WHERE Col3 = '""&amp;BE724&amp;""'"", 0), 1, 1),""NO ENCONTRADO"")"),"")</f>
        <v/>
      </c>
      <c r="BI724" s="12" t="str">
        <f>IFERROR(__xludf.DUMMYFUNCTION("IFERROR(INDEX(QUERY(IMPORTRANGE(""1T7HG8KEs-Ob7f3M5atEVN9Yn7IeORGp0QGvggB62ELw"",""Maestro!A:I""),""SELECT Col7 WHERE Col3 = '""&amp;BE724&amp;""'"", 0), 1, 1),""NO ENCONTRADO"")"),"")</f>
        <v/>
      </c>
      <c r="BJ724" s="16">
        <f t="shared" si="19"/>
        <v>0</v>
      </c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4"/>
      <c r="BX724" s="14"/>
      <c r="BY724" s="14"/>
      <c r="BZ724" s="14"/>
      <c r="CA724" s="14"/>
      <c r="CB724" s="14"/>
      <c r="CC724" s="14"/>
      <c r="CD724" s="14"/>
      <c r="CE724" s="14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</row>
    <row r="725">
      <c r="A725" s="12"/>
      <c r="B725" s="14"/>
      <c r="C725" s="14"/>
      <c r="D725" s="14"/>
      <c r="E725" s="12"/>
      <c r="F725" s="307"/>
      <c r="G725" s="307"/>
      <c r="H725" s="12"/>
      <c r="I725" s="30"/>
      <c r="J725" s="12"/>
      <c r="K725" s="12"/>
      <c r="L725" s="12"/>
      <c r="M725" s="12"/>
      <c r="N725" s="12"/>
      <c r="O725" s="308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4"/>
      <c r="BF725" s="12"/>
      <c r="BG725" s="12"/>
      <c r="BH725" s="12" t="str">
        <f>IFERROR(__xludf.DUMMYFUNCTION("IFERROR(INDEX(QUERY(IMPORTRANGE(""1T7HG8KEs-Ob7f3M5atEVN9Yn7IeORGp0QGvggB62ELw"",""Maestro!A:I""),""SELECT Col8 WHERE Col3 = '""&amp;BE725&amp;""'"", 0), 1, 1),""NO ENCONTRADO"")"),"")</f>
        <v/>
      </c>
      <c r="BI725" s="12" t="str">
        <f>IFERROR(__xludf.DUMMYFUNCTION("IFERROR(INDEX(QUERY(IMPORTRANGE(""1T7HG8KEs-Ob7f3M5atEVN9Yn7IeORGp0QGvggB62ELw"",""Maestro!A:I""),""SELECT Col7 WHERE Col3 = '""&amp;BE725&amp;""'"", 0), 1, 1),""NO ENCONTRADO"")"),"")</f>
        <v/>
      </c>
      <c r="BJ725" s="16">
        <f t="shared" si="19"/>
        <v>0</v>
      </c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4"/>
      <c r="BX725" s="14"/>
      <c r="BY725" s="14"/>
      <c r="BZ725" s="14"/>
      <c r="CA725" s="14"/>
      <c r="CB725" s="14"/>
      <c r="CC725" s="14"/>
      <c r="CD725" s="14"/>
      <c r="CE725" s="14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</row>
    <row r="726">
      <c r="A726" s="12"/>
      <c r="B726" s="14"/>
      <c r="C726" s="14"/>
      <c r="D726" s="14"/>
      <c r="E726" s="12"/>
      <c r="F726" s="307"/>
      <c r="G726" s="307"/>
      <c r="H726" s="12"/>
      <c r="I726" s="30"/>
      <c r="J726" s="12"/>
      <c r="K726" s="12"/>
      <c r="L726" s="12"/>
      <c r="M726" s="12"/>
      <c r="N726" s="12"/>
      <c r="O726" s="308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4"/>
      <c r="BF726" s="12"/>
      <c r="BG726" s="12"/>
      <c r="BH726" s="12" t="str">
        <f>IFERROR(__xludf.DUMMYFUNCTION("IFERROR(INDEX(QUERY(IMPORTRANGE(""1T7HG8KEs-Ob7f3M5atEVN9Yn7IeORGp0QGvggB62ELw"",""Maestro!A:I""),""SELECT Col8 WHERE Col3 = '""&amp;BE726&amp;""'"", 0), 1, 1),""NO ENCONTRADO"")"),"")</f>
        <v/>
      </c>
      <c r="BI726" s="12" t="str">
        <f>IFERROR(__xludf.DUMMYFUNCTION("IFERROR(INDEX(QUERY(IMPORTRANGE(""1T7HG8KEs-Ob7f3M5atEVN9Yn7IeORGp0QGvggB62ELw"",""Maestro!A:I""),""SELECT Col7 WHERE Col3 = '""&amp;BE726&amp;""'"", 0), 1, 1),""NO ENCONTRADO"")"),"")</f>
        <v/>
      </c>
      <c r="BJ726" s="16">
        <f t="shared" si="19"/>
        <v>0</v>
      </c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4"/>
      <c r="BX726" s="14"/>
      <c r="BY726" s="14"/>
      <c r="BZ726" s="14"/>
      <c r="CA726" s="14"/>
      <c r="CB726" s="14"/>
      <c r="CC726" s="14"/>
      <c r="CD726" s="14"/>
      <c r="CE726" s="14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</row>
    <row r="727">
      <c r="A727" s="12"/>
      <c r="B727" s="14"/>
      <c r="C727" s="14"/>
      <c r="D727" s="14"/>
      <c r="E727" s="12"/>
      <c r="F727" s="307"/>
      <c r="G727" s="307"/>
      <c r="H727" s="12"/>
      <c r="I727" s="30"/>
      <c r="J727" s="12"/>
      <c r="K727" s="12"/>
      <c r="L727" s="12"/>
      <c r="M727" s="12"/>
      <c r="N727" s="12"/>
      <c r="O727" s="308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4"/>
      <c r="BF727" s="12"/>
      <c r="BG727" s="12"/>
      <c r="BH727" s="12" t="str">
        <f>IFERROR(__xludf.DUMMYFUNCTION("IFERROR(INDEX(QUERY(IMPORTRANGE(""1T7HG8KEs-Ob7f3M5atEVN9Yn7IeORGp0QGvggB62ELw"",""Maestro!A:I""),""SELECT Col8 WHERE Col3 = '""&amp;BE727&amp;""'"", 0), 1, 1),""NO ENCONTRADO"")"),"")</f>
        <v/>
      </c>
      <c r="BI727" s="12" t="str">
        <f>IFERROR(__xludf.DUMMYFUNCTION("IFERROR(INDEX(QUERY(IMPORTRANGE(""1T7HG8KEs-Ob7f3M5atEVN9Yn7IeORGp0QGvggB62ELw"",""Maestro!A:I""),""SELECT Col7 WHERE Col3 = '""&amp;BE727&amp;""'"", 0), 1, 1),""NO ENCONTRADO"")"),"")</f>
        <v/>
      </c>
      <c r="BJ727" s="16">
        <f t="shared" si="19"/>
        <v>0</v>
      </c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4"/>
      <c r="BX727" s="14"/>
      <c r="BY727" s="14"/>
      <c r="BZ727" s="14"/>
      <c r="CA727" s="14"/>
      <c r="CB727" s="14"/>
      <c r="CC727" s="14"/>
      <c r="CD727" s="14"/>
      <c r="CE727" s="14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</row>
    <row r="728">
      <c r="A728" s="12"/>
      <c r="B728" s="14"/>
      <c r="C728" s="14"/>
      <c r="D728" s="14"/>
      <c r="E728" s="12"/>
      <c r="F728" s="307"/>
      <c r="G728" s="307"/>
      <c r="H728" s="12"/>
      <c r="I728" s="30"/>
      <c r="J728" s="12"/>
      <c r="K728" s="12"/>
      <c r="L728" s="12"/>
      <c r="M728" s="12"/>
      <c r="N728" s="12"/>
      <c r="O728" s="308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4"/>
      <c r="BF728" s="12"/>
      <c r="BG728" s="12"/>
      <c r="BH728" s="12" t="str">
        <f>IFERROR(__xludf.DUMMYFUNCTION("IFERROR(INDEX(QUERY(IMPORTRANGE(""1T7HG8KEs-Ob7f3M5atEVN9Yn7IeORGp0QGvggB62ELw"",""Maestro!A:I""),""SELECT Col8 WHERE Col3 = '""&amp;BE728&amp;""'"", 0), 1, 1),""NO ENCONTRADO"")"),"")</f>
        <v/>
      </c>
      <c r="BI728" s="12" t="str">
        <f>IFERROR(__xludf.DUMMYFUNCTION("IFERROR(INDEX(QUERY(IMPORTRANGE(""1T7HG8KEs-Ob7f3M5atEVN9Yn7IeORGp0QGvggB62ELw"",""Maestro!A:I""),""SELECT Col7 WHERE Col3 = '""&amp;BE728&amp;""'"", 0), 1, 1),""NO ENCONTRADO"")"),"")</f>
        <v/>
      </c>
      <c r="BJ728" s="16">
        <f t="shared" si="19"/>
        <v>0</v>
      </c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4"/>
      <c r="BX728" s="14"/>
      <c r="BY728" s="14"/>
      <c r="BZ728" s="14"/>
      <c r="CA728" s="14"/>
      <c r="CB728" s="14"/>
      <c r="CC728" s="14"/>
      <c r="CD728" s="14"/>
      <c r="CE728" s="14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</row>
    <row r="729">
      <c r="A729" s="12"/>
      <c r="B729" s="14"/>
      <c r="C729" s="14"/>
      <c r="D729" s="14"/>
      <c r="E729" s="12"/>
      <c r="F729" s="307"/>
      <c r="G729" s="307"/>
      <c r="H729" s="12"/>
      <c r="I729" s="30"/>
      <c r="J729" s="12"/>
      <c r="K729" s="12"/>
      <c r="L729" s="12"/>
      <c r="M729" s="12"/>
      <c r="N729" s="12"/>
      <c r="O729" s="308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4"/>
      <c r="BF729" s="12"/>
      <c r="BG729" s="12"/>
      <c r="BH729" s="12" t="str">
        <f>IFERROR(__xludf.DUMMYFUNCTION("IFERROR(INDEX(QUERY(IMPORTRANGE(""1T7HG8KEs-Ob7f3M5atEVN9Yn7IeORGp0QGvggB62ELw"",""Maestro!A:I""),""SELECT Col8 WHERE Col3 = '""&amp;BE729&amp;""'"", 0), 1, 1),""NO ENCONTRADO"")"),"")</f>
        <v/>
      </c>
      <c r="BI729" s="12" t="str">
        <f>IFERROR(__xludf.DUMMYFUNCTION("IFERROR(INDEX(QUERY(IMPORTRANGE(""1T7HG8KEs-Ob7f3M5atEVN9Yn7IeORGp0QGvggB62ELw"",""Maestro!A:I""),""SELECT Col7 WHERE Col3 = '""&amp;BE729&amp;""'"", 0), 1, 1),""NO ENCONTRADO"")"),"")</f>
        <v/>
      </c>
      <c r="BJ729" s="16">
        <f t="shared" si="19"/>
        <v>0</v>
      </c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4"/>
      <c r="BX729" s="14"/>
      <c r="BY729" s="14"/>
      <c r="BZ729" s="14"/>
      <c r="CA729" s="14"/>
      <c r="CB729" s="14"/>
      <c r="CC729" s="14"/>
      <c r="CD729" s="14"/>
      <c r="CE729" s="14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</row>
    <row r="730">
      <c r="A730" s="12"/>
      <c r="B730" s="14"/>
      <c r="C730" s="14"/>
      <c r="D730" s="14"/>
      <c r="E730" s="12"/>
      <c r="F730" s="307"/>
      <c r="G730" s="307"/>
      <c r="H730" s="12"/>
      <c r="I730" s="30"/>
      <c r="J730" s="12"/>
      <c r="K730" s="12"/>
      <c r="L730" s="12"/>
      <c r="M730" s="12"/>
      <c r="N730" s="12"/>
      <c r="O730" s="308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4"/>
      <c r="BF730" s="12"/>
      <c r="BG730" s="12"/>
      <c r="BH730" s="12" t="str">
        <f>IFERROR(__xludf.DUMMYFUNCTION("IFERROR(INDEX(QUERY(IMPORTRANGE(""1T7HG8KEs-Ob7f3M5atEVN9Yn7IeORGp0QGvggB62ELw"",""Maestro!A:I""),""SELECT Col8 WHERE Col3 = '""&amp;BE730&amp;""'"", 0), 1, 1),""NO ENCONTRADO"")"),"")</f>
        <v/>
      </c>
      <c r="BI730" s="12" t="str">
        <f>IFERROR(__xludf.DUMMYFUNCTION("IFERROR(INDEX(QUERY(IMPORTRANGE(""1T7HG8KEs-Ob7f3M5atEVN9Yn7IeORGp0QGvggB62ELw"",""Maestro!A:I""),""SELECT Col7 WHERE Col3 = '""&amp;BE730&amp;""'"", 0), 1, 1),""NO ENCONTRADO"")"),"")</f>
        <v/>
      </c>
      <c r="BJ730" s="16">
        <f t="shared" si="19"/>
        <v>0</v>
      </c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4"/>
      <c r="BX730" s="14"/>
      <c r="BY730" s="14"/>
      <c r="BZ730" s="14"/>
      <c r="CA730" s="14"/>
      <c r="CB730" s="14"/>
      <c r="CC730" s="14"/>
      <c r="CD730" s="14"/>
      <c r="CE730" s="14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</row>
    <row r="731">
      <c r="A731" s="12"/>
      <c r="B731" s="14"/>
      <c r="C731" s="14"/>
      <c r="D731" s="14"/>
      <c r="E731" s="12"/>
      <c r="F731" s="307"/>
      <c r="G731" s="307"/>
      <c r="H731" s="12"/>
      <c r="I731" s="30"/>
      <c r="J731" s="12"/>
      <c r="K731" s="12"/>
      <c r="L731" s="12"/>
      <c r="M731" s="12"/>
      <c r="N731" s="12"/>
      <c r="O731" s="308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4"/>
      <c r="BF731" s="12"/>
      <c r="BG731" s="12"/>
      <c r="BH731" s="12" t="str">
        <f>IFERROR(__xludf.DUMMYFUNCTION("IFERROR(INDEX(QUERY(IMPORTRANGE(""1T7HG8KEs-Ob7f3M5atEVN9Yn7IeORGp0QGvggB62ELw"",""Maestro!A:I""),""SELECT Col8 WHERE Col3 = '""&amp;BE731&amp;""'"", 0), 1, 1),""NO ENCONTRADO"")"),"")</f>
        <v/>
      </c>
      <c r="BI731" s="12" t="str">
        <f>IFERROR(__xludf.DUMMYFUNCTION("IFERROR(INDEX(QUERY(IMPORTRANGE(""1T7HG8KEs-Ob7f3M5atEVN9Yn7IeORGp0QGvggB62ELw"",""Maestro!A:I""),""SELECT Col7 WHERE Col3 = '""&amp;BE731&amp;""'"", 0), 1, 1),""NO ENCONTRADO"")"),"")</f>
        <v/>
      </c>
      <c r="BJ731" s="16">
        <f t="shared" si="19"/>
        <v>0</v>
      </c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4"/>
      <c r="BX731" s="14"/>
      <c r="BY731" s="14"/>
      <c r="BZ731" s="14"/>
      <c r="CA731" s="14"/>
      <c r="CB731" s="14"/>
      <c r="CC731" s="14"/>
      <c r="CD731" s="14"/>
      <c r="CE731" s="14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</row>
    <row r="732">
      <c r="A732" s="12"/>
      <c r="B732" s="14"/>
      <c r="C732" s="14"/>
      <c r="D732" s="14"/>
      <c r="E732" s="12"/>
      <c r="F732" s="307"/>
      <c r="G732" s="307"/>
      <c r="H732" s="12"/>
      <c r="I732" s="30"/>
      <c r="J732" s="12"/>
      <c r="K732" s="12"/>
      <c r="L732" s="12"/>
      <c r="M732" s="12"/>
      <c r="N732" s="12"/>
      <c r="O732" s="308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4"/>
      <c r="BF732" s="12"/>
      <c r="BG732" s="12"/>
      <c r="BH732" s="12" t="str">
        <f>IFERROR(__xludf.DUMMYFUNCTION("IFERROR(INDEX(QUERY(IMPORTRANGE(""1T7HG8KEs-Ob7f3M5atEVN9Yn7IeORGp0QGvggB62ELw"",""Maestro!A:I""),""SELECT Col8 WHERE Col3 = '""&amp;BE732&amp;""'"", 0), 1, 1),""NO ENCONTRADO"")"),"")</f>
        <v/>
      </c>
      <c r="BI732" s="12" t="str">
        <f>IFERROR(__xludf.DUMMYFUNCTION("IFERROR(INDEX(QUERY(IMPORTRANGE(""1T7HG8KEs-Ob7f3M5atEVN9Yn7IeORGp0QGvggB62ELw"",""Maestro!A:I""),""SELECT Col7 WHERE Col3 = '""&amp;BE732&amp;""'"", 0), 1, 1),""NO ENCONTRADO"")"),"")</f>
        <v/>
      </c>
      <c r="BJ732" s="16">
        <f t="shared" si="19"/>
        <v>0</v>
      </c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4"/>
      <c r="BX732" s="14"/>
      <c r="BY732" s="14"/>
      <c r="BZ732" s="14"/>
      <c r="CA732" s="14"/>
      <c r="CB732" s="14"/>
      <c r="CC732" s="14"/>
      <c r="CD732" s="14"/>
      <c r="CE732" s="14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</row>
    <row r="733">
      <c r="A733" s="12"/>
      <c r="B733" s="14"/>
      <c r="C733" s="14"/>
      <c r="D733" s="14"/>
      <c r="E733" s="12"/>
      <c r="F733" s="307"/>
      <c r="G733" s="307"/>
      <c r="H733" s="12"/>
      <c r="I733" s="30"/>
      <c r="J733" s="12"/>
      <c r="K733" s="12"/>
      <c r="L733" s="12"/>
      <c r="M733" s="12"/>
      <c r="N733" s="12"/>
      <c r="O733" s="308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4"/>
      <c r="BF733" s="12"/>
      <c r="BG733" s="12"/>
      <c r="BH733" s="12" t="str">
        <f>IFERROR(__xludf.DUMMYFUNCTION("IFERROR(INDEX(QUERY(IMPORTRANGE(""1T7HG8KEs-Ob7f3M5atEVN9Yn7IeORGp0QGvggB62ELw"",""Maestro!A:I""),""SELECT Col8 WHERE Col3 = '""&amp;BE733&amp;""'"", 0), 1, 1),""NO ENCONTRADO"")"),"")</f>
        <v/>
      </c>
      <c r="BI733" s="12" t="str">
        <f>IFERROR(__xludf.DUMMYFUNCTION("IFERROR(INDEX(QUERY(IMPORTRANGE(""1T7HG8KEs-Ob7f3M5atEVN9Yn7IeORGp0QGvggB62ELw"",""Maestro!A:I""),""SELECT Col7 WHERE Col3 = '""&amp;BE733&amp;""'"", 0), 1, 1),""NO ENCONTRADO"")"),"")</f>
        <v/>
      </c>
      <c r="BJ733" s="16">
        <f t="shared" si="19"/>
        <v>0</v>
      </c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4"/>
      <c r="BX733" s="14"/>
      <c r="BY733" s="14"/>
      <c r="BZ733" s="14"/>
      <c r="CA733" s="14"/>
      <c r="CB733" s="14"/>
      <c r="CC733" s="14"/>
      <c r="CD733" s="14"/>
      <c r="CE733" s="14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</row>
    <row r="734">
      <c r="A734" s="12"/>
      <c r="B734" s="14"/>
      <c r="C734" s="14"/>
      <c r="D734" s="14"/>
      <c r="E734" s="12"/>
      <c r="F734" s="307"/>
      <c r="G734" s="307"/>
      <c r="H734" s="12"/>
      <c r="I734" s="30"/>
      <c r="J734" s="12"/>
      <c r="K734" s="12"/>
      <c r="L734" s="12"/>
      <c r="M734" s="12"/>
      <c r="N734" s="12"/>
      <c r="O734" s="308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4"/>
      <c r="BF734" s="12"/>
      <c r="BG734" s="12"/>
      <c r="BH734" s="12" t="str">
        <f>IFERROR(__xludf.DUMMYFUNCTION("IFERROR(INDEX(QUERY(IMPORTRANGE(""1T7HG8KEs-Ob7f3M5atEVN9Yn7IeORGp0QGvggB62ELw"",""Maestro!A:I""),""SELECT Col8 WHERE Col3 = '""&amp;BE734&amp;""'"", 0), 1, 1),""NO ENCONTRADO"")"),"")</f>
        <v/>
      </c>
      <c r="BI734" s="12" t="str">
        <f>IFERROR(__xludf.DUMMYFUNCTION("IFERROR(INDEX(QUERY(IMPORTRANGE(""1T7HG8KEs-Ob7f3M5atEVN9Yn7IeORGp0QGvggB62ELw"",""Maestro!A:I""),""SELECT Col7 WHERE Col3 = '""&amp;BE734&amp;""'"", 0), 1, 1),""NO ENCONTRADO"")"),"")</f>
        <v/>
      </c>
      <c r="BJ734" s="16">
        <f t="shared" si="19"/>
        <v>0</v>
      </c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4"/>
      <c r="BX734" s="14"/>
      <c r="BY734" s="14"/>
      <c r="BZ734" s="14"/>
      <c r="CA734" s="14"/>
      <c r="CB734" s="14"/>
      <c r="CC734" s="14"/>
      <c r="CD734" s="14"/>
      <c r="CE734" s="14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</row>
    <row r="735">
      <c r="A735" s="12"/>
      <c r="B735" s="14"/>
      <c r="C735" s="14"/>
      <c r="D735" s="14"/>
      <c r="E735" s="12"/>
      <c r="F735" s="307"/>
      <c r="G735" s="307"/>
      <c r="H735" s="12"/>
      <c r="I735" s="30"/>
      <c r="J735" s="12"/>
      <c r="K735" s="12"/>
      <c r="L735" s="12"/>
      <c r="M735" s="12"/>
      <c r="N735" s="12"/>
      <c r="O735" s="308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4"/>
      <c r="BF735" s="12"/>
      <c r="BG735" s="12"/>
      <c r="BH735" s="12" t="str">
        <f>IFERROR(__xludf.DUMMYFUNCTION("IFERROR(INDEX(QUERY(IMPORTRANGE(""1T7HG8KEs-Ob7f3M5atEVN9Yn7IeORGp0QGvggB62ELw"",""Maestro!A:I""),""SELECT Col8 WHERE Col3 = '""&amp;BE735&amp;""'"", 0), 1, 1),""NO ENCONTRADO"")"),"")</f>
        <v/>
      </c>
      <c r="BI735" s="12" t="str">
        <f>IFERROR(__xludf.DUMMYFUNCTION("IFERROR(INDEX(QUERY(IMPORTRANGE(""1T7HG8KEs-Ob7f3M5atEVN9Yn7IeORGp0QGvggB62ELw"",""Maestro!A:I""),""SELECT Col7 WHERE Col3 = '""&amp;BE735&amp;""'"", 0), 1, 1),""NO ENCONTRADO"")"),"")</f>
        <v/>
      </c>
      <c r="BJ735" s="16">
        <f t="shared" si="19"/>
        <v>0</v>
      </c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4"/>
      <c r="BX735" s="14"/>
      <c r="BY735" s="14"/>
      <c r="BZ735" s="14"/>
      <c r="CA735" s="14"/>
      <c r="CB735" s="14"/>
      <c r="CC735" s="14"/>
      <c r="CD735" s="14"/>
      <c r="CE735" s="14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</row>
    <row r="736">
      <c r="A736" s="12"/>
      <c r="B736" s="14"/>
      <c r="C736" s="14"/>
      <c r="D736" s="14"/>
      <c r="E736" s="12"/>
      <c r="F736" s="307"/>
      <c r="G736" s="307"/>
      <c r="H736" s="12"/>
      <c r="I736" s="30"/>
      <c r="J736" s="12"/>
      <c r="K736" s="12"/>
      <c r="L736" s="12"/>
      <c r="M736" s="12"/>
      <c r="N736" s="12"/>
      <c r="O736" s="308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4"/>
      <c r="BF736" s="12"/>
      <c r="BG736" s="12"/>
      <c r="BH736" s="12" t="str">
        <f>IFERROR(__xludf.DUMMYFUNCTION("IFERROR(INDEX(QUERY(IMPORTRANGE(""1T7HG8KEs-Ob7f3M5atEVN9Yn7IeORGp0QGvggB62ELw"",""Maestro!A:I""),""SELECT Col8 WHERE Col3 = '""&amp;BE736&amp;""'"", 0), 1, 1),""NO ENCONTRADO"")"),"")</f>
        <v/>
      </c>
      <c r="BI736" s="12" t="str">
        <f>IFERROR(__xludf.DUMMYFUNCTION("IFERROR(INDEX(QUERY(IMPORTRANGE(""1T7HG8KEs-Ob7f3M5atEVN9Yn7IeORGp0QGvggB62ELw"",""Maestro!A:I""),""SELECT Col7 WHERE Col3 = '""&amp;BE736&amp;""'"", 0), 1, 1),""NO ENCONTRADO"")"),"")</f>
        <v/>
      </c>
      <c r="BJ736" s="16">
        <f t="shared" si="19"/>
        <v>0</v>
      </c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4"/>
      <c r="BX736" s="14"/>
      <c r="BY736" s="14"/>
      <c r="BZ736" s="14"/>
      <c r="CA736" s="14"/>
      <c r="CB736" s="14"/>
      <c r="CC736" s="14"/>
      <c r="CD736" s="14"/>
      <c r="CE736" s="14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</row>
    <row r="737">
      <c r="A737" s="12"/>
      <c r="B737" s="14"/>
      <c r="C737" s="14"/>
      <c r="D737" s="14"/>
      <c r="E737" s="12"/>
      <c r="F737" s="307"/>
      <c r="G737" s="307"/>
      <c r="H737" s="12"/>
      <c r="I737" s="30"/>
      <c r="J737" s="12"/>
      <c r="K737" s="12"/>
      <c r="L737" s="12"/>
      <c r="M737" s="12"/>
      <c r="N737" s="12"/>
      <c r="O737" s="308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4"/>
      <c r="BF737" s="12"/>
      <c r="BG737" s="12"/>
      <c r="BH737" s="12" t="str">
        <f>IFERROR(__xludf.DUMMYFUNCTION("IFERROR(INDEX(QUERY(IMPORTRANGE(""1T7HG8KEs-Ob7f3M5atEVN9Yn7IeORGp0QGvggB62ELw"",""Maestro!A:I""),""SELECT Col8 WHERE Col3 = '""&amp;BE737&amp;""'"", 0), 1, 1),""NO ENCONTRADO"")"),"")</f>
        <v/>
      </c>
      <c r="BI737" s="12" t="str">
        <f>IFERROR(__xludf.DUMMYFUNCTION("IFERROR(INDEX(QUERY(IMPORTRANGE(""1T7HG8KEs-Ob7f3M5atEVN9Yn7IeORGp0QGvggB62ELw"",""Maestro!A:I""),""SELECT Col7 WHERE Col3 = '""&amp;BE737&amp;""'"", 0), 1, 1),""NO ENCONTRADO"")"),"")</f>
        <v/>
      </c>
      <c r="BJ737" s="16">
        <f t="shared" si="19"/>
        <v>0</v>
      </c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4"/>
      <c r="BX737" s="14"/>
      <c r="BY737" s="14"/>
      <c r="BZ737" s="14"/>
      <c r="CA737" s="14"/>
      <c r="CB737" s="14"/>
      <c r="CC737" s="14"/>
      <c r="CD737" s="14"/>
      <c r="CE737" s="14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</row>
    <row r="738">
      <c r="A738" s="12"/>
      <c r="B738" s="14"/>
      <c r="C738" s="14"/>
      <c r="D738" s="14"/>
      <c r="E738" s="12"/>
      <c r="F738" s="307"/>
      <c r="G738" s="307"/>
      <c r="H738" s="12"/>
      <c r="I738" s="30"/>
      <c r="J738" s="12"/>
      <c r="K738" s="12"/>
      <c r="L738" s="12"/>
      <c r="M738" s="12"/>
      <c r="N738" s="12"/>
      <c r="O738" s="308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4"/>
      <c r="BF738" s="12"/>
      <c r="BG738" s="12"/>
      <c r="BH738" s="12" t="str">
        <f>IFERROR(__xludf.DUMMYFUNCTION("IFERROR(INDEX(QUERY(IMPORTRANGE(""1T7HG8KEs-Ob7f3M5atEVN9Yn7IeORGp0QGvggB62ELw"",""Maestro!A:I""),""SELECT Col8 WHERE Col3 = '""&amp;BE738&amp;""'"", 0), 1, 1),""NO ENCONTRADO"")"),"")</f>
        <v/>
      </c>
      <c r="BI738" s="12" t="str">
        <f>IFERROR(__xludf.DUMMYFUNCTION("IFERROR(INDEX(QUERY(IMPORTRANGE(""1T7HG8KEs-Ob7f3M5atEVN9Yn7IeORGp0QGvggB62ELw"",""Maestro!A:I""),""SELECT Col7 WHERE Col3 = '""&amp;BE738&amp;""'"", 0), 1, 1),""NO ENCONTRADO"")"),"")</f>
        <v/>
      </c>
      <c r="BJ738" s="16">
        <f t="shared" si="19"/>
        <v>0</v>
      </c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4"/>
      <c r="BX738" s="14"/>
      <c r="BY738" s="14"/>
      <c r="BZ738" s="14"/>
      <c r="CA738" s="14"/>
      <c r="CB738" s="14"/>
      <c r="CC738" s="14"/>
      <c r="CD738" s="14"/>
      <c r="CE738" s="14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</row>
    <row r="739">
      <c r="A739" s="12"/>
      <c r="B739" s="14"/>
      <c r="C739" s="14"/>
      <c r="D739" s="14"/>
      <c r="E739" s="12"/>
      <c r="F739" s="307"/>
      <c r="G739" s="307"/>
      <c r="H739" s="12"/>
      <c r="I739" s="30"/>
      <c r="J739" s="12"/>
      <c r="K739" s="12"/>
      <c r="L739" s="12"/>
      <c r="M739" s="12"/>
      <c r="N739" s="12"/>
      <c r="O739" s="308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4"/>
      <c r="BF739" s="12"/>
      <c r="BG739" s="12"/>
      <c r="BH739" s="12" t="str">
        <f>IFERROR(__xludf.DUMMYFUNCTION("IFERROR(INDEX(QUERY(IMPORTRANGE(""1T7HG8KEs-Ob7f3M5atEVN9Yn7IeORGp0QGvggB62ELw"",""Maestro!A:I""),""SELECT Col8 WHERE Col3 = '""&amp;BE739&amp;""'"", 0), 1, 1),""NO ENCONTRADO"")"),"")</f>
        <v/>
      </c>
      <c r="BI739" s="12" t="str">
        <f>IFERROR(__xludf.DUMMYFUNCTION("IFERROR(INDEX(QUERY(IMPORTRANGE(""1T7HG8KEs-Ob7f3M5atEVN9Yn7IeORGp0QGvggB62ELw"",""Maestro!A:I""),""SELECT Col7 WHERE Col3 = '""&amp;BE739&amp;""'"", 0), 1, 1),""NO ENCONTRADO"")"),"")</f>
        <v/>
      </c>
      <c r="BJ739" s="16">
        <f t="shared" si="19"/>
        <v>0</v>
      </c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4"/>
      <c r="BX739" s="14"/>
      <c r="BY739" s="14"/>
      <c r="BZ739" s="14"/>
      <c r="CA739" s="14"/>
      <c r="CB739" s="14"/>
      <c r="CC739" s="14"/>
      <c r="CD739" s="14"/>
      <c r="CE739" s="14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</row>
    <row r="740">
      <c r="A740" s="12"/>
      <c r="B740" s="14"/>
      <c r="C740" s="14"/>
      <c r="D740" s="14"/>
      <c r="E740" s="12"/>
      <c r="F740" s="307"/>
      <c r="G740" s="307"/>
      <c r="H740" s="12"/>
      <c r="I740" s="30"/>
      <c r="J740" s="12"/>
      <c r="K740" s="12"/>
      <c r="L740" s="12"/>
      <c r="M740" s="12"/>
      <c r="N740" s="12"/>
      <c r="O740" s="308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4"/>
      <c r="BF740" s="12"/>
      <c r="BG740" s="12"/>
      <c r="BH740" s="12" t="str">
        <f>IFERROR(__xludf.DUMMYFUNCTION("IFERROR(INDEX(QUERY(IMPORTRANGE(""1T7HG8KEs-Ob7f3M5atEVN9Yn7IeORGp0QGvggB62ELw"",""Maestro!A:I""),""SELECT Col8 WHERE Col3 = '""&amp;BE740&amp;""'"", 0), 1, 1),""NO ENCONTRADO"")"),"")</f>
        <v/>
      </c>
      <c r="BI740" s="12" t="str">
        <f>IFERROR(__xludf.DUMMYFUNCTION("IFERROR(INDEX(QUERY(IMPORTRANGE(""1T7HG8KEs-Ob7f3M5atEVN9Yn7IeORGp0QGvggB62ELw"",""Maestro!A:I""),""SELECT Col7 WHERE Col3 = '""&amp;BE740&amp;""'"", 0), 1, 1),""NO ENCONTRADO"")"),"")</f>
        <v/>
      </c>
      <c r="BJ740" s="16">
        <f t="shared" si="19"/>
        <v>0</v>
      </c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4"/>
      <c r="BX740" s="14"/>
      <c r="BY740" s="14"/>
      <c r="BZ740" s="14"/>
      <c r="CA740" s="14"/>
      <c r="CB740" s="14"/>
      <c r="CC740" s="14"/>
      <c r="CD740" s="14"/>
      <c r="CE740" s="14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</row>
    <row r="741">
      <c r="A741" s="12"/>
      <c r="B741" s="14"/>
      <c r="C741" s="14"/>
      <c r="D741" s="14"/>
      <c r="E741" s="12"/>
      <c r="F741" s="307"/>
      <c r="G741" s="307"/>
      <c r="H741" s="12"/>
      <c r="I741" s="30"/>
      <c r="J741" s="12"/>
      <c r="K741" s="12"/>
      <c r="L741" s="12"/>
      <c r="M741" s="12"/>
      <c r="N741" s="12"/>
      <c r="O741" s="308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4"/>
      <c r="BF741" s="12"/>
      <c r="BG741" s="12"/>
      <c r="BH741" s="12" t="str">
        <f>IFERROR(__xludf.DUMMYFUNCTION("IFERROR(INDEX(QUERY(IMPORTRANGE(""1T7HG8KEs-Ob7f3M5atEVN9Yn7IeORGp0QGvggB62ELw"",""Maestro!A:I""),""SELECT Col8 WHERE Col3 = '""&amp;BE741&amp;""'"", 0), 1, 1),""NO ENCONTRADO"")"),"")</f>
        <v/>
      </c>
      <c r="BI741" s="12" t="str">
        <f>IFERROR(__xludf.DUMMYFUNCTION("IFERROR(INDEX(QUERY(IMPORTRANGE(""1T7HG8KEs-Ob7f3M5atEVN9Yn7IeORGp0QGvggB62ELw"",""Maestro!A:I""),""SELECT Col7 WHERE Col3 = '""&amp;BE741&amp;""'"", 0), 1, 1),""NO ENCONTRADO"")"),"")</f>
        <v/>
      </c>
      <c r="BJ741" s="16">
        <f t="shared" si="19"/>
        <v>0</v>
      </c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4"/>
      <c r="BX741" s="14"/>
      <c r="BY741" s="14"/>
      <c r="BZ741" s="14"/>
      <c r="CA741" s="14"/>
      <c r="CB741" s="14"/>
      <c r="CC741" s="14"/>
      <c r="CD741" s="14"/>
      <c r="CE741" s="14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</row>
    <row r="742">
      <c r="A742" s="12"/>
      <c r="B742" s="14"/>
      <c r="C742" s="14"/>
      <c r="D742" s="14"/>
      <c r="E742" s="12"/>
      <c r="F742" s="307"/>
      <c r="G742" s="307"/>
      <c r="H742" s="12"/>
      <c r="I742" s="30"/>
      <c r="J742" s="12"/>
      <c r="K742" s="12"/>
      <c r="L742" s="12"/>
      <c r="M742" s="12"/>
      <c r="N742" s="12"/>
      <c r="O742" s="308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4"/>
      <c r="BF742" s="12"/>
      <c r="BG742" s="12"/>
      <c r="BH742" s="12" t="str">
        <f>IFERROR(__xludf.DUMMYFUNCTION("IFERROR(INDEX(QUERY(IMPORTRANGE(""1T7HG8KEs-Ob7f3M5atEVN9Yn7IeORGp0QGvggB62ELw"",""Maestro!A:I""),""SELECT Col8 WHERE Col3 = '""&amp;BE742&amp;""'"", 0), 1, 1),""NO ENCONTRADO"")"),"")</f>
        <v/>
      </c>
      <c r="BI742" s="12" t="str">
        <f>IFERROR(__xludf.DUMMYFUNCTION("IFERROR(INDEX(QUERY(IMPORTRANGE(""1T7HG8KEs-Ob7f3M5atEVN9Yn7IeORGp0QGvggB62ELw"",""Maestro!A:I""),""SELECT Col7 WHERE Col3 = '""&amp;BE742&amp;""'"", 0), 1, 1),""NO ENCONTRADO"")"),"")</f>
        <v/>
      </c>
      <c r="BJ742" s="16">
        <f t="shared" si="19"/>
        <v>0</v>
      </c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4"/>
      <c r="BX742" s="14"/>
      <c r="BY742" s="14"/>
      <c r="BZ742" s="14"/>
      <c r="CA742" s="14"/>
      <c r="CB742" s="14"/>
      <c r="CC742" s="14"/>
      <c r="CD742" s="14"/>
      <c r="CE742" s="14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</row>
    <row r="743">
      <c r="A743" s="12"/>
      <c r="B743" s="14"/>
      <c r="C743" s="14"/>
      <c r="D743" s="14"/>
      <c r="E743" s="12"/>
      <c r="F743" s="307"/>
      <c r="G743" s="307"/>
      <c r="H743" s="12"/>
      <c r="I743" s="30"/>
      <c r="J743" s="12"/>
      <c r="K743" s="12"/>
      <c r="L743" s="12"/>
      <c r="M743" s="12"/>
      <c r="N743" s="12"/>
      <c r="O743" s="308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4"/>
      <c r="BF743" s="12"/>
      <c r="BG743" s="12"/>
      <c r="BH743" s="12" t="str">
        <f>IFERROR(__xludf.DUMMYFUNCTION("IFERROR(INDEX(QUERY(IMPORTRANGE(""1T7HG8KEs-Ob7f3M5atEVN9Yn7IeORGp0QGvggB62ELw"",""Maestro!A:I""),""SELECT Col8 WHERE Col3 = '""&amp;BE743&amp;""'"", 0), 1, 1),""NO ENCONTRADO"")"),"")</f>
        <v/>
      </c>
      <c r="BI743" s="12" t="str">
        <f>IFERROR(__xludf.DUMMYFUNCTION("IFERROR(INDEX(QUERY(IMPORTRANGE(""1T7HG8KEs-Ob7f3M5atEVN9Yn7IeORGp0QGvggB62ELw"",""Maestro!A:I""),""SELECT Col7 WHERE Col3 = '""&amp;BE743&amp;""'"", 0), 1, 1),""NO ENCONTRADO"")"),"")</f>
        <v/>
      </c>
      <c r="BJ743" s="16">
        <f t="shared" si="19"/>
        <v>0</v>
      </c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4"/>
      <c r="BX743" s="14"/>
      <c r="BY743" s="14"/>
      <c r="BZ743" s="14"/>
      <c r="CA743" s="14"/>
      <c r="CB743" s="14"/>
      <c r="CC743" s="14"/>
      <c r="CD743" s="14"/>
      <c r="CE743" s="14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</row>
    <row r="744">
      <c r="A744" s="12"/>
      <c r="B744" s="14"/>
      <c r="C744" s="14"/>
      <c r="D744" s="14"/>
      <c r="E744" s="12"/>
      <c r="F744" s="307"/>
      <c r="G744" s="307"/>
      <c r="H744" s="12"/>
      <c r="I744" s="30"/>
      <c r="J744" s="12"/>
      <c r="K744" s="12"/>
      <c r="L744" s="12"/>
      <c r="M744" s="12"/>
      <c r="N744" s="12"/>
      <c r="O744" s="308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4"/>
      <c r="BF744" s="12"/>
      <c r="BG744" s="12"/>
      <c r="BH744" s="12" t="str">
        <f>IFERROR(__xludf.DUMMYFUNCTION("IFERROR(INDEX(QUERY(IMPORTRANGE(""1T7HG8KEs-Ob7f3M5atEVN9Yn7IeORGp0QGvggB62ELw"",""Maestro!A:I""),""SELECT Col8 WHERE Col3 = '""&amp;BE744&amp;""'"", 0), 1, 1),""NO ENCONTRADO"")"),"")</f>
        <v/>
      </c>
      <c r="BI744" s="12" t="str">
        <f>IFERROR(__xludf.DUMMYFUNCTION("IFERROR(INDEX(QUERY(IMPORTRANGE(""1T7HG8KEs-Ob7f3M5atEVN9Yn7IeORGp0QGvggB62ELw"",""Maestro!A:I""),""SELECT Col7 WHERE Col3 = '""&amp;BE744&amp;""'"", 0), 1, 1),""NO ENCONTRADO"")"),"")</f>
        <v/>
      </c>
      <c r="BJ744" s="16">
        <f t="shared" si="19"/>
        <v>0</v>
      </c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4"/>
      <c r="BX744" s="14"/>
      <c r="BY744" s="14"/>
      <c r="BZ744" s="14"/>
      <c r="CA744" s="14"/>
      <c r="CB744" s="14"/>
      <c r="CC744" s="14"/>
      <c r="CD744" s="14"/>
      <c r="CE744" s="14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</row>
    <row r="745">
      <c r="A745" s="12"/>
      <c r="B745" s="14"/>
      <c r="C745" s="14"/>
      <c r="D745" s="14"/>
      <c r="E745" s="12"/>
      <c r="F745" s="307"/>
      <c r="G745" s="307"/>
      <c r="H745" s="12"/>
      <c r="I745" s="30"/>
      <c r="J745" s="12"/>
      <c r="K745" s="12"/>
      <c r="L745" s="12"/>
      <c r="M745" s="12"/>
      <c r="N745" s="12"/>
      <c r="O745" s="308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4"/>
      <c r="BF745" s="12"/>
      <c r="BG745" s="12"/>
      <c r="BH745" s="12" t="str">
        <f>IFERROR(__xludf.DUMMYFUNCTION("IFERROR(INDEX(QUERY(IMPORTRANGE(""1T7HG8KEs-Ob7f3M5atEVN9Yn7IeORGp0QGvggB62ELw"",""Maestro!A:I""),""SELECT Col8 WHERE Col3 = '""&amp;BE745&amp;""'"", 0), 1, 1),""NO ENCONTRADO"")"),"")</f>
        <v/>
      </c>
      <c r="BI745" s="12" t="str">
        <f>IFERROR(__xludf.DUMMYFUNCTION("IFERROR(INDEX(QUERY(IMPORTRANGE(""1T7HG8KEs-Ob7f3M5atEVN9Yn7IeORGp0QGvggB62ELw"",""Maestro!A:I""),""SELECT Col7 WHERE Col3 = '""&amp;BE745&amp;""'"", 0), 1, 1),""NO ENCONTRADO"")"),"")</f>
        <v/>
      </c>
      <c r="BJ745" s="16">
        <f t="shared" si="19"/>
        <v>0</v>
      </c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4"/>
      <c r="BX745" s="14"/>
      <c r="BY745" s="14"/>
      <c r="BZ745" s="14"/>
      <c r="CA745" s="14"/>
      <c r="CB745" s="14"/>
      <c r="CC745" s="14"/>
      <c r="CD745" s="14"/>
      <c r="CE745" s="14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</row>
    <row r="746">
      <c r="A746" s="12"/>
      <c r="B746" s="14"/>
      <c r="C746" s="14"/>
      <c r="D746" s="14"/>
      <c r="E746" s="12"/>
      <c r="F746" s="307"/>
      <c r="G746" s="307"/>
      <c r="H746" s="12"/>
      <c r="I746" s="30"/>
      <c r="J746" s="12"/>
      <c r="K746" s="12"/>
      <c r="L746" s="12"/>
      <c r="M746" s="12"/>
      <c r="N746" s="12"/>
      <c r="O746" s="308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4"/>
      <c r="BF746" s="12"/>
      <c r="BG746" s="12"/>
      <c r="BH746" s="12" t="str">
        <f>IFERROR(__xludf.DUMMYFUNCTION("IFERROR(INDEX(QUERY(IMPORTRANGE(""1T7HG8KEs-Ob7f3M5atEVN9Yn7IeORGp0QGvggB62ELw"",""Maestro!A:I""),""SELECT Col8 WHERE Col3 = '""&amp;BE746&amp;""'"", 0), 1, 1),""NO ENCONTRADO"")"),"")</f>
        <v/>
      </c>
      <c r="BI746" s="12" t="str">
        <f>IFERROR(__xludf.DUMMYFUNCTION("IFERROR(INDEX(QUERY(IMPORTRANGE(""1T7HG8KEs-Ob7f3M5atEVN9Yn7IeORGp0QGvggB62ELw"",""Maestro!A:I""),""SELECT Col7 WHERE Col3 = '""&amp;BE746&amp;""'"", 0), 1, 1),""NO ENCONTRADO"")"),"")</f>
        <v/>
      </c>
      <c r="BJ746" s="16">
        <f t="shared" si="19"/>
        <v>0</v>
      </c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4"/>
      <c r="BX746" s="14"/>
      <c r="BY746" s="14"/>
      <c r="BZ746" s="14"/>
      <c r="CA746" s="14"/>
      <c r="CB746" s="14"/>
      <c r="CC746" s="14"/>
      <c r="CD746" s="14"/>
      <c r="CE746" s="14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</row>
    <row r="747">
      <c r="A747" s="12"/>
      <c r="B747" s="14"/>
      <c r="C747" s="14"/>
      <c r="D747" s="14"/>
      <c r="E747" s="12"/>
      <c r="F747" s="307"/>
      <c r="G747" s="307"/>
      <c r="H747" s="12"/>
      <c r="I747" s="30"/>
      <c r="J747" s="12"/>
      <c r="K747" s="12"/>
      <c r="L747" s="12"/>
      <c r="M747" s="12"/>
      <c r="N747" s="12"/>
      <c r="O747" s="308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4"/>
      <c r="BF747" s="12"/>
      <c r="BG747" s="12"/>
      <c r="BH747" s="12" t="str">
        <f>IFERROR(__xludf.DUMMYFUNCTION("IFERROR(INDEX(QUERY(IMPORTRANGE(""1T7HG8KEs-Ob7f3M5atEVN9Yn7IeORGp0QGvggB62ELw"",""Maestro!A:I""),""SELECT Col8 WHERE Col3 = '""&amp;BE747&amp;""'"", 0), 1, 1),""NO ENCONTRADO"")"),"")</f>
        <v/>
      </c>
      <c r="BI747" s="12" t="str">
        <f>IFERROR(__xludf.DUMMYFUNCTION("IFERROR(INDEX(QUERY(IMPORTRANGE(""1T7HG8KEs-Ob7f3M5atEVN9Yn7IeORGp0QGvggB62ELw"",""Maestro!A:I""),""SELECT Col7 WHERE Col3 = '""&amp;BE747&amp;""'"", 0), 1, 1),""NO ENCONTRADO"")"),"")</f>
        <v/>
      </c>
      <c r="BJ747" s="16">
        <f t="shared" si="19"/>
        <v>0</v>
      </c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4"/>
      <c r="BX747" s="14"/>
      <c r="BY747" s="14"/>
      <c r="BZ747" s="14"/>
      <c r="CA747" s="14"/>
      <c r="CB747" s="14"/>
      <c r="CC747" s="14"/>
      <c r="CD747" s="14"/>
      <c r="CE747" s="14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</row>
    <row r="748">
      <c r="A748" s="12"/>
      <c r="B748" s="14"/>
      <c r="C748" s="14"/>
      <c r="D748" s="14"/>
      <c r="E748" s="12"/>
      <c r="F748" s="307"/>
      <c r="G748" s="307"/>
      <c r="H748" s="12"/>
      <c r="I748" s="30"/>
      <c r="J748" s="12"/>
      <c r="K748" s="12"/>
      <c r="L748" s="12"/>
      <c r="M748" s="12"/>
      <c r="N748" s="12"/>
      <c r="O748" s="308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4"/>
      <c r="BF748" s="12"/>
      <c r="BG748" s="12"/>
      <c r="BH748" s="12" t="str">
        <f>IFERROR(__xludf.DUMMYFUNCTION("IFERROR(INDEX(QUERY(IMPORTRANGE(""1T7HG8KEs-Ob7f3M5atEVN9Yn7IeORGp0QGvggB62ELw"",""Maestro!A:I""),""SELECT Col8 WHERE Col3 = '""&amp;BE748&amp;""'"", 0), 1, 1),""NO ENCONTRADO"")"),"")</f>
        <v/>
      </c>
      <c r="BI748" s="12" t="str">
        <f>IFERROR(__xludf.DUMMYFUNCTION("IFERROR(INDEX(QUERY(IMPORTRANGE(""1T7HG8KEs-Ob7f3M5atEVN9Yn7IeORGp0QGvggB62ELw"",""Maestro!A:I""),""SELECT Col7 WHERE Col3 = '""&amp;BE748&amp;""'"", 0), 1, 1),""NO ENCONTRADO"")"),"")</f>
        <v/>
      </c>
      <c r="BJ748" s="16">
        <f t="shared" si="19"/>
        <v>0</v>
      </c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4"/>
      <c r="BX748" s="14"/>
      <c r="BY748" s="14"/>
      <c r="BZ748" s="14"/>
      <c r="CA748" s="14"/>
      <c r="CB748" s="14"/>
      <c r="CC748" s="14"/>
      <c r="CD748" s="14"/>
      <c r="CE748" s="14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</row>
    <row r="749">
      <c r="A749" s="12"/>
      <c r="B749" s="14"/>
      <c r="C749" s="14"/>
      <c r="D749" s="14"/>
      <c r="E749" s="12"/>
      <c r="F749" s="307"/>
      <c r="G749" s="307"/>
      <c r="H749" s="12"/>
      <c r="I749" s="30"/>
      <c r="J749" s="12"/>
      <c r="K749" s="12"/>
      <c r="L749" s="12"/>
      <c r="M749" s="12"/>
      <c r="N749" s="12"/>
      <c r="O749" s="308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4"/>
      <c r="BF749" s="12"/>
      <c r="BG749" s="12"/>
      <c r="BH749" s="12" t="str">
        <f>IFERROR(__xludf.DUMMYFUNCTION("IFERROR(INDEX(QUERY(IMPORTRANGE(""1T7HG8KEs-Ob7f3M5atEVN9Yn7IeORGp0QGvggB62ELw"",""Maestro!A:I""),""SELECT Col8 WHERE Col3 = '""&amp;BE749&amp;""'"", 0), 1, 1),""NO ENCONTRADO"")"),"")</f>
        <v/>
      </c>
      <c r="BI749" s="12" t="str">
        <f>IFERROR(__xludf.DUMMYFUNCTION("IFERROR(INDEX(QUERY(IMPORTRANGE(""1T7HG8KEs-Ob7f3M5atEVN9Yn7IeORGp0QGvggB62ELw"",""Maestro!A:I""),""SELECT Col7 WHERE Col3 = '""&amp;BE749&amp;""'"", 0), 1, 1),""NO ENCONTRADO"")"),"")</f>
        <v/>
      </c>
      <c r="BJ749" s="16">
        <f t="shared" si="19"/>
        <v>0</v>
      </c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4"/>
      <c r="BX749" s="14"/>
      <c r="BY749" s="14"/>
      <c r="BZ749" s="14"/>
      <c r="CA749" s="14"/>
      <c r="CB749" s="14"/>
      <c r="CC749" s="14"/>
      <c r="CD749" s="14"/>
      <c r="CE749" s="14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</row>
    <row r="750">
      <c r="A750" s="12"/>
      <c r="B750" s="14"/>
      <c r="C750" s="14"/>
      <c r="D750" s="14"/>
      <c r="E750" s="12"/>
      <c r="F750" s="307"/>
      <c r="G750" s="307"/>
      <c r="H750" s="12"/>
      <c r="I750" s="30"/>
      <c r="J750" s="12"/>
      <c r="K750" s="12"/>
      <c r="L750" s="12"/>
      <c r="M750" s="12"/>
      <c r="N750" s="12"/>
      <c r="O750" s="308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4"/>
      <c r="BF750" s="12"/>
      <c r="BG750" s="12"/>
      <c r="BH750" s="12" t="str">
        <f>IFERROR(__xludf.DUMMYFUNCTION("IFERROR(INDEX(QUERY(IMPORTRANGE(""1T7HG8KEs-Ob7f3M5atEVN9Yn7IeORGp0QGvggB62ELw"",""Maestro!A:I""),""SELECT Col8 WHERE Col3 = '""&amp;BE750&amp;""'"", 0), 1, 1),""NO ENCONTRADO"")"),"")</f>
        <v/>
      </c>
      <c r="BI750" s="12" t="str">
        <f>IFERROR(__xludf.DUMMYFUNCTION("IFERROR(INDEX(QUERY(IMPORTRANGE(""1T7HG8KEs-Ob7f3M5atEVN9Yn7IeORGp0QGvggB62ELw"",""Maestro!A:I""),""SELECT Col7 WHERE Col3 = '""&amp;BE750&amp;""'"", 0), 1, 1),""NO ENCONTRADO"")"),"")</f>
        <v/>
      </c>
      <c r="BJ750" s="16">
        <f t="shared" si="19"/>
        <v>0</v>
      </c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4"/>
      <c r="BX750" s="14"/>
      <c r="BY750" s="14"/>
      <c r="BZ750" s="14"/>
      <c r="CA750" s="14"/>
      <c r="CB750" s="14"/>
      <c r="CC750" s="14"/>
      <c r="CD750" s="14"/>
      <c r="CE750" s="14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</row>
    <row r="751">
      <c r="A751" s="12"/>
      <c r="B751" s="14"/>
      <c r="C751" s="14"/>
      <c r="D751" s="14"/>
      <c r="E751" s="12"/>
      <c r="F751" s="307"/>
      <c r="G751" s="307"/>
      <c r="H751" s="12"/>
      <c r="I751" s="30"/>
      <c r="J751" s="12"/>
      <c r="K751" s="12"/>
      <c r="L751" s="12"/>
      <c r="M751" s="12"/>
      <c r="N751" s="12"/>
      <c r="O751" s="308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4"/>
      <c r="BF751" s="12"/>
      <c r="BG751" s="12"/>
      <c r="BH751" s="12" t="str">
        <f>IFERROR(__xludf.DUMMYFUNCTION("IFERROR(INDEX(QUERY(IMPORTRANGE(""1T7HG8KEs-Ob7f3M5atEVN9Yn7IeORGp0QGvggB62ELw"",""Maestro!A:I""),""SELECT Col8 WHERE Col3 = '""&amp;BE751&amp;""'"", 0), 1, 1),""NO ENCONTRADO"")"),"")</f>
        <v/>
      </c>
      <c r="BI751" s="12" t="str">
        <f>IFERROR(__xludf.DUMMYFUNCTION("IFERROR(INDEX(QUERY(IMPORTRANGE(""1T7HG8KEs-Ob7f3M5atEVN9Yn7IeORGp0QGvggB62ELw"",""Maestro!A:I""),""SELECT Col7 WHERE Col3 = '""&amp;BE751&amp;""'"", 0), 1, 1),""NO ENCONTRADO"")"),"")</f>
        <v/>
      </c>
      <c r="BJ751" s="16">
        <f t="shared" si="19"/>
        <v>0</v>
      </c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4"/>
      <c r="BX751" s="14"/>
      <c r="BY751" s="14"/>
      <c r="BZ751" s="14"/>
      <c r="CA751" s="14"/>
      <c r="CB751" s="14"/>
      <c r="CC751" s="14"/>
      <c r="CD751" s="14"/>
      <c r="CE751" s="14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</row>
    <row r="752">
      <c r="A752" s="12"/>
      <c r="B752" s="14"/>
      <c r="C752" s="14"/>
      <c r="D752" s="14"/>
      <c r="E752" s="12"/>
      <c r="F752" s="307"/>
      <c r="G752" s="307"/>
      <c r="H752" s="12"/>
      <c r="I752" s="30"/>
      <c r="J752" s="12"/>
      <c r="K752" s="12"/>
      <c r="L752" s="12"/>
      <c r="M752" s="12"/>
      <c r="N752" s="12"/>
      <c r="O752" s="308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4"/>
      <c r="BF752" s="12"/>
      <c r="BG752" s="12"/>
      <c r="BH752" s="12" t="str">
        <f>IFERROR(__xludf.DUMMYFUNCTION("IFERROR(INDEX(QUERY(IMPORTRANGE(""1T7HG8KEs-Ob7f3M5atEVN9Yn7IeORGp0QGvggB62ELw"",""Maestro!A:I""),""SELECT Col8 WHERE Col3 = '""&amp;BE752&amp;""'"", 0), 1, 1),""NO ENCONTRADO"")"),"")</f>
        <v/>
      </c>
      <c r="BI752" s="12" t="str">
        <f>IFERROR(__xludf.DUMMYFUNCTION("IFERROR(INDEX(QUERY(IMPORTRANGE(""1T7HG8KEs-Ob7f3M5atEVN9Yn7IeORGp0QGvggB62ELw"",""Maestro!A:I""),""SELECT Col7 WHERE Col3 = '""&amp;BE752&amp;""'"", 0), 1, 1),""NO ENCONTRADO"")"),"")</f>
        <v/>
      </c>
      <c r="BJ752" s="16">
        <f t="shared" si="19"/>
        <v>0</v>
      </c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4"/>
      <c r="BX752" s="14"/>
      <c r="BY752" s="14"/>
      <c r="BZ752" s="14"/>
      <c r="CA752" s="14"/>
      <c r="CB752" s="14"/>
      <c r="CC752" s="14"/>
      <c r="CD752" s="14"/>
      <c r="CE752" s="14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</row>
    <row r="753">
      <c r="A753" s="12"/>
      <c r="B753" s="14"/>
      <c r="C753" s="14"/>
      <c r="D753" s="14"/>
      <c r="E753" s="12"/>
      <c r="F753" s="307"/>
      <c r="G753" s="307"/>
      <c r="H753" s="12"/>
      <c r="I753" s="30"/>
      <c r="J753" s="12"/>
      <c r="K753" s="12"/>
      <c r="L753" s="12"/>
      <c r="M753" s="12"/>
      <c r="N753" s="12"/>
      <c r="O753" s="308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4"/>
      <c r="BF753" s="12"/>
      <c r="BG753" s="12"/>
      <c r="BH753" s="12" t="str">
        <f>IFERROR(__xludf.DUMMYFUNCTION("IFERROR(INDEX(QUERY(IMPORTRANGE(""1T7HG8KEs-Ob7f3M5atEVN9Yn7IeORGp0QGvggB62ELw"",""Maestro!A:I""),""SELECT Col8 WHERE Col3 = '""&amp;BE753&amp;""'"", 0), 1, 1),""NO ENCONTRADO"")"),"")</f>
        <v/>
      </c>
      <c r="BI753" s="12" t="str">
        <f>IFERROR(__xludf.DUMMYFUNCTION("IFERROR(INDEX(QUERY(IMPORTRANGE(""1T7HG8KEs-Ob7f3M5atEVN9Yn7IeORGp0QGvggB62ELw"",""Maestro!A:I""),""SELECT Col7 WHERE Col3 = '""&amp;BE753&amp;""'"", 0), 1, 1),""NO ENCONTRADO"")"),"")</f>
        <v/>
      </c>
      <c r="BJ753" s="16">
        <f t="shared" si="19"/>
        <v>0</v>
      </c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4"/>
      <c r="BX753" s="14"/>
      <c r="BY753" s="14"/>
      <c r="BZ753" s="14"/>
      <c r="CA753" s="14"/>
      <c r="CB753" s="14"/>
      <c r="CC753" s="14"/>
      <c r="CD753" s="14"/>
      <c r="CE753" s="14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</row>
    <row r="754">
      <c r="A754" s="12"/>
      <c r="B754" s="14"/>
      <c r="C754" s="14"/>
      <c r="D754" s="14"/>
      <c r="E754" s="12"/>
      <c r="F754" s="307"/>
      <c r="G754" s="307"/>
      <c r="H754" s="12"/>
      <c r="I754" s="30"/>
      <c r="J754" s="12"/>
      <c r="K754" s="12"/>
      <c r="L754" s="12"/>
      <c r="M754" s="12"/>
      <c r="N754" s="12"/>
      <c r="O754" s="308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4"/>
      <c r="BF754" s="12"/>
      <c r="BG754" s="12"/>
      <c r="BH754" s="12" t="str">
        <f>IFERROR(__xludf.DUMMYFUNCTION("IFERROR(INDEX(QUERY(IMPORTRANGE(""1T7HG8KEs-Ob7f3M5atEVN9Yn7IeORGp0QGvggB62ELw"",""Maestro!A:I""),""SELECT Col8 WHERE Col3 = '""&amp;BE754&amp;""'"", 0), 1, 1),""NO ENCONTRADO"")"),"")</f>
        <v/>
      </c>
      <c r="BI754" s="12" t="str">
        <f>IFERROR(__xludf.DUMMYFUNCTION("IFERROR(INDEX(QUERY(IMPORTRANGE(""1T7HG8KEs-Ob7f3M5atEVN9Yn7IeORGp0QGvggB62ELw"",""Maestro!A:I""),""SELECT Col7 WHERE Col3 = '""&amp;BE754&amp;""'"", 0), 1, 1),""NO ENCONTRADO"")"),"")</f>
        <v/>
      </c>
      <c r="BJ754" s="16">
        <f t="shared" si="19"/>
        <v>0</v>
      </c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4"/>
      <c r="BX754" s="14"/>
      <c r="BY754" s="14"/>
      <c r="BZ754" s="14"/>
      <c r="CA754" s="14"/>
      <c r="CB754" s="14"/>
      <c r="CC754" s="14"/>
      <c r="CD754" s="14"/>
      <c r="CE754" s="14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</row>
    <row r="755">
      <c r="A755" s="12"/>
      <c r="B755" s="14"/>
      <c r="C755" s="14"/>
      <c r="D755" s="14"/>
      <c r="E755" s="12"/>
      <c r="F755" s="307"/>
      <c r="G755" s="307"/>
      <c r="H755" s="12"/>
      <c r="I755" s="30"/>
      <c r="J755" s="12"/>
      <c r="K755" s="12"/>
      <c r="L755" s="12"/>
      <c r="M755" s="12"/>
      <c r="N755" s="12"/>
      <c r="O755" s="308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4"/>
      <c r="BF755" s="12"/>
      <c r="BG755" s="12"/>
      <c r="BH755" s="12" t="str">
        <f>IFERROR(__xludf.DUMMYFUNCTION("IFERROR(INDEX(QUERY(IMPORTRANGE(""1T7HG8KEs-Ob7f3M5atEVN9Yn7IeORGp0QGvggB62ELw"",""Maestro!A:I""),""SELECT Col8 WHERE Col3 = '""&amp;BE755&amp;""'"", 0), 1, 1),""NO ENCONTRADO"")"),"")</f>
        <v/>
      </c>
      <c r="BI755" s="12" t="str">
        <f>IFERROR(__xludf.DUMMYFUNCTION("IFERROR(INDEX(QUERY(IMPORTRANGE(""1T7HG8KEs-Ob7f3M5atEVN9Yn7IeORGp0QGvggB62ELw"",""Maestro!A:I""),""SELECT Col7 WHERE Col3 = '""&amp;BE755&amp;""'"", 0), 1, 1),""NO ENCONTRADO"")"),"")</f>
        <v/>
      </c>
      <c r="BJ755" s="16">
        <f t="shared" si="19"/>
        <v>0</v>
      </c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4"/>
      <c r="BX755" s="14"/>
      <c r="BY755" s="14"/>
      <c r="BZ755" s="14"/>
      <c r="CA755" s="14"/>
      <c r="CB755" s="14"/>
      <c r="CC755" s="14"/>
      <c r="CD755" s="14"/>
      <c r="CE755" s="14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</row>
    <row r="756">
      <c r="A756" s="12"/>
      <c r="B756" s="14"/>
      <c r="C756" s="14"/>
      <c r="D756" s="14"/>
      <c r="E756" s="12"/>
      <c r="F756" s="307"/>
      <c r="G756" s="307"/>
      <c r="H756" s="12"/>
      <c r="I756" s="30"/>
      <c r="J756" s="12"/>
      <c r="K756" s="12"/>
      <c r="L756" s="12"/>
      <c r="M756" s="12"/>
      <c r="N756" s="12"/>
      <c r="O756" s="308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4"/>
      <c r="BF756" s="12"/>
      <c r="BG756" s="12"/>
      <c r="BH756" s="12" t="str">
        <f>IFERROR(__xludf.DUMMYFUNCTION("IFERROR(INDEX(QUERY(IMPORTRANGE(""1T7HG8KEs-Ob7f3M5atEVN9Yn7IeORGp0QGvggB62ELw"",""Maestro!A:I""),""SELECT Col8 WHERE Col3 = '""&amp;BE756&amp;""'"", 0), 1, 1),""NO ENCONTRADO"")"),"")</f>
        <v/>
      </c>
      <c r="BI756" s="12" t="str">
        <f>IFERROR(__xludf.DUMMYFUNCTION("IFERROR(INDEX(QUERY(IMPORTRANGE(""1T7HG8KEs-Ob7f3M5atEVN9Yn7IeORGp0QGvggB62ELw"",""Maestro!A:I""),""SELECT Col7 WHERE Col3 = '""&amp;BE756&amp;""'"", 0), 1, 1),""NO ENCONTRADO"")"),"")</f>
        <v/>
      </c>
      <c r="BJ756" s="16">
        <f t="shared" si="19"/>
        <v>0</v>
      </c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4"/>
      <c r="BX756" s="14"/>
      <c r="BY756" s="14"/>
      <c r="BZ756" s="14"/>
      <c r="CA756" s="14"/>
      <c r="CB756" s="14"/>
      <c r="CC756" s="14"/>
      <c r="CD756" s="14"/>
      <c r="CE756" s="14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</row>
    <row r="757">
      <c r="A757" s="12"/>
      <c r="B757" s="14"/>
      <c r="C757" s="14"/>
      <c r="D757" s="14"/>
      <c r="E757" s="12"/>
      <c r="F757" s="307"/>
      <c r="G757" s="307"/>
      <c r="H757" s="12"/>
      <c r="I757" s="30"/>
      <c r="J757" s="12"/>
      <c r="K757" s="12"/>
      <c r="L757" s="12"/>
      <c r="M757" s="12"/>
      <c r="N757" s="12"/>
      <c r="O757" s="308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4"/>
      <c r="BF757" s="12"/>
      <c r="BG757" s="12"/>
      <c r="BH757" s="12" t="str">
        <f>IFERROR(__xludf.DUMMYFUNCTION("IFERROR(INDEX(QUERY(IMPORTRANGE(""1T7HG8KEs-Ob7f3M5atEVN9Yn7IeORGp0QGvggB62ELw"",""Maestro!A:I""),""SELECT Col8 WHERE Col3 = '""&amp;BE757&amp;""'"", 0), 1, 1),""NO ENCONTRADO"")"),"")</f>
        <v/>
      </c>
      <c r="BI757" s="12" t="str">
        <f>IFERROR(__xludf.DUMMYFUNCTION("IFERROR(INDEX(QUERY(IMPORTRANGE(""1T7HG8KEs-Ob7f3M5atEVN9Yn7IeORGp0QGvggB62ELw"",""Maestro!A:I""),""SELECT Col7 WHERE Col3 = '""&amp;BE757&amp;""'"", 0), 1, 1),""NO ENCONTRADO"")"),"")</f>
        <v/>
      </c>
      <c r="BJ757" s="16">
        <f t="shared" si="19"/>
        <v>0</v>
      </c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4"/>
      <c r="BX757" s="14"/>
      <c r="BY757" s="14"/>
      <c r="BZ757" s="14"/>
      <c r="CA757" s="14"/>
      <c r="CB757" s="14"/>
      <c r="CC757" s="14"/>
      <c r="CD757" s="14"/>
      <c r="CE757" s="14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</row>
    <row r="758">
      <c r="A758" s="12"/>
      <c r="B758" s="14"/>
      <c r="C758" s="14"/>
      <c r="D758" s="14"/>
      <c r="E758" s="12"/>
      <c r="F758" s="307"/>
      <c r="G758" s="307"/>
      <c r="H758" s="12"/>
      <c r="I758" s="30"/>
      <c r="J758" s="12"/>
      <c r="K758" s="12"/>
      <c r="L758" s="12"/>
      <c r="M758" s="12"/>
      <c r="N758" s="12"/>
      <c r="O758" s="308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4"/>
      <c r="BF758" s="12"/>
      <c r="BG758" s="12"/>
      <c r="BH758" s="12" t="str">
        <f>IFERROR(__xludf.DUMMYFUNCTION("IFERROR(INDEX(QUERY(IMPORTRANGE(""1T7HG8KEs-Ob7f3M5atEVN9Yn7IeORGp0QGvggB62ELw"",""Maestro!A:I""),""SELECT Col8 WHERE Col3 = '""&amp;BE758&amp;""'"", 0), 1, 1),""NO ENCONTRADO"")"),"")</f>
        <v/>
      </c>
      <c r="BI758" s="12" t="str">
        <f>IFERROR(__xludf.DUMMYFUNCTION("IFERROR(INDEX(QUERY(IMPORTRANGE(""1T7HG8KEs-Ob7f3M5atEVN9Yn7IeORGp0QGvggB62ELw"",""Maestro!A:I""),""SELECT Col7 WHERE Col3 = '""&amp;BE758&amp;""'"", 0), 1, 1),""NO ENCONTRADO"")"),"")</f>
        <v/>
      </c>
      <c r="BJ758" s="16">
        <f t="shared" si="19"/>
        <v>0</v>
      </c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4"/>
      <c r="BX758" s="14"/>
      <c r="BY758" s="14"/>
      <c r="BZ758" s="14"/>
      <c r="CA758" s="14"/>
      <c r="CB758" s="14"/>
      <c r="CC758" s="14"/>
      <c r="CD758" s="14"/>
      <c r="CE758" s="14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</row>
    <row r="759">
      <c r="A759" s="12"/>
      <c r="B759" s="14"/>
      <c r="C759" s="14"/>
      <c r="D759" s="14"/>
      <c r="E759" s="12"/>
      <c r="F759" s="307"/>
      <c r="G759" s="307"/>
      <c r="H759" s="12"/>
      <c r="I759" s="30"/>
      <c r="J759" s="12"/>
      <c r="K759" s="12"/>
      <c r="L759" s="12"/>
      <c r="M759" s="12"/>
      <c r="N759" s="12"/>
      <c r="O759" s="308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4"/>
      <c r="BF759" s="12"/>
      <c r="BG759" s="12"/>
      <c r="BH759" s="12" t="str">
        <f>IFERROR(__xludf.DUMMYFUNCTION("IFERROR(INDEX(QUERY(IMPORTRANGE(""1T7HG8KEs-Ob7f3M5atEVN9Yn7IeORGp0QGvggB62ELw"",""Maestro!A:I""),""SELECT Col8 WHERE Col3 = '""&amp;BE759&amp;""'"", 0), 1, 1),""NO ENCONTRADO"")"),"")</f>
        <v/>
      </c>
      <c r="BI759" s="12" t="str">
        <f>IFERROR(__xludf.DUMMYFUNCTION("IFERROR(INDEX(QUERY(IMPORTRANGE(""1T7HG8KEs-Ob7f3M5atEVN9Yn7IeORGp0QGvggB62ELw"",""Maestro!A:I""),""SELECT Col7 WHERE Col3 = '""&amp;BE759&amp;""'"", 0), 1, 1),""NO ENCONTRADO"")"),"")</f>
        <v/>
      </c>
      <c r="BJ759" s="16">
        <f t="shared" si="19"/>
        <v>0</v>
      </c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4"/>
      <c r="BX759" s="14"/>
      <c r="BY759" s="14"/>
      <c r="BZ759" s="14"/>
      <c r="CA759" s="14"/>
      <c r="CB759" s="14"/>
      <c r="CC759" s="14"/>
      <c r="CD759" s="14"/>
      <c r="CE759" s="14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</row>
    <row r="760">
      <c r="A760" s="12"/>
      <c r="B760" s="14"/>
      <c r="C760" s="14"/>
      <c r="D760" s="14"/>
      <c r="E760" s="12"/>
      <c r="F760" s="307"/>
      <c r="G760" s="307"/>
      <c r="H760" s="12"/>
      <c r="I760" s="30"/>
      <c r="J760" s="12"/>
      <c r="K760" s="12"/>
      <c r="L760" s="12"/>
      <c r="M760" s="12"/>
      <c r="N760" s="12"/>
      <c r="O760" s="308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4"/>
      <c r="BF760" s="12"/>
      <c r="BG760" s="12"/>
      <c r="BH760" s="12" t="str">
        <f>IFERROR(__xludf.DUMMYFUNCTION("IFERROR(INDEX(QUERY(IMPORTRANGE(""1T7HG8KEs-Ob7f3M5atEVN9Yn7IeORGp0QGvggB62ELw"",""Maestro!A:I""),""SELECT Col8 WHERE Col3 = '""&amp;BE760&amp;""'"", 0), 1, 1),""NO ENCONTRADO"")"),"")</f>
        <v/>
      </c>
      <c r="BI760" s="12" t="str">
        <f>IFERROR(__xludf.DUMMYFUNCTION("IFERROR(INDEX(QUERY(IMPORTRANGE(""1T7HG8KEs-Ob7f3M5atEVN9Yn7IeORGp0QGvggB62ELw"",""Maestro!A:I""),""SELECT Col7 WHERE Col3 = '""&amp;BE760&amp;""'"", 0), 1, 1),""NO ENCONTRADO"")"),"")</f>
        <v/>
      </c>
      <c r="BJ760" s="16">
        <f t="shared" si="19"/>
        <v>0</v>
      </c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4"/>
      <c r="BX760" s="14"/>
      <c r="BY760" s="14"/>
      <c r="BZ760" s="14"/>
      <c r="CA760" s="14"/>
      <c r="CB760" s="14"/>
      <c r="CC760" s="14"/>
      <c r="CD760" s="14"/>
      <c r="CE760" s="14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</row>
    <row r="761">
      <c r="A761" s="12"/>
      <c r="B761" s="14"/>
      <c r="C761" s="14"/>
      <c r="D761" s="14"/>
      <c r="E761" s="12"/>
      <c r="F761" s="307"/>
      <c r="G761" s="307"/>
      <c r="H761" s="12"/>
      <c r="I761" s="30"/>
      <c r="J761" s="12"/>
      <c r="K761" s="12"/>
      <c r="L761" s="12"/>
      <c r="M761" s="12"/>
      <c r="N761" s="12"/>
      <c r="O761" s="308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4"/>
      <c r="BF761" s="12"/>
      <c r="BG761" s="12"/>
      <c r="BH761" s="12" t="str">
        <f>IFERROR(__xludf.DUMMYFUNCTION("IFERROR(INDEX(QUERY(IMPORTRANGE(""1T7HG8KEs-Ob7f3M5atEVN9Yn7IeORGp0QGvggB62ELw"",""Maestro!A:I""),""SELECT Col8 WHERE Col3 = '""&amp;BE761&amp;""'"", 0), 1, 1),""NO ENCONTRADO"")"),"")</f>
        <v/>
      </c>
      <c r="BI761" s="12" t="str">
        <f>IFERROR(__xludf.DUMMYFUNCTION("IFERROR(INDEX(QUERY(IMPORTRANGE(""1T7HG8KEs-Ob7f3M5atEVN9Yn7IeORGp0QGvggB62ELw"",""Maestro!A:I""),""SELECT Col7 WHERE Col3 = '""&amp;BE761&amp;""'"", 0), 1, 1),""NO ENCONTRADO"")"),"")</f>
        <v/>
      </c>
      <c r="BJ761" s="16">
        <f t="shared" si="19"/>
        <v>0</v>
      </c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4"/>
      <c r="BX761" s="14"/>
      <c r="BY761" s="14"/>
      <c r="BZ761" s="14"/>
      <c r="CA761" s="14"/>
      <c r="CB761" s="14"/>
      <c r="CC761" s="14"/>
      <c r="CD761" s="14"/>
      <c r="CE761" s="14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</row>
    <row r="762">
      <c r="A762" s="12"/>
      <c r="B762" s="14"/>
      <c r="C762" s="14"/>
      <c r="D762" s="14"/>
      <c r="E762" s="12"/>
      <c r="F762" s="307"/>
      <c r="G762" s="307"/>
      <c r="H762" s="12"/>
      <c r="I762" s="30"/>
      <c r="J762" s="12"/>
      <c r="K762" s="12"/>
      <c r="L762" s="12"/>
      <c r="M762" s="12"/>
      <c r="N762" s="12"/>
      <c r="O762" s="308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4"/>
      <c r="BF762" s="12"/>
      <c r="BG762" s="12"/>
      <c r="BH762" s="12" t="str">
        <f>IFERROR(__xludf.DUMMYFUNCTION("IFERROR(INDEX(QUERY(IMPORTRANGE(""1T7HG8KEs-Ob7f3M5atEVN9Yn7IeORGp0QGvggB62ELw"",""Maestro!A:I""),""SELECT Col8 WHERE Col3 = '""&amp;BE762&amp;""'"", 0), 1, 1),""NO ENCONTRADO"")"),"")</f>
        <v/>
      </c>
      <c r="BI762" s="12" t="str">
        <f>IFERROR(__xludf.DUMMYFUNCTION("IFERROR(INDEX(QUERY(IMPORTRANGE(""1T7HG8KEs-Ob7f3M5atEVN9Yn7IeORGp0QGvggB62ELw"",""Maestro!A:I""),""SELECT Col7 WHERE Col3 = '""&amp;BE762&amp;""'"", 0), 1, 1),""NO ENCONTRADO"")"),"")</f>
        <v/>
      </c>
      <c r="BJ762" s="16">
        <f t="shared" si="19"/>
        <v>0</v>
      </c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4"/>
      <c r="BX762" s="14"/>
      <c r="BY762" s="14"/>
      <c r="BZ762" s="14"/>
      <c r="CA762" s="14"/>
      <c r="CB762" s="14"/>
      <c r="CC762" s="14"/>
      <c r="CD762" s="14"/>
      <c r="CE762" s="14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</row>
    <row r="763">
      <c r="A763" s="12"/>
      <c r="B763" s="14"/>
      <c r="C763" s="14"/>
      <c r="D763" s="14"/>
      <c r="E763" s="12"/>
      <c r="F763" s="307"/>
      <c r="G763" s="307"/>
      <c r="H763" s="12"/>
      <c r="I763" s="30"/>
      <c r="J763" s="12"/>
      <c r="K763" s="12"/>
      <c r="L763" s="12"/>
      <c r="M763" s="12"/>
      <c r="N763" s="12"/>
      <c r="O763" s="308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4"/>
      <c r="BF763" s="12"/>
      <c r="BG763" s="12"/>
      <c r="BH763" s="12" t="str">
        <f>IFERROR(__xludf.DUMMYFUNCTION("IFERROR(INDEX(QUERY(IMPORTRANGE(""1T7HG8KEs-Ob7f3M5atEVN9Yn7IeORGp0QGvggB62ELw"",""Maestro!A:I""),""SELECT Col8 WHERE Col3 = '""&amp;BE763&amp;""'"", 0), 1, 1),""NO ENCONTRADO"")"),"")</f>
        <v/>
      </c>
      <c r="BI763" s="12" t="str">
        <f>IFERROR(__xludf.DUMMYFUNCTION("IFERROR(INDEX(QUERY(IMPORTRANGE(""1T7HG8KEs-Ob7f3M5atEVN9Yn7IeORGp0QGvggB62ELw"",""Maestro!A:I""),""SELECT Col7 WHERE Col3 = '""&amp;BE763&amp;""'"", 0), 1, 1),""NO ENCONTRADO"")"),"")</f>
        <v/>
      </c>
      <c r="BJ763" s="16">
        <f t="shared" si="19"/>
        <v>0</v>
      </c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4"/>
      <c r="BX763" s="14"/>
      <c r="BY763" s="14"/>
      <c r="BZ763" s="14"/>
      <c r="CA763" s="14"/>
      <c r="CB763" s="14"/>
      <c r="CC763" s="14"/>
      <c r="CD763" s="14"/>
      <c r="CE763" s="14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</row>
    <row r="764">
      <c r="A764" s="12"/>
      <c r="B764" s="14"/>
      <c r="C764" s="14"/>
      <c r="D764" s="14"/>
      <c r="E764" s="12"/>
      <c r="F764" s="307"/>
      <c r="G764" s="307"/>
      <c r="H764" s="12"/>
      <c r="I764" s="30"/>
      <c r="J764" s="12"/>
      <c r="K764" s="12"/>
      <c r="L764" s="12"/>
      <c r="M764" s="12"/>
      <c r="N764" s="12"/>
      <c r="O764" s="308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4"/>
      <c r="BF764" s="12"/>
      <c r="BG764" s="12"/>
      <c r="BH764" s="12" t="str">
        <f>IFERROR(__xludf.DUMMYFUNCTION("IFERROR(INDEX(QUERY(IMPORTRANGE(""1T7HG8KEs-Ob7f3M5atEVN9Yn7IeORGp0QGvggB62ELw"",""Maestro!A:I""),""SELECT Col8 WHERE Col3 = '""&amp;BE764&amp;""'"", 0), 1, 1),""NO ENCONTRADO"")"),"")</f>
        <v/>
      </c>
      <c r="BI764" s="12" t="str">
        <f>IFERROR(__xludf.DUMMYFUNCTION("IFERROR(INDEX(QUERY(IMPORTRANGE(""1T7HG8KEs-Ob7f3M5atEVN9Yn7IeORGp0QGvggB62ELw"",""Maestro!A:I""),""SELECT Col7 WHERE Col3 = '""&amp;BE764&amp;""'"", 0), 1, 1),""NO ENCONTRADO"")"),"")</f>
        <v/>
      </c>
      <c r="BJ764" s="16">
        <f t="shared" si="19"/>
        <v>0</v>
      </c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4"/>
      <c r="BX764" s="14"/>
      <c r="BY764" s="14"/>
      <c r="BZ764" s="14"/>
      <c r="CA764" s="14"/>
      <c r="CB764" s="14"/>
      <c r="CC764" s="14"/>
      <c r="CD764" s="14"/>
      <c r="CE764" s="14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</row>
    <row r="765">
      <c r="A765" s="12"/>
      <c r="B765" s="14"/>
      <c r="C765" s="14"/>
      <c r="D765" s="14"/>
      <c r="E765" s="12"/>
      <c r="F765" s="307"/>
      <c r="G765" s="307"/>
      <c r="H765" s="12"/>
      <c r="I765" s="30"/>
      <c r="J765" s="12"/>
      <c r="K765" s="12"/>
      <c r="L765" s="12"/>
      <c r="M765" s="12"/>
      <c r="N765" s="12"/>
      <c r="O765" s="308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4"/>
      <c r="BF765" s="12"/>
      <c r="BG765" s="12"/>
      <c r="BH765" s="12" t="str">
        <f>IFERROR(__xludf.DUMMYFUNCTION("IFERROR(INDEX(QUERY(IMPORTRANGE(""1T7HG8KEs-Ob7f3M5atEVN9Yn7IeORGp0QGvggB62ELw"",""Maestro!A:I""),""SELECT Col8 WHERE Col3 = '""&amp;BE765&amp;""'"", 0), 1, 1),""NO ENCONTRADO"")"),"")</f>
        <v/>
      </c>
      <c r="BI765" s="12" t="str">
        <f>IFERROR(__xludf.DUMMYFUNCTION("IFERROR(INDEX(QUERY(IMPORTRANGE(""1T7HG8KEs-Ob7f3M5atEVN9Yn7IeORGp0QGvggB62ELw"",""Maestro!A:I""),""SELECT Col7 WHERE Col3 = '""&amp;BE765&amp;""'"", 0), 1, 1),""NO ENCONTRADO"")"),"")</f>
        <v/>
      </c>
      <c r="BJ765" s="16">
        <f t="shared" si="19"/>
        <v>0</v>
      </c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4"/>
      <c r="BX765" s="14"/>
      <c r="BY765" s="14"/>
      <c r="BZ765" s="14"/>
      <c r="CA765" s="14"/>
      <c r="CB765" s="14"/>
      <c r="CC765" s="14"/>
      <c r="CD765" s="14"/>
      <c r="CE765" s="14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</row>
    <row r="766">
      <c r="A766" s="12"/>
      <c r="B766" s="14"/>
      <c r="C766" s="14"/>
      <c r="D766" s="14"/>
      <c r="E766" s="12"/>
      <c r="F766" s="307"/>
      <c r="G766" s="307"/>
      <c r="H766" s="12"/>
      <c r="I766" s="30"/>
      <c r="J766" s="12"/>
      <c r="K766" s="12"/>
      <c r="L766" s="12"/>
      <c r="M766" s="12"/>
      <c r="N766" s="12"/>
      <c r="O766" s="308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4"/>
      <c r="BF766" s="12"/>
      <c r="BG766" s="12"/>
      <c r="BH766" s="12" t="str">
        <f>IFERROR(__xludf.DUMMYFUNCTION("IFERROR(INDEX(QUERY(IMPORTRANGE(""1T7HG8KEs-Ob7f3M5atEVN9Yn7IeORGp0QGvggB62ELw"",""Maestro!A:I""),""SELECT Col8 WHERE Col3 = '""&amp;BE766&amp;""'"", 0), 1, 1),""NO ENCONTRADO"")"),"")</f>
        <v/>
      </c>
      <c r="BI766" s="12" t="str">
        <f>IFERROR(__xludf.DUMMYFUNCTION("IFERROR(INDEX(QUERY(IMPORTRANGE(""1T7HG8KEs-Ob7f3M5atEVN9Yn7IeORGp0QGvggB62ELw"",""Maestro!A:I""),""SELECT Col7 WHERE Col3 = '""&amp;BE766&amp;""'"", 0), 1, 1),""NO ENCONTRADO"")"),"")</f>
        <v/>
      </c>
      <c r="BJ766" s="16">
        <f t="shared" si="19"/>
        <v>0</v>
      </c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4"/>
      <c r="BX766" s="14"/>
      <c r="BY766" s="14"/>
      <c r="BZ766" s="14"/>
      <c r="CA766" s="14"/>
      <c r="CB766" s="14"/>
      <c r="CC766" s="14"/>
      <c r="CD766" s="14"/>
      <c r="CE766" s="14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</row>
    <row r="767">
      <c r="A767" s="12"/>
      <c r="B767" s="14"/>
      <c r="C767" s="14"/>
      <c r="D767" s="14"/>
      <c r="E767" s="12"/>
      <c r="F767" s="307"/>
      <c r="G767" s="307"/>
      <c r="H767" s="12"/>
      <c r="I767" s="30"/>
      <c r="J767" s="12"/>
      <c r="K767" s="12"/>
      <c r="L767" s="12"/>
      <c r="M767" s="12"/>
      <c r="N767" s="12"/>
      <c r="O767" s="308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4"/>
      <c r="BF767" s="12"/>
      <c r="BG767" s="12"/>
      <c r="BH767" s="12" t="str">
        <f>IFERROR(__xludf.DUMMYFUNCTION("IFERROR(INDEX(QUERY(IMPORTRANGE(""1T7HG8KEs-Ob7f3M5atEVN9Yn7IeORGp0QGvggB62ELw"",""Maestro!A:I""),""SELECT Col8 WHERE Col3 = '""&amp;BE767&amp;""'"", 0), 1, 1),""NO ENCONTRADO"")"),"")</f>
        <v/>
      </c>
      <c r="BI767" s="12" t="str">
        <f>IFERROR(__xludf.DUMMYFUNCTION("IFERROR(INDEX(QUERY(IMPORTRANGE(""1T7HG8KEs-Ob7f3M5atEVN9Yn7IeORGp0QGvggB62ELw"",""Maestro!A:I""),""SELECT Col7 WHERE Col3 = '""&amp;BE767&amp;""'"", 0), 1, 1),""NO ENCONTRADO"")"),"")</f>
        <v/>
      </c>
      <c r="BJ767" s="16">
        <f t="shared" si="19"/>
        <v>0</v>
      </c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4"/>
      <c r="BX767" s="14"/>
      <c r="BY767" s="14"/>
      <c r="BZ767" s="14"/>
      <c r="CA767" s="14"/>
      <c r="CB767" s="14"/>
      <c r="CC767" s="14"/>
      <c r="CD767" s="14"/>
      <c r="CE767" s="14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</row>
    <row r="768">
      <c r="A768" s="12"/>
      <c r="B768" s="14"/>
      <c r="C768" s="14"/>
      <c r="D768" s="14"/>
      <c r="E768" s="12"/>
      <c r="F768" s="307"/>
      <c r="G768" s="307"/>
      <c r="H768" s="12"/>
      <c r="I768" s="30"/>
      <c r="J768" s="12"/>
      <c r="K768" s="12"/>
      <c r="L768" s="12"/>
      <c r="M768" s="12"/>
      <c r="N768" s="12"/>
      <c r="O768" s="308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4"/>
      <c r="BF768" s="12"/>
      <c r="BG768" s="12"/>
      <c r="BH768" s="12" t="str">
        <f>IFERROR(__xludf.DUMMYFUNCTION("IFERROR(INDEX(QUERY(IMPORTRANGE(""1T7HG8KEs-Ob7f3M5atEVN9Yn7IeORGp0QGvggB62ELw"",""Maestro!A:I""),""SELECT Col8 WHERE Col3 = '""&amp;BE768&amp;""'"", 0), 1, 1),""NO ENCONTRADO"")"),"")</f>
        <v/>
      </c>
      <c r="BI768" s="12" t="str">
        <f>IFERROR(__xludf.DUMMYFUNCTION("IFERROR(INDEX(QUERY(IMPORTRANGE(""1T7HG8KEs-Ob7f3M5atEVN9Yn7IeORGp0QGvggB62ELw"",""Maestro!A:I""),""SELECT Col7 WHERE Col3 = '""&amp;BE768&amp;""'"", 0), 1, 1),""NO ENCONTRADO"")"),"")</f>
        <v/>
      </c>
      <c r="BJ768" s="16">
        <f t="shared" si="19"/>
        <v>0</v>
      </c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4"/>
      <c r="BX768" s="14"/>
      <c r="BY768" s="14"/>
      <c r="BZ768" s="14"/>
      <c r="CA768" s="14"/>
      <c r="CB768" s="14"/>
      <c r="CC768" s="14"/>
      <c r="CD768" s="14"/>
      <c r="CE768" s="14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</row>
    <row r="769">
      <c r="A769" s="12"/>
      <c r="B769" s="14"/>
      <c r="C769" s="14"/>
      <c r="D769" s="14"/>
      <c r="E769" s="12"/>
      <c r="F769" s="307"/>
      <c r="G769" s="307"/>
      <c r="H769" s="12"/>
      <c r="I769" s="30"/>
      <c r="J769" s="12"/>
      <c r="K769" s="12"/>
      <c r="L769" s="12"/>
      <c r="M769" s="12"/>
      <c r="N769" s="12"/>
      <c r="O769" s="308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4"/>
      <c r="BF769" s="12"/>
      <c r="BG769" s="12"/>
      <c r="BH769" s="12" t="str">
        <f>IFERROR(__xludf.DUMMYFUNCTION("IFERROR(INDEX(QUERY(IMPORTRANGE(""1T7HG8KEs-Ob7f3M5atEVN9Yn7IeORGp0QGvggB62ELw"",""Maestro!A:I""),""SELECT Col8 WHERE Col3 = '""&amp;BE769&amp;""'"", 0), 1, 1),""NO ENCONTRADO"")"),"")</f>
        <v/>
      </c>
      <c r="BI769" s="12" t="str">
        <f>IFERROR(__xludf.DUMMYFUNCTION("IFERROR(INDEX(QUERY(IMPORTRANGE(""1T7HG8KEs-Ob7f3M5atEVN9Yn7IeORGp0QGvggB62ELw"",""Maestro!A:I""),""SELECT Col7 WHERE Col3 = '""&amp;BE769&amp;""'"", 0), 1, 1),""NO ENCONTRADO"")"),"")</f>
        <v/>
      </c>
      <c r="BJ769" s="16">
        <f t="shared" si="19"/>
        <v>0</v>
      </c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4"/>
      <c r="BX769" s="14"/>
      <c r="BY769" s="14"/>
      <c r="BZ769" s="14"/>
      <c r="CA769" s="14"/>
      <c r="CB769" s="14"/>
      <c r="CC769" s="14"/>
      <c r="CD769" s="14"/>
      <c r="CE769" s="14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</row>
    <row r="770">
      <c r="A770" s="12"/>
      <c r="B770" s="14"/>
      <c r="C770" s="14"/>
      <c r="D770" s="14"/>
      <c r="E770" s="12"/>
      <c r="F770" s="307"/>
      <c r="G770" s="307"/>
      <c r="H770" s="12"/>
      <c r="I770" s="30"/>
      <c r="J770" s="12"/>
      <c r="K770" s="12"/>
      <c r="L770" s="12"/>
      <c r="M770" s="12"/>
      <c r="N770" s="12"/>
      <c r="O770" s="308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4"/>
      <c r="BF770" s="12"/>
      <c r="BG770" s="12"/>
      <c r="BH770" s="12" t="str">
        <f>IFERROR(__xludf.DUMMYFUNCTION("IFERROR(INDEX(QUERY(IMPORTRANGE(""1T7HG8KEs-Ob7f3M5atEVN9Yn7IeORGp0QGvggB62ELw"",""Maestro!A:I""),""SELECT Col8 WHERE Col3 = '""&amp;BE770&amp;""'"", 0), 1, 1),""NO ENCONTRADO"")"),"")</f>
        <v/>
      </c>
      <c r="BI770" s="12" t="str">
        <f>IFERROR(__xludf.DUMMYFUNCTION("IFERROR(INDEX(QUERY(IMPORTRANGE(""1T7HG8KEs-Ob7f3M5atEVN9Yn7IeORGp0QGvggB62ELw"",""Maestro!A:I""),""SELECT Col7 WHERE Col3 = '""&amp;BE770&amp;""'"", 0), 1, 1),""NO ENCONTRADO"")"),"")</f>
        <v/>
      </c>
      <c r="BJ770" s="16">
        <f t="shared" si="19"/>
        <v>0</v>
      </c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4"/>
      <c r="BX770" s="14"/>
      <c r="BY770" s="14"/>
      <c r="BZ770" s="14"/>
      <c r="CA770" s="14"/>
      <c r="CB770" s="14"/>
      <c r="CC770" s="14"/>
      <c r="CD770" s="14"/>
      <c r="CE770" s="14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</row>
    <row r="771">
      <c r="A771" s="12"/>
      <c r="B771" s="14"/>
      <c r="C771" s="14"/>
      <c r="D771" s="14"/>
      <c r="E771" s="12"/>
      <c r="F771" s="307"/>
      <c r="G771" s="307"/>
      <c r="H771" s="12"/>
      <c r="I771" s="30"/>
      <c r="J771" s="12"/>
      <c r="K771" s="12"/>
      <c r="L771" s="12"/>
      <c r="M771" s="12"/>
      <c r="N771" s="12"/>
      <c r="O771" s="308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4"/>
      <c r="BF771" s="12"/>
      <c r="BG771" s="12"/>
      <c r="BH771" s="12" t="str">
        <f>IFERROR(__xludf.DUMMYFUNCTION("IFERROR(INDEX(QUERY(IMPORTRANGE(""1T7HG8KEs-Ob7f3M5atEVN9Yn7IeORGp0QGvggB62ELw"",""Maestro!A:I""),""SELECT Col8 WHERE Col3 = '""&amp;BE771&amp;""'"", 0), 1, 1),""NO ENCONTRADO"")"),"")</f>
        <v/>
      </c>
      <c r="BI771" s="12" t="str">
        <f>IFERROR(__xludf.DUMMYFUNCTION("IFERROR(INDEX(QUERY(IMPORTRANGE(""1T7HG8KEs-Ob7f3M5atEVN9Yn7IeORGp0QGvggB62ELw"",""Maestro!A:I""),""SELECT Col7 WHERE Col3 = '""&amp;BE771&amp;""'"", 0), 1, 1),""NO ENCONTRADO"")"),"")</f>
        <v/>
      </c>
      <c r="BJ771" s="16">
        <f t="shared" si="19"/>
        <v>0</v>
      </c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4"/>
      <c r="BX771" s="14"/>
      <c r="BY771" s="14"/>
      <c r="BZ771" s="14"/>
      <c r="CA771" s="14"/>
      <c r="CB771" s="14"/>
      <c r="CC771" s="14"/>
      <c r="CD771" s="14"/>
      <c r="CE771" s="14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</row>
    <row r="772">
      <c r="A772" s="12"/>
      <c r="B772" s="14"/>
      <c r="C772" s="14"/>
      <c r="D772" s="14"/>
      <c r="E772" s="12"/>
      <c r="F772" s="307"/>
      <c r="G772" s="307"/>
      <c r="H772" s="12"/>
      <c r="I772" s="30"/>
      <c r="J772" s="12"/>
      <c r="K772" s="12"/>
      <c r="L772" s="12"/>
      <c r="M772" s="12"/>
      <c r="N772" s="12"/>
      <c r="O772" s="308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4"/>
      <c r="BF772" s="12"/>
      <c r="BG772" s="12"/>
      <c r="BH772" s="12" t="str">
        <f>IFERROR(__xludf.DUMMYFUNCTION("IFERROR(INDEX(QUERY(IMPORTRANGE(""1T7HG8KEs-Ob7f3M5atEVN9Yn7IeORGp0QGvggB62ELw"",""Maestro!A:I""),""SELECT Col8 WHERE Col3 = '""&amp;BE772&amp;""'"", 0), 1, 1),""NO ENCONTRADO"")"),"")</f>
        <v/>
      </c>
      <c r="BI772" s="12" t="str">
        <f>IFERROR(__xludf.DUMMYFUNCTION("IFERROR(INDEX(QUERY(IMPORTRANGE(""1T7HG8KEs-Ob7f3M5atEVN9Yn7IeORGp0QGvggB62ELw"",""Maestro!A:I""),""SELECT Col7 WHERE Col3 = '""&amp;BE772&amp;""'"", 0), 1, 1),""NO ENCONTRADO"")"),"")</f>
        <v/>
      </c>
      <c r="BJ772" s="16">
        <f t="shared" si="19"/>
        <v>0</v>
      </c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4"/>
      <c r="BX772" s="14"/>
      <c r="BY772" s="14"/>
      <c r="BZ772" s="14"/>
      <c r="CA772" s="14"/>
      <c r="CB772" s="14"/>
      <c r="CC772" s="14"/>
      <c r="CD772" s="14"/>
      <c r="CE772" s="14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</row>
    <row r="773">
      <c r="A773" s="12"/>
      <c r="B773" s="14"/>
      <c r="C773" s="14"/>
      <c r="D773" s="14"/>
      <c r="E773" s="12"/>
      <c r="F773" s="307"/>
      <c r="G773" s="307"/>
      <c r="H773" s="12"/>
      <c r="I773" s="30"/>
      <c r="J773" s="12"/>
      <c r="K773" s="12"/>
      <c r="L773" s="12"/>
      <c r="M773" s="12"/>
      <c r="N773" s="12"/>
      <c r="O773" s="308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4"/>
      <c r="BF773" s="12"/>
      <c r="BG773" s="12"/>
      <c r="BH773" s="12" t="str">
        <f>IFERROR(__xludf.DUMMYFUNCTION("IFERROR(INDEX(QUERY(IMPORTRANGE(""1T7HG8KEs-Ob7f3M5atEVN9Yn7IeORGp0QGvggB62ELw"",""Maestro!A:I""),""SELECT Col8 WHERE Col3 = '""&amp;BE773&amp;""'"", 0), 1, 1),""NO ENCONTRADO"")"),"")</f>
        <v/>
      </c>
      <c r="BI773" s="12" t="str">
        <f>IFERROR(__xludf.DUMMYFUNCTION("IFERROR(INDEX(QUERY(IMPORTRANGE(""1T7HG8KEs-Ob7f3M5atEVN9Yn7IeORGp0QGvggB62ELw"",""Maestro!A:I""),""SELECT Col7 WHERE Col3 = '""&amp;BE773&amp;""'"", 0), 1, 1),""NO ENCONTRADO"")"),"")</f>
        <v/>
      </c>
      <c r="BJ773" s="16">
        <f t="shared" si="19"/>
        <v>0</v>
      </c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4"/>
      <c r="BX773" s="14"/>
      <c r="BY773" s="14"/>
      <c r="BZ773" s="14"/>
      <c r="CA773" s="14"/>
      <c r="CB773" s="14"/>
      <c r="CC773" s="14"/>
      <c r="CD773" s="14"/>
      <c r="CE773" s="14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</row>
    <row r="774">
      <c r="A774" s="12"/>
      <c r="B774" s="14"/>
      <c r="C774" s="14"/>
      <c r="D774" s="14"/>
      <c r="E774" s="12"/>
      <c r="F774" s="307"/>
      <c r="G774" s="307"/>
      <c r="H774" s="12"/>
      <c r="I774" s="30"/>
      <c r="J774" s="12"/>
      <c r="K774" s="12"/>
      <c r="L774" s="12"/>
      <c r="M774" s="12"/>
      <c r="N774" s="12"/>
      <c r="O774" s="308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4"/>
      <c r="BF774" s="12"/>
      <c r="BG774" s="12"/>
      <c r="BH774" s="12" t="str">
        <f>IFERROR(__xludf.DUMMYFUNCTION("IFERROR(INDEX(QUERY(IMPORTRANGE(""1T7HG8KEs-Ob7f3M5atEVN9Yn7IeORGp0QGvggB62ELw"",""Maestro!A:I""),""SELECT Col8 WHERE Col3 = '""&amp;BE774&amp;""'"", 0), 1, 1),""NO ENCONTRADO"")"),"")</f>
        <v/>
      </c>
      <c r="BI774" s="12" t="str">
        <f>IFERROR(__xludf.DUMMYFUNCTION("IFERROR(INDEX(QUERY(IMPORTRANGE(""1T7HG8KEs-Ob7f3M5atEVN9Yn7IeORGp0QGvggB62ELw"",""Maestro!A:I""),""SELECT Col7 WHERE Col3 = '""&amp;BE774&amp;""'"", 0), 1, 1),""NO ENCONTRADO"")"),"")</f>
        <v/>
      </c>
      <c r="BJ774" s="16">
        <f t="shared" si="19"/>
        <v>0</v>
      </c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4"/>
      <c r="BX774" s="14"/>
      <c r="BY774" s="14"/>
      <c r="BZ774" s="14"/>
      <c r="CA774" s="14"/>
      <c r="CB774" s="14"/>
      <c r="CC774" s="14"/>
      <c r="CD774" s="14"/>
      <c r="CE774" s="14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</row>
    <row r="775">
      <c r="A775" s="12"/>
      <c r="B775" s="14"/>
      <c r="C775" s="14"/>
      <c r="D775" s="14"/>
      <c r="E775" s="12"/>
      <c r="F775" s="307"/>
      <c r="G775" s="307"/>
      <c r="H775" s="12"/>
      <c r="I775" s="30"/>
      <c r="J775" s="12"/>
      <c r="K775" s="12"/>
      <c r="L775" s="12"/>
      <c r="M775" s="12"/>
      <c r="N775" s="12"/>
      <c r="O775" s="308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4"/>
      <c r="BF775" s="12"/>
      <c r="BG775" s="12"/>
      <c r="BH775" s="12" t="str">
        <f>IFERROR(__xludf.DUMMYFUNCTION("IFERROR(INDEX(QUERY(IMPORTRANGE(""1T7HG8KEs-Ob7f3M5atEVN9Yn7IeORGp0QGvggB62ELw"",""Maestro!A:I""),""SELECT Col8 WHERE Col3 = '""&amp;BE775&amp;""'"", 0), 1, 1),""NO ENCONTRADO"")"),"")</f>
        <v/>
      </c>
      <c r="BI775" s="12" t="str">
        <f>IFERROR(__xludf.DUMMYFUNCTION("IFERROR(INDEX(QUERY(IMPORTRANGE(""1T7HG8KEs-Ob7f3M5atEVN9Yn7IeORGp0QGvggB62ELw"",""Maestro!A:I""),""SELECT Col7 WHERE Col3 = '""&amp;BE775&amp;""'"", 0), 1, 1),""NO ENCONTRADO"")"),"")</f>
        <v/>
      </c>
      <c r="BJ775" s="16">
        <f t="shared" si="19"/>
        <v>0</v>
      </c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4"/>
      <c r="BX775" s="14"/>
      <c r="BY775" s="14"/>
      <c r="BZ775" s="14"/>
      <c r="CA775" s="14"/>
      <c r="CB775" s="14"/>
      <c r="CC775" s="14"/>
      <c r="CD775" s="14"/>
      <c r="CE775" s="14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</row>
    <row r="776">
      <c r="A776" s="12"/>
      <c r="B776" s="14"/>
      <c r="C776" s="14"/>
      <c r="D776" s="14"/>
      <c r="E776" s="12"/>
      <c r="F776" s="307"/>
      <c r="G776" s="307"/>
      <c r="H776" s="12"/>
      <c r="I776" s="30"/>
      <c r="J776" s="12"/>
      <c r="K776" s="12"/>
      <c r="L776" s="12"/>
      <c r="M776" s="12"/>
      <c r="N776" s="12"/>
      <c r="O776" s="308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4"/>
      <c r="BF776" s="12"/>
      <c r="BG776" s="12"/>
      <c r="BH776" s="12" t="str">
        <f>IFERROR(__xludf.DUMMYFUNCTION("IFERROR(INDEX(QUERY(IMPORTRANGE(""1T7HG8KEs-Ob7f3M5atEVN9Yn7IeORGp0QGvggB62ELw"",""Maestro!A:I""),""SELECT Col8 WHERE Col3 = '""&amp;BE776&amp;""'"", 0), 1, 1),""NO ENCONTRADO"")"),"")</f>
        <v/>
      </c>
      <c r="BI776" s="12" t="str">
        <f>IFERROR(__xludf.DUMMYFUNCTION("IFERROR(INDEX(QUERY(IMPORTRANGE(""1T7HG8KEs-Ob7f3M5atEVN9Yn7IeORGp0QGvggB62ELw"",""Maestro!A:I""),""SELECT Col7 WHERE Col3 = '""&amp;BE776&amp;""'"", 0), 1, 1),""NO ENCONTRADO"")"),"")</f>
        <v/>
      </c>
      <c r="BJ776" s="16">
        <f t="shared" si="19"/>
        <v>0</v>
      </c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4"/>
      <c r="BX776" s="14"/>
      <c r="BY776" s="14"/>
      <c r="BZ776" s="14"/>
      <c r="CA776" s="14"/>
      <c r="CB776" s="14"/>
      <c r="CC776" s="14"/>
      <c r="CD776" s="14"/>
      <c r="CE776" s="14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</row>
    <row r="777">
      <c r="A777" s="12"/>
      <c r="B777" s="14"/>
      <c r="C777" s="14"/>
      <c r="D777" s="14"/>
      <c r="E777" s="12"/>
      <c r="F777" s="307"/>
      <c r="G777" s="307"/>
      <c r="H777" s="12"/>
      <c r="I777" s="30"/>
      <c r="J777" s="12"/>
      <c r="K777" s="12"/>
      <c r="L777" s="12"/>
      <c r="M777" s="12"/>
      <c r="N777" s="12"/>
      <c r="O777" s="308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4"/>
      <c r="BF777" s="12"/>
      <c r="BG777" s="12"/>
      <c r="BH777" s="12" t="str">
        <f>IFERROR(__xludf.DUMMYFUNCTION("IFERROR(INDEX(QUERY(IMPORTRANGE(""1T7HG8KEs-Ob7f3M5atEVN9Yn7IeORGp0QGvggB62ELw"",""Maestro!A:I""),""SELECT Col8 WHERE Col3 = '""&amp;BE777&amp;""'"", 0), 1, 1),""NO ENCONTRADO"")"),"")</f>
        <v/>
      </c>
      <c r="BI777" s="12" t="str">
        <f>IFERROR(__xludf.DUMMYFUNCTION("IFERROR(INDEX(QUERY(IMPORTRANGE(""1T7HG8KEs-Ob7f3M5atEVN9Yn7IeORGp0QGvggB62ELw"",""Maestro!A:I""),""SELECT Col7 WHERE Col3 = '""&amp;BE777&amp;""'"", 0), 1, 1),""NO ENCONTRADO"")"),"")</f>
        <v/>
      </c>
      <c r="BJ777" s="16">
        <f t="shared" si="19"/>
        <v>0</v>
      </c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4"/>
      <c r="BX777" s="14"/>
      <c r="BY777" s="14"/>
      <c r="BZ777" s="14"/>
      <c r="CA777" s="14"/>
      <c r="CB777" s="14"/>
      <c r="CC777" s="14"/>
      <c r="CD777" s="14"/>
      <c r="CE777" s="14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</row>
    <row r="778">
      <c r="A778" s="12"/>
      <c r="B778" s="14"/>
      <c r="C778" s="14"/>
      <c r="D778" s="14"/>
      <c r="E778" s="12"/>
      <c r="F778" s="307"/>
      <c r="G778" s="307"/>
      <c r="H778" s="12"/>
      <c r="I778" s="30"/>
      <c r="J778" s="12"/>
      <c r="K778" s="12"/>
      <c r="L778" s="12"/>
      <c r="M778" s="12"/>
      <c r="N778" s="12"/>
      <c r="O778" s="308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4"/>
      <c r="BF778" s="12"/>
      <c r="BG778" s="12"/>
      <c r="BH778" s="12" t="str">
        <f>IFERROR(__xludf.DUMMYFUNCTION("IFERROR(INDEX(QUERY(IMPORTRANGE(""1T7HG8KEs-Ob7f3M5atEVN9Yn7IeORGp0QGvggB62ELw"",""Maestro!A:I""),""SELECT Col8 WHERE Col3 = '""&amp;BE778&amp;""'"", 0), 1, 1),""NO ENCONTRADO"")"),"")</f>
        <v/>
      </c>
      <c r="BI778" s="12" t="str">
        <f>IFERROR(__xludf.DUMMYFUNCTION("IFERROR(INDEX(QUERY(IMPORTRANGE(""1T7HG8KEs-Ob7f3M5atEVN9Yn7IeORGp0QGvggB62ELw"",""Maestro!A:I""),""SELECT Col7 WHERE Col3 = '""&amp;BE778&amp;""'"", 0), 1, 1),""NO ENCONTRADO"")"),"")</f>
        <v/>
      </c>
      <c r="BJ778" s="16">
        <f t="shared" si="19"/>
        <v>0</v>
      </c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4"/>
      <c r="BX778" s="14"/>
      <c r="BY778" s="14"/>
      <c r="BZ778" s="14"/>
      <c r="CA778" s="14"/>
      <c r="CB778" s="14"/>
      <c r="CC778" s="14"/>
      <c r="CD778" s="14"/>
      <c r="CE778" s="14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</row>
    <row r="779">
      <c r="A779" s="12"/>
      <c r="B779" s="14"/>
      <c r="C779" s="14"/>
      <c r="D779" s="14"/>
      <c r="E779" s="12"/>
      <c r="F779" s="307"/>
      <c r="G779" s="307"/>
      <c r="H779" s="12"/>
      <c r="I779" s="30"/>
      <c r="J779" s="12"/>
      <c r="K779" s="12"/>
      <c r="L779" s="12"/>
      <c r="M779" s="12"/>
      <c r="N779" s="12"/>
      <c r="O779" s="308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4"/>
      <c r="BF779" s="12"/>
      <c r="BG779" s="12"/>
      <c r="BH779" s="12" t="str">
        <f>IFERROR(__xludf.DUMMYFUNCTION("IFERROR(INDEX(QUERY(IMPORTRANGE(""1T7HG8KEs-Ob7f3M5atEVN9Yn7IeORGp0QGvggB62ELw"",""Maestro!A:I""),""SELECT Col8 WHERE Col3 = '""&amp;BE779&amp;""'"", 0), 1, 1),""NO ENCONTRADO"")"),"")</f>
        <v/>
      </c>
      <c r="BI779" s="12" t="str">
        <f>IFERROR(__xludf.DUMMYFUNCTION("IFERROR(INDEX(QUERY(IMPORTRANGE(""1T7HG8KEs-Ob7f3M5atEVN9Yn7IeORGp0QGvggB62ELw"",""Maestro!A:I""),""SELECT Col7 WHERE Col3 = '""&amp;BE779&amp;""'"", 0), 1, 1),""NO ENCONTRADO"")"),"")</f>
        <v/>
      </c>
      <c r="BJ779" s="16">
        <f t="shared" si="19"/>
        <v>0</v>
      </c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4"/>
      <c r="BX779" s="14"/>
      <c r="BY779" s="14"/>
      <c r="BZ779" s="14"/>
      <c r="CA779" s="14"/>
      <c r="CB779" s="14"/>
      <c r="CC779" s="14"/>
      <c r="CD779" s="14"/>
      <c r="CE779" s="14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</row>
    <row r="780">
      <c r="A780" s="12"/>
      <c r="B780" s="14"/>
      <c r="C780" s="14"/>
      <c r="D780" s="14"/>
      <c r="E780" s="12"/>
      <c r="F780" s="307"/>
      <c r="G780" s="307"/>
      <c r="H780" s="12"/>
      <c r="I780" s="30"/>
      <c r="J780" s="12"/>
      <c r="K780" s="12"/>
      <c r="L780" s="12"/>
      <c r="M780" s="12"/>
      <c r="N780" s="12"/>
      <c r="O780" s="308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4"/>
      <c r="BF780" s="12"/>
      <c r="BG780" s="12"/>
      <c r="BH780" s="12" t="str">
        <f>IFERROR(__xludf.DUMMYFUNCTION("IFERROR(INDEX(QUERY(IMPORTRANGE(""1T7HG8KEs-Ob7f3M5atEVN9Yn7IeORGp0QGvggB62ELw"",""Maestro!A:I""),""SELECT Col8 WHERE Col3 = '""&amp;BE780&amp;""'"", 0), 1, 1),""NO ENCONTRADO"")"),"")</f>
        <v/>
      </c>
      <c r="BI780" s="12" t="str">
        <f>IFERROR(__xludf.DUMMYFUNCTION("IFERROR(INDEX(QUERY(IMPORTRANGE(""1T7HG8KEs-Ob7f3M5atEVN9Yn7IeORGp0QGvggB62ELw"",""Maestro!A:I""),""SELECT Col7 WHERE Col3 = '""&amp;BE780&amp;""'"", 0), 1, 1),""NO ENCONTRADO"")"),"")</f>
        <v/>
      </c>
      <c r="BJ780" s="16">
        <f t="shared" si="19"/>
        <v>0</v>
      </c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4"/>
      <c r="BX780" s="14"/>
      <c r="BY780" s="14"/>
      <c r="BZ780" s="14"/>
      <c r="CA780" s="14"/>
      <c r="CB780" s="14"/>
      <c r="CC780" s="14"/>
      <c r="CD780" s="14"/>
      <c r="CE780" s="14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</row>
    <row r="781">
      <c r="A781" s="12"/>
      <c r="B781" s="14"/>
      <c r="C781" s="14"/>
      <c r="D781" s="14"/>
      <c r="E781" s="12"/>
      <c r="F781" s="307"/>
      <c r="G781" s="307"/>
      <c r="H781" s="12"/>
      <c r="I781" s="30"/>
      <c r="J781" s="12"/>
      <c r="K781" s="12"/>
      <c r="L781" s="12"/>
      <c r="M781" s="12"/>
      <c r="N781" s="12"/>
      <c r="O781" s="308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4"/>
      <c r="BF781" s="12"/>
      <c r="BG781" s="12"/>
      <c r="BH781" s="12" t="str">
        <f>IFERROR(__xludf.DUMMYFUNCTION("IFERROR(INDEX(QUERY(IMPORTRANGE(""1T7HG8KEs-Ob7f3M5atEVN9Yn7IeORGp0QGvggB62ELw"",""Maestro!A:I""),""SELECT Col8 WHERE Col3 = '""&amp;BE781&amp;""'"", 0), 1, 1),""NO ENCONTRADO"")"),"")</f>
        <v/>
      </c>
      <c r="BI781" s="12" t="str">
        <f>IFERROR(__xludf.DUMMYFUNCTION("IFERROR(INDEX(QUERY(IMPORTRANGE(""1T7HG8KEs-Ob7f3M5atEVN9Yn7IeORGp0QGvggB62ELw"",""Maestro!A:I""),""SELECT Col7 WHERE Col3 = '""&amp;BE781&amp;""'"", 0), 1, 1),""NO ENCONTRADO"")"),"")</f>
        <v/>
      </c>
      <c r="BJ781" s="16">
        <f t="shared" si="19"/>
        <v>0</v>
      </c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4"/>
      <c r="BX781" s="14"/>
      <c r="BY781" s="14"/>
      <c r="BZ781" s="14"/>
      <c r="CA781" s="14"/>
      <c r="CB781" s="14"/>
      <c r="CC781" s="14"/>
      <c r="CD781" s="14"/>
      <c r="CE781" s="14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</row>
    <row r="782">
      <c r="A782" s="12"/>
      <c r="B782" s="14"/>
      <c r="C782" s="14"/>
      <c r="D782" s="14"/>
      <c r="E782" s="12"/>
      <c r="F782" s="307"/>
      <c r="G782" s="307"/>
      <c r="H782" s="12"/>
      <c r="I782" s="30"/>
      <c r="J782" s="12"/>
      <c r="K782" s="12"/>
      <c r="L782" s="12"/>
      <c r="M782" s="12"/>
      <c r="N782" s="12"/>
      <c r="O782" s="308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4"/>
      <c r="BF782" s="12"/>
      <c r="BG782" s="12"/>
      <c r="BH782" s="12" t="str">
        <f>IFERROR(__xludf.DUMMYFUNCTION("IFERROR(INDEX(QUERY(IMPORTRANGE(""1T7HG8KEs-Ob7f3M5atEVN9Yn7IeORGp0QGvggB62ELw"",""Maestro!A:I""),""SELECT Col8 WHERE Col3 = '""&amp;BE782&amp;""'"", 0), 1, 1),""NO ENCONTRADO"")"),"")</f>
        <v/>
      </c>
      <c r="BI782" s="12" t="str">
        <f>IFERROR(__xludf.DUMMYFUNCTION("IFERROR(INDEX(QUERY(IMPORTRANGE(""1T7HG8KEs-Ob7f3M5atEVN9Yn7IeORGp0QGvggB62ELw"",""Maestro!A:I""),""SELECT Col7 WHERE Col3 = '""&amp;BE782&amp;""'"", 0), 1, 1),""NO ENCONTRADO"")"),"")</f>
        <v/>
      </c>
      <c r="BJ782" s="16">
        <f t="shared" si="19"/>
        <v>0</v>
      </c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4"/>
      <c r="BX782" s="14"/>
      <c r="BY782" s="14"/>
      <c r="BZ782" s="14"/>
      <c r="CA782" s="14"/>
      <c r="CB782" s="14"/>
      <c r="CC782" s="14"/>
      <c r="CD782" s="14"/>
      <c r="CE782" s="14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</row>
    <row r="783">
      <c r="A783" s="12"/>
      <c r="B783" s="14"/>
      <c r="C783" s="14"/>
      <c r="D783" s="14"/>
      <c r="E783" s="12"/>
      <c r="F783" s="307"/>
      <c r="G783" s="307"/>
      <c r="H783" s="12"/>
      <c r="I783" s="30"/>
      <c r="J783" s="12"/>
      <c r="K783" s="12"/>
      <c r="L783" s="12"/>
      <c r="M783" s="12"/>
      <c r="N783" s="12"/>
      <c r="O783" s="308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4"/>
      <c r="BF783" s="12"/>
      <c r="BG783" s="12"/>
      <c r="BH783" s="12" t="str">
        <f>IFERROR(__xludf.DUMMYFUNCTION("IFERROR(INDEX(QUERY(IMPORTRANGE(""1T7HG8KEs-Ob7f3M5atEVN9Yn7IeORGp0QGvggB62ELw"",""Maestro!A:I""),""SELECT Col8 WHERE Col3 = '""&amp;BE783&amp;""'"", 0), 1, 1),""NO ENCONTRADO"")"),"")</f>
        <v/>
      </c>
      <c r="BI783" s="12" t="str">
        <f>IFERROR(__xludf.DUMMYFUNCTION("IFERROR(INDEX(QUERY(IMPORTRANGE(""1T7HG8KEs-Ob7f3M5atEVN9Yn7IeORGp0QGvggB62ELw"",""Maestro!A:I""),""SELECT Col7 WHERE Col3 = '""&amp;BE783&amp;""'"", 0), 1, 1),""NO ENCONTRADO"")"),"")</f>
        <v/>
      </c>
      <c r="BJ783" s="16">
        <f t="shared" si="19"/>
        <v>0</v>
      </c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4"/>
      <c r="BX783" s="14"/>
      <c r="BY783" s="14"/>
      <c r="BZ783" s="14"/>
      <c r="CA783" s="14"/>
      <c r="CB783" s="14"/>
      <c r="CC783" s="14"/>
      <c r="CD783" s="14"/>
      <c r="CE783" s="14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</row>
    <row r="784">
      <c r="A784" s="12"/>
      <c r="B784" s="14"/>
      <c r="C784" s="14"/>
      <c r="D784" s="14"/>
      <c r="E784" s="12"/>
      <c r="F784" s="307"/>
      <c r="G784" s="307"/>
      <c r="H784" s="12"/>
      <c r="I784" s="30"/>
      <c r="J784" s="12"/>
      <c r="K784" s="12"/>
      <c r="L784" s="12"/>
      <c r="M784" s="12"/>
      <c r="N784" s="12"/>
      <c r="O784" s="308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4"/>
      <c r="BF784" s="12"/>
      <c r="BG784" s="12"/>
      <c r="BH784" s="12" t="str">
        <f>IFERROR(__xludf.DUMMYFUNCTION("IFERROR(INDEX(QUERY(IMPORTRANGE(""1T7HG8KEs-Ob7f3M5atEVN9Yn7IeORGp0QGvggB62ELw"",""Maestro!A:I""),""SELECT Col8 WHERE Col3 = '""&amp;BE784&amp;""'"", 0), 1, 1),""NO ENCONTRADO"")"),"")</f>
        <v/>
      </c>
      <c r="BI784" s="12" t="str">
        <f>IFERROR(__xludf.DUMMYFUNCTION("IFERROR(INDEX(QUERY(IMPORTRANGE(""1T7HG8KEs-Ob7f3M5atEVN9Yn7IeORGp0QGvggB62ELw"",""Maestro!A:I""),""SELECT Col7 WHERE Col3 = '""&amp;BE784&amp;""'"", 0), 1, 1),""NO ENCONTRADO"")"),"")</f>
        <v/>
      </c>
      <c r="BJ784" s="16">
        <f t="shared" si="19"/>
        <v>0</v>
      </c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4"/>
      <c r="BX784" s="14"/>
      <c r="BY784" s="14"/>
      <c r="BZ784" s="14"/>
      <c r="CA784" s="14"/>
      <c r="CB784" s="14"/>
      <c r="CC784" s="14"/>
      <c r="CD784" s="14"/>
      <c r="CE784" s="14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</row>
    <row r="785">
      <c r="A785" s="12"/>
      <c r="B785" s="14"/>
      <c r="C785" s="14"/>
      <c r="D785" s="14"/>
      <c r="E785" s="12"/>
      <c r="F785" s="307"/>
      <c r="G785" s="307"/>
      <c r="H785" s="12"/>
      <c r="I785" s="30"/>
      <c r="J785" s="12"/>
      <c r="K785" s="12"/>
      <c r="L785" s="12"/>
      <c r="M785" s="12"/>
      <c r="N785" s="12"/>
      <c r="O785" s="308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4"/>
      <c r="BF785" s="12"/>
      <c r="BG785" s="12"/>
      <c r="BH785" s="12" t="str">
        <f>IFERROR(__xludf.DUMMYFUNCTION("IFERROR(INDEX(QUERY(IMPORTRANGE(""1T7HG8KEs-Ob7f3M5atEVN9Yn7IeORGp0QGvggB62ELw"",""Maestro!A:I""),""SELECT Col8 WHERE Col3 = '""&amp;BE785&amp;""'"", 0), 1, 1),""NO ENCONTRADO"")"),"")</f>
        <v/>
      </c>
      <c r="BI785" s="12" t="str">
        <f>IFERROR(__xludf.DUMMYFUNCTION("IFERROR(INDEX(QUERY(IMPORTRANGE(""1T7HG8KEs-Ob7f3M5atEVN9Yn7IeORGp0QGvggB62ELw"",""Maestro!A:I""),""SELECT Col7 WHERE Col3 = '""&amp;BE785&amp;""'"", 0), 1, 1),""NO ENCONTRADO"")"),"")</f>
        <v/>
      </c>
      <c r="BJ785" s="16">
        <f t="shared" si="19"/>
        <v>0</v>
      </c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4"/>
      <c r="BX785" s="14"/>
      <c r="BY785" s="14"/>
      <c r="BZ785" s="14"/>
      <c r="CA785" s="14"/>
      <c r="CB785" s="14"/>
      <c r="CC785" s="14"/>
      <c r="CD785" s="14"/>
      <c r="CE785" s="14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</row>
    <row r="786">
      <c r="A786" s="12"/>
      <c r="B786" s="14"/>
      <c r="C786" s="14"/>
      <c r="D786" s="14"/>
      <c r="E786" s="12"/>
      <c r="F786" s="307"/>
      <c r="G786" s="307"/>
      <c r="H786" s="12"/>
      <c r="I786" s="30"/>
      <c r="J786" s="12"/>
      <c r="K786" s="12"/>
      <c r="L786" s="12"/>
      <c r="M786" s="12"/>
      <c r="N786" s="12"/>
      <c r="O786" s="308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4"/>
      <c r="BF786" s="12"/>
      <c r="BG786" s="12"/>
      <c r="BH786" s="12" t="str">
        <f>IFERROR(__xludf.DUMMYFUNCTION("IFERROR(INDEX(QUERY(IMPORTRANGE(""1T7HG8KEs-Ob7f3M5atEVN9Yn7IeORGp0QGvggB62ELw"",""Maestro!A:I""),""SELECT Col8 WHERE Col3 = '""&amp;BE786&amp;""'"", 0), 1, 1),""NO ENCONTRADO"")"),"")</f>
        <v/>
      </c>
      <c r="BI786" s="12" t="str">
        <f>IFERROR(__xludf.DUMMYFUNCTION("IFERROR(INDEX(QUERY(IMPORTRANGE(""1T7HG8KEs-Ob7f3M5atEVN9Yn7IeORGp0QGvggB62ELw"",""Maestro!A:I""),""SELECT Col7 WHERE Col3 = '""&amp;BE786&amp;""'"", 0), 1, 1),""NO ENCONTRADO"")"),"")</f>
        <v/>
      </c>
      <c r="BJ786" s="16">
        <f t="shared" si="19"/>
        <v>0</v>
      </c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4"/>
      <c r="BX786" s="14"/>
      <c r="BY786" s="14"/>
      <c r="BZ786" s="14"/>
      <c r="CA786" s="14"/>
      <c r="CB786" s="14"/>
      <c r="CC786" s="14"/>
      <c r="CD786" s="14"/>
      <c r="CE786" s="14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</row>
    <row r="787">
      <c r="A787" s="12"/>
      <c r="B787" s="14"/>
      <c r="C787" s="14"/>
      <c r="D787" s="14"/>
      <c r="E787" s="12"/>
      <c r="F787" s="307"/>
      <c r="G787" s="307"/>
      <c r="H787" s="12"/>
      <c r="I787" s="30"/>
      <c r="J787" s="12"/>
      <c r="K787" s="12"/>
      <c r="L787" s="12"/>
      <c r="M787" s="12"/>
      <c r="N787" s="12"/>
      <c r="O787" s="308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4"/>
      <c r="BF787" s="12"/>
      <c r="BG787" s="12"/>
      <c r="BH787" s="12" t="str">
        <f>IFERROR(__xludf.DUMMYFUNCTION("IFERROR(INDEX(QUERY(IMPORTRANGE(""1T7HG8KEs-Ob7f3M5atEVN9Yn7IeORGp0QGvggB62ELw"",""Maestro!A:I""),""SELECT Col8 WHERE Col3 = '""&amp;BE787&amp;""'"", 0), 1, 1),""NO ENCONTRADO"")"),"")</f>
        <v/>
      </c>
      <c r="BI787" s="12" t="str">
        <f>IFERROR(__xludf.DUMMYFUNCTION("IFERROR(INDEX(QUERY(IMPORTRANGE(""1T7HG8KEs-Ob7f3M5atEVN9Yn7IeORGp0QGvggB62ELw"",""Maestro!A:I""),""SELECT Col7 WHERE Col3 = '""&amp;BE787&amp;""'"", 0), 1, 1),""NO ENCONTRADO"")"),"")</f>
        <v/>
      </c>
      <c r="BJ787" s="16">
        <f t="shared" si="19"/>
        <v>0</v>
      </c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4"/>
      <c r="BX787" s="14"/>
      <c r="BY787" s="14"/>
      <c r="BZ787" s="14"/>
      <c r="CA787" s="14"/>
      <c r="CB787" s="14"/>
      <c r="CC787" s="14"/>
      <c r="CD787" s="14"/>
      <c r="CE787" s="14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</row>
    <row r="788">
      <c r="A788" s="12"/>
      <c r="B788" s="14"/>
      <c r="C788" s="14"/>
      <c r="D788" s="14"/>
      <c r="E788" s="12"/>
      <c r="F788" s="307"/>
      <c r="G788" s="307"/>
      <c r="H788" s="12"/>
      <c r="I788" s="30"/>
      <c r="J788" s="12"/>
      <c r="K788" s="12"/>
      <c r="L788" s="12"/>
      <c r="M788" s="12"/>
      <c r="N788" s="12"/>
      <c r="O788" s="308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4"/>
      <c r="BF788" s="12"/>
      <c r="BG788" s="12"/>
      <c r="BH788" s="12" t="str">
        <f>IFERROR(__xludf.DUMMYFUNCTION("IFERROR(INDEX(QUERY(IMPORTRANGE(""1T7HG8KEs-Ob7f3M5atEVN9Yn7IeORGp0QGvggB62ELw"",""Maestro!A:I""),""SELECT Col8 WHERE Col3 = '""&amp;BE788&amp;""'"", 0), 1, 1),""NO ENCONTRADO"")"),"")</f>
        <v/>
      </c>
      <c r="BI788" s="12" t="str">
        <f>IFERROR(__xludf.DUMMYFUNCTION("IFERROR(INDEX(QUERY(IMPORTRANGE(""1T7HG8KEs-Ob7f3M5atEVN9Yn7IeORGp0QGvggB62ELw"",""Maestro!A:I""),""SELECT Col7 WHERE Col3 = '""&amp;BE788&amp;""'"", 0), 1, 1),""NO ENCONTRADO"")"),"")</f>
        <v/>
      </c>
      <c r="BJ788" s="16">
        <f t="shared" si="19"/>
        <v>0</v>
      </c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4"/>
      <c r="BX788" s="14"/>
      <c r="BY788" s="14"/>
      <c r="BZ788" s="14"/>
      <c r="CA788" s="14"/>
      <c r="CB788" s="14"/>
      <c r="CC788" s="14"/>
      <c r="CD788" s="14"/>
      <c r="CE788" s="14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</row>
    <row r="789">
      <c r="A789" s="12"/>
      <c r="B789" s="14"/>
      <c r="C789" s="14"/>
      <c r="D789" s="14"/>
      <c r="E789" s="12"/>
      <c r="F789" s="307"/>
      <c r="G789" s="307"/>
      <c r="H789" s="12"/>
      <c r="I789" s="30"/>
      <c r="J789" s="12"/>
      <c r="K789" s="12"/>
      <c r="L789" s="12"/>
      <c r="M789" s="12"/>
      <c r="N789" s="12"/>
      <c r="O789" s="308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4"/>
      <c r="BF789" s="12"/>
      <c r="BG789" s="12"/>
      <c r="BH789" s="12" t="str">
        <f>IFERROR(__xludf.DUMMYFUNCTION("IFERROR(INDEX(QUERY(IMPORTRANGE(""1T7HG8KEs-Ob7f3M5atEVN9Yn7IeORGp0QGvggB62ELw"",""Maestro!A:I""),""SELECT Col8 WHERE Col3 = '""&amp;BE789&amp;""'"", 0), 1, 1),""NO ENCONTRADO"")"),"")</f>
        <v/>
      </c>
      <c r="BI789" s="12" t="str">
        <f>IFERROR(__xludf.DUMMYFUNCTION("IFERROR(INDEX(QUERY(IMPORTRANGE(""1T7HG8KEs-Ob7f3M5atEVN9Yn7IeORGp0QGvggB62ELw"",""Maestro!A:I""),""SELECT Col7 WHERE Col3 = '""&amp;BE789&amp;""'"", 0), 1, 1),""NO ENCONTRADO"")"),"")</f>
        <v/>
      </c>
      <c r="BJ789" s="16">
        <f t="shared" si="19"/>
        <v>0</v>
      </c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4"/>
      <c r="BX789" s="14"/>
      <c r="BY789" s="14"/>
      <c r="BZ789" s="14"/>
      <c r="CA789" s="14"/>
      <c r="CB789" s="14"/>
      <c r="CC789" s="14"/>
      <c r="CD789" s="14"/>
      <c r="CE789" s="14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</row>
    <row r="790">
      <c r="A790" s="12"/>
      <c r="B790" s="14"/>
      <c r="C790" s="14"/>
      <c r="D790" s="14"/>
      <c r="E790" s="12"/>
      <c r="F790" s="307"/>
      <c r="G790" s="307"/>
      <c r="H790" s="12"/>
      <c r="I790" s="30"/>
      <c r="J790" s="12"/>
      <c r="K790" s="12"/>
      <c r="L790" s="12"/>
      <c r="M790" s="12"/>
      <c r="N790" s="12"/>
      <c r="O790" s="308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4"/>
      <c r="BF790" s="12"/>
      <c r="BG790" s="12"/>
      <c r="BH790" s="12" t="str">
        <f>IFERROR(__xludf.DUMMYFUNCTION("IFERROR(INDEX(QUERY(IMPORTRANGE(""1T7HG8KEs-Ob7f3M5atEVN9Yn7IeORGp0QGvggB62ELw"",""Maestro!A:I""),""SELECT Col8 WHERE Col3 = '""&amp;BE790&amp;""'"", 0), 1, 1),""NO ENCONTRADO"")"),"")</f>
        <v/>
      </c>
      <c r="BI790" s="12" t="str">
        <f>IFERROR(__xludf.DUMMYFUNCTION("IFERROR(INDEX(QUERY(IMPORTRANGE(""1T7HG8KEs-Ob7f3M5atEVN9Yn7IeORGp0QGvggB62ELw"",""Maestro!A:I""),""SELECT Col7 WHERE Col3 = '""&amp;BE790&amp;""'"", 0), 1, 1),""NO ENCONTRADO"")"),"")</f>
        <v/>
      </c>
      <c r="BJ790" s="16">
        <f t="shared" si="19"/>
        <v>0</v>
      </c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4"/>
      <c r="BX790" s="14"/>
      <c r="BY790" s="14"/>
      <c r="BZ790" s="14"/>
      <c r="CA790" s="14"/>
      <c r="CB790" s="14"/>
      <c r="CC790" s="14"/>
      <c r="CD790" s="14"/>
      <c r="CE790" s="14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</row>
    <row r="791">
      <c r="A791" s="12"/>
      <c r="B791" s="14"/>
      <c r="C791" s="14"/>
      <c r="D791" s="14"/>
      <c r="E791" s="12"/>
      <c r="F791" s="307"/>
      <c r="G791" s="307"/>
      <c r="H791" s="12"/>
      <c r="I791" s="30"/>
      <c r="J791" s="12"/>
      <c r="K791" s="12"/>
      <c r="L791" s="12"/>
      <c r="M791" s="12"/>
      <c r="N791" s="12"/>
      <c r="O791" s="308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4"/>
      <c r="BF791" s="12"/>
      <c r="BG791" s="12"/>
      <c r="BH791" s="12" t="str">
        <f>IFERROR(__xludf.DUMMYFUNCTION("IFERROR(INDEX(QUERY(IMPORTRANGE(""1T7HG8KEs-Ob7f3M5atEVN9Yn7IeORGp0QGvggB62ELw"",""Maestro!A:I""),""SELECT Col8 WHERE Col3 = '""&amp;BE791&amp;""'"", 0), 1, 1),""NO ENCONTRADO"")"),"")</f>
        <v/>
      </c>
      <c r="BI791" s="12" t="str">
        <f>IFERROR(__xludf.DUMMYFUNCTION("IFERROR(INDEX(QUERY(IMPORTRANGE(""1T7HG8KEs-Ob7f3M5atEVN9Yn7IeORGp0QGvggB62ELw"",""Maestro!A:I""),""SELECT Col7 WHERE Col3 = '""&amp;BE791&amp;""'"", 0), 1, 1),""NO ENCONTRADO"")"),"")</f>
        <v/>
      </c>
      <c r="BJ791" s="16">
        <f t="shared" si="19"/>
        <v>0</v>
      </c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4"/>
      <c r="BX791" s="14"/>
      <c r="BY791" s="14"/>
      <c r="BZ791" s="14"/>
      <c r="CA791" s="14"/>
      <c r="CB791" s="14"/>
      <c r="CC791" s="14"/>
      <c r="CD791" s="14"/>
      <c r="CE791" s="14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</row>
    <row r="792">
      <c r="A792" s="12"/>
      <c r="B792" s="14"/>
      <c r="C792" s="14"/>
      <c r="D792" s="14"/>
      <c r="E792" s="12"/>
      <c r="F792" s="307"/>
      <c r="G792" s="307"/>
      <c r="H792" s="12"/>
      <c r="I792" s="30"/>
      <c r="J792" s="12"/>
      <c r="K792" s="12"/>
      <c r="L792" s="12"/>
      <c r="M792" s="12"/>
      <c r="N792" s="12"/>
      <c r="O792" s="308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4"/>
      <c r="BF792" s="12"/>
      <c r="BG792" s="12"/>
      <c r="BH792" s="12" t="str">
        <f>IFERROR(__xludf.DUMMYFUNCTION("IFERROR(INDEX(QUERY(IMPORTRANGE(""1T7HG8KEs-Ob7f3M5atEVN9Yn7IeORGp0QGvggB62ELw"",""Maestro!A:I""),""SELECT Col8 WHERE Col3 = '""&amp;BE792&amp;""'"", 0), 1, 1),""NO ENCONTRADO"")"),"")</f>
        <v/>
      </c>
      <c r="BI792" s="12" t="str">
        <f>IFERROR(__xludf.DUMMYFUNCTION("IFERROR(INDEX(QUERY(IMPORTRANGE(""1T7HG8KEs-Ob7f3M5atEVN9Yn7IeORGp0QGvggB62ELw"",""Maestro!A:I""),""SELECT Col7 WHERE Col3 = '""&amp;BE792&amp;""'"", 0), 1, 1),""NO ENCONTRADO"")"),"")</f>
        <v/>
      </c>
      <c r="BJ792" s="16">
        <f t="shared" si="19"/>
        <v>0</v>
      </c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4"/>
      <c r="BX792" s="14"/>
      <c r="BY792" s="14"/>
      <c r="BZ792" s="14"/>
      <c r="CA792" s="14"/>
      <c r="CB792" s="14"/>
      <c r="CC792" s="14"/>
      <c r="CD792" s="14"/>
      <c r="CE792" s="14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</row>
    <row r="793">
      <c r="A793" s="12"/>
      <c r="B793" s="14"/>
      <c r="C793" s="14"/>
      <c r="D793" s="14"/>
      <c r="E793" s="12"/>
      <c r="F793" s="307"/>
      <c r="G793" s="307"/>
      <c r="H793" s="12"/>
      <c r="I793" s="30"/>
      <c r="J793" s="12"/>
      <c r="K793" s="12"/>
      <c r="L793" s="12"/>
      <c r="M793" s="12"/>
      <c r="N793" s="12"/>
      <c r="O793" s="308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4"/>
      <c r="BF793" s="12"/>
      <c r="BG793" s="12"/>
      <c r="BH793" s="12" t="str">
        <f>IFERROR(__xludf.DUMMYFUNCTION("IFERROR(INDEX(QUERY(IMPORTRANGE(""1T7HG8KEs-Ob7f3M5atEVN9Yn7IeORGp0QGvggB62ELw"",""Maestro!A:I""),""SELECT Col8 WHERE Col3 = '""&amp;BE793&amp;""'"", 0), 1, 1),""NO ENCONTRADO"")"),"")</f>
        <v/>
      </c>
      <c r="BI793" s="12" t="str">
        <f>IFERROR(__xludf.DUMMYFUNCTION("IFERROR(INDEX(QUERY(IMPORTRANGE(""1T7HG8KEs-Ob7f3M5atEVN9Yn7IeORGp0QGvggB62ELw"",""Maestro!A:I""),""SELECT Col7 WHERE Col3 = '""&amp;BE793&amp;""'"", 0), 1, 1),""NO ENCONTRADO"")"),"")</f>
        <v/>
      </c>
      <c r="BJ793" s="16">
        <f t="shared" si="19"/>
        <v>0</v>
      </c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4"/>
      <c r="BX793" s="14"/>
      <c r="BY793" s="14"/>
      <c r="BZ793" s="14"/>
      <c r="CA793" s="14"/>
      <c r="CB793" s="14"/>
      <c r="CC793" s="14"/>
      <c r="CD793" s="14"/>
      <c r="CE793" s="14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</row>
    <row r="794">
      <c r="A794" s="12"/>
      <c r="B794" s="14"/>
      <c r="C794" s="14"/>
      <c r="D794" s="14"/>
      <c r="E794" s="12"/>
      <c r="F794" s="307"/>
      <c r="G794" s="307"/>
      <c r="H794" s="12"/>
      <c r="I794" s="30"/>
      <c r="J794" s="12"/>
      <c r="K794" s="12"/>
      <c r="L794" s="12"/>
      <c r="M794" s="12"/>
      <c r="N794" s="12"/>
      <c r="O794" s="308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4"/>
      <c r="BF794" s="12"/>
      <c r="BG794" s="12"/>
      <c r="BH794" s="12" t="str">
        <f>IFERROR(__xludf.DUMMYFUNCTION("IFERROR(INDEX(QUERY(IMPORTRANGE(""1T7HG8KEs-Ob7f3M5atEVN9Yn7IeORGp0QGvggB62ELw"",""Maestro!A:I""),""SELECT Col8 WHERE Col3 = '""&amp;BE794&amp;""'"", 0), 1, 1),""NO ENCONTRADO"")"),"")</f>
        <v/>
      </c>
      <c r="BI794" s="12" t="str">
        <f>IFERROR(__xludf.DUMMYFUNCTION("IFERROR(INDEX(QUERY(IMPORTRANGE(""1T7HG8KEs-Ob7f3M5atEVN9Yn7IeORGp0QGvggB62ELw"",""Maestro!A:I""),""SELECT Col7 WHERE Col3 = '""&amp;BE794&amp;""'"", 0), 1, 1),""NO ENCONTRADO"")"),"")</f>
        <v/>
      </c>
      <c r="BJ794" s="16">
        <f t="shared" si="19"/>
        <v>0</v>
      </c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4"/>
      <c r="BX794" s="14"/>
      <c r="BY794" s="14"/>
      <c r="BZ794" s="14"/>
      <c r="CA794" s="14"/>
      <c r="CB794" s="14"/>
      <c r="CC794" s="14"/>
      <c r="CD794" s="14"/>
      <c r="CE794" s="14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</row>
    <row r="795">
      <c r="A795" s="12"/>
      <c r="B795" s="14"/>
      <c r="C795" s="14"/>
      <c r="D795" s="14"/>
      <c r="E795" s="12"/>
      <c r="F795" s="307"/>
      <c r="G795" s="307"/>
      <c r="H795" s="12"/>
      <c r="I795" s="30"/>
      <c r="J795" s="12"/>
      <c r="K795" s="12"/>
      <c r="L795" s="12"/>
      <c r="M795" s="12"/>
      <c r="N795" s="12"/>
      <c r="O795" s="308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4"/>
      <c r="BF795" s="12"/>
      <c r="BG795" s="12"/>
      <c r="BH795" s="12" t="str">
        <f>IFERROR(__xludf.DUMMYFUNCTION("IFERROR(INDEX(QUERY(IMPORTRANGE(""1T7HG8KEs-Ob7f3M5atEVN9Yn7IeORGp0QGvggB62ELw"",""Maestro!A:I""),""SELECT Col8 WHERE Col3 = '""&amp;BE795&amp;""'"", 0), 1, 1),""NO ENCONTRADO"")"),"")</f>
        <v/>
      </c>
      <c r="BI795" s="12" t="str">
        <f>IFERROR(__xludf.DUMMYFUNCTION("IFERROR(INDEX(QUERY(IMPORTRANGE(""1T7HG8KEs-Ob7f3M5atEVN9Yn7IeORGp0QGvggB62ELw"",""Maestro!A:I""),""SELECT Col7 WHERE Col3 = '""&amp;BE795&amp;""'"", 0), 1, 1),""NO ENCONTRADO"")"),"")</f>
        <v/>
      </c>
      <c r="BJ795" s="16">
        <f t="shared" si="19"/>
        <v>0</v>
      </c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4"/>
      <c r="BX795" s="14"/>
      <c r="BY795" s="14"/>
      <c r="BZ795" s="14"/>
      <c r="CA795" s="14"/>
      <c r="CB795" s="14"/>
      <c r="CC795" s="14"/>
      <c r="CD795" s="14"/>
      <c r="CE795" s="14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</row>
    <row r="796">
      <c r="A796" s="12"/>
      <c r="B796" s="14"/>
      <c r="C796" s="14"/>
      <c r="D796" s="14"/>
      <c r="E796" s="12"/>
      <c r="F796" s="307"/>
      <c r="G796" s="307"/>
      <c r="H796" s="12"/>
      <c r="I796" s="30"/>
      <c r="J796" s="12"/>
      <c r="K796" s="12"/>
      <c r="L796" s="12"/>
      <c r="M796" s="12"/>
      <c r="N796" s="12"/>
      <c r="O796" s="308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4"/>
      <c r="BF796" s="12"/>
      <c r="BG796" s="12"/>
      <c r="BH796" s="12" t="str">
        <f>IFERROR(__xludf.DUMMYFUNCTION("IFERROR(INDEX(QUERY(IMPORTRANGE(""1T7HG8KEs-Ob7f3M5atEVN9Yn7IeORGp0QGvggB62ELw"",""Maestro!A:I""),""SELECT Col8 WHERE Col3 = '""&amp;BE796&amp;""'"", 0), 1, 1),""NO ENCONTRADO"")"),"")</f>
        <v/>
      </c>
      <c r="BI796" s="12" t="str">
        <f>IFERROR(__xludf.DUMMYFUNCTION("IFERROR(INDEX(QUERY(IMPORTRANGE(""1T7HG8KEs-Ob7f3M5atEVN9Yn7IeORGp0QGvggB62ELw"",""Maestro!A:I""),""SELECT Col7 WHERE Col3 = '""&amp;BE796&amp;""'"", 0), 1, 1),""NO ENCONTRADO"")"),"")</f>
        <v/>
      </c>
      <c r="BJ796" s="16">
        <f t="shared" si="19"/>
        <v>0</v>
      </c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4"/>
      <c r="BX796" s="14"/>
      <c r="BY796" s="14"/>
      <c r="BZ796" s="14"/>
      <c r="CA796" s="14"/>
      <c r="CB796" s="14"/>
      <c r="CC796" s="14"/>
      <c r="CD796" s="14"/>
      <c r="CE796" s="14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</row>
    <row r="797">
      <c r="A797" s="12"/>
      <c r="B797" s="14"/>
      <c r="C797" s="14"/>
      <c r="D797" s="14"/>
      <c r="E797" s="12"/>
      <c r="F797" s="307"/>
      <c r="G797" s="307"/>
      <c r="H797" s="12"/>
      <c r="I797" s="30"/>
      <c r="J797" s="12"/>
      <c r="K797" s="12"/>
      <c r="L797" s="12"/>
      <c r="M797" s="12"/>
      <c r="N797" s="12"/>
      <c r="O797" s="308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4"/>
      <c r="BF797" s="12"/>
      <c r="BG797" s="12"/>
      <c r="BH797" s="12" t="str">
        <f>IFERROR(__xludf.DUMMYFUNCTION("IFERROR(INDEX(QUERY(IMPORTRANGE(""1T7HG8KEs-Ob7f3M5atEVN9Yn7IeORGp0QGvggB62ELw"",""Maestro!A:I""),""SELECT Col8 WHERE Col3 = '""&amp;BE797&amp;""'"", 0), 1, 1),""NO ENCONTRADO"")"),"")</f>
        <v/>
      </c>
      <c r="BI797" s="12" t="str">
        <f>IFERROR(__xludf.DUMMYFUNCTION("IFERROR(INDEX(QUERY(IMPORTRANGE(""1T7HG8KEs-Ob7f3M5atEVN9Yn7IeORGp0QGvggB62ELw"",""Maestro!A:I""),""SELECT Col7 WHERE Col3 = '""&amp;BE797&amp;""'"", 0), 1, 1),""NO ENCONTRADO"")"),"")</f>
        <v/>
      </c>
      <c r="BJ797" s="16">
        <f t="shared" si="19"/>
        <v>0</v>
      </c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4"/>
      <c r="BX797" s="14"/>
      <c r="BY797" s="14"/>
      <c r="BZ797" s="14"/>
      <c r="CA797" s="14"/>
      <c r="CB797" s="14"/>
      <c r="CC797" s="14"/>
      <c r="CD797" s="14"/>
      <c r="CE797" s="14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</row>
    <row r="798">
      <c r="A798" s="12"/>
      <c r="B798" s="14"/>
      <c r="C798" s="14"/>
      <c r="D798" s="14"/>
      <c r="E798" s="12"/>
      <c r="F798" s="307"/>
      <c r="G798" s="307"/>
      <c r="H798" s="12"/>
      <c r="I798" s="30"/>
      <c r="J798" s="12"/>
      <c r="K798" s="12"/>
      <c r="L798" s="12"/>
      <c r="M798" s="12"/>
      <c r="N798" s="12"/>
      <c r="O798" s="308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4"/>
      <c r="BF798" s="12"/>
      <c r="BG798" s="12"/>
      <c r="BH798" s="12" t="str">
        <f>IFERROR(__xludf.DUMMYFUNCTION("IFERROR(INDEX(QUERY(IMPORTRANGE(""1T7HG8KEs-Ob7f3M5atEVN9Yn7IeORGp0QGvggB62ELw"",""Maestro!A:I""),""SELECT Col8 WHERE Col3 = '""&amp;BE798&amp;""'"", 0), 1, 1),""NO ENCONTRADO"")"),"")</f>
        <v/>
      </c>
      <c r="BI798" s="12" t="str">
        <f>IFERROR(__xludf.DUMMYFUNCTION("IFERROR(INDEX(QUERY(IMPORTRANGE(""1T7HG8KEs-Ob7f3M5atEVN9Yn7IeORGp0QGvggB62ELw"",""Maestro!A:I""),""SELECT Col7 WHERE Col3 = '""&amp;BE798&amp;""'"", 0), 1, 1),""NO ENCONTRADO"")"),"")</f>
        <v/>
      </c>
      <c r="BJ798" s="16">
        <f t="shared" si="19"/>
        <v>0</v>
      </c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4"/>
      <c r="BX798" s="14"/>
      <c r="BY798" s="14"/>
      <c r="BZ798" s="14"/>
      <c r="CA798" s="14"/>
      <c r="CB798" s="14"/>
      <c r="CC798" s="14"/>
      <c r="CD798" s="14"/>
      <c r="CE798" s="14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</row>
    <row r="799">
      <c r="A799" s="12"/>
      <c r="B799" s="14"/>
      <c r="C799" s="14"/>
      <c r="D799" s="14"/>
      <c r="E799" s="12"/>
      <c r="F799" s="307"/>
      <c r="G799" s="307"/>
      <c r="H799" s="12"/>
      <c r="I799" s="30"/>
      <c r="J799" s="12"/>
      <c r="K799" s="12"/>
      <c r="L799" s="12"/>
      <c r="M799" s="12"/>
      <c r="N799" s="12"/>
      <c r="O799" s="308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4"/>
      <c r="BF799" s="12"/>
      <c r="BG799" s="12"/>
      <c r="BH799" s="12" t="str">
        <f>IFERROR(__xludf.DUMMYFUNCTION("IFERROR(INDEX(QUERY(IMPORTRANGE(""1T7HG8KEs-Ob7f3M5atEVN9Yn7IeORGp0QGvggB62ELw"",""Maestro!A:I""),""SELECT Col8 WHERE Col3 = '""&amp;BE799&amp;""'"", 0), 1, 1),""NO ENCONTRADO"")"),"")</f>
        <v/>
      </c>
      <c r="BI799" s="12" t="str">
        <f>IFERROR(__xludf.DUMMYFUNCTION("IFERROR(INDEX(QUERY(IMPORTRANGE(""1T7HG8KEs-Ob7f3M5atEVN9Yn7IeORGp0QGvggB62ELw"",""Maestro!A:I""),""SELECT Col7 WHERE Col3 = '""&amp;BE799&amp;""'"", 0), 1, 1),""NO ENCONTRADO"")"),"")</f>
        <v/>
      </c>
      <c r="BJ799" s="16">
        <f t="shared" si="19"/>
        <v>0</v>
      </c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4"/>
      <c r="BX799" s="14"/>
      <c r="BY799" s="14"/>
      <c r="BZ799" s="14"/>
      <c r="CA799" s="14"/>
      <c r="CB799" s="14"/>
      <c r="CC799" s="14"/>
      <c r="CD799" s="14"/>
      <c r="CE799" s="14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</row>
    <row r="800">
      <c r="A800" s="12"/>
      <c r="B800" s="14"/>
      <c r="C800" s="14"/>
      <c r="D800" s="14"/>
      <c r="E800" s="12"/>
      <c r="F800" s="307"/>
      <c r="G800" s="307"/>
      <c r="H800" s="12"/>
      <c r="I800" s="30"/>
      <c r="J800" s="12"/>
      <c r="K800" s="12"/>
      <c r="L800" s="12"/>
      <c r="M800" s="12"/>
      <c r="N800" s="12"/>
      <c r="O800" s="308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4"/>
      <c r="BF800" s="12"/>
      <c r="BG800" s="12"/>
      <c r="BH800" s="12" t="str">
        <f>IFERROR(__xludf.DUMMYFUNCTION("IFERROR(INDEX(QUERY(IMPORTRANGE(""1T7HG8KEs-Ob7f3M5atEVN9Yn7IeORGp0QGvggB62ELw"",""Maestro!A:I""),""SELECT Col8 WHERE Col3 = '""&amp;BE800&amp;""'"", 0), 1, 1),""NO ENCONTRADO"")"),"")</f>
        <v/>
      </c>
      <c r="BI800" s="12" t="str">
        <f>IFERROR(__xludf.DUMMYFUNCTION("IFERROR(INDEX(QUERY(IMPORTRANGE(""1T7HG8KEs-Ob7f3M5atEVN9Yn7IeORGp0QGvggB62ELw"",""Maestro!A:I""),""SELECT Col7 WHERE Col3 = '""&amp;BE800&amp;""'"", 0), 1, 1),""NO ENCONTRADO"")"),"")</f>
        <v/>
      </c>
      <c r="BJ800" s="16">
        <f t="shared" si="19"/>
        <v>0</v>
      </c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4"/>
      <c r="BX800" s="14"/>
      <c r="BY800" s="14"/>
      <c r="BZ800" s="14"/>
      <c r="CA800" s="14"/>
      <c r="CB800" s="14"/>
      <c r="CC800" s="14"/>
      <c r="CD800" s="14"/>
      <c r="CE800" s="14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</row>
    <row r="801">
      <c r="A801" s="12"/>
      <c r="B801" s="14"/>
      <c r="C801" s="14"/>
      <c r="D801" s="14"/>
      <c r="E801" s="12"/>
      <c r="F801" s="307"/>
      <c r="G801" s="307"/>
      <c r="H801" s="12"/>
      <c r="I801" s="30"/>
      <c r="J801" s="12"/>
      <c r="K801" s="12"/>
      <c r="L801" s="12"/>
      <c r="M801" s="12"/>
      <c r="N801" s="12"/>
      <c r="O801" s="308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4"/>
      <c r="BF801" s="12"/>
      <c r="BG801" s="12"/>
      <c r="BH801" s="12" t="str">
        <f>IFERROR(__xludf.DUMMYFUNCTION("IFERROR(INDEX(QUERY(IMPORTRANGE(""1T7HG8KEs-Ob7f3M5atEVN9Yn7IeORGp0QGvggB62ELw"",""Maestro!A:I""),""SELECT Col8 WHERE Col3 = '""&amp;BE801&amp;""'"", 0), 1, 1),""NO ENCONTRADO"")"),"")</f>
        <v/>
      </c>
      <c r="BI801" s="12" t="str">
        <f>IFERROR(__xludf.DUMMYFUNCTION("IFERROR(INDEX(QUERY(IMPORTRANGE(""1T7HG8KEs-Ob7f3M5atEVN9Yn7IeORGp0QGvggB62ELw"",""Maestro!A:I""),""SELECT Col7 WHERE Col3 = '""&amp;BE801&amp;""'"", 0), 1, 1),""NO ENCONTRADO"")"),"")</f>
        <v/>
      </c>
      <c r="BJ801" s="16">
        <f t="shared" si="19"/>
        <v>0</v>
      </c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4"/>
      <c r="BX801" s="14"/>
      <c r="BY801" s="14"/>
      <c r="BZ801" s="14"/>
      <c r="CA801" s="14"/>
      <c r="CB801" s="14"/>
      <c r="CC801" s="14"/>
      <c r="CD801" s="14"/>
      <c r="CE801" s="14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</row>
    <row r="802">
      <c r="A802" s="12"/>
      <c r="B802" s="14"/>
      <c r="C802" s="14"/>
      <c r="D802" s="14"/>
      <c r="E802" s="12"/>
      <c r="F802" s="307"/>
      <c r="G802" s="307"/>
      <c r="H802" s="12"/>
      <c r="I802" s="30"/>
      <c r="J802" s="12"/>
      <c r="K802" s="12"/>
      <c r="L802" s="12"/>
      <c r="M802" s="12"/>
      <c r="N802" s="12"/>
      <c r="O802" s="308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4"/>
      <c r="BF802" s="12"/>
      <c r="BG802" s="12"/>
      <c r="BH802" s="12" t="str">
        <f>IFERROR(__xludf.DUMMYFUNCTION("IFERROR(INDEX(QUERY(IMPORTRANGE(""1T7HG8KEs-Ob7f3M5atEVN9Yn7IeORGp0QGvggB62ELw"",""Maestro!A:I""),""SELECT Col8 WHERE Col3 = '""&amp;BE802&amp;""'"", 0), 1, 1),""NO ENCONTRADO"")"),"")</f>
        <v/>
      </c>
      <c r="BI802" s="12" t="str">
        <f>IFERROR(__xludf.DUMMYFUNCTION("IFERROR(INDEX(QUERY(IMPORTRANGE(""1T7HG8KEs-Ob7f3M5atEVN9Yn7IeORGp0QGvggB62ELw"",""Maestro!A:I""),""SELECT Col7 WHERE Col3 = '""&amp;BE802&amp;""'"", 0), 1, 1),""NO ENCONTRADO"")"),"")</f>
        <v/>
      </c>
      <c r="BJ802" s="16">
        <f t="shared" si="19"/>
        <v>0</v>
      </c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4"/>
      <c r="BX802" s="14"/>
      <c r="BY802" s="14"/>
      <c r="BZ802" s="14"/>
      <c r="CA802" s="14"/>
      <c r="CB802" s="14"/>
      <c r="CC802" s="14"/>
      <c r="CD802" s="14"/>
      <c r="CE802" s="14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</row>
    <row r="803">
      <c r="A803" s="12"/>
      <c r="B803" s="14"/>
      <c r="C803" s="14"/>
      <c r="D803" s="14"/>
      <c r="E803" s="12"/>
      <c r="F803" s="307"/>
      <c r="G803" s="307"/>
      <c r="H803" s="12"/>
      <c r="I803" s="30"/>
      <c r="J803" s="12"/>
      <c r="K803" s="12"/>
      <c r="L803" s="12"/>
      <c r="M803" s="12"/>
      <c r="N803" s="12"/>
      <c r="O803" s="308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4"/>
      <c r="BF803" s="12"/>
      <c r="BG803" s="12"/>
      <c r="BH803" s="12" t="str">
        <f>IFERROR(__xludf.DUMMYFUNCTION("IFERROR(INDEX(QUERY(IMPORTRANGE(""1T7HG8KEs-Ob7f3M5atEVN9Yn7IeORGp0QGvggB62ELw"",""Maestro!A:I""),""SELECT Col8 WHERE Col3 = '""&amp;BE803&amp;""'"", 0), 1, 1),""NO ENCONTRADO"")"),"")</f>
        <v/>
      </c>
      <c r="BI803" s="12" t="str">
        <f>IFERROR(__xludf.DUMMYFUNCTION("IFERROR(INDEX(QUERY(IMPORTRANGE(""1T7HG8KEs-Ob7f3M5atEVN9Yn7IeORGp0QGvggB62ELw"",""Maestro!A:I""),""SELECT Col7 WHERE Col3 = '""&amp;BE803&amp;""'"", 0), 1, 1),""NO ENCONTRADO"")"),"")</f>
        <v/>
      </c>
      <c r="BJ803" s="16">
        <f t="shared" si="19"/>
        <v>0</v>
      </c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4"/>
      <c r="BX803" s="14"/>
      <c r="BY803" s="14"/>
      <c r="BZ803" s="14"/>
      <c r="CA803" s="14"/>
      <c r="CB803" s="14"/>
      <c r="CC803" s="14"/>
      <c r="CD803" s="14"/>
      <c r="CE803" s="14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</row>
    <row r="804">
      <c r="A804" s="12"/>
      <c r="B804" s="14"/>
      <c r="C804" s="14"/>
      <c r="D804" s="14"/>
      <c r="E804" s="12"/>
      <c r="F804" s="307"/>
      <c r="G804" s="307"/>
      <c r="H804" s="12"/>
      <c r="I804" s="30"/>
      <c r="J804" s="12"/>
      <c r="K804" s="12"/>
      <c r="L804" s="12"/>
      <c r="M804" s="12"/>
      <c r="N804" s="12"/>
      <c r="O804" s="308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4"/>
      <c r="BF804" s="12"/>
      <c r="BG804" s="12"/>
      <c r="BH804" s="12" t="str">
        <f>IFERROR(__xludf.DUMMYFUNCTION("IFERROR(INDEX(QUERY(IMPORTRANGE(""1T7HG8KEs-Ob7f3M5atEVN9Yn7IeORGp0QGvggB62ELw"",""Maestro!A:I""),""SELECT Col8 WHERE Col3 = '""&amp;BE804&amp;""'"", 0), 1, 1),""NO ENCONTRADO"")"),"")</f>
        <v/>
      </c>
      <c r="BI804" s="12" t="str">
        <f>IFERROR(__xludf.DUMMYFUNCTION("IFERROR(INDEX(QUERY(IMPORTRANGE(""1T7HG8KEs-Ob7f3M5atEVN9Yn7IeORGp0QGvggB62ELw"",""Maestro!A:I""),""SELECT Col7 WHERE Col3 = '""&amp;BE804&amp;""'"", 0), 1, 1),""NO ENCONTRADO"")"),"")</f>
        <v/>
      </c>
      <c r="BJ804" s="16">
        <f t="shared" si="19"/>
        <v>0</v>
      </c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4"/>
      <c r="BX804" s="14"/>
      <c r="BY804" s="14"/>
      <c r="BZ804" s="14"/>
      <c r="CA804" s="14"/>
      <c r="CB804" s="14"/>
      <c r="CC804" s="14"/>
      <c r="CD804" s="14"/>
      <c r="CE804" s="14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</row>
    <row r="805">
      <c r="A805" s="12"/>
      <c r="B805" s="14"/>
      <c r="C805" s="14"/>
      <c r="D805" s="14"/>
      <c r="E805" s="12"/>
      <c r="F805" s="307"/>
      <c r="G805" s="307"/>
      <c r="H805" s="12"/>
      <c r="I805" s="30"/>
      <c r="J805" s="12"/>
      <c r="K805" s="12"/>
      <c r="L805" s="12"/>
      <c r="M805" s="12"/>
      <c r="N805" s="12"/>
      <c r="O805" s="308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4"/>
      <c r="BF805" s="12"/>
      <c r="BG805" s="12"/>
      <c r="BH805" s="12" t="str">
        <f>IFERROR(__xludf.DUMMYFUNCTION("IFERROR(INDEX(QUERY(IMPORTRANGE(""1T7HG8KEs-Ob7f3M5atEVN9Yn7IeORGp0QGvggB62ELw"",""Maestro!A:I""),""SELECT Col8 WHERE Col3 = '""&amp;BE805&amp;""'"", 0), 1, 1),""NO ENCONTRADO"")"),"")</f>
        <v/>
      </c>
      <c r="BI805" s="12" t="str">
        <f>IFERROR(__xludf.DUMMYFUNCTION("IFERROR(INDEX(QUERY(IMPORTRANGE(""1T7HG8KEs-Ob7f3M5atEVN9Yn7IeORGp0QGvggB62ELw"",""Maestro!A:I""),""SELECT Col7 WHERE Col3 = '""&amp;BE805&amp;""'"", 0), 1, 1),""NO ENCONTRADO"")"),"")</f>
        <v/>
      </c>
      <c r="BJ805" s="16">
        <f t="shared" si="19"/>
        <v>0</v>
      </c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4"/>
      <c r="BX805" s="14"/>
      <c r="BY805" s="14"/>
      <c r="BZ805" s="14"/>
      <c r="CA805" s="14"/>
      <c r="CB805" s="14"/>
      <c r="CC805" s="14"/>
      <c r="CD805" s="14"/>
      <c r="CE805" s="14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</row>
    <row r="806">
      <c r="A806" s="12"/>
      <c r="B806" s="14"/>
      <c r="C806" s="14"/>
      <c r="D806" s="14"/>
      <c r="E806" s="12"/>
      <c r="F806" s="307"/>
      <c r="G806" s="307"/>
      <c r="H806" s="12"/>
      <c r="I806" s="30"/>
      <c r="J806" s="12"/>
      <c r="K806" s="12"/>
      <c r="L806" s="12"/>
      <c r="M806" s="12"/>
      <c r="N806" s="12"/>
      <c r="O806" s="308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4"/>
      <c r="BF806" s="12"/>
      <c r="BG806" s="12"/>
      <c r="BH806" s="12" t="str">
        <f>IFERROR(__xludf.DUMMYFUNCTION("IFERROR(INDEX(QUERY(IMPORTRANGE(""1T7HG8KEs-Ob7f3M5atEVN9Yn7IeORGp0QGvggB62ELw"",""Maestro!A:I""),""SELECT Col8 WHERE Col3 = '""&amp;BE806&amp;""'"", 0), 1, 1),""NO ENCONTRADO"")"),"")</f>
        <v/>
      </c>
      <c r="BI806" s="12" t="str">
        <f>IFERROR(__xludf.DUMMYFUNCTION("IFERROR(INDEX(QUERY(IMPORTRANGE(""1T7HG8KEs-Ob7f3M5atEVN9Yn7IeORGp0QGvggB62ELw"",""Maestro!A:I""),""SELECT Col7 WHERE Col3 = '""&amp;BE806&amp;""'"", 0), 1, 1),""NO ENCONTRADO"")"),"")</f>
        <v/>
      </c>
      <c r="BJ806" s="16">
        <f t="shared" si="19"/>
        <v>0</v>
      </c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4"/>
      <c r="BX806" s="14"/>
      <c r="BY806" s="14"/>
      <c r="BZ806" s="14"/>
      <c r="CA806" s="14"/>
      <c r="CB806" s="14"/>
      <c r="CC806" s="14"/>
      <c r="CD806" s="14"/>
      <c r="CE806" s="14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</row>
    <row r="807">
      <c r="A807" s="12"/>
      <c r="B807" s="14"/>
      <c r="C807" s="14"/>
      <c r="D807" s="14"/>
      <c r="E807" s="12"/>
      <c r="F807" s="307"/>
      <c r="G807" s="307"/>
      <c r="H807" s="12"/>
      <c r="I807" s="30"/>
      <c r="J807" s="12"/>
      <c r="K807" s="12"/>
      <c r="L807" s="12"/>
      <c r="M807" s="12"/>
      <c r="N807" s="12"/>
      <c r="O807" s="308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4"/>
      <c r="BF807" s="12"/>
      <c r="BG807" s="12"/>
      <c r="BH807" s="12" t="str">
        <f>IFERROR(__xludf.DUMMYFUNCTION("IFERROR(INDEX(QUERY(IMPORTRANGE(""1T7HG8KEs-Ob7f3M5atEVN9Yn7IeORGp0QGvggB62ELw"",""Maestro!A:I""),""SELECT Col8 WHERE Col3 = '""&amp;BE807&amp;""'"", 0), 1, 1),""NO ENCONTRADO"")"),"")</f>
        <v/>
      </c>
      <c r="BI807" s="12" t="str">
        <f>IFERROR(__xludf.DUMMYFUNCTION("IFERROR(INDEX(QUERY(IMPORTRANGE(""1T7HG8KEs-Ob7f3M5atEVN9Yn7IeORGp0QGvggB62ELw"",""Maestro!A:I""),""SELECT Col7 WHERE Col3 = '""&amp;BE807&amp;""'"", 0), 1, 1),""NO ENCONTRADO"")"),"")</f>
        <v/>
      </c>
      <c r="BJ807" s="16">
        <f t="shared" si="19"/>
        <v>0</v>
      </c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4"/>
      <c r="BX807" s="14"/>
      <c r="BY807" s="14"/>
      <c r="BZ807" s="14"/>
      <c r="CA807" s="14"/>
      <c r="CB807" s="14"/>
      <c r="CC807" s="14"/>
      <c r="CD807" s="14"/>
      <c r="CE807" s="14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</row>
    <row r="808">
      <c r="A808" s="12"/>
      <c r="B808" s="14"/>
      <c r="C808" s="14"/>
      <c r="D808" s="14"/>
      <c r="E808" s="12"/>
      <c r="F808" s="307"/>
      <c r="G808" s="307"/>
      <c r="H808" s="12"/>
      <c r="I808" s="30"/>
      <c r="J808" s="12"/>
      <c r="K808" s="12"/>
      <c r="L808" s="12"/>
      <c r="M808" s="12"/>
      <c r="N808" s="12"/>
      <c r="O808" s="308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4"/>
      <c r="BF808" s="12"/>
      <c r="BG808" s="12"/>
      <c r="BH808" s="12" t="str">
        <f>IFERROR(__xludf.DUMMYFUNCTION("IFERROR(INDEX(QUERY(IMPORTRANGE(""1T7HG8KEs-Ob7f3M5atEVN9Yn7IeORGp0QGvggB62ELw"",""Maestro!A:I""),""SELECT Col8 WHERE Col3 = '""&amp;BE808&amp;""'"", 0), 1, 1),""NO ENCONTRADO"")"),"")</f>
        <v/>
      </c>
      <c r="BI808" s="12" t="str">
        <f>IFERROR(__xludf.DUMMYFUNCTION("IFERROR(INDEX(QUERY(IMPORTRANGE(""1T7HG8KEs-Ob7f3M5atEVN9Yn7IeORGp0QGvggB62ELw"",""Maestro!A:I""),""SELECT Col7 WHERE Col3 = '""&amp;BE808&amp;""'"", 0), 1, 1),""NO ENCONTRADO"")"),"")</f>
        <v/>
      </c>
      <c r="BJ808" s="16">
        <f t="shared" si="19"/>
        <v>0</v>
      </c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4"/>
      <c r="BX808" s="14"/>
      <c r="BY808" s="14"/>
      <c r="BZ808" s="14"/>
      <c r="CA808" s="14"/>
      <c r="CB808" s="14"/>
      <c r="CC808" s="14"/>
      <c r="CD808" s="14"/>
      <c r="CE808" s="14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</row>
    <row r="809">
      <c r="A809" s="12"/>
      <c r="B809" s="14"/>
      <c r="C809" s="14"/>
      <c r="D809" s="14"/>
      <c r="E809" s="12"/>
      <c r="F809" s="307"/>
      <c r="G809" s="307"/>
      <c r="H809" s="12"/>
      <c r="I809" s="30"/>
      <c r="J809" s="12"/>
      <c r="K809" s="12"/>
      <c r="L809" s="12"/>
      <c r="M809" s="12"/>
      <c r="N809" s="12"/>
      <c r="O809" s="308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4"/>
      <c r="BF809" s="12"/>
      <c r="BG809" s="12"/>
      <c r="BH809" s="12" t="str">
        <f>IFERROR(__xludf.DUMMYFUNCTION("IFERROR(INDEX(QUERY(IMPORTRANGE(""1T7HG8KEs-Ob7f3M5atEVN9Yn7IeORGp0QGvggB62ELw"",""Maestro!A:I""),""SELECT Col8 WHERE Col3 = '""&amp;BE809&amp;""'"", 0), 1, 1),""NO ENCONTRADO"")"),"")</f>
        <v/>
      </c>
      <c r="BI809" s="12" t="str">
        <f>IFERROR(__xludf.DUMMYFUNCTION("IFERROR(INDEX(QUERY(IMPORTRANGE(""1T7HG8KEs-Ob7f3M5atEVN9Yn7IeORGp0QGvggB62ELw"",""Maestro!A:I""),""SELECT Col7 WHERE Col3 = '""&amp;BE809&amp;""'"", 0), 1, 1),""NO ENCONTRADO"")"),"")</f>
        <v/>
      </c>
      <c r="BJ809" s="16">
        <f t="shared" si="19"/>
        <v>0</v>
      </c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4"/>
      <c r="BX809" s="14"/>
      <c r="BY809" s="14"/>
      <c r="BZ809" s="14"/>
      <c r="CA809" s="14"/>
      <c r="CB809" s="14"/>
      <c r="CC809" s="14"/>
      <c r="CD809" s="14"/>
      <c r="CE809" s="14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</row>
    <row r="810">
      <c r="A810" s="12"/>
      <c r="B810" s="14"/>
      <c r="C810" s="14"/>
      <c r="D810" s="14"/>
      <c r="E810" s="12"/>
      <c r="F810" s="307"/>
      <c r="G810" s="307"/>
      <c r="H810" s="12"/>
      <c r="I810" s="30"/>
      <c r="J810" s="12"/>
      <c r="K810" s="12"/>
      <c r="L810" s="12"/>
      <c r="M810" s="12"/>
      <c r="N810" s="12"/>
      <c r="O810" s="308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4"/>
      <c r="BF810" s="12"/>
      <c r="BG810" s="12"/>
      <c r="BH810" s="12" t="str">
        <f>IFERROR(__xludf.DUMMYFUNCTION("IFERROR(INDEX(QUERY(IMPORTRANGE(""1T7HG8KEs-Ob7f3M5atEVN9Yn7IeORGp0QGvggB62ELw"",""Maestro!A:I""),""SELECT Col8 WHERE Col3 = '""&amp;BE810&amp;""'"", 0), 1, 1),""NO ENCONTRADO"")"),"")</f>
        <v/>
      </c>
      <c r="BI810" s="12" t="str">
        <f>IFERROR(__xludf.DUMMYFUNCTION("IFERROR(INDEX(QUERY(IMPORTRANGE(""1T7HG8KEs-Ob7f3M5atEVN9Yn7IeORGp0QGvggB62ELw"",""Maestro!A:I""),""SELECT Col7 WHERE Col3 = '""&amp;BE810&amp;""'"", 0), 1, 1),""NO ENCONTRADO"")"),"")</f>
        <v/>
      </c>
      <c r="BJ810" s="16">
        <f t="shared" si="19"/>
        <v>0</v>
      </c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4"/>
      <c r="BX810" s="14"/>
      <c r="BY810" s="14"/>
      <c r="BZ810" s="14"/>
      <c r="CA810" s="14"/>
      <c r="CB810" s="14"/>
      <c r="CC810" s="14"/>
      <c r="CD810" s="14"/>
      <c r="CE810" s="14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</row>
    <row r="811">
      <c r="A811" s="12"/>
      <c r="B811" s="14"/>
      <c r="C811" s="14"/>
      <c r="D811" s="14"/>
      <c r="E811" s="12"/>
      <c r="F811" s="307"/>
      <c r="G811" s="307"/>
      <c r="H811" s="12"/>
      <c r="I811" s="30"/>
      <c r="J811" s="12"/>
      <c r="K811" s="12"/>
      <c r="L811" s="12"/>
      <c r="M811" s="12"/>
      <c r="N811" s="12"/>
      <c r="O811" s="308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4"/>
      <c r="BF811" s="12"/>
      <c r="BG811" s="12"/>
      <c r="BH811" s="12" t="str">
        <f>IFERROR(__xludf.DUMMYFUNCTION("IFERROR(INDEX(QUERY(IMPORTRANGE(""1T7HG8KEs-Ob7f3M5atEVN9Yn7IeORGp0QGvggB62ELw"",""Maestro!A:I""),""SELECT Col8 WHERE Col3 = '""&amp;BE811&amp;""'"", 0), 1, 1),""NO ENCONTRADO"")"),"")</f>
        <v/>
      </c>
      <c r="BI811" s="12" t="str">
        <f>IFERROR(__xludf.DUMMYFUNCTION("IFERROR(INDEX(QUERY(IMPORTRANGE(""1T7HG8KEs-Ob7f3M5atEVN9Yn7IeORGp0QGvggB62ELw"",""Maestro!A:I""),""SELECT Col7 WHERE Col3 = '""&amp;BE811&amp;""'"", 0), 1, 1),""NO ENCONTRADO"")"),"")</f>
        <v/>
      </c>
      <c r="BJ811" s="16">
        <f t="shared" si="19"/>
        <v>0</v>
      </c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4"/>
      <c r="BX811" s="14"/>
      <c r="BY811" s="14"/>
      <c r="BZ811" s="14"/>
      <c r="CA811" s="14"/>
      <c r="CB811" s="14"/>
      <c r="CC811" s="14"/>
      <c r="CD811" s="14"/>
      <c r="CE811" s="14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</row>
    <row r="812">
      <c r="A812" s="12"/>
      <c r="B812" s="14"/>
      <c r="C812" s="14"/>
      <c r="D812" s="14"/>
      <c r="E812" s="12"/>
      <c r="F812" s="307"/>
      <c r="G812" s="307"/>
      <c r="H812" s="12"/>
      <c r="I812" s="30"/>
      <c r="J812" s="12"/>
      <c r="K812" s="12"/>
      <c r="L812" s="12"/>
      <c r="M812" s="12"/>
      <c r="N812" s="12"/>
      <c r="O812" s="308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4"/>
      <c r="BF812" s="12"/>
      <c r="BG812" s="12"/>
      <c r="BH812" s="12" t="str">
        <f>IFERROR(__xludf.DUMMYFUNCTION("IFERROR(INDEX(QUERY(IMPORTRANGE(""1T7HG8KEs-Ob7f3M5atEVN9Yn7IeORGp0QGvggB62ELw"",""Maestro!A:I""),""SELECT Col8 WHERE Col3 = '""&amp;BE812&amp;""'"", 0), 1, 1),""NO ENCONTRADO"")"),"")</f>
        <v/>
      </c>
      <c r="BI812" s="12" t="str">
        <f>IFERROR(__xludf.DUMMYFUNCTION("IFERROR(INDEX(QUERY(IMPORTRANGE(""1T7HG8KEs-Ob7f3M5atEVN9Yn7IeORGp0QGvggB62ELw"",""Maestro!A:I""),""SELECT Col7 WHERE Col3 = '""&amp;BE812&amp;""'"", 0), 1, 1),""NO ENCONTRADO"")"),"")</f>
        <v/>
      </c>
      <c r="BJ812" s="16">
        <f t="shared" si="19"/>
        <v>0</v>
      </c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4"/>
      <c r="BX812" s="14"/>
      <c r="BY812" s="14"/>
      <c r="BZ812" s="14"/>
      <c r="CA812" s="14"/>
      <c r="CB812" s="14"/>
      <c r="CC812" s="14"/>
      <c r="CD812" s="14"/>
      <c r="CE812" s="14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</row>
    <row r="813">
      <c r="A813" s="12"/>
      <c r="B813" s="14"/>
      <c r="C813" s="14"/>
      <c r="D813" s="14"/>
      <c r="E813" s="12"/>
      <c r="F813" s="307"/>
      <c r="G813" s="307"/>
      <c r="H813" s="12"/>
      <c r="I813" s="30"/>
      <c r="J813" s="12"/>
      <c r="K813" s="12"/>
      <c r="L813" s="12"/>
      <c r="M813" s="12"/>
      <c r="N813" s="12"/>
      <c r="O813" s="308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4"/>
      <c r="BF813" s="12"/>
      <c r="BG813" s="12"/>
      <c r="BH813" s="12" t="str">
        <f>IFERROR(__xludf.DUMMYFUNCTION("IFERROR(INDEX(QUERY(IMPORTRANGE(""1T7HG8KEs-Ob7f3M5atEVN9Yn7IeORGp0QGvggB62ELw"",""Maestro!A:I""),""SELECT Col8 WHERE Col3 = '""&amp;BE813&amp;""'"", 0), 1, 1),""NO ENCONTRADO"")"),"")</f>
        <v/>
      </c>
      <c r="BI813" s="12" t="str">
        <f>IFERROR(__xludf.DUMMYFUNCTION("IFERROR(INDEX(QUERY(IMPORTRANGE(""1T7HG8KEs-Ob7f3M5atEVN9Yn7IeORGp0QGvggB62ELw"",""Maestro!A:I""),""SELECT Col7 WHERE Col3 = '""&amp;BE813&amp;""'"", 0), 1, 1),""NO ENCONTRADO"")"),"")</f>
        <v/>
      </c>
      <c r="BJ813" s="16">
        <f t="shared" si="19"/>
        <v>0</v>
      </c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4"/>
      <c r="BX813" s="14"/>
      <c r="BY813" s="14"/>
      <c r="BZ813" s="14"/>
      <c r="CA813" s="14"/>
      <c r="CB813" s="14"/>
      <c r="CC813" s="14"/>
      <c r="CD813" s="14"/>
      <c r="CE813" s="14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</row>
    <row r="814">
      <c r="A814" s="12"/>
      <c r="B814" s="14"/>
      <c r="C814" s="14"/>
      <c r="D814" s="14"/>
      <c r="E814" s="12"/>
      <c r="F814" s="307"/>
      <c r="G814" s="307"/>
      <c r="H814" s="12"/>
      <c r="I814" s="30"/>
      <c r="J814" s="12"/>
      <c r="K814" s="12"/>
      <c r="L814" s="12"/>
      <c r="M814" s="12"/>
      <c r="N814" s="12"/>
      <c r="O814" s="308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4"/>
      <c r="BF814" s="12"/>
      <c r="BG814" s="12"/>
      <c r="BH814" s="12" t="str">
        <f>IFERROR(__xludf.DUMMYFUNCTION("IFERROR(INDEX(QUERY(IMPORTRANGE(""1T7HG8KEs-Ob7f3M5atEVN9Yn7IeORGp0QGvggB62ELw"",""Maestro!A:I""),""SELECT Col8 WHERE Col3 = '""&amp;BE814&amp;""'"", 0), 1, 1),""NO ENCONTRADO"")"),"")</f>
        <v/>
      </c>
      <c r="BI814" s="12" t="str">
        <f>IFERROR(__xludf.DUMMYFUNCTION("IFERROR(INDEX(QUERY(IMPORTRANGE(""1T7HG8KEs-Ob7f3M5atEVN9Yn7IeORGp0QGvggB62ELw"",""Maestro!A:I""),""SELECT Col7 WHERE Col3 = '""&amp;BE814&amp;""'"", 0), 1, 1),""NO ENCONTRADO"")"),"")</f>
        <v/>
      </c>
      <c r="BJ814" s="16">
        <f t="shared" si="19"/>
        <v>0</v>
      </c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4"/>
      <c r="BX814" s="14"/>
      <c r="BY814" s="14"/>
      <c r="BZ814" s="14"/>
      <c r="CA814" s="14"/>
      <c r="CB814" s="14"/>
      <c r="CC814" s="14"/>
      <c r="CD814" s="14"/>
      <c r="CE814" s="14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</row>
    <row r="815">
      <c r="A815" s="12"/>
      <c r="B815" s="14"/>
      <c r="C815" s="14"/>
      <c r="D815" s="14"/>
      <c r="E815" s="12"/>
      <c r="F815" s="307"/>
      <c r="G815" s="307"/>
      <c r="H815" s="12"/>
      <c r="I815" s="30"/>
      <c r="J815" s="12"/>
      <c r="K815" s="12"/>
      <c r="L815" s="12"/>
      <c r="M815" s="12"/>
      <c r="N815" s="12"/>
      <c r="O815" s="308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4"/>
      <c r="BF815" s="12"/>
      <c r="BG815" s="12"/>
      <c r="BH815" s="12" t="str">
        <f>IFERROR(__xludf.DUMMYFUNCTION("IFERROR(INDEX(QUERY(IMPORTRANGE(""1T7HG8KEs-Ob7f3M5atEVN9Yn7IeORGp0QGvggB62ELw"",""Maestro!A:I""),""SELECT Col8 WHERE Col3 = '""&amp;BE815&amp;""'"", 0), 1, 1),""NO ENCONTRADO"")"),"")</f>
        <v/>
      </c>
      <c r="BI815" s="12" t="str">
        <f>IFERROR(__xludf.DUMMYFUNCTION("IFERROR(INDEX(QUERY(IMPORTRANGE(""1T7HG8KEs-Ob7f3M5atEVN9Yn7IeORGp0QGvggB62ELw"",""Maestro!A:I""),""SELECT Col7 WHERE Col3 = '""&amp;BE815&amp;""'"", 0), 1, 1),""NO ENCONTRADO"")"),"")</f>
        <v/>
      </c>
      <c r="BJ815" s="16">
        <f t="shared" si="19"/>
        <v>0</v>
      </c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4"/>
      <c r="BX815" s="14"/>
      <c r="BY815" s="14"/>
      <c r="BZ815" s="14"/>
      <c r="CA815" s="14"/>
      <c r="CB815" s="14"/>
      <c r="CC815" s="14"/>
      <c r="CD815" s="14"/>
      <c r="CE815" s="14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</row>
    <row r="816">
      <c r="A816" s="12"/>
      <c r="B816" s="14"/>
      <c r="C816" s="14"/>
      <c r="D816" s="14"/>
      <c r="E816" s="12"/>
      <c r="F816" s="307"/>
      <c r="G816" s="307"/>
      <c r="H816" s="12"/>
      <c r="I816" s="30"/>
      <c r="J816" s="12"/>
      <c r="K816" s="12"/>
      <c r="L816" s="12"/>
      <c r="M816" s="12"/>
      <c r="N816" s="12"/>
      <c r="O816" s="308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4"/>
      <c r="BF816" s="12"/>
      <c r="BG816" s="12"/>
      <c r="BH816" s="12" t="str">
        <f>IFERROR(__xludf.DUMMYFUNCTION("IFERROR(INDEX(QUERY(IMPORTRANGE(""1T7HG8KEs-Ob7f3M5atEVN9Yn7IeORGp0QGvggB62ELw"",""Maestro!A:I""),""SELECT Col8 WHERE Col3 = '""&amp;BE816&amp;""'"", 0), 1, 1),""NO ENCONTRADO"")"),"")</f>
        <v/>
      </c>
      <c r="BI816" s="12" t="str">
        <f>IFERROR(__xludf.DUMMYFUNCTION("IFERROR(INDEX(QUERY(IMPORTRANGE(""1T7HG8KEs-Ob7f3M5atEVN9Yn7IeORGp0QGvggB62ELw"",""Maestro!A:I""),""SELECT Col7 WHERE Col3 = '""&amp;BE816&amp;""'"", 0), 1, 1),""NO ENCONTRADO"")"),"")</f>
        <v/>
      </c>
      <c r="BJ816" s="16">
        <f t="shared" si="19"/>
        <v>0</v>
      </c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4"/>
      <c r="BX816" s="14"/>
      <c r="BY816" s="14"/>
      <c r="BZ816" s="14"/>
      <c r="CA816" s="14"/>
      <c r="CB816" s="14"/>
      <c r="CC816" s="14"/>
      <c r="CD816" s="14"/>
      <c r="CE816" s="14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</row>
    <row r="817">
      <c r="A817" s="12"/>
      <c r="B817" s="14"/>
      <c r="C817" s="14"/>
      <c r="D817" s="14"/>
      <c r="E817" s="12"/>
      <c r="F817" s="307"/>
      <c r="G817" s="307"/>
      <c r="H817" s="12"/>
      <c r="I817" s="30"/>
      <c r="J817" s="12"/>
      <c r="K817" s="12"/>
      <c r="L817" s="12"/>
      <c r="M817" s="12"/>
      <c r="N817" s="12"/>
      <c r="O817" s="308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4"/>
      <c r="BF817" s="12"/>
      <c r="BG817" s="12"/>
      <c r="BH817" s="12" t="str">
        <f>IFERROR(__xludf.DUMMYFUNCTION("IFERROR(INDEX(QUERY(IMPORTRANGE(""1T7HG8KEs-Ob7f3M5atEVN9Yn7IeORGp0QGvggB62ELw"",""Maestro!A:I""),""SELECT Col8 WHERE Col3 = '""&amp;BE817&amp;""'"", 0), 1, 1),""NO ENCONTRADO"")"),"")</f>
        <v/>
      </c>
      <c r="BI817" s="12" t="str">
        <f>IFERROR(__xludf.DUMMYFUNCTION("IFERROR(INDEX(QUERY(IMPORTRANGE(""1T7HG8KEs-Ob7f3M5atEVN9Yn7IeORGp0QGvggB62ELw"",""Maestro!A:I""),""SELECT Col7 WHERE Col3 = '""&amp;BE817&amp;""'"", 0), 1, 1),""NO ENCONTRADO"")"),"")</f>
        <v/>
      </c>
      <c r="BJ817" s="16">
        <f t="shared" si="19"/>
        <v>0</v>
      </c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4"/>
      <c r="BX817" s="14"/>
      <c r="BY817" s="14"/>
      <c r="BZ817" s="14"/>
      <c r="CA817" s="14"/>
      <c r="CB817" s="14"/>
      <c r="CC817" s="14"/>
      <c r="CD817" s="14"/>
      <c r="CE817" s="14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</row>
    <row r="818">
      <c r="A818" s="12"/>
      <c r="B818" s="14"/>
      <c r="C818" s="14"/>
      <c r="D818" s="14"/>
      <c r="E818" s="12"/>
      <c r="F818" s="307"/>
      <c r="G818" s="307"/>
      <c r="H818" s="12"/>
      <c r="I818" s="30"/>
      <c r="J818" s="12"/>
      <c r="K818" s="12"/>
      <c r="L818" s="12"/>
      <c r="M818" s="12"/>
      <c r="N818" s="12"/>
      <c r="O818" s="308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4"/>
      <c r="BF818" s="12"/>
      <c r="BG818" s="12"/>
      <c r="BH818" s="12" t="str">
        <f>IFERROR(__xludf.DUMMYFUNCTION("IFERROR(INDEX(QUERY(IMPORTRANGE(""1T7HG8KEs-Ob7f3M5atEVN9Yn7IeORGp0QGvggB62ELw"",""Maestro!A:I""),""SELECT Col8 WHERE Col3 = '""&amp;BE818&amp;""'"", 0), 1, 1),""NO ENCONTRADO"")"),"")</f>
        <v/>
      </c>
      <c r="BI818" s="12" t="str">
        <f>IFERROR(__xludf.DUMMYFUNCTION("IFERROR(INDEX(QUERY(IMPORTRANGE(""1T7HG8KEs-Ob7f3M5atEVN9Yn7IeORGp0QGvggB62ELw"",""Maestro!A:I""),""SELECT Col7 WHERE Col3 = '""&amp;BE818&amp;""'"", 0), 1, 1),""NO ENCONTRADO"")"),"")</f>
        <v/>
      </c>
      <c r="BJ818" s="16">
        <f t="shared" si="19"/>
        <v>0</v>
      </c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4"/>
      <c r="BX818" s="14"/>
      <c r="BY818" s="14"/>
      <c r="BZ818" s="14"/>
      <c r="CA818" s="14"/>
      <c r="CB818" s="14"/>
      <c r="CC818" s="14"/>
      <c r="CD818" s="14"/>
      <c r="CE818" s="14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</row>
    <row r="819">
      <c r="A819" s="12"/>
      <c r="B819" s="14"/>
      <c r="C819" s="14"/>
      <c r="D819" s="14"/>
      <c r="E819" s="12"/>
      <c r="F819" s="307"/>
      <c r="G819" s="307"/>
      <c r="H819" s="12"/>
      <c r="I819" s="30"/>
      <c r="J819" s="12"/>
      <c r="K819" s="12"/>
      <c r="L819" s="12"/>
      <c r="M819" s="12"/>
      <c r="N819" s="12"/>
      <c r="O819" s="308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4"/>
      <c r="BF819" s="12"/>
      <c r="BG819" s="12"/>
      <c r="BH819" s="12" t="str">
        <f>IFERROR(__xludf.DUMMYFUNCTION("IFERROR(INDEX(QUERY(IMPORTRANGE(""1T7HG8KEs-Ob7f3M5atEVN9Yn7IeORGp0QGvggB62ELw"",""Maestro!A:I""),""SELECT Col8 WHERE Col3 = '""&amp;BE819&amp;""'"", 0), 1, 1),""NO ENCONTRADO"")"),"")</f>
        <v/>
      </c>
      <c r="BI819" s="12" t="str">
        <f>IFERROR(__xludf.DUMMYFUNCTION("IFERROR(INDEX(QUERY(IMPORTRANGE(""1T7HG8KEs-Ob7f3M5atEVN9Yn7IeORGp0QGvggB62ELw"",""Maestro!A:I""),""SELECT Col7 WHERE Col3 = '""&amp;BE819&amp;""'"", 0), 1, 1),""NO ENCONTRADO"")"),"")</f>
        <v/>
      </c>
      <c r="BJ819" s="16">
        <f t="shared" si="19"/>
        <v>0</v>
      </c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4"/>
      <c r="BX819" s="14"/>
      <c r="BY819" s="14"/>
      <c r="BZ819" s="14"/>
      <c r="CA819" s="14"/>
      <c r="CB819" s="14"/>
      <c r="CC819" s="14"/>
      <c r="CD819" s="14"/>
      <c r="CE819" s="14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</row>
    <row r="820">
      <c r="A820" s="12"/>
      <c r="B820" s="14"/>
      <c r="C820" s="14"/>
      <c r="D820" s="14"/>
      <c r="E820" s="12"/>
      <c r="F820" s="307"/>
      <c r="G820" s="307"/>
      <c r="H820" s="12"/>
      <c r="I820" s="30"/>
      <c r="J820" s="12"/>
      <c r="K820" s="12"/>
      <c r="L820" s="12"/>
      <c r="M820" s="12"/>
      <c r="N820" s="12"/>
      <c r="O820" s="308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4"/>
      <c r="BF820" s="12"/>
      <c r="BG820" s="12"/>
      <c r="BH820" s="12" t="str">
        <f>IFERROR(__xludf.DUMMYFUNCTION("IFERROR(INDEX(QUERY(IMPORTRANGE(""1T7HG8KEs-Ob7f3M5atEVN9Yn7IeORGp0QGvggB62ELw"",""Maestro!A:I""),""SELECT Col8 WHERE Col3 = '""&amp;BE820&amp;""'"", 0), 1, 1),""NO ENCONTRADO"")"),"")</f>
        <v/>
      </c>
      <c r="BI820" s="12" t="str">
        <f>IFERROR(__xludf.DUMMYFUNCTION("IFERROR(INDEX(QUERY(IMPORTRANGE(""1T7HG8KEs-Ob7f3M5atEVN9Yn7IeORGp0QGvggB62ELw"",""Maestro!A:I""),""SELECT Col7 WHERE Col3 = '""&amp;BE820&amp;""'"", 0), 1, 1),""NO ENCONTRADO"")"),"")</f>
        <v/>
      </c>
      <c r="BJ820" s="16">
        <f t="shared" si="19"/>
        <v>0</v>
      </c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4"/>
      <c r="BX820" s="14"/>
      <c r="BY820" s="14"/>
      <c r="BZ820" s="14"/>
      <c r="CA820" s="14"/>
      <c r="CB820" s="14"/>
      <c r="CC820" s="14"/>
      <c r="CD820" s="14"/>
      <c r="CE820" s="14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</row>
    <row r="821">
      <c r="A821" s="12"/>
      <c r="B821" s="14"/>
      <c r="C821" s="14"/>
      <c r="D821" s="14"/>
      <c r="E821" s="12"/>
      <c r="F821" s="307"/>
      <c r="G821" s="307"/>
      <c r="H821" s="12"/>
      <c r="I821" s="30"/>
      <c r="J821" s="12"/>
      <c r="K821" s="12"/>
      <c r="L821" s="12"/>
      <c r="M821" s="12"/>
      <c r="N821" s="12"/>
      <c r="O821" s="308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4"/>
      <c r="BF821" s="12"/>
      <c r="BG821" s="12"/>
      <c r="BH821" s="12" t="str">
        <f>IFERROR(__xludf.DUMMYFUNCTION("IFERROR(INDEX(QUERY(IMPORTRANGE(""1T7HG8KEs-Ob7f3M5atEVN9Yn7IeORGp0QGvggB62ELw"",""Maestro!A:I""),""SELECT Col8 WHERE Col3 = '""&amp;BE821&amp;""'"", 0), 1, 1),""NO ENCONTRADO"")"),"")</f>
        <v/>
      </c>
      <c r="BI821" s="12" t="str">
        <f>IFERROR(__xludf.DUMMYFUNCTION("IFERROR(INDEX(QUERY(IMPORTRANGE(""1T7HG8KEs-Ob7f3M5atEVN9Yn7IeORGp0QGvggB62ELw"",""Maestro!A:I""),""SELECT Col7 WHERE Col3 = '""&amp;BE821&amp;""'"", 0), 1, 1),""NO ENCONTRADO"")"),"")</f>
        <v/>
      </c>
      <c r="BJ821" s="16">
        <f t="shared" si="19"/>
        <v>0</v>
      </c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4"/>
      <c r="BX821" s="14"/>
      <c r="BY821" s="14"/>
      <c r="BZ821" s="14"/>
      <c r="CA821" s="14"/>
      <c r="CB821" s="14"/>
      <c r="CC821" s="14"/>
      <c r="CD821" s="14"/>
      <c r="CE821" s="14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</row>
    <row r="822">
      <c r="A822" s="12"/>
      <c r="B822" s="14"/>
      <c r="C822" s="14"/>
      <c r="D822" s="14"/>
      <c r="E822" s="12"/>
      <c r="F822" s="307"/>
      <c r="G822" s="307"/>
      <c r="H822" s="12"/>
      <c r="I822" s="30"/>
      <c r="J822" s="12"/>
      <c r="K822" s="12"/>
      <c r="L822" s="12"/>
      <c r="M822" s="12"/>
      <c r="N822" s="12"/>
      <c r="O822" s="308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4"/>
      <c r="BF822" s="12"/>
      <c r="BG822" s="12"/>
      <c r="BH822" s="12" t="str">
        <f>IFERROR(__xludf.DUMMYFUNCTION("IFERROR(INDEX(QUERY(IMPORTRANGE(""1T7HG8KEs-Ob7f3M5atEVN9Yn7IeORGp0QGvggB62ELw"",""Maestro!A:I""),""SELECT Col8 WHERE Col3 = '""&amp;BE822&amp;""'"", 0), 1, 1),""NO ENCONTRADO"")"),"")</f>
        <v/>
      </c>
      <c r="BI822" s="12" t="str">
        <f>IFERROR(__xludf.DUMMYFUNCTION("IFERROR(INDEX(QUERY(IMPORTRANGE(""1T7HG8KEs-Ob7f3M5atEVN9Yn7IeORGp0QGvggB62ELw"",""Maestro!A:I""),""SELECT Col7 WHERE Col3 = '""&amp;BE822&amp;""'"", 0), 1, 1),""NO ENCONTRADO"")"),"")</f>
        <v/>
      </c>
      <c r="BJ822" s="16">
        <f t="shared" si="19"/>
        <v>0</v>
      </c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4"/>
      <c r="BX822" s="14"/>
      <c r="BY822" s="14"/>
      <c r="BZ822" s="14"/>
      <c r="CA822" s="14"/>
      <c r="CB822" s="14"/>
      <c r="CC822" s="14"/>
      <c r="CD822" s="14"/>
      <c r="CE822" s="14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</row>
    <row r="823">
      <c r="A823" s="12"/>
      <c r="B823" s="14"/>
      <c r="C823" s="14"/>
      <c r="D823" s="14"/>
      <c r="E823" s="12"/>
      <c r="F823" s="307"/>
      <c r="G823" s="307"/>
      <c r="H823" s="12"/>
      <c r="I823" s="30"/>
      <c r="J823" s="12"/>
      <c r="K823" s="12"/>
      <c r="L823" s="12"/>
      <c r="M823" s="12"/>
      <c r="N823" s="12"/>
      <c r="O823" s="308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4"/>
      <c r="BF823" s="12"/>
      <c r="BG823" s="12"/>
      <c r="BH823" s="12" t="str">
        <f>IFERROR(__xludf.DUMMYFUNCTION("IFERROR(INDEX(QUERY(IMPORTRANGE(""1T7HG8KEs-Ob7f3M5atEVN9Yn7IeORGp0QGvggB62ELw"",""Maestro!A:I""),""SELECT Col8 WHERE Col3 = '""&amp;BE823&amp;""'"", 0), 1, 1),""NO ENCONTRADO"")"),"")</f>
        <v/>
      </c>
      <c r="BI823" s="12" t="str">
        <f>IFERROR(__xludf.DUMMYFUNCTION("IFERROR(INDEX(QUERY(IMPORTRANGE(""1T7HG8KEs-Ob7f3M5atEVN9Yn7IeORGp0QGvggB62ELw"",""Maestro!A:I""),""SELECT Col7 WHERE Col3 = '""&amp;BE823&amp;""'"", 0), 1, 1),""NO ENCONTRADO"")"),"")</f>
        <v/>
      </c>
      <c r="BJ823" s="16">
        <f t="shared" si="19"/>
        <v>0</v>
      </c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4"/>
      <c r="BX823" s="14"/>
      <c r="BY823" s="14"/>
      <c r="BZ823" s="14"/>
      <c r="CA823" s="14"/>
      <c r="CB823" s="14"/>
      <c r="CC823" s="14"/>
      <c r="CD823" s="14"/>
      <c r="CE823" s="14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</row>
    <row r="824">
      <c r="A824" s="12"/>
      <c r="B824" s="14"/>
      <c r="C824" s="14"/>
      <c r="D824" s="14"/>
      <c r="E824" s="12"/>
      <c r="F824" s="307"/>
      <c r="G824" s="307"/>
      <c r="H824" s="12"/>
      <c r="I824" s="30"/>
      <c r="J824" s="12"/>
      <c r="K824" s="12"/>
      <c r="L824" s="12"/>
      <c r="M824" s="12"/>
      <c r="N824" s="12"/>
      <c r="O824" s="308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4"/>
      <c r="BF824" s="12"/>
      <c r="BG824" s="12"/>
      <c r="BH824" s="12" t="str">
        <f>IFERROR(__xludf.DUMMYFUNCTION("IFERROR(INDEX(QUERY(IMPORTRANGE(""1T7HG8KEs-Ob7f3M5atEVN9Yn7IeORGp0QGvggB62ELw"",""Maestro!A:I""),""SELECT Col8 WHERE Col3 = '""&amp;BE824&amp;""'"", 0), 1, 1),""NO ENCONTRADO"")"),"")</f>
        <v/>
      </c>
      <c r="BI824" s="12" t="str">
        <f>IFERROR(__xludf.DUMMYFUNCTION("IFERROR(INDEX(QUERY(IMPORTRANGE(""1T7HG8KEs-Ob7f3M5atEVN9Yn7IeORGp0QGvggB62ELw"",""Maestro!A:I""),""SELECT Col7 WHERE Col3 = '""&amp;BE824&amp;""'"", 0), 1, 1),""NO ENCONTRADO"")"),"")</f>
        <v/>
      </c>
      <c r="BJ824" s="16">
        <f t="shared" si="19"/>
        <v>0</v>
      </c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4"/>
      <c r="BX824" s="14"/>
      <c r="BY824" s="14"/>
      <c r="BZ824" s="14"/>
      <c r="CA824" s="14"/>
      <c r="CB824" s="14"/>
      <c r="CC824" s="14"/>
      <c r="CD824" s="14"/>
      <c r="CE824" s="14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</row>
    <row r="825">
      <c r="A825" s="12"/>
      <c r="B825" s="14"/>
      <c r="C825" s="14"/>
      <c r="D825" s="14"/>
      <c r="E825" s="12"/>
      <c r="F825" s="307"/>
      <c r="G825" s="307"/>
      <c r="H825" s="12"/>
      <c r="I825" s="30"/>
      <c r="J825" s="12"/>
      <c r="K825" s="12"/>
      <c r="L825" s="12"/>
      <c r="M825" s="12"/>
      <c r="N825" s="12"/>
      <c r="O825" s="308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4"/>
      <c r="BF825" s="12"/>
      <c r="BG825" s="12"/>
      <c r="BH825" s="12" t="str">
        <f>IFERROR(__xludf.DUMMYFUNCTION("IFERROR(INDEX(QUERY(IMPORTRANGE(""1T7HG8KEs-Ob7f3M5atEVN9Yn7IeORGp0QGvggB62ELw"",""Maestro!A:I""),""SELECT Col8 WHERE Col3 = '""&amp;BE825&amp;""'"", 0), 1, 1),""NO ENCONTRADO"")"),"")</f>
        <v/>
      </c>
      <c r="BI825" s="12" t="str">
        <f>IFERROR(__xludf.DUMMYFUNCTION("IFERROR(INDEX(QUERY(IMPORTRANGE(""1T7HG8KEs-Ob7f3M5atEVN9Yn7IeORGp0QGvggB62ELw"",""Maestro!A:I""),""SELECT Col7 WHERE Col3 = '""&amp;BE825&amp;""'"", 0), 1, 1),""NO ENCONTRADO"")"),"")</f>
        <v/>
      </c>
      <c r="BJ825" s="16">
        <f t="shared" si="19"/>
        <v>0</v>
      </c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4"/>
      <c r="BX825" s="14"/>
      <c r="BY825" s="14"/>
      <c r="BZ825" s="14"/>
      <c r="CA825" s="14"/>
      <c r="CB825" s="14"/>
      <c r="CC825" s="14"/>
      <c r="CD825" s="14"/>
      <c r="CE825" s="14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</row>
    <row r="826">
      <c r="A826" s="12"/>
      <c r="B826" s="14"/>
      <c r="C826" s="14"/>
      <c r="D826" s="14"/>
      <c r="E826" s="12"/>
      <c r="F826" s="307"/>
      <c r="G826" s="307"/>
      <c r="H826" s="12"/>
      <c r="I826" s="30"/>
      <c r="J826" s="12"/>
      <c r="K826" s="12"/>
      <c r="L826" s="12"/>
      <c r="M826" s="12"/>
      <c r="N826" s="12"/>
      <c r="O826" s="308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4"/>
      <c r="BF826" s="12"/>
      <c r="BG826" s="12"/>
      <c r="BH826" s="12" t="str">
        <f>IFERROR(__xludf.DUMMYFUNCTION("IFERROR(INDEX(QUERY(IMPORTRANGE(""1T7HG8KEs-Ob7f3M5atEVN9Yn7IeORGp0QGvggB62ELw"",""Maestro!A:I""),""SELECT Col8 WHERE Col3 = '""&amp;BE826&amp;""'"", 0), 1, 1),""NO ENCONTRADO"")"),"")</f>
        <v/>
      </c>
      <c r="BI826" s="12" t="str">
        <f>IFERROR(__xludf.DUMMYFUNCTION("IFERROR(INDEX(QUERY(IMPORTRANGE(""1T7HG8KEs-Ob7f3M5atEVN9Yn7IeORGp0QGvggB62ELw"",""Maestro!A:I""),""SELECT Col7 WHERE Col3 = '""&amp;BE826&amp;""'"", 0), 1, 1),""NO ENCONTRADO"")"),"")</f>
        <v/>
      </c>
      <c r="BJ826" s="16">
        <f t="shared" si="19"/>
        <v>0</v>
      </c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4"/>
      <c r="BX826" s="14"/>
      <c r="BY826" s="14"/>
      <c r="BZ826" s="14"/>
      <c r="CA826" s="14"/>
      <c r="CB826" s="14"/>
      <c r="CC826" s="14"/>
      <c r="CD826" s="14"/>
      <c r="CE826" s="14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</row>
    <row r="827">
      <c r="A827" s="12"/>
      <c r="B827" s="14"/>
      <c r="C827" s="14"/>
      <c r="D827" s="14"/>
      <c r="E827" s="12"/>
      <c r="F827" s="307"/>
      <c r="G827" s="307"/>
      <c r="H827" s="12"/>
      <c r="I827" s="30"/>
      <c r="J827" s="12"/>
      <c r="K827" s="12"/>
      <c r="L827" s="12"/>
      <c r="M827" s="12"/>
      <c r="N827" s="12"/>
      <c r="O827" s="308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4"/>
      <c r="BF827" s="12"/>
      <c r="BG827" s="12"/>
      <c r="BH827" s="12" t="str">
        <f>IFERROR(__xludf.DUMMYFUNCTION("IFERROR(INDEX(QUERY(IMPORTRANGE(""1T7HG8KEs-Ob7f3M5atEVN9Yn7IeORGp0QGvggB62ELw"",""Maestro!A:I""),""SELECT Col8 WHERE Col3 = '""&amp;BE827&amp;""'"", 0), 1, 1),""NO ENCONTRADO"")"),"")</f>
        <v/>
      </c>
      <c r="BI827" s="12" t="str">
        <f>IFERROR(__xludf.DUMMYFUNCTION("IFERROR(INDEX(QUERY(IMPORTRANGE(""1T7HG8KEs-Ob7f3M5atEVN9Yn7IeORGp0QGvggB62ELw"",""Maestro!A:I""),""SELECT Col7 WHERE Col3 = '""&amp;BE827&amp;""'"", 0), 1, 1),""NO ENCONTRADO"")"),"")</f>
        <v/>
      </c>
      <c r="BJ827" s="16">
        <f t="shared" si="19"/>
        <v>0</v>
      </c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4"/>
      <c r="BX827" s="14"/>
      <c r="BY827" s="14"/>
      <c r="BZ827" s="14"/>
      <c r="CA827" s="14"/>
      <c r="CB827" s="14"/>
      <c r="CC827" s="14"/>
      <c r="CD827" s="14"/>
      <c r="CE827" s="14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</row>
    <row r="828">
      <c r="A828" s="12"/>
      <c r="B828" s="14"/>
      <c r="C828" s="14"/>
      <c r="D828" s="14"/>
      <c r="E828" s="12"/>
      <c r="F828" s="307"/>
      <c r="G828" s="307"/>
      <c r="H828" s="12"/>
      <c r="I828" s="30"/>
      <c r="J828" s="12"/>
      <c r="K828" s="12"/>
      <c r="L828" s="12"/>
      <c r="M828" s="12"/>
      <c r="N828" s="12"/>
      <c r="O828" s="308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4"/>
      <c r="BF828" s="12"/>
      <c r="BG828" s="12"/>
      <c r="BH828" s="12" t="str">
        <f>IFERROR(__xludf.DUMMYFUNCTION("IFERROR(INDEX(QUERY(IMPORTRANGE(""1T7HG8KEs-Ob7f3M5atEVN9Yn7IeORGp0QGvggB62ELw"",""Maestro!A:I""),""SELECT Col8 WHERE Col3 = '""&amp;BE828&amp;""'"", 0), 1, 1),""NO ENCONTRADO"")"),"")</f>
        <v/>
      </c>
      <c r="BI828" s="12" t="str">
        <f>IFERROR(__xludf.DUMMYFUNCTION("IFERROR(INDEX(QUERY(IMPORTRANGE(""1T7HG8KEs-Ob7f3M5atEVN9Yn7IeORGp0QGvggB62ELw"",""Maestro!A:I""),""SELECT Col7 WHERE Col3 = '""&amp;BE828&amp;""'"", 0), 1, 1),""NO ENCONTRADO"")"),"")</f>
        <v/>
      </c>
      <c r="BJ828" s="16">
        <f t="shared" si="19"/>
        <v>0</v>
      </c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4"/>
      <c r="BX828" s="14"/>
      <c r="BY828" s="14"/>
      <c r="BZ828" s="14"/>
      <c r="CA828" s="14"/>
      <c r="CB828" s="14"/>
      <c r="CC828" s="14"/>
      <c r="CD828" s="14"/>
      <c r="CE828" s="14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</row>
    <row r="829">
      <c r="A829" s="12"/>
      <c r="B829" s="14"/>
      <c r="C829" s="14"/>
      <c r="D829" s="14"/>
      <c r="E829" s="12"/>
      <c r="F829" s="307"/>
      <c r="G829" s="307"/>
      <c r="H829" s="12"/>
      <c r="I829" s="30"/>
      <c r="J829" s="12"/>
      <c r="K829" s="12"/>
      <c r="L829" s="12"/>
      <c r="M829" s="12"/>
      <c r="N829" s="12"/>
      <c r="O829" s="308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4"/>
      <c r="BF829" s="12"/>
      <c r="BG829" s="12"/>
      <c r="BH829" s="12" t="str">
        <f>IFERROR(__xludf.DUMMYFUNCTION("IFERROR(INDEX(QUERY(IMPORTRANGE(""1T7HG8KEs-Ob7f3M5atEVN9Yn7IeORGp0QGvggB62ELw"",""Maestro!A:I""),""SELECT Col8 WHERE Col3 = '""&amp;BE829&amp;""'"", 0), 1, 1),""NO ENCONTRADO"")"),"")</f>
        <v/>
      </c>
      <c r="BI829" s="12" t="str">
        <f>IFERROR(__xludf.DUMMYFUNCTION("IFERROR(INDEX(QUERY(IMPORTRANGE(""1T7HG8KEs-Ob7f3M5atEVN9Yn7IeORGp0QGvggB62ELw"",""Maestro!A:I""),""SELECT Col7 WHERE Col3 = '""&amp;BE829&amp;""'"", 0), 1, 1),""NO ENCONTRADO"")"),"")</f>
        <v/>
      </c>
      <c r="BJ829" s="16">
        <f t="shared" si="19"/>
        <v>0</v>
      </c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4"/>
      <c r="BX829" s="14"/>
      <c r="BY829" s="14"/>
      <c r="BZ829" s="14"/>
      <c r="CA829" s="14"/>
      <c r="CB829" s="14"/>
      <c r="CC829" s="14"/>
      <c r="CD829" s="14"/>
      <c r="CE829" s="14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</row>
    <row r="830">
      <c r="A830" s="12"/>
      <c r="B830" s="14"/>
      <c r="C830" s="14"/>
      <c r="D830" s="14"/>
      <c r="E830" s="12"/>
      <c r="F830" s="307"/>
      <c r="G830" s="307"/>
      <c r="H830" s="12"/>
      <c r="I830" s="30"/>
      <c r="J830" s="12"/>
      <c r="K830" s="12"/>
      <c r="L830" s="12"/>
      <c r="M830" s="12"/>
      <c r="N830" s="12"/>
      <c r="O830" s="308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4"/>
      <c r="BF830" s="12"/>
      <c r="BG830" s="12"/>
      <c r="BH830" s="12" t="str">
        <f>IFERROR(__xludf.DUMMYFUNCTION("IFERROR(INDEX(QUERY(IMPORTRANGE(""1T7HG8KEs-Ob7f3M5atEVN9Yn7IeORGp0QGvggB62ELw"",""Maestro!A:I""),""SELECT Col8 WHERE Col3 = '""&amp;BE830&amp;""'"", 0), 1, 1),""NO ENCONTRADO"")"),"")</f>
        <v/>
      </c>
      <c r="BI830" s="12" t="str">
        <f>IFERROR(__xludf.DUMMYFUNCTION("IFERROR(INDEX(QUERY(IMPORTRANGE(""1T7HG8KEs-Ob7f3M5atEVN9Yn7IeORGp0QGvggB62ELw"",""Maestro!A:I""),""SELECT Col7 WHERE Col3 = '""&amp;BE830&amp;""'"", 0), 1, 1),""NO ENCONTRADO"")"),"")</f>
        <v/>
      </c>
      <c r="BJ830" s="16">
        <f t="shared" si="19"/>
        <v>0</v>
      </c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4"/>
      <c r="BX830" s="14"/>
      <c r="BY830" s="14"/>
      <c r="BZ830" s="14"/>
      <c r="CA830" s="14"/>
      <c r="CB830" s="14"/>
      <c r="CC830" s="14"/>
      <c r="CD830" s="14"/>
      <c r="CE830" s="14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</row>
    <row r="831">
      <c r="A831" s="12"/>
      <c r="B831" s="14"/>
      <c r="C831" s="14"/>
      <c r="D831" s="14"/>
      <c r="E831" s="12"/>
      <c r="F831" s="307"/>
      <c r="G831" s="307"/>
      <c r="H831" s="12"/>
      <c r="I831" s="30"/>
      <c r="J831" s="12"/>
      <c r="K831" s="12"/>
      <c r="L831" s="12"/>
      <c r="M831" s="12"/>
      <c r="N831" s="12"/>
      <c r="O831" s="308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4"/>
      <c r="BF831" s="12"/>
      <c r="BG831" s="12"/>
      <c r="BH831" s="12" t="str">
        <f>IFERROR(__xludf.DUMMYFUNCTION("IFERROR(INDEX(QUERY(IMPORTRANGE(""1T7HG8KEs-Ob7f3M5atEVN9Yn7IeORGp0QGvggB62ELw"",""Maestro!A:I""),""SELECT Col8 WHERE Col3 = '""&amp;BE831&amp;""'"", 0), 1, 1),""NO ENCONTRADO"")"),"")</f>
        <v/>
      </c>
      <c r="BI831" s="12" t="str">
        <f>IFERROR(__xludf.DUMMYFUNCTION("IFERROR(INDEX(QUERY(IMPORTRANGE(""1T7HG8KEs-Ob7f3M5atEVN9Yn7IeORGp0QGvggB62ELw"",""Maestro!A:I""),""SELECT Col7 WHERE Col3 = '""&amp;BE831&amp;""'"", 0), 1, 1),""NO ENCONTRADO"")"),"")</f>
        <v/>
      </c>
      <c r="BJ831" s="16">
        <f t="shared" si="19"/>
        <v>0</v>
      </c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4"/>
      <c r="BX831" s="14"/>
      <c r="BY831" s="14"/>
      <c r="BZ831" s="14"/>
      <c r="CA831" s="14"/>
      <c r="CB831" s="14"/>
      <c r="CC831" s="14"/>
      <c r="CD831" s="14"/>
      <c r="CE831" s="14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</row>
    <row r="832">
      <c r="A832" s="12"/>
      <c r="B832" s="14"/>
      <c r="C832" s="14"/>
      <c r="D832" s="14"/>
      <c r="E832" s="12"/>
      <c r="F832" s="307"/>
      <c r="G832" s="307"/>
      <c r="H832" s="12"/>
      <c r="I832" s="30"/>
      <c r="J832" s="12"/>
      <c r="K832" s="12"/>
      <c r="L832" s="12"/>
      <c r="M832" s="12"/>
      <c r="N832" s="12"/>
      <c r="O832" s="308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4"/>
      <c r="BF832" s="12"/>
      <c r="BG832" s="12"/>
      <c r="BH832" s="12" t="str">
        <f>IFERROR(__xludf.DUMMYFUNCTION("IFERROR(INDEX(QUERY(IMPORTRANGE(""1T7HG8KEs-Ob7f3M5atEVN9Yn7IeORGp0QGvggB62ELw"",""Maestro!A:I""),""SELECT Col8 WHERE Col3 = '""&amp;BE832&amp;""'"", 0), 1, 1),""NO ENCONTRADO"")"),"")</f>
        <v/>
      </c>
      <c r="BI832" s="12" t="str">
        <f>IFERROR(__xludf.DUMMYFUNCTION("IFERROR(INDEX(QUERY(IMPORTRANGE(""1T7HG8KEs-Ob7f3M5atEVN9Yn7IeORGp0QGvggB62ELw"",""Maestro!A:I""),""SELECT Col7 WHERE Col3 = '""&amp;BE832&amp;""'"", 0), 1, 1),""NO ENCONTRADO"")"),"")</f>
        <v/>
      </c>
      <c r="BJ832" s="16">
        <f t="shared" si="19"/>
        <v>0</v>
      </c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4"/>
      <c r="BX832" s="14"/>
      <c r="BY832" s="14"/>
      <c r="BZ832" s="14"/>
      <c r="CA832" s="14"/>
      <c r="CB832" s="14"/>
      <c r="CC832" s="14"/>
      <c r="CD832" s="14"/>
      <c r="CE832" s="14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</row>
    <row r="833">
      <c r="A833" s="12"/>
      <c r="B833" s="14"/>
      <c r="C833" s="14"/>
      <c r="D833" s="14"/>
      <c r="E833" s="12"/>
      <c r="F833" s="307"/>
      <c r="G833" s="307"/>
      <c r="H833" s="12"/>
      <c r="I833" s="30"/>
      <c r="J833" s="12"/>
      <c r="K833" s="12"/>
      <c r="L833" s="12"/>
      <c r="M833" s="12"/>
      <c r="N833" s="12"/>
      <c r="O833" s="308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4"/>
      <c r="BF833" s="12"/>
      <c r="BG833" s="12"/>
      <c r="BH833" s="12" t="str">
        <f>IFERROR(__xludf.DUMMYFUNCTION("IFERROR(INDEX(QUERY(IMPORTRANGE(""1T7HG8KEs-Ob7f3M5atEVN9Yn7IeORGp0QGvggB62ELw"",""Maestro!A:I""),""SELECT Col8 WHERE Col3 = '""&amp;BE833&amp;""'"", 0), 1, 1),""NO ENCONTRADO"")"),"")</f>
        <v/>
      </c>
      <c r="BI833" s="12" t="str">
        <f>IFERROR(__xludf.DUMMYFUNCTION("IFERROR(INDEX(QUERY(IMPORTRANGE(""1T7HG8KEs-Ob7f3M5atEVN9Yn7IeORGp0QGvggB62ELw"",""Maestro!A:I""),""SELECT Col7 WHERE Col3 = '""&amp;BE833&amp;""'"", 0), 1, 1),""NO ENCONTRADO"")"),"")</f>
        <v/>
      </c>
      <c r="BJ833" s="16">
        <f t="shared" si="19"/>
        <v>0</v>
      </c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4"/>
      <c r="BX833" s="14"/>
      <c r="BY833" s="14"/>
      <c r="BZ833" s="14"/>
      <c r="CA833" s="14"/>
      <c r="CB833" s="14"/>
      <c r="CC833" s="14"/>
      <c r="CD833" s="14"/>
      <c r="CE833" s="14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</row>
    <row r="834">
      <c r="A834" s="12"/>
      <c r="B834" s="14"/>
      <c r="C834" s="14"/>
      <c r="D834" s="14"/>
      <c r="E834" s="12"/>
      <c r="F834" s="307"/>
      <c r="G834" s="307"/>
      <c r="H834" s="12"/>
      <c r="I834" s="30"/>
      <c r="J834" s="12"/>
      <c r="K834" s="12"/>
      <c r="L834" s="12"/>
      <c r="M834" s="12"/>
      <c r="N834" s="12"/>
      <c r="O834" s="308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4"/>
      <c r="BF834" s="12"/>
      <c r="BG834" s="12"/>
      <c r="BH834" s="12" t="str">
        <f>IFERROR(__xludf.DUMMYFUNCTION("IFERROR(INDEX(QUERY(IMPORTRANGE(""1T7HG8KEs-Ob7f3M5atEVN9Yn7IeORGp0QGvggB62ELw"",""Maestro!A:I""),""SELECT Col8 WHERE Col3 = '""&amp;BE834&amp;""'"", 0), 1, 1),""NO ENCONTRADO"")"),"")</f>
        <v/>
      </c>
      <c r="BI834" s="12" t="str">
        <f>IFERROR(__xludf.DUMMYFUNCTION("IFERROR(INDEX(QUERY(IMPORTRANGE(""1T7HG8KEs-Ob7f3M5atEVN9Yn7IeORGp0QGvggB62ELw"",""Maestro!A:I""),""SELECT Col7 WHERE Col3 = '""&amp;BE834&amp;""'"", 0), 1, 1),""NO ENCONTRADO"")"),"")</f>
        <v/>
      </c>
      <c r="BJ834" s="16">
        <f t="shared" si="19"/>
        <v>0</v>
      </c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4"/>
      <c r="BX834" s="14"/>
      <c r="BY834" s="14"/>
      <c r="BZ834" s="14"/>
      <c r="CA834" s="14"/>
      <c r="CB834" s="14"/>
      <c r="CC834" s="14"/>
      <c r="CD834" s="14"/>
      <c r="CE834" s="14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</row>
    <row r="835">
      <c r="A835" s="12"/>
      <c r="B835" s="14"/>
      <c r="C835" s="14"/>
      <c r="D835" s="14"/>
      <c r="E835" s="12"/>
      <c r="F835" s="307"/>
      <c r="G835" s="307"/>
      <c r="H835" s="12"/>
      <c r="I835" s="30"/>
      <c r="J835" s="12"/>
      <c r="K835" s="12"/>
      <c r="L835" s="12"/>
      <c r="M835" s="12"/>
      <c r="N835" s="12"/>
      <c r="O835" s="308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4"/>
      <c r="BF835" s="12"/>
      <c r="BG835" s="12"/>
      <c r="BH835" s="12" t="str">
        <f>IFERROR(__xludf.DUMMYFUNCTION("IFERROR(INDEX(QUERY(IMPORTRANGE(""1T7HG8KEs-Ob7f3M5atEVN9Yn7IeORGp0QGvggB62ELw"",""Maestro!A:I""),""SELECT Col8 WHERE Col3 = '""&amp;BE835&amp;""'"", 0), 1, 1),""NO ENCONTRADO"")"),"")</f>
        <v/>
      </c>
      <c r="BI835" s="12" t="str">
        <f>IFERROR(__xludf.DUMMYFUNCTION("IFERROR(INDEX(QUERY(IMPORTRANGE(""1T7HG8KEs-Ob7f3M5atEVN9Yn7IeORGp0QGvggB62ELw"",""Maestro!A:I""),""SELECT Col7 WHERE Col3 = '""&amp;BE835&amp;""'"", 0), 1, 1),""NO ENCONTRADO"")"),"")</f>
        <v/>
      </c>
      <c r="BJ835" s="16">
        <f t="shared" si="19"/>
        <v>0</v>
      </c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4"/>
      <c r="BX835" s="14"/>
      <c r="BY835" s="14"/>
      <c r="BZ835" s="14"/>
      <c r="CA835" s="14"/>
      <c r="CB835" s="14"/>
      <c r="CC835" s="14"/>
      <c r="CD835" s="14"/>
      <c r="CE835" s="14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</row>
    <row r="836">
      <c r="A836" s="12"/>
      <c r="B836" s="14"/>
      <c r="C836" s="14"/>
      <c r="D836" s="14"/>
      <c r="E836" s="12"/>
      <c r="F836" s="307"/>
      <c r="G836" s="307"/>
      <c r="H836" s="12"/>
      <c r="I836" s="30"/>
      <c r="J836" s="12"/>
      <c r="K836" s="12"/>
      <c r="L836" s="12"/>
      <c r="M836" s="12"/>
      <c r="N836" s="12"/>
      <c r="O836" s="308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4"/>
      <c r="BF836" s="12"/>
      <c r="BG836" s="12"/>
      <c r="BH836" s="12" t="str">
        <f>IFERROR(__xludf.DUMMYFUNCTION("IFERROR(INDEX(QUERY(IMPORTRANGE(""1T7HG8KEs-Ob7f3M5atEVN9Yn7IeORGp0QGvggB62ELw"",""Maestro!A:I""),""SELECT Col8 WHERE Col3 = '""&amp;BE836&amp;""'"", 0), 1, 1),""NO ENCONTRADO"")"),"")</f>
        <v/>
      </c>
      <c r="BI836" s="12" t="str">
        <f>IFERROR(__xludf.DUMMYFUNCTION("IFERROR(INDEX(QUERY(IMPORTRANGE(""1T7HG8KEs-Ob7f3M5atEVN9Yn7IeORGp0QGvggB62ELw"",""Maestro!A:I""),""SELECT Col7 WHERE Col3 = '""&amp;BE836&amp;""'"", 0), 1, 1),""NO ENCONTRADO"")"),"")</f>
        <v/>
      </c>
      <c r="BJ836" s="16">
        <f t="shared" si="19"/>
        <v>0</v>
      </c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4"/>
      <c r="BX836" s="14"/>
      <c r="BY836" s="14"/>
      <c r="BZ836" s="14"/>
      <c r="CA836" s="14"/>
      <c r="CB836" s="14"/>
      <c r="CC836" s="14"/>
      <c r="CD836" s="14"/>
      <c r="CE836" s="14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</row>
    <row r="837">
      <c r="A837" s="12"/>
      <c r="B837" s="14"/>
      <c r="C837" s="14"/>
      <c r="D837" s="14"/>
      <c r="E837" s="12"/>
      <c r="F837" s="307"/>
      <c r="G837" s="307"/>
      <c r="H837" s="12"/>
      <c r="I837" s="30"/>
      <c r="J837" s="12"/>
      <c r="K837" s="12"/>
      <c r="L837" s="12"/>
      <c r="M837" s="12"/>
      <c r="N837" s="12"/>
      <c r="O837" s="308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4"/>
      <c r="BF837" s="12"/>
      <c r="BG837" s="12"/>
      <c r="BH837" s="12" t="str">
        <f>IFERROR(__xludf.DUMMYFUNCTION("IFERROR(INDEX(QUERY(IMPORTRANGE(""1T7HG8KEs-Ob7f3M5atEVN9Yn7IeORGp0QGvggB62ELw"",""Maestro!A:I""),""SELECT Col8 WHERE Col3 = '""&amp;BE837&amp;""'"", 0), 1, 1),""NO ENCONTRADO"")"),"")</f>
        <v/>
      </c>
      <c r="BI837" s="12" t="str">
        <f>IFERROR(__xludf.DUMMYFUNCTION("IFERROR(INDEX(QUERY(IMPORTRANGE(""1T7HG8KEs-Ob7f3M5atEVN9Yn7IeORGp0QGvggB62ELw"",""Maestro!A:I""),""SELECT Col7 WHERE Col3 = '""&amp;BE837&amp;""'"", 0), 1, 1),""NO ENCONTRADO"")"),"")</f>
        <v/>
      </c>
      <c r="BJ837" s="16">
        <f t="shared" si="19"/>
        <v>0</v>
      </c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4"/>
      <c r="BX837" s="14"/>
      <c r="BY837" s="14"/>
      <c r="BZ837" s="14"/>
      <c r="CA837" s="14"/>
      <c r="CB837" s="14"/>
      <c r="CC837" s="14"/>
      <c r="CD837" s="14"/>
      <c r="CE837" s="14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</row>
    <row r="838">
      <c r="A838" s="12"/>
      <c r="B838" s="14"/>
      <c r="C838" s="14"/>
      <c r="D838" s="14"/>
      <c r="E838" s="12"/>
      <c r="F838" s="307"/>
      <c r="G838" s="307"/>
      <c r="H838" s="12"/>
      <c r="I838" s="30"/>
      <c r="J838" s="12"/>
      <c r="K838" s="12"/>
      <c r="L838" s="12"/>
      <c r="M838" s="12"/>
      <c r="N838" s="12"/>
      <c r="O838" s="308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4"/>
      <c r="BF838" s="12"/>
      <c r="BG838" s="12"/>
      <c r="BH838" s="12" t="str">
        <f>IFERROR(__xludf.DUMMYFUNCTION("IFERROR(INDEX(QUERY(IMPORTRANGE(""1T7HG8KEs-Ob7f3M5atEVN9Yn7IeORGp0QGvggB62ELw"",""Maestro!A:I""),""SELECT Col8 WHERE Col3 = '""&amp;BE838&amp;""'"", 0), 1, 1),""NO ENCONTRADO"")"),"")</f>
        <v/>
      </c>
      <c r="BI838" s="12" t="str">
        <f>IFERROR(__xludf.DUMMYFUNCTION("IFERROR(INDEX(QUERY(IMPORTRANGE(""1T7HG8KEs-Ob7f3M5atEVN9Yn7IeORGp0QGvggB62ELw"",""Maestro!A:I""),""SELECT Col7 WHERE Col3 = '""&amp;BE838&amp;""'"", 0), 1, 1),""NO ENCONTRADO"")"),"")</f>
        <v/>
      </c>
      <c r="BJ838" s="16">
        <f t="shared" si="19"/>
        <v>0</v>
      </c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4"/>
      <c r="BX838" s="14"/>
      <c r="BY838" s="14"/>
      <c r="BZ838" s="14"/>
      <c r="CA838" s="14"/>
      <c r="CB838" s="14"/>
      <c r="CC838" s="14"/>
      <c r="CD838" s="14"/>
      <c r="CE838" s="14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</row>
    <row r="839">
      <c r="A839" s="12"/>
      <c r="B839" s="14"/>
      <c r="C839" s="14"/>
      <c r="D839" s="14"/>
      <c r="E839" s="12"/>
      <c r="F839" s="307"/>
      <c r="G839" s="307"/>
      <c r="H839" s="12"/>
      <c r="I839" s="30"/>
      <c r="J839" s="12"/>
      <c r="K839" s="12"/>
      <c r="L839" s="12"/>
      <c r="M839" s="12"/>
      <c r="N839" s="12"/>
      <c r="O839" s="308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4"/>
      <c r="BF839" s="12"/>
      <c r="BG839" s="12"/>
      <c r="BH839" s="12" t="str">
        <f>IFERROR(__xludf.DUMMYFUNCTION("IFERROR(INDEX(QUERY(IMPORTRANGE(""1T7HG8KEs-Ob7f3M5atEVN9Yn7IeORGp0QGvggB62ELw"",""Maestro!A:I""),""SELECT Col8 WHERE Col3 = '""&amp;BE839&amp;""'"", 0), 1, 1),""NO ENCONTRADO"")"),"")</f>
        <v/>
      </c>
      <c r="BI839" s="12" t="str">
        <f>IFERROR(__xludf.DUMMYFUNCTION("IFERROR(INDEX(QUERY(IMPORTRANGE(""1T7HG8KEs-Ob7f3M5atEVN9Yn7IeORGp0QGvggB62ELw"",""Maestro!A:I""),""SELECT Col7 WHERE Col3 = '""&amp;BE839&amp;""'"", 0), 1, 1),""NO ENCONTRADO"")"),"")</f>
        <v/>
      </c>
      <c r="BJ839" s="16">
        <f t="shared" si="19"/>
        <v>0</v>
      </c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4"/>
      <c r="BX839" s="14"/>
      <c r="BY839" s="14"/>
      <c r="BZ839" s="14"/>
      <c r="CA839" s="14"/>
      <c r="CB839" s="14"/>
      <c r="CC839" s="14"/>
      <c r="CD839" s="14"/>
      <c r="CE839" s="14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</row>
    <row r="840">
      <c r="A840" s="12"/>
      <c r="B840" s="14"/>
      <c r="C840" s="14"/>
      <c r="D840" s="14"/>
      <c r="E840" s="12"/>
      <c r="F840" s="307"/>
      <c r="G840" s="307"/>
      <c r="H840" s="12"/>
      <c r="I840" s="30"/>
      <c r="J840" s="12"/>
      <c r="K840" s="12"/>
      <c r="L840" s="12"/>
      <c r="M840" s="12"/>
      <c r="N840" s="12"/>
      <c r="O840" s="308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4"/>
      <c r="BF840" s="12"/>
      <c r="BG840" s="12"/>
      <c r="BH840" s="12" t="str">
        <f>IFERROR(__xludf.DUMMYFUNCTION("IFERROR(INDEX(QUERY(IMPORTRANGE(""1T7HG8KEs-Ob7f3M5atEVN9Yn7IeORGp0QGvggB62ELw"",""Maestro!A:I""),""SELECT Col8 WHERE Col3 = '""&amp;BE840&amp;""'"", 0), 1, 1),""NO ENCONTRADO"")"),"")</f>
        <v/>
      </c>
      <c r="BI840" s="12" t="str">
        <f>IFERROR(__xludf.DUMMYFUNCTION("IFERROR(INDEX(QUERY(IMPORTRANGE(""1T7HG8KEs-Ob7f3M5atEVN9Yn7IeORGp0QGvggB62ELw"",""Maestro!A:I""),""SELECT Col7 WHERE Col3 = '""&amp;BE840&amp;""'"", 0), 1, 1),""NO ENCONTRADO"")"),"")</f>
        <v/>
      </c>
      <c r="BJ840" s="16">
        <f t="shared" si="19"/>
        <v>0</v>
      </c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4"/>
      <c r="BX840" s="14"/>
      <c r="BY840" s="14"/>
      <c r="BZ840" s="14"/>
      <c r="CA840" s="14"/>
      <c r="CB840" s="14"/>
      <c r="CC840" s="14"/>
      <c r="CD840" s="14"/>
      <c r="CE840" s="14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</row>
    <row r="841">
      <c r="A841" s="12"/>
      <c r="B841" s="14"/>
      <c r="C841" s="14"/>
      <c r="D841" s="14"/>
      <c r="E841" s="12"/>
      <c r="F841" s="307"/>
      <c r="G841" s="307"/>
      <c r="H841" s="12"/>
      <c r="I841" s="30"/>
      <c r="J841" s="12"/>
      <c r="K841" s="12"/>
      <c r="L841" s="12"/>
      <c r="M841" s="12"/>
      <c r="N841" s="12"/>
      <c r="O841" s="308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4"/>
      <c r="BF841" s="12"/>
      <c r="BG841" s="12"/>
      <c r="BH841" s="12" t="str">
        <f>IFERROR(__xludf.DUMMYFUNCTION("IFERROR(INDEX(QUERY(IMPORTRANGE(""1T7HG8KEs-Ob7f3M5atEVN9Yn7IeORGp0QGvggB62ELw"",""Maestro!A:I""),""SELECT Col8 WHERE Col3 = '""&amp;BE841&amp;""'"", 0), 1, 1),""NO ENCONTRADO"")"),"")</f>
        <v/>
      </c>
      <c r="BI841" s="12" t="str">
        <f>IFERROR(__xludf.DUMMYFUNCTION("IFERROR(INDEX(QUERY(IMPORTRANGE(""1T7HG8KEs-Ob7f3M5atEVN9Yn7IeORGp0QGvggB62ELw"",""Maestro!A:I""),""SELECT Col7 WHERE Col3 = '""&amp;BE841&amp;""'"", 0), 1, 1),""NO ENCONTRADO"")"),"")</f>
        <v/>
      </c>
      <c r="BJ841" s="16">
        <f t="shared" si="19"/>
        <v>0</v>
      </c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4"/>
      <c r="BX841" s="14"/>
      <c r="BY841" s="14"/>
      <c r="BZ841" s="14"/>
      <c r="CA841" s="14"/>
      <c r="CB841" s="14"/>
      <c r="CC841" s="14"/>
      <c r="CD841" s="14"/>
      <c r="CE841" s="14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</row>
    <row r="842">
      <c r="A842" s="12"/>
      <c r="B842" s="14"/>
      <c r="C842" s="14"/>
      <c r="D842" s="14"/>
      <c r="E842" s="12"/>
      <c r="F842" s="307"/>
      <c r="G842" s="307"/>
      <c r="H842" s="12"/>
      <c r="I842" s="30"/>
      <c r="J842" s="12"/>
      <c r="K842" s="12"/>
      <c r="L842" s="12"/>
      <c r="M842" s="12"/>
      <c r="N842" s="12"/>
      <c r="O842" s="308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4"/>
      <c r="BF842" s="12"/>
      <c r="BG842" s="12"/>
      <c r="BH842" s="12" t="str">
        <f>IFERROR(__xludf.DUMMYFUNCTION("IFERROR(INDEX(QUERY(IMPORTRANGE(""1T7HG8KEs-Ob7f3M5atEVN9Yn7IeORGp0QGvggB62ELw"",""Maestro!A:I""),""SELECT Col8 WHERE Col3 = '""&amp;BE842&amp;""'"", 0), 1, 1),""NO ENCONTRADO"")"),"")</f>
        <v/>
      </c>
      <c r="BI842" s="12" t="str">
        <f>IFERROR(__xludf.DUMMYFUNCTION("IFERROR(INDEX(QUERY(IMPORTRANGE(""1T7HG8KEs-Ob7f3M5atEVN9Yn7IeORGp0QGvggB62ELw"",""Maestro!A:I""),""SELECT Col7 WHERE Col3 = '""&amp;BE842&amp;""'"", 0), 1, 1),""NO ENCONTRADO"")"),"")</f>
        <v/>
      </c>
      <c r="BJ842" s="16">
        <f t="shared" si="19"/>
        <v>0</v>
      </c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4"/>
      <c r="BX842" s="14"/>
      <c r="BY842" s="14"/>
      <c r="BZ842" s="14"/>
      <c r="CA842" s="14"/>
      <c r="CB842" s="14"/>
      <c r="CC842" s="14"/>
      <c r="CD842" s="14"/>
      <c r="CE842" s="14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</row>
    <row r="843">
      <c r="A843" s="12"/>
      <c r="B843" s="14"/>
      <c r="C843" s="14"/>
      <c r="D843" s="14"/>
      <c r="E843" s="12"/>
      <c r="F843" s="307"/>
      <c r="G843" s="307"/>
      <c r="H843" s="12"/>
      <c r="I843" s="30"/>
      <c r="J843" s="12"/>
      <c r="K843" s="12"/>
      <c r="L843" s="12"/>
      <c r="M843" s="12"/>
      <c r="N843" s="12"/>
      <c r="O843" s="308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4"/>
      <c r="BF843" s="12"/>
      <c r="BG843" s="12"/>
      <c r="BH843" s="12" t="str">
        <f>IFERROR(__xludf.DUMMYFUNCTION("IFERROR(INDEX(QUERY(IMPORTRANGE(""1T7HG8KEs-Ob7f3M5atEVN9Yn7IeORGp0QGvggB62ELw"",""Maestro!A:I""),""SELECT Col8 WHERE Col3 = '""&amp;BE843&amp;""'"", 0), 1, 1),""NO ENCONTRADO"")"),"")</f>
        <v/>
      </c>
      <c r="BI843" s="12" t="str">
        <f>IFERROR(__xludf.DUMMYFUNCTION("IFERROR(INDEX(QUERY(IMPORTRANGE(""1T7HG8KEs-Ob7f3M5atEVN9Yn7IeORGp0QGvggB62ELw"",""Maestro!A:I""),""SELECT Col7 WHERE Col3 = '""&amp;BE843&amp;""'"", 0), 1, 1),""NO ENCONTRADO"")"),"")</f>
        <v/>
      </c>
      <c r="BJ843" s="16">
        <f t="shared" si="19"/>
        <v>0</v>
      </c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4"/>
      <c r="BX843" s="14"/>
      <c r="BY843" s="14"/>
      <c r="BZ843" s="14"/>
      <c r="CA843" s="14"/>
      <c r="CB843" s="14"/>
      <c r="CC843" s="14"/>
      <c r="CD843" s="14"/>
      <c r="CE843" s="14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</row>
    <row r="844">
      <c r="A844" s="12"/>
      <c r="B844" s="14"/>
      <c r="C844" s="14"/>
      <c r="D844" s="14"/>
      <c r="E844" s="12"/>
      <c r="F844" s="307"/>
      <c r="G844" s="307"/>
      <c r="H844" s="12"/>
      <c r="I844" s="30"/>
      <c r="J844" s="12"/>
      <c r="K844" s="12"/>
      <c r="L844" s="12"/>
      <c r="M844" s="12"/>
      <c r="N844" s="12"/>
      <c r="O844" s="308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4"/>
      <c r="BF844" s="12"/>
      <c r="BG844" s="12"/>
      <c r="BH844" s="12" t="str">
        <f>IFERROR(__xludf.DUMMYFUNCTION("IFERROR(INDEX(QUERY(IMPORTRANGE(""1T7HG8KEs-Ob7f3M5atEVN9Yn7IeORGp0QGvggB62ELw"",""Maestro!A:I""),""SELECT Col8 WHERE Col3 = '""&amp;BE844&amp;""'"", 0), 1, 1),""NO ENCONTRADO"")"),"")</f>
        <v/>
      </c>
      <c r="BI844" s="12" t="str">
        <f>IFERROR(__xludf.DUMMYFUNCTION("IFERROR(INDEX(QUERY(IMPORTRANGE(""1T7HG8KEs-Ob7f3M5atEVN9Yn7IeORGp0QGvggB62ELw"",""Maestro!A:I""),""SELECT Col7 WHERE Col3 = '""&amp;BE844&amp;""'"", 0), 1, 1),""NO ENCONTRADO"")"),"")</f>
        <v/>
      </c>
      <c r="BJ844" s="16">
        <f t="shared" si="19"/>
        <v>0</v>
      </c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4"/>
      <c r="BX844" s="14"/>
      <c r="BY844" s="14"/>
      <c r="BZ844" s="14"/>
      <c r="CA844" s="14"/>
      <c r="CB844" s="14"/>
      <c r="CC844" s="14"/>
      <c r="CD844" s="14"/>
      <c r="CE844" s="14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</row>
    <row r="845">
      <c r="A845" s="12"/>
      <c r="B845" s="14"/>
      <c r="C845" s="14"/>
      <c r="D845" s="14"/>
      <c r="E845" s="12"/>
      <c r="F845" s="307"/>
      <c r="G845" s="307"/>
      <c r="H845" s="12"/>
      <c r="I845" s="30"/>
      <c r="J845" s="12"/>
      <c r="K845" s="12"/>
      <c r="L845" s="12"/>
      <c r="M845" s="12"/>
      <c r="N845" s="12"/>
      <c r="O845" s="308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4"/>
      <c r="BF845" s="12"/>
      <c r="BG845" s="12"/>
      <c r="BH845" s="12" t="str">
        <f>IFERROR(__xludf.DUMMYFUNCTION("IFERROR(INDEX(QUERY(IMPORTRANGE(""1T7HG8KEs-Ob7f3M5atEVN9Yn7IeORGp0QGvggB62ELw"",""Maestro!A:I""),""SELECT Col8 WHERE Col3 = '""&amp;BE845&amp;""'"", 0), 1, 1),""NO ENCONTRADO"")"),"")</f>
        <v/>
      </c>
      <c r="BI845" s="12" t="str">
        <f>IFERROR(__xludf.DUMMYFUNCTION("IFERROR(INDEX(QUERY(IMPORTRANGE(""1T7HG8KEs-Ob7f3M5atEVN9Yn7IeORGp0QGvggB62ELw"",""Maestro!A:I""),""SELECT Col7 WHERE Col3 = '""&amp;BE845&amp;""'"", 0), 1, 1),""NO ENCONTRADO"")"),"")</f>
        <v/>
      </c>
      <c r="BJ845" s="16">
        <f t="shared" si="19"/>
        <v>0</v>
      </c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4"/>
      <c r="BX845" s="14"/>
      <c r="BY845" s="14"/>
      <c r="BZ845" s="14"/>
      <c r="CA845" s="14"/>
      <c r="CB845" s="14"/>
      <c r="CC845" s="14"/>
      <c r="CD845" s="14"/>
      <c r="CE845" s="14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</row>
    <row r="846">
      <c r="A846" s="12"/>
      <c r="B846" s="14"/>
      <c r="C846" s="14"/>
      <c r="D846" s="14"/>
      <c r="E846" s="12"/>
      <c r="F846" s="307"/>
      <c r="G846" s="307"/>
      <c r="H846" s="12"/>
      <c r="I846" s="30"/>
      <c r="J846" s="12"/>
      <c r="K846" s="12"/>
      <c r="L846" s="12"/>
      <c r="M846" s="12"/>
      <c r="N846" s="12"/>
      <c r="O846" s="308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4"/>
      <c r="BF846" s="12"/>
      <c r="BG846" s="12"/>
      <c r="BH846" s="12" t="str">
        <f>IFERROR(__xludf.DUMMYFUNCTION("IFERROR(INDEX(QUERY(IMPORTRANGE(""1T7HG8KEs-Ob7f3M5atEVN9Yn7IeORGp0QGvggB62ELw"",""Maestro!A:I""),""SELECT Col8 WHERE Col3 = '""&amp;BE846&amp;""'"", 0), 1, 1),""NO ENCONTRADO"")"),"")</f>
        <v/>
      </c>
      <c r="BI846" s="12" t="str">
        <f>IFERROR(__xludf.DUMMYFUNCTION("IFERROR(INDEX(QUERY(IMPORTRANGE(""1T7HG8KEs-Ob7f3M5atEVN9Yn7IeORGp0QGvggB62ELw"",""Maestro!A:I""),""SELECT Col7 WHERE Col3 = '""&amp;BE846&amp;""'"", 0), 1, 1),""NO ENCONTRADO"")"),"")</f>
        <v/>
      </c>
      <c r="BJ846" s="16">
        <f t="shared" si="19"/>
        <v>0</v>
      </c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4"/>
      <c r="BX846" s="14"/>
      <c r="BY846" s="14"/>
      <c r="BZ846" s="14"/>
      <c r="CA846" s="14"/>
      <c r="CB846" s="14"/>
      <c r="CC846" s="14"/>
      <c r="CD846" s="14"/>
      <c r="CE846" s="14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</row>
    <row r="847">
      <c r="A847" s="12"/>
      <c r="B847" s="14"/>
      <c r="C847" s="14"/>
      <c r="D847" s="14"/>
      <c r="E847" s="12"/>
      <c r="F847" s="307"/>
      <c r="G847" s="307"/>
      <c r="H847" s="12"/>
      <c r="I847" s="30"/>
      <c r="J847" s="12"/>
      <c r="K847" s="12"/>
      <c r="L847" s="12"/>
      <c r="M847" s="12"/>
      <c r="N847" s="12"/>
      <c r="O847" s="308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4"/>
      <c r="BF847" s="12"/>
      <c r="BG847" s="12"/>
      <c r="BH847" s="12" t="str">
        <f>IFERROR(__xludf.DUMMYFUNCTION("IFERROR(INDEX(QUERY(IMPORTRANGE(""1T7HG8KEs-Ob7f3M5atEVN9Yn7IeORGp0QGvggB62ELw"",""Maestro!A:I""),""SELECT Col8 WHERE Col3 = '""&amp;BE847&amp;""'"", 0), 1, 1),""NO ENCONTRADO"")"),"")</f>
        <v/>
      </c>
      <c r="BI847" s="12" t="str">
        <f>IFERROR(__xludf.DUMMYFUNCTION("IFERROR(INDEX(QUERY(IMPORTRANGE(""1T7HG8KEs-Ob7f3M5atEVN9Yn7IeORGp0QGvggB62ELw"",""Maestro!A:I""),""SELECT Col7 WHERE Col3 = '""&amp;BE847&amp;""'"", 0), 1, 1),""NO ENCONTRADO"")"),"")</f>
        <v/>
      </c>
      <c r="BJ847" s="16">
        <f t="shared" si="19"/>
        <v>0</v>
      </c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4"/>
      <c r="BX847" s="14"/>
      <c r="BY847" s="14"/>
      <c r="BZ847" s="14"/>
      <c r="CA847" s="14"/>
      <c r="CB847" s="14"/>
      <c r="CC847" s="14"/>
      <c r="CD847" s="14"/>
      <c r="CE847" s="14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</row>
    <row r="848">
      <c r="A848" s="12"/>
      <c r="B848" s="14"/>
      <c r="C848" s="14"/>
      <c r="D848" s="14"/>
      <c r="E848" s="12"/>
      <c r="F848" s="307"/>
      <c r="G848" s="307"/>
      <c r="H848" s="12"/>
      <c r="I848" s="30"/>
      <c r="J848" s="12"/>
      <c r="K848" s="12"/>
      <c r="L848" s="12"/>
      <c r="M848" s="12"/>
      <c r="N848" s="12"/>
      <c r="O848" s="308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4"/>
      <c r="BF848" s="12"/>
      <c r="BG848" s="12"/>
      <c r="BH848" s="12" t="str">
        <f>IFERROR(__xludf.DUMMYFUNCTION("IFERROR(INDEX(QUERY(IMPORTRANGE(""1T7HG8KEs-Ob7f3M5atEVN9Yn7IeORGp0QGvggB62ELw"",""Maestro!A:I""),""SELECT Col8 WHERE Col3 = '""&amp;BE848&amp;""'"", 0), 1, 1),""NO ENCONTRADO"")"),"")</f>
        <v/>
      </c>
      <c r="BI848" s="12" t="str">
        <f>IFERROR(__xludf.DUMMYFUNCTION("IFERROR(INDEX(QUERY(IMPORTRANGE(""1T7HG8KEs-Ob7f3M5atEVN9Yn7IeORGp0QGvggB62ELw"",""Maestro!A:I""),""SELECT Col7 WHERE Col3 = '""&amp;BE848&amp;""'"", 0), 1, 1),""NO ENCONTRADO"")"),"")</f>
        <v/>
      </c>
      <c r="BJ848" s="16">
        <f t="shared" si="19"/>
        <v>0</v>
      </c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4"/>
      <c r="BX848" s="14"/>
      <c r="BY848" s="14"/>
      <c r="BZ848" s="14"/>
      <c r="CA848" s="14"/>
      <c r="CB848" s="14"/>
      <c r="CC848" s="14"/>
      <c r="CD848" s="14"/>
      <c r="CE848" s="14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</row>
    <row r="849">
      <c r="A849" s="12"/>
      <c r="B849" s="14"/>
      <c r="C849" s="14"/>
      <c r="D849" s="14"/>
      <c r="E849" s="12"/>
      <c r="F849" s="307"/>
      <c r="G849" s="307"/>
      <c r="H849" s="12"/>
      <c r="I849" s="30"/>
      <c r="J849" s="12"/>
      <c r="K849" s="12"/>
      <c r="L849" s="12"/>
      <c r="M849" s="12"/>
      <c r="N849" s="12"/>
      <c r="O849" s="308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4"/>
      <c r="BF849" s="12"/>
      <c r="BG849" s="12"/>
      <c r="BH849" s="12" t="str">
        <f>IFERROR(__xludf.DUMMYFUNCTION("IFERROR(INDEX(QUERY(IMPORTRANGE(""1T7HG8KEs-Ob7f3M5atEVN9Yn7IeORGp0QGvggB62ELw"",""Maestro!A:I""),""SELECT Col8 WHERE Col3 = '""&amp;BE849&amp;""'"", 0), 1, 1),""NO ENCONTRADO"")"),"")</f>
        <v/>
      </c>
      <c r="BI849" s="12" t="str">
        <f>IFERROR(__xludf.DUMMYFUNCTION("IFERROR(INDEX(QUERY(IMPORTRANGE(""1T7HG8KEs-Ob7f3M5atEVN9Yn7IeORGp0QGvggB62ELw"",""Maestro!A:I""),""SELECT Col7 WHERE Col3 = '""&amp;BE849&amp;""'"", 0), 1, 1),""NO ENCONTRADO"")"),"")</f>
        <v/>
      </c>
      <c r="BJ849" s="16">
        <f t="shared" si="19"/>
        <v>0</v>
      </c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4"/>
      <c r="BX849" s="14"/>
      <c r="BY849" s="14"/>
      <c r="BZ849" s="14"/>
      <c r="CA849" s="14"/>
      <c r="CB849" s="14"/>
      <c r="CC849" s="14"/>
      <c r="CD849" s="14"/>
      <c r="CE849" s="14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</row>
    <row r="850">
      <c r="A850" s="12"/>
      <c r="B850" s="14"/>
      <c r="C850" s="14"/>
      <c r="D850" s="14"/>
      <c r="E850" s="12"/>
      <c r="F850" s="307"/>
      <c r="G850" s="307"/>
      <c r="H850" s="12"/>
      <c r="I850" s="30"/>
      <c r="J850" s="12"/>
      <c r="K850" s="12"/>
      <c r="L850" s="12"/>
      <c r="M850" s="12"/>
      <c r="N850" s="12"/>
      <c r="O850" s="308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4"/>
      <c r="BF850" s="12"/>
      <c r="BG850" s="12"/>
      <c r="BH850" s="12" t="str">
        <f>IFERROR(__xludf.DUMMYFUNCTION("IFERROR(INDEX(QUERY(IMPORTRANGE(""1T7HG8KEs-Ob7f3M5atEVN9Yn7IeORGp0QGvggB62ELw"",""Maestro!A:I""),""SELECT Col8 WHERE Col3 = '""&amp;BE850&amp;""'"", 0), 1, 1),""NO ENCONTRADO"")"),"")</f>
        <v/>
      </c>
      <c r="BI850" s="12" t="str">
        <f>IFERROR(__xludf.DUMMYFUNCTION("IFERROR(INDEX(QUERY(IMPORTRANGE(""1T7HG8KEs-Ob7f3M5atEVN9Yn7IeORGp0QGvggB62ELw"",""Maestro!A:I""),""SELECT Col7 WHERE Col3 = '""&amp;BE850&amp;""'"", 0), 1, 1),""NO ENCONTRADO"")"),"")</f>
        <v/>
      </c>
      <c r="BJ850" s="16">
        <f t="shared" si="19"/>
        <v>0</v>
      </c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4"/>
      <c r="BX850" s="14"/>
      <c r="BY850" s="14"/>
      <c r="BZ850" s="14"/>
      <c r="CA850" s="14"/>
      <c r="CB850" s="14"/>
      <c r="CC850" s="14"/>
      <c r="CD850" s="14"/>
      <c r="CE850" s="14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</row>
    <row r="851">
      <c r="A851" s="12"/>
      <c r="B851" s="14"/>
      <c r="C851" s="14"/>
      <c r="D851" s="14"/>
      <c r="E851" s="12"/>
      <c r="F851" s="307"/>
      <c r="G851" s="307"/>
      <c r="H851" s="12"/>
      <c r="I851" s="30"/>
      <c r="J851" s="12"/>
      <c r="K851" s="12"/>
      <c r="L851" s="12"/>
      <c r="M851" s="12"/>
      <c r="N851" s="12"/>
      <c r="O851" s="308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4"/>
      <c r="BF851" s="12"/>
      <c r="BG851" s="12"/>
      <c r="BH851" s="12" t="str">
        <f>IFERROR(__xludf.DUMMYFUNCTION("IFERROR(INDEX(QUERY(IMPORTRANGE(""1T7HG8KEs-Ob7f3M5atEVN9Yn7IeORGp0QGvggB62ELw"",""Maestro!A:I""),""SELECT Col8 WHERE Col3 = '""&amp;BE851&amp;""'"", 0), 1, 1),""NO ENCONTRADO"")"),"")</f>
        <v/>
      </c>
      <c r="BI851" s="12" t="str">
        <f>IFERROR(__xludf.DUMMYFUNCTION("IFERROR(INDEX(QUERY(IMPORTRANGE(""1T7HG8KEs-Ob7f3M5atEVN9Yn7IeORGp0QGvggB62ELw"",""Maestro!A:I""),""SELECT Col7 WHERE Col3 = '""&amp;BE851&amp;""'"", 0), 1, 1),""NO ENCONTRADO"")"),"")</f>
        <v/>
      </c>
      <c r="BJ851" s="16">
        <f t="shared" si="19"/>
        <v>0</v>
      </c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4"/>
      <c r="BX851" s="14"/>
      <c r="BY851" s="14"/>
      <c r="BZ851" s="14"/>
      <c r="CA851" s="14"/>
      <c r="CB851" s="14"/>
      <c r="CC851" s="14"/>
      <c r="CD851" s="14"/>
      <c r="CE851" s="14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</row>
    <row r="852">
      <c r="A852" s="12"/>
      <c r="B852" s="14"/>
      <c r="C852" s="14"/>
      <c r="D852" s="14"/>
      <c r="E852" s="12"/>
      <c r="F852" s="307"/>
      <c r="G852" s="307"/>
      <c r="H852" s="12"/>
      <c r="I852" s="30"/>
      <c r="J852" s="12"/>
      <c r="K852" s="12"/>
      <c r="L852" s="12"/>
      <c r="M852" s="12"/>
      <c r="N852" s="12"/>
      <c r="O852" s="308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4"/>
      <c r="BF852" s="12"/>
      <c r="BG852" s="12"/>
      <c r="BH852" s="12" t="str">
        <f>IFERROR(__xludf.DUMMYFUNCTION("IFERROR(INDEX(QUERY(IMPORTRANGE(""1T7HG8KEs-Ob7f3M5atEVN9Yn7IeORGp0QGvggB62ELw"",""Maestro!A:I""),""SELECT Col8 WHERE Col3 = '""&amp;BE852&amp;""'"", 0), 1, 1),""NO ENCONTRADO"")"),"")</f>
        <v/>
      </c>
      <c r="BI852" s="12" t="str">
        <f>IFERROR(__xludf.DUMMYFUNCTION("IFERROR(INDEX(QUERY(IMPORTRANGE(""1T7HG8KEs-Ob7f3M5atEVN9Yn7IeORGp0QGvggB62ELw"",""Maestro!A:I""),""SELECT Col7 WHERE Col3 = '""&amp;BE852&amp;""'"", 0), 1, 1),""NO ENCONTRADO"")"),"")</f>
        <v/>
      </c>
      <c r="BJ852" s="16">
        <f t="shared" si="19"/>
        <v>0</v>
      </c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4"/>
      <c r="BX852" s="14"/>
      <c r="BY852" s="14"/>
      <c r="BZ852" s="14"/>
      <c r="CA852" s="14"/>
      <c r="CB852" s="14"/>
      <c r="CC852" s="14"/>
      <c r="CD852" s="14"/>
      <c r="CE852" s="14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</row>
    <row r="853">
      <c r="A853" s="12"/>
      <c r="B853" s="14"/>
      <c r="C853" s="14"/>
      <c r="D853" s="14"/>
      <c r="E853" s="12"/>
      <c r="F853" s="307"/>
      <c r="G853" s="307"/>
      <c r="H853" s="12"/>
      <c r="I853" s="30"/>
      <c r="J853" s="12"/>
      <c r="K853" s="12"/>
      <c r="L853" s="12"/>
      <c r="M853" s="12"/>
      <c r="N853" s="12"/>
      <c r="O853" s="308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4"/>
      <c r="BF853" s="12"/>
      <c r="BG853" s="12"/>
      <c r="BH853" s="12" t="str">
        <f>IFERROR(__xludf.DUMMYFUNCTION("IFERROR(INDEX(QUERY(IMPORTRANGE(""1T7HG8KEs-Ob7f3M5atEVN9Yn7IeORGp0QGvggB62ELw"",""Maestro!A:I""),""SELECT Col8 WHERE Col3 = '""&amp;BE853&amp;""'"", 0), 1, 1),""NO ENCONTRADO"")"),"")</f>
        <v/>
      </c>
      <c r="BI853" s="12" t="str">
        <f>IFERROR(__xludf.DUMMYFUNCTION("IFERROR(INDEX(QUERY(IMPORTRANGE(""1T7HG8KEs-Ob7f3M5atEVN9Yn7IeORGp0QGvggB62ELw"",""Maestro!A:I""),""SELECT Col7 WHERE Col3 = '""&amp;BE853&amp;""'"", 0), 1, 1),""NO ENCONTRADO"")"),"")</f>
        <v/>
      </c>
      <c r="BJ853" s="16">
        <f t="shared" si="19"/>
        <v>0</v>
      </c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4"/>
      <c r="BX853" s="14"/>
      <c r="BY853" s="14"/>
      <c r="BZ853" s="14"/>
      <c r="CA853" s="14"/>
      <c r="CB853" s="14"/>
      <c r="CC853" s="14"/>
      <c r="CD853" s="14"/>
      <c r="CE853" s="14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</row>
    <row r="854">
      <c r="A854" s="12"/>
      <c r="B854" s="14"/>
      <c r="C854" s="14"/>
      <c r="D854" s="14"/>
      <c r="E854" s="12"/>
      <c r="F854" s="307"/>
      <c r="G854" s="307"/>
      <c r="H854" s="12"/>
      <c r="I854" s="30"/>
      <c r="J854" s="12"/>
      <c r="K854" s="12"/>
      <c r="L854" s="12"/>
      <c r="M854" s="12"/>
      <c r="N854" s="12"/>
      <c r="O854" s="308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4"/>
      <c r="BF854" s="12"/>
      <c r="BG854" s="12"/>
      <c r="BH854" s="12" t="str">
        <f>IFERROR(__xludf.DUMMYFUNCTION("IFERROR(INDEX(QUERY(IMPORTRANGE(""1T7HG8KEs-Ob7f3M5atEVN9Yn7IeORGp0QGvggB62ELw"",""Maestro!A:I""),""SELECT Col8 WHERE Col3 = '""&amp;BE854&amp;""'"", 0), 1, 1),""NO ENCONTRADO"")"),"")</f>
        <v/>
      </c>
      <c r="BI854" s="12" t="str">
        <f>IFERROR(__xludf.DUMMYFUNCTION("IFERROR(INDEX(QUERY(IMPORTRANGE(""1T7HG8KEs-Ob7f3M5atEVN9Yn7IeORGp0QGvggB62ELw"",""Maestro!A:I""),""SELECT Col7 WHERE Col3 = '""&amp;BE854&amp;""'"", 0), 1, 1),""NO ENCONTRADO"")"),"")</f>
        <v/>
      </c>
      <c r="BJ854" s="16">
        <f t="shared" si="19"/>
        <v>0</v>
      </c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4"/>
      <c r="BX854" s="14"/>
      <c r="BY854" s="14"/>
      <c r="BZ854" s="14"/>
      <c r="CA854" s="14"/>
      <c r="CB854" s="14"/>
      <c r="CC854" s="14"/>
      <c r="CD854" s="14"/>
      <c r="CE854" s="14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</row>
    <row r="855">
      <c r="A855" s="12"/>
      <c r="B855" s="14"/>
      <c r="C855" s="14"/>
      <c r="D855" s="14"/>
      <c r="E855" s="12"/>
      <c r="F855" s="307"/>
      <c r="G855" s="307"/>
      <c r="H855" s="12"/>
      <c r="I855" s="30"/>
      <c r="J855" s="12"/>
      <c r="K855" s="12"/>
      <c r="L855" s="12"/>
      <c r="M855" s="12"/>
      <c r="N855" s="12"/>
      <c r="O855" s="308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4"/>
      <c r="BF855" s="12"/>
      <c r="BG855" s="12"/>
      <c r="BH855" s="12" t="str">
        <f>IFERROR(__xludf.DUMMYFUNCTION("IFERROR(INDEX(QUERY(IMPORTRANGE(""1T7HG8KEs-Ob7f3M5atEVN9Yn7IeORGp0QGvggB62ELw"",""Maestro!A:I""),""SELECT Col8 WHERE Col3 = '""&amp;BE855&amp;""'"", 0), 1, 1),""NO ENCONTRADO"")"),"")</f>
        <v/>
      </c>
      <c r="BI855" s="12" t="str">
        <f>IFERROR(__xludf.DUMMYFUNCTION("IFERROR(INDEX(QUERY(IMPORTRANGE(""1T7HG8KEs-Ob7f3M5atEVN9Yn7IeORGp0QGvggB62ELw"",""Maestro!A:I""),""SELECT Col7 WHERE Col3 = '""&amp;BE855&amp;""'"", 0), 1, 1),""NO ENCONTRADO"")"),"")</f>
        <v/>
      </c>
      <c r="BJ855" s="16">
        <f t="shared" si="19"/>
        <v>0</v>
      </c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4"/>
      <c r="BX855" s="14"/>
      <c r="BY855" s="14"/>
      <c r="BZ855" s="14"/>
      <c r="CA855" s="14"/>
      <c r="CB855" s="14"/>
      <c r="CC855" s="14"/>
      <c r="CD855" s="14"/>
      <c r="CE855" s="14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</row>
    <row r="856">
      <c r="A856" s="12"/>
      <c r="B856" s="14"/>
      <c r="C856" s="14"/>
      <c r="D856" s="14"/>
      <c r="E856" s="12"/>
      <c r="F856" s="307"/>
      <c r="G856" s="307"/>
      <c r="H856" s="12"/>
      <c r="I856" s="30"/>
      <c r="J856" s="12"/>
      <c r="K856" s="12"/>
      <c r="L856" s="12"/>
      <c r="M856" s="12"/>
      <c r="N856" s="12"/>
      <c r="O856" s="308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4"/>
      <c r="BF856" s="12"/>
      <c r="BG856" s="12"/>
      <c r="BH856" s="12" t="str">
        <f>IFERROR(__xludf.DUMMYFUNCTION("IFERROR(INDEX(QUERY(IMPORTRANGE(""1T7HG8KEs-Ob7f3M5atEVN9Yn7IeORGp0QGvggB62ELw"",""Maestro!A:I""),""SELECT Col8 WHERE Col3 = '""&amp;BE856&amp;""'"", 0), 1, 1),""NO ENCONTRADO"")"),"")</f>
        <v/>
      </c>
      <c r="BI856" s="12" t="str">
        <f>IFERROR(__xludf.DUMMYFUNCTION("IFERROR(INDEX(QUERY(IMPORTRANGE(""1T7HG8KEs-Ob7f3M5atEVN9Yn7IeORGp0QGvggB62ELw"",""Maestro!A:I""),""SELECT Col7 WHERE Col3 = '""&amp;BE856&amp;""'"", 0), 1, 1),""NO ENCONTRADO"")"),"")</f>
        <v/>
      </c>
      <c r="BJ856" s="16">
        <f t="shared" si="19"/>
        <v>0</v>
      </c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4"/>
      <c r="BX856" s="14"/>
      <c r="BY856" s="14"/>
      <c r="BZ856" s="14"/>
      <c r="CA856" s="14"/>
      <c r="CB856" s="14"/>
      <c r="CC856" s="14"/>
      <c r="CD856" s="14"/>
      <c r="CE856" s="14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</row>
    <row r="857">
      <c r="A857" s="12"/>
      <c r="B857" s="14"/>
      <c r="C857" s="14"/>
      <c r="D857" s="14"/>
      <c r="E857" s="12"/>
      <c r="F857" s="307"/>
      <c r="G857" s="307"/>
      <c r="H857" s="12"/>
      <c r="I857" s="30"/>
      <c r="J857" s="12"/>
      <c r="K857" s="12"/>
      <c r="L857" s="12"/>
      <c r="M857" s="12"/>
      <c r="N857" s="12"/>
      <c r="O857" s="308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4"/>
      <c r="BF857" s="12"/>
      <c r="BG857" s="12"/>
      <c r="BH857" s="12" t="str">
        <f>IFERROR(__xludf.DUMMYFUNCTION("IFERROR(INDEX(QUERY(IMPORTRANGE(""1T7HG8KEs-Ob7f3M5atEVN9Yn7IeORGp0QGvggB62ELw"",""Maestro!A:I""),""SELECT Col8 WHERE Col3 = '""&amp;BE857&amp;""'"", 0), 1, 1),""NO ENCONTRADO"")"),"")</f>
        <v/>
      </c>
      <c r="BI857" s="12" t="str">
        <f>IFERROR(__xludf.DUMMYFUNCTION("IFERROR(INDEX(QUERY(IMPORTRANGE(""1T7HG8KEs-Ob7f3M5atEVN9Yn7IeORGp0QGvggB62ELw"",""Maestro!A:I""),""SELECT Col7 WHERE Col3 = '""&amp;BE857&amp;""'"", 0), 1, 1),""NO ENCONTRADO"")"),"")</f>
        <v/>
      </c>
      <c r="BJ857" s="16">
        <f t="shared" si="19"/>
        <v>0</v>
      </c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4"/>
      <c r="BX857" s="14"/>
      <c r="BY857" s="14"/>
      <c r="BZ857" s="14"/>
      <c r="CA857" s="14"/>
      <c r="CB857" s="14"/>
      <c r="CC857" s="14"/>
      <c r="CD857" s="14"/>
      <c r="CE857" s="14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</row>
    <row r="858">
      <c r="A858" s="12"/>
      <c r="B858" s="14"/>
      <c r="C858" s="14"/>
      <c r="D858" s="14"/>
      <c r="E858" s="12"/>
      <c r="F858" s="307"/>
      <c r="G858" s="307"/>
      <c r="H858" s="12"/>
      <c r="I858" s="30"/>
      <c r="J858" s="12"/>
      <c r="K858" s="12"/>
      <c r="L858" s="12"/>
      <c r="M858" s="12"/>
      <c r="N858" s="12"/>
      <c r="O858" s="308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4"/>
      <c r="BF858" s="12"/>
      <c r="BG858" s="12"/>
      <c r="BH858" s="12" t="str">
        <f>IFERROR(__xludf.DUMMYFUNCTION("IFERROR(INDEX(QUERY(IMPORTRANGE(""1T7HG8KEs-Ob7f3M5atEVN9Yn7IeORGp0QGvggB62ELw"",""Maestro!A:I""),""SELECT Col8 WHERE Col3 = '""&amp;BE858&amp;""'"", 0), 1, 1),""NO ENCONTRADO"")"),"")</f>
        <v/>
      </c>
      <c r="BI858" s="12" t="str">
        <f>IFERROR(__xludf.DUMMYFUNCTION("IFERROR(INDEX(QUERY(IMPORTRANGE(""1T7HG8KEs-Ob7f3M5atEVN9Yn7IeORGp0QGvggB62ELw"",""Maestro!A:I""),""SELECT Col7 WHERE Col3 = '""&amp;BE858&amp;""'"", 0), 1, 1),""NO ENCONTRADO"")"),"")</f>
        <v/>
      </c>
      <c r="BJ858" s="16">
        <f t="shared" si="19"/>
        <v>0</v>
      </c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4"/>
      <c r="BX858" s="14"/>
      <c r="BY858" s="14"/>
      <c r="BZ858" s="14"/>
      <c r="CA858" s="14"/>
      <c r="CB858" s="14"/>
      <c r="CC858" s="14"/>
      <c r="CD858" s="14"/>
      <c r="CE858" s="14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</row>
    <row r="859">
      <c r="A859" s="12"/>
      <c r="B859" s="14"/>
      <c r="C859" s="14"/>
      <c r="D859" s="14"/>
      <c r="E859" s="12"/>
      <c r="F859" s="307"/>
      <c r="G859" s="307"/>
      <c r="H859" s="12"/>
      <c r="I859" s="30"/>
      <c r="J859" s="12"/>
      <c r="K859" s="12"/>
      <c r="L859" s="12"/>
      <c r="M859" s="12"/>
      <c r="N859" s="12"/>
      <c r="O859" s="308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4"/>
      <c r="BF859" s="12"/>
      <c r="BG859" s="12"/>
      <c r="BH859" s="12" t="str">
        <f>IFERROR(__xludf.DUMMYFUNCTION("IFERROR(INDEX(QUERY(IMPORTRANGE(""1T7HG8KEs-Ob7f3M5atEVN9Yn7IeORGp0QGvggB62ELw"",""Maestro!A:I""),""SELECT Col8 WHERE Col3 = '""&amp;BE859&amp;""'"", 0), 1, 1),""NO ENCONTRADO"")"),"")</f>
        <v/>
      </c>
      <c r="BI859" s="12" t="str">
        <f>IFERROR(__xludf.DUMMYFUNCTION("IFERROR(INDEX(QUERY(IMPORTRANGE(""1T7HG8KEs-Ob7f3M5atEVN9Yn7IeORGp0QGvggB62ELw"",""Maestro!A:I""),""SELECT Col7 WHERE Col3 = '""&amp;BE859&amp;""'"", 0), 1, 1),""NO ENCONTRADO"")"),"")</f>
        <v/>
      </c>
      <c r="BJ859" s="16">
        <f t="shared" si="19"/>
        <v>0</v>
      </c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4"/>
      <c r="BX859" s="14"/>
      <c r="BY859" s="14"/>
      <c r="BZ859" s="14"/>
      <c r="CA859" s="14"/>
      <c r="CB859" s="14"/>
      <c r="CC859" s="14"/>
      <c r="CD859" s="14"/>
      <c r="CE859" s="14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</row>
    <row r="860">
      <c r="A860" s="12"/>
      <c r="B860" s="14"/>
      <c r="C860" s="14"/>
      <c r="D860" s="14"/>
      <c r="E860" s="12"/>
      <c r="F860" s="307"/>
      <c r="G860" s="307"/>
      <c r="H860" s="12"/>
      <c r="I860" s="30"/>
      <c r="J860" s="12"/>
      <c r="K860" s="12"/>
      <c r="L860" s="12"/>
      <c r="M860" s="12"/>
      <c r="N860" s="12"/>
      <c r="O860" s="308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4"/>
      <c r="BF860" s="12"/>
      <c r="BG860" s="12"/>
      <c r="BH860" s="12" t="str">
        <f>IFERROR(__xludf.DUMMYFUNCTION("IFERROR(INDEX(QUERY(IMPORTRANGE(""1T7HG8KEs-Ob7f3M5atEVN9Yn7IeORGp0QGvggB62ELw"",""Maestro!A:I""),""SELECT Col8 WHERE Col3 = '""&amp;BE860&amp;""'"", 0), 1, 1),""NO ENCONTRADO"")"),"")</f>
        <v/>
      </c>
      <c r="BI860" s="12" t="str">
        <f>IFERROR(__xludf.DUMMYFUNCTION("IFERROR(INDEX(QUERY(IMPORTRANGE(""1T7HG8KEs-Ob7f3M5atEVN9Yn7IeORGp0QGvggB62ELw"",""Maestro!A:I""),""SELECT Col7 WHERE Col3 = '""&amp;BE860&amp;""'"", 0), 1, 1),""NO ENCONTRADO"")"),"")</f>
        <v/>
      </c>
      <c r="BJ860" s="16">
        <f t="shared" si="19"/>
        <v>0</v>
      </c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4"/>
      <c r="BX860" s="14"/>
      <c r="BY860" s="14"/>
      <c r="BZ860" s="14"/>
      <c r="CA860" s="14"/>
      <c r="CB860" s="14"/>
      <c r="CC860" s="14"/>
      <c r="CD860" s="14"/>
      <c r="CE860" s="14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</row>
    <row r="861">
      <c r="A861" s="12"/>
      <c r="B861" s="14"/>
      <c r="C861" s="14"/>
      <c r="D861" s="14"/>
      <c r="E861" s="12"/>
      <c r="F861" s="307"/>
      <c r="G861" s="307"/>
      <c r="H861" s="12"/>
      <c r="I861" s="30"/>
      <c r="J861" s="12"/>
      <c r="K861" s="12"/>
      <c r="L861" s="12"/>
      <c r="M861" s="12"/>
      <c r="N861" s="12"/>
      <c r="O861" s="308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4"/>
      <c r="BF861" s="12"/>
      <c r="BG861" s="12"/>
      <c r="BH861" s="12" t="str">
        <f>IFERROR(__xludf.DUMMYFUNCTION("IFERROR(INDEX(QUERY(IMPORTRANGE(""1T7HG8KEs-Ob7f3M5atEVN9Yn7IeORGp0QGvggB62ELw"",""Maestro!A:I""),""SELECT Col8 WHERE Col3 = '""&amp;BE861&amp;""'"", 0), 1, 1),""NO ENCONTRADO"")"),"")</f>
        <v/>
      </c>
      <c r="BI861" s="12" t="str">
        <f>IFERROR(__xludf.DUMMYFUNCTION("IFERROR(INDEX(QUERY(IMPORTRANGE(""1T7HG8KEs-Ob7f3M5atEVN9Yn7IeORGp0QGvggB62ELw"",""Maestro!A:I""),""SELECT Col7 WHERE Col3 = '""&amp;BE861&amp;""'"", 0), 1, 1),""NO ENCONTRADO"")"),"")</f>
        <v/>
      </c>
      <c r="BJ861" s="16">
        <f t="shared" si="19"/>
        <v>0</v>
      </c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4"/>
      <c r="BX861" s="14"/>
      <c r="BY861" s="14"/>
      <c r="BZ861" s="14"/>
      <c r="CA861" s="14"/>
      <c r="CB861" s="14"/>
      <c r="CC861" s="14"/>
      <c r="CD861" s="14"/>
      <c r="CE861" s="14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</row>
    <row r="862">
      <c r="A862" s="12"/>
      <c r="B862" s="14"/>
      <c r="C862" s="14"/>
      <c r="D862" s="14"/>
      <c r="E862" s="12"/>
      <c r="F862" s="307"/>
      <c r="G862" s="307"/>
      <c r="H862" s="12"/>
      <c r="I862" s="30"/>
      <c r="J862" s="12"/>
      <c r="K862" s="12"/>
      <c r="L862" s="12"/>
      <c r="M862" s="12"/>
      <c r="N862" s="12"/>
      <c r="O862" s="308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4"/>
      <c r="BF862" s="12"/>
      <c r="BG862" s="12"/>
      <c r="BH862" s="12" t="str">
        <f>IFERROR(__xludf.DUMMYFUNCTION("IFERROR(INDEX(QUERY(IMPORTRANGE(""1T7HG8KEs-Ob7f3M5atEVN9Yn7IeORGp0QGvggB62ELw"",""Maestro!A:I""),""SELECT Col8 WHERE Col3 = '""&amp;BE862&amp;""'"", 0), 1, 1),""NO ENCONTRADO"")"),"")</f>
        <v/>
      </c>
      <c r="BI862" s="12" t="str">
        <f>IFERROR(__xludf.DUMMYFUNCTION("IFERROR(INDEX(QUERY(IMPORTRANGE(""1T7HG8KEs-Ob7f3M5atEVN9Yn7IeORGp0QGvggB62ELw"",""Maestro!A:I""),""SELECT Col7 WHERE Col3 = '""&amp;BE862&amp;""'"", 0), 1, 1),""NO ENCONTRADO"")"),"")</f>
        <v/>
      </c>
      <c r="BJ862" s="16">
        <f t="shared" si="19"/>
        <v>0</v>
      </c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4"/>
      <c r="BX862" s="14"/>
      <c r="BY862" s="14"/>
      <c r="BZ862" s="14"/>
      <c r="CA862" s="14"/>
      <c r="CB862" s="14"/>
      <c r="CC862" s="14"/>
      <c r="CD862" s="14"/>
      <c r="CE862" s="14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</row>
    <row r="863">
      <c r="A863" s="12"/>
      <c r="B863" s="14"/>
      <c r="C863" s="14"/>
      <c r="D863" s="14"/>
      <c r="E863" s="12"/>
      <c r="F863" s="307"/>
      <c r="G863" s="307"/>
      <c r="H863" s="12"/>
      <c r="I863" s="30"/>
      <c r="J863" s="12"/>
      <c r="K863" s="12"/>
      <c r="L863" s="12"/>
      <c r="M863" s="12"/>
      <c r="N863" s="12"/>
      <c r="O863" s="308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4"/>
      <c r="BF863" s="12"/>
      <c r="BG863" s="12"/>
      <c r="BH863" s="12" t="str">
        <f>IFERROR(__xludf.DUMMYFUNCTION("IFERROR(INDEX(QUERY(IMPORTRANGE(""1T7HG8KEs-Ob7f3M5atEVN9Yn7IeORGp0QGvggB62ELw"",""Maestro!A:I""),""SELECT Col8 WHERE Col3 = '""&amp;BE863&amp;""'"", 0), 1, 1),""NO ENCONTRADO"")"),"")</f>
        <v/>
      </c>
      <c r="BI863" s="12" t="str">
        <f>IFERROR(__xludf.DUMMYFUNCTION("IFERROR(INDEX(QUERY(IMPORTRANGE(""1T7HG8KEs-Ob7f3M5atEVN9Yn7IeORGp0QGvggB62ELw"",""Maestro!A:I""),""SELECT Col7 WHERE Col3 = '""&amp;BE863&amp;""'"", 0), 1, 1),""NO ENCONTRADO"")"),"")</f>
        <v/>
      </c>
      <c r="BJ863" s="16">
        <f t="shared" si="19"/>
        <v>0</v>
      </c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4"/>
      <c r="BX863" s="14"/>
      <c r="BY863" s="14"/>
      <c r="BZ863" s="14"/>
      <c r="CA863" s="14"/>
      <c r="CB863" s="14"/>
      <c r="CC863" s="14"/>
      <c r="CD863" s="14"/>
      <c r="CE863" s="14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</row>
    <row r="864">
      <c r="A864" s="12"/>
      <c r="B864" s="14"/>
      <c r="C864" s="14"/>
      <c r="D864" s="14"/>
      <c r="E864" s="12"/>
      <c r="F864" s="307"/>
      <c r="G864" s="307"/>
      <c r="H864" s="12"/>
      <c r="I864" s="30"/>
      <c r="J864" s="12"/>
      <c r="K864" s="12"/>
      <c r="L864" s="12"/>
      <c r="M864" s="12"/>
      <c r="N864" s="12"/>
      <c r="O864" s="308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4"/>
      <c r="BF864" s="12"/>
      <c r="BG864" s="12"/>
      <c r="BH864" s="12" t="str">
        <f>IFERROR(__xludf.DUMMYFUNCTION("IFERROR(INDEX(QUERY(IMPORTRANGE(""1T7HG8KEs-Ob7f3M5atEVN9Yn7IeORGp0QGvggB62ELw"",""Maestro!A:I""),""SELECT Col8 WHERE Col3 = '""&amp;BE864&amp;""'"", 0), 1, 1),""NO ENCONTRADO"")"),"")</f>
        <v/>
      </c>
      <c r="BI864" s="12" t="str">
        <f>IFERROR(__xludf.DUMMYFUNCTION("IFERROR(INDEX(QUERY(IMPORTRANGE(""1T7HG8KEs-Ob7f3M5atEVN9Yn7IeORGp0QGvggB62ELw"",""Maestro!A:I""),""SELECT Col7 WHERE Col3 = '""&amp;BE864&amp;""'"", 0), 1, 1),""NO ENCONTRADO"")"),"")</f>
        <v/>
      </c>
      <c r="BJ864" s="16">
        <f t="shared" si="19"/>
        <v>0</v>
      </c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4"/>
      <c r="BX864" s="14"/>
      <c r="BY864" s="14"/>
      <c r="BZ864" s="14"/>
      <c r="CA864" s="14"/>
      <c r="CB864" s="14"/>
      <c r="CC864" s="14"/>
      <c r="CD864" s="14"/>
      <c r="CE864" s="14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</row>
    <row r="865">
      <c r="A865" s="12"/>
      <c r="B865" s="14"/>
      <c r="C865" s="14"/>
      <c r="D865" s="14"/>
      <c r="E865" s="12"/>
      <c r="F865" s="307"/>
      <c r="G865" s="307"/>
      <c r="H865" s="12"/>
      <c r="I865" s="30"/>
      <c r="J865" s="12"/>
      <c r="K865" s="12"/>
      <c r="L865" s="12"/>
      <c r="M865" s="12"/>
      <c r="N865" s="12"/>
      <c r="O865" s="308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4"/>
      <c r="BF865" s="12"/>
      <c r="BG865" s="12"/>
      <c r="BH865" s="12" t="str">
        <f>IFERROR(__xludf.DUMMYFUNCTION("IFERROR(INDEX(QUERY(IMPORTRANGE(""1T7HG8KEs-Ob7f3M5atEVN9Yn7IeORGp0QGvggB62ELw"",""Maestro!A:I""),""SELECT Col8 WHERE Col3 = '""&amp;BE865&amp;""'"", 0), 1, 1),""NO ENCONTRADO"")"),"")</f>
        <v/>
      </c>
      <c r="BI865" s="12" t="str">
        <f>IFERROR(__xludf.DUMMYFUNCTION("IFERROR(INDEX(QUERY(IMPORTRANGE(""1T7HG8KEs-Ob7f3M5atEVN9Yn7IeORGp0QGvggB62ELw"",""Maestro!A:I""),""SELECT Col7 WHERE Col3 = '""&amp;BE865&amp;""'"", 0), 1, 1),""NO ENCONTRADO"")"),"")</f>
        <v/>
      </c>
      <c r="BJ865" s="16">
        <f t="shared" si="19"/>
        <v>0</v>
      </c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4"/>
      <c r="BX865" s="14"/>
      <c r="BY865" s="14"/>
      <c r="BZ865" s="14"/>
      <c r="CA865" s="14"/>
      <c r="CB865" s="14"/>
      <c r="CC865" s="14"/>
      <c r="CD865" s="14"/>
      <c r="CE865" s="14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</row>
    <row r="866">
      <c r="A866" s="12"/>
      <c r="B866" s="14"/>
      <c r="C866" s="14"/>
      <c r="D866" s="14"/>
      <c r="E866" s="12"/>
      <c r="F866" s="307"/>
      <c r="G866" s="307"/>
      <c r="H866" s="12"/>
      <c r="I866" s="30"/>
      <c r="J866" s="12"/>
      <c r="K866" s="12"/>
      <c r="L866" s="12"/>
      <c r="M866" s="12"/>
      <c r="N866" s="12"/>
      <c r="O866" s="308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4"/>
      <c r="BF866" s="12"/>
      <c r="BG866" s="12"/>
      <c r="BH866" s="12" t="str">
        <f>IFERROR(__xludf.DUMMYFUNCTION("IFERROR(INDEX(QUERY(IMPORTRANGE(""1T7HG8KEs-Ob7f3M5atEVN9Yn7IeORGp0QGvggB62ELw"",""Maestro!A:I""),""SELECT Col8 WHERE Col3 = '""&amp;BE866&amp;""'"", 0), 1, 1),""NO ENCONTRADO"")"),"")</f>
        <v/>
      </c>
      <c r="BI866" s="12" t="str">
        <f>IFERROR(__xludf.DUMMYFUNCTION("IFERROR(INDEX(QUERY(IMPORTRANGE(""1T7HG8KEs-Ob7f3M5atEVN9Yn7IeORGp0QGvggB62ELw"",""Maestro!A:I""),""SELECT Col7 WHERE Col3 = '""&amp;BE866&amp;""'"", 0), 1, 1),""NO ENCONTRADO"")"),"")</f>
        <v/>
      </c>
      <c r="BJ866" s="16">
        <f t="shared" si="19"/>
        <v>0</v>
      </c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4"/>
      <c r="BX866" s="14"/>
      <c r="BY866" s="14"/>
      <c r="BZ866" s="14"/>
      <c r="CA866" s="14"/>
      <c r="CB866" s="14"/>
      <c r="CC866" s="14"/>
      <c r="CD866" s="14"/>
      <c r="CE866" s="14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</row>
    <row r="867">
      <c r="A867" s="12"/>
      <c r="B867" s="14"/>
      <c r="C867" s="14"/>
      <c r="D867" s="14"/>
      <c r="E867" s="12"/>
      <c r="F867" s="307"/>
      <c r="G867" s="307"/>
      <c r="H867" s="12"/>
      <c r="I867" s="30"/>
      <c r="J867" s="12"/>
      <c r="K867" s="12"/>
      <c r="L867" s="12"/>
      <c r="M867" s="12"/>
      <c r="N867" s="12"/>
      <c r="O867" s="308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4"/>
      <c r="BF867" s="12"/>
      <c r="BG867" s="12"/>
      <c r="BH867" s="12" t="str">
        <f>IFERROR(__xludf.DUMMYFUNCTION("IFERROR(INDEX(QUERY(IMPORTRANGE(""1T7HG8KEs-Ob7f3M5atEVN9Yn7IeORGp0QGvggB62ELw"",""Maestro!A:I""),""SELECT Col8 WHERE Col3 = '""&amp;BE867&amp;""'"", 0), 1, 1),""NO ENCONTRADO"")"),"")</f>
        <v/>
      </c>
      <c r="BI867" s="12" t="str">
        <f>IFERROR(__xludf.DUMMYFUNCTION("IFERROR(INDEX(QUERY(IMPORTRANGE(""1T7HG8KEs-Ob7f3M5atEVN9Yn7IeORGp0QGvggB62ELw"",""Maestro!A:I""),""SELECT Col7 WHERE Col3 = '""&amp;BE867&amp;""'"", 0), 1, 1),""NO ENCONTRADO"")"),"")</f>
        <v/>
      </c>
      <c r="BJ867" s="16">
        <f t="shared" si="19"/>
        <v>0</v>
      </c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4"/>
      <c r="BX867" s="14"/>
      <c r="BY867" s="14"/>
      <c r="BZ867" s="14"/>
      <c r="CA867" s="14"/>
      <c r="CB867" s="14"/>
      <c r="CC867" s="14"/>
      <c r="CD867" s="14"/>
      <c r="CE867" s="14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</row>
    <row r="868">
      <c r="A868" s="12"/>
      <c r="B868" s="14"/>
      <c r="C868" s="14"/>
      <c r="D868" s="14"/>
      <c r="E868" s="12"/>
      <c r="F868" s="307"/>
      <c r="G868" s="307"/>
      <c r="H868" s="12"/>
      <c r="I868" s="30"/>
      <c r="J868" s="12"/>
      <c r="K868" s="12"/>
      <c r="L868" s="12"/>
      <c r="M868" s="12"/>
      <c r="N868" s="12"/>
      <c r="O868" s="308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4"/>
      <c r="BF868" s="12"/>
      <c r="BG868" s="12"/>
      <c r="BH868" s="12" t="str">
        <f>IFERROR(__xludf.DUMMYFUNCTION("IFERROR(INDEX(QUERY(IMPORTRANGE(""1T7HG8KEs-Ob7f3M5atEVN9Yn7IeORGp0QGvggB62ELw"",""Maestro!A:I""),""SELECT Col8 WHERE Col3 = '""&amp;BE868&amp;""'"", 0), 1, 1),""NO ENCONTRADO"")"),"")</f>
        <v/>
      </c>
      <c r="BI868" s="12" t="str">
        <f>IFERROR(__xludf.DUMMYFUNCTION("IFERROR(INDEX(QUERY(IMPORTRANGE(""1T7HG8KEs-Ob7f3M5atEVN9Yn7IeORGp0QGvggB62ELw"",""Maestro!A:I""),""SELECT Col7 WHERE Col3 = '""&amp;BE868&amp;""'"", 0), 1, 1),""NO ENCONTRADO"")"),"")</f>
        <v/>
      </c>
      <c r="BJ868" s="16">
        <f t="shared" si="19"/>
        <v>0</v>
      </c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4"/>
      <c r="BX868" s="14"/>
      <c r="BY868" s="14"/>
      <c r="BZ868" s="14"/>
      <c r="CA868" s="14"/>
      <c r="CB868" s="14"/>
      <c r="CC868" s="14"/>
      <c r="CD868" s="14"/>
      <c r="CE868" s="14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</row>
    <row r="869">
      <c r="A869" s="12"/>
      <c r="B869" s="14"/>
      <c r="C869" s="14"/>
      <c r="D869" s="14"/>
      <c r="E869" s="12"/>
      <c r="F869" s="307"/>
      <c r="G869" s="307"/>
      <c r="H869" s="12"/>
      <c r="I869" s="30"/>
      <c r="J869" s="12"/>
      <c r="K869" s="12"/>
      <c r="L869" s="12"/>
      <c r="M869" s="12"/>
      <c r="N869" s="12"/>
      <c r="O869" s="308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4"/>
      <c r="BF869" s="12"/>
      <c r="BG869" s="12"/>
      <c r="BH869" s="12" t="str">
        <f>IFERROR(__xludf.DUMMYFUNCTION("IFERROR(INDEX(QUERY(IMPORTRANGE(""1T7HG8KEs-Ob7f3M5atEVN9Yn7IeORGp0QGvggB62ELw"",""Maestro!A:I""),""SELECT Col8 WHERE Col3 = '""&amp;BE869&amp;""'"", 0), 1, 1),""NO ENCONTRADO"")"),"")</f>
        <v/>
      </c>
      <c r="BI869" s="12" t="str">
        <f>IFERROR(__xludf.DUMMYFUNCTION("IFERROR(INDEX(QUERY(IMPORTRANGE(""1T7HG8KEs-Ob7f3M5atEVN9Yn7IeORGp0QGvggB62ELw"",""Maestro!A:I""),""SELECT Col7 WHERE Col3 = '""&amp;BE869&amp;""'"", 0), 1, 1),""NO ENCONTRADO"")"),"")</f>
        <v/>
      </c>
      <c r="BJ869" s="16">
        <f t="shared" si="19"/>
        <v>0</v>
      </c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4"/>
      <c r="BX869" s="14"/>
      <c r="BY869" s="14"/>
      <c r="BZ869" s="14"/>
      <c r="CA869" s="14"/>
      <c r="CB869" s="14"/>
      <c r="CC869" s="14"/>
      <c r="CD869" s="14"/>
      <c r="CE869" s="14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</row>
    <row r="870">
      <c r="A870" s="12"/>
      <c r="B870" s="14"/>
      <c r="C870" s="14"/>
      <c r="D870" s="14"/>
      <c r="E870" s="12"/>
      <c r="F870" s="307"/>
      <c r="G870" s="307"/>
      <c r="H870" s="12"/>
      <c r="I870" s="30"/>
      <c r="J870" s="12"/>
      <c r="K870" s="12"/>
      <c r="L870" s="12"/>
      <c r="M870" s="12"/>
      <c r="N870" s="12"/>
      <c r="O870" s="308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4"/>
      <c r="BF870" s="12"/>
      <c r="BG870" s="12"/>
      <c r="BH870" s="12" t="str">
        <f>IFERROR(__xludf.DUMMYFUNCTION("IFERROR(INDEX(QUERY(IMPORTRANGE(""1T7HG8KEs-Ob7f3M5atEVN9Yn7IeORGp0QGvggB62ELw"",""Maestro!A:I""),""SELECT Col8 WHERE Col3 = '""&amp;BE870&amp;""'"", 0), 1, 1),""NO ENCONTRADO"")"),"")</f>
        <v/>
      </c>
      <c r="BI870" s="12" t="str">
        <f>IFERROR(__xludf.DUMMYFUNCTION("IFERROR(INDEX(QUERY(IMPORTRANGE(""1T7HG8KEs-Ob7f3M5atEVN9Yn7IeORGp0QGvggB62ELw"",""Maestro!A:I""),""SELECT Col7 WHERE Col3 = '""&amp;BE870&amp;""'"", 0), 1, 1),""NO ENCONTRADO"")"),"")</f>
        <v/>
      </c>
      <c r="BJ870" s="16">
        <f t="shared" si="19"/>
        <v>0</v>
      </c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4"/>
      <c r="BX870" s="14"/>
      <c r="BY870" s="14"/>
      <c r="BZ870" s="14"/>
      <c r="CA870" s="14"/>
      <c r="CB870" s="14"/>
      <c r="CC870" s="14"/>
      <c r="CD870" s="14"/>
      <c r="CE870" s="14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</row>
    <row r="871">
      <c r="A871" s="12"/>
      <c r="B871" s="14"/>
      <c r="C871" s="14"/>
      <c r="D871" s="14"/>
      <c r="E871" s="12"/>
      <c r="F871" s="307"/>
      <c r="G871" s="307"/>
      <c r="H871" s="12"/>
      <c r="I871" s="30"/>
      <c r="J871" s="12"/>
      <c r="K871" s="12"/>
      <c r="L871" s="12"/>
      <c r="M871" s="12"/>
      <c r="N871" s="12"/>
      <c r="O871" s="308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4"/>
      <c r="BF871" s="12"/>
      <c r="BG871" s="12"/>
      <c r="BH871" s="12" t="str">
        <f>IFERROR(__xludf.DUMMYFUNCTION("IFERROR(INDEX(QUERY(IMPORTRANGE(""1T7HG8KEs-Ob7f3M5atEVN9Yn7IeORGp0QGvggB62ELw"",""Maestro!A:I""),""SELECT Col8 WHERE Col3 = '""&amp;BE871&amp;""'"", 0), 1, 1),""NO ENCONTRADO"")"),"")</f>
        <v/>
      </c>
      <c r="BI871" s="12" t="str">
        <f>IFERROR(__xludf.DUMMYFUNCTION("IFERROR(INDEX(QUERY(IMPORTRANGE(""1T7HG8KEs-Ob7f3M5atEVN9Yn7IeORGp0QGvggB62ELw"",""Maestro!A:I""),""SELECT Col7 WHERE Col3 = '""&amp;BE871&amp;""'"", 0), 1, 1),""NO ENCONTRADO"")"),"")</f>
        <v/>
      </c>
      <c r="BJ871" s="16">
        <f t="shared" si="19"/>
        <v>0</v>
      </c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4"/>
      <c r="BX871" s="14"/>
      <c r="BY871" s="14"/>
      <c r="BZ871" s="14"/>
      <c r="CA871" s="14"/>
      <c r="CB871" s="14"/>
      <c r="CC871" s="14"/>
      <c r="CD871" s="14"/>
      <c r="CE871" s="14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</row>
    <row r="872">
      <c r="A872" s="12"/>
      <c r="B872" s="14"/>
      <c r="C872" s="14"/>
      <c r="D872" s="14"/>
      <c r="E872" s="12"/>
      <c r="F872" s="307"/>
      <c r="G872" s="307"/>
      <c r="H872" s="12"/>
      <c r="I872" s="30"/>
      <c r="J872" s="12"/>
      <c r="K872" s="12"/>
      <c r="L872" s="12"/>
      <c r="M872" s="12"/>
      <c r="N872" s="12"/>
      <c r="O872" s="308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4"/>
      <c r="BF872" s="12"/>
      <c r="BG872" s="12"/>
      <c r="BH872" s="12" t="str">
        <f>IFERROR(__xludf.DUMMYFUNCTION("IFERROR(INDEX(QUERY(IMPORTRANGE(""1T7HG8KEs-Ob7f3M5atEVN9Yn7IeORGp0QGvggB62ELw"",""Maestro!A:I""),""SELECT Col8 WHERE Col3 = '""&amp;BE872&amp;""'"", 0), 1, 1),""NO ENCONTRADO"")"),"")</f>
        <v/>
      </c>
      <c r="BI872" s="12" t="str">
        <f>IFERROR(__xludf.DUMMYFUNCTION("IFERROR(INDEX(QUERY(IMPORTRANGE(""1T7HG8KEs-Ob7f3M5atEVN9Yn7IeORGp0QGvggB62ELw"",""Maestro!A:I""),""SELECT Col7 WHERE Col3 = '""&amp;BE872&amp;""'"", 0), 1, 1),""NO ENCONTRADO"")"),"")</f>
        <v/>
      </c>
      <c r="BJ872" s="16">
        <f t="shared" si="19"/>
        <v>0</v>
      </c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4"/>
      <c r="BX872" s="14"/>
      <c r="BY872" s="14"/>
      <c r="BZ872" s="14"/>
      <c r="CA872" s="14"/>
      <c r="CB872" s="14"/>
      <c r="CC872" s="14"/>
      <c r="CD872" s="14"/>
      <c r="CE872" s="14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</row>
    <row r="873">
      <c r="A873" s="12"/>
      <c r="B873" s="14"/>
      <c r="C873" s="14"/>
      <c r="D873" s="14"/>
      <c r="E873" s="12"/>
      <c r="F873" s="307"/>
      <c r="G873" s="307"/>
      <c r="H873" s="12"/>
      <c r="I873" s="30"/>
      <c r="J873" s="12"/>
      <c r="K873" s="12"/>
      <c r="L873" s="12"/>
      <c r="M873" s="12"/>
      <c r="N873" s="12"/>
      <c r="O873" s="308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4"/>
      <c r="BF873" s="12"/>
      <c r="BG873" s="12"/>
      <c r="BH873" s="12" t="str">
        <f>IFERROR(__xludf.DUMMYFUNCTION("IFERROR(INDEX(QUERY(IMPORTRANGE(""1T7HG8KEs-Ob7f3M5atEVN9Yn7IeORGp0QGvggB62ELw"",""Maestro!A:I""),""SELECT Col8 WHERE Col3 = '""&amp;BE873&amp;""'"", 0), 1, 1),""NO ENCONTRADO"")"),"")</f>
        <v/>
      </c>
      <c r="BI873" s="12" t="str">
        <f>IFERROR(__xludf.DUMMYFUNCTION("IFERROR(INDEX(QUERY(IMPORTRANGE(""1T7HG8KEs-Ob7f3M5atEVN9Yn7IeORGp0QGvggB62ELw"",""Maestro!A:I""),""SELECT Col7 WHERE Col3 = '""&amp;BE873&amp;""'"", 0), 1, 1),""NO ENCONTRADO"")"),"")</f>
        <v/>
      </c>
      <c r="BJ873" s="16">
        <f t="shared" si="19"/>
        <v>0</v>
      </c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4"/>
      <c r="BX873" s="14"/>
      <c r="BY873" s="14"/>
      <c r="BZ873" s="14"/>
      <c r="CA873" s="14"/>
      <c r="CB873" s="14"/>
      <c r="CC873" s="14"/>
      <c r="CD873" s="14"/>
      <c r="CE873" s="14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</row>
    <row r="874">
      <c r="A874" s="12"/>
      <c r="B874" s="14"/>
      <c r="C874" s="14"/>
      <c r="D874" s="14"/>
      <c r="E874" s="12"/>
      <c r="F874" s="307"/>
      <c r="G874" s="307"/>
      <c r="H874" s="12"/>
      <c r="I874" s="30"/>
      <c r="J874" s="12"/>
      <c r="K874" s="12"/>
      <c r="L874" s="12"/>
      <c r="M874" s="12"/>
      <c r="N874" s="12"/>
      <c r="O874" s="308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4"/>
      <c r="BF874" s="12"/>
      <c r="BG874" s="12"/>
      <c r="BH874" s="12" t="str">
        <f>IFERROR(__xludf.DUMMYFUNCTION("IFERROR(INDEX(QUERY(IMPORTRANGE(""1T7HG8KEs-Ob7f3M5atEVN9Yn7IeORGp0QGvggB62ELw"",""Maestro!A:I""),""SELECT Col8 WHERE Col3 = '""&amp;BE874&amp;""'"", 0), 1, 1),""NO ENCONTRADO"")"),"")</f>
        <v/>
      </c>
      <c r="BI874" s="12" t="str">
        <f>IFERROR(__xludf.DUMMYFUNCTION("IFERROR(INDEX(QUERY(IMPORTRANGE(""1T7HG8KEs-Ob7f3M5atEVN9Yn7IeORGp0QGvggB62ELw"",""Maestro!A:I""),""SELECT Col7 WHERE Col3 = '""&amp;BE874&amp;""'"", 0), 1, 1),""NO ENCONTRADO"")"),"")</f>
        <v/>
      </c>
      <c r="BJ874" s="16">
        <f t="shared" si="19"/>
        <v>0</v>
      </c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4"/>
      <c r="BX874" s="14"/>
      <c r="BY874" s="14"/>
      <c r="BZ874" s="14"/>
      <c r="CA874" s="14"/>
      <c r="CB874" s="14"/>
      <c r="CC874" s="14"/>
      <c r="CD874" s="14"/>
      <c r="CE874" s="14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</row>
    <row r="875">
      <c r="A875" s="12"/>
      <c r="B875" s="14"/>
      <c r="C875" s="14"/>
      <c r="D875" s="14"/>
      <c r="E875" s="12"/>
      <c r="F875" s="307"/>
      <c r="G875" s="307"/>
      <c r="H875" s="12"/>
      <c r="I875" s="30"/>
      <c r="J875" s="12"/>
      <c r="K875" s="12"/>
      <c r="L875" s="12"/>
      <c r="M875" s="12"/>
      <c r="N875" s="12"/>
      <c r="O875" s="308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4"/>
      <c r="BF875" s="12"/>
      <c r="BG875" s="12"/>
      <c r="BH875" s="12" t="str">
        <f>IFERROR(__xludf.DUMMYFUNCTION("IFERROR(INDEX(QUERY(IMPORTRANGE(""1T7HG8KEs-Ob7f3M5atEVN9Yn7IeORGp0QGvggB62ELw"",""Maestro!A:I""),""SELECT Col8 WHERE Col3 = '""&amp;BE875&amp;""'"", 0), 1, 1),""NO ENCONTRADO"")"),"")</f>
        <v/>
      </c>
      <c r="BI875" s="12" t="str">
        <f>IFERROR(__xludf.DUMMYFUNCTION("IFERROR(INDEX(QUERY(IMPORTRANGE(""1T7HG8KEs-Ob7f3M5atEVN9Yn7IeORGp0QGvggB62ELw"",""Maestro!A:I""),""SELECT Col7 WHERE Col3 = '""&amp;BE875&amp;""'"", 0), 1, 1),""NO ENCONTRADO"")"),"")</f>
        <v/>
      </c>
      <c r="BJ875" s="16">
        <f t="shared" si="19"/>
        <v>0</v>
      </c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4"/>
      <c r="BX875" s="14"/>
      <c r="BY875" s="14"/>
      <c r="BZ875" s="14"/>
      <c r="CA875" s="14"/>
      <c r="CB875" s="14"/>
      <c r="CC875" s="14"/>
      <c r="CD875" s="14"/>
      <c r="CE875" s="14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</row>
    <row r="876">
      <c r="A876" s="12"/>
      <c r="B876" s="14"/>
      <c r="C876" s="14"/>
      <c r="D876" s="14"/>
      <c r="E876" s="12"/>
      <c r="F876" s="307"/>
      <c r="G876" s="307"/>
      <c r="H876" s="12"/>
      <c r="I876" s="30"/>
      <c r="J876" s="12"/>
      <c r="K876" s="12"/>
      <c r="L876" s="12"/>
      <c r="M876" s="12"/>
      <c r="N876" s="12"/>
      <c r="O876" s="308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4"/>
      <c r="BF876" s="12"/>
      <c r="BG876" s="12"/>
      <c r="BH876" s="12" t="str">
        <f>IFERROR(__xludf.DUMMYFUNCTION("IFERROR(INDEX(QUERY(IMPORTRANGE(""1T7HG8KEs-Ob7f3M5atEVN9Yn7IeORGp0QGvggB62ELw"",""Maestro!A:I""),""SELECT Col8 WHERE Col3 = '""&amp;BE876&amp;""'"", 0), 1, 1),""NO ENCONTRADO"")"),"")</f>
        <v/>
      </c>
      <c r="BI876" s="12" t="str">
        <f>IFERROR(__xludf.DUMMYFUNCTION("IFERROR(INDEX(QUERY(IMPORTRANGE(""1T7HG8KEs-Ob7f3M5atEVN9Yn7IeORGp0QGvggB62ELw"",""Maestro!A:I""),""SELECT Col7 WHERE Col3 = '""&amp;BE876&amp;""'"", 0), 1, 1),""NO ENCONTRADO"")"),"")</f>
        <v/>
      </c>
      <c r="BJ876" s="16">
        <f t="shared" si="19"/>
        <v>0</v>
      </c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4"/>
      <c r="BX876" s="14"/>
      <c r="BY876" s="14"/>
      <c r="BZ876" s="14"/>
      <c r="CA876" s="14"/>
      <c r="CB876" s="14"/>
      <c r="CC876" s="14"/>
      <c r="CD876" s="14"/>
      <c r="CE876" s="14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</row>
    <row r="877">
      <c r="A877" s="12"/>
      <c r="B877" s="14"/>
      <c r="C877" s="14"/>
      <c r="D877" s="14"/>
      <c r="E877" s="12"/>
      <c r="F877" s="307"/>
      <c r="G877" s="307"/>
      <c r="H877" s="12"/>
      <c r="I877" s="30"/>
      <c r="J877" s="12"/>
      <c r="K877" s="12"/>
      <c r="L877" s="12"/>
      <c r="M877" s="12"/>
      <c r="N877" s="12"/>
      <c r="O877" s="308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4"/>
      <c r="BF877" s="12"/>
      <c r="BG877" s="12"/>
      <c r="BH877" s="12" t="str">
        <f>IFERROR(__xludf.DUMMYFUNCTION("IFERROR(INDEX(QUERY(IMPORTRANGE(""1T7HG8KEs-Ob7f3M5atEVN9Yn7IeORGp0QGvggB62ELw"",""Maestro!A:I""),""SELECT Col8 WHERE Col3 = '""&amp;BE877&amp;""'"", 0), 1, 1),""NO ENCONTRADO"")"),"")</f>
        <v/>
      </c>
      <c r="BI877" s="12" t="str">
        <f>IFERROR(__xludf.DUMMYFUNCTION("IFERROR(INDEX(QUERY(IMPORTRANGE(""1T7HG8KEs-Ob7f3M5atEVN9Yn7IeORGp0QGvggB62ELw"",""Maestro!A:I""),""SELECT Col7 WHERE Col3 = '""&amp;BE877&amp;""'"", 0), 1, 1),""NO ENCONTRADO"")"),"")</f>
        <v/>
      </c>
      <c r="BJ877" s="16">
        <f t="shared" si="19"/>
        <v>0</v>
      </c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4"/>
      <c r="BX877" s="14"/>
      <c r="BY877" s="14"/>
      <c r="BZ877" s="14"/>
      <c r="CA877" s="14"/>
      <c r="CB877" s="14"/>
      <c r="CC877" s="14"/>
      <c r="CD877" s="14"/>
      <c r="CE877" s="14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</row>
    <row r="878">
      <c r="A878" s="12"/>
      <c r="B878" s="14"/>
      <c r="C878" s="14"/>
      <c r="D878" s="14"/>
      <c r="E878" s="12"/>
      <c r="F878" s="307"/>
      <c r="G878" s="307"/>
      <c r="H878" s="12"/>
      <c r="I878" s="30"/>
      <c r="J878" s="12"/>
      <c r="K878" s="12"/>
      <c r="L878" s="12"/>
      <c r="M878" s="12"/>
      <c r="N878" s="12"/>
      <c r="O878" s="308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4"/>
      <c r="BF878" s="12"/>
      <c r="BG878" s="12"/>
      <c r="BH878" s="12" t="str">
        <f>IFERROR(__xludf.DUMMYFUNCTION("IFERROR(INDEX(QUERY(IMPORTRANGE(""1T7HG8KEs-Ob7f3M5atEVN9Yn7IeORGp0QGvggB62ELw"",""Maestro!A:I""),""SELECT Col8 WHERE Col3 = '""&amp;BE878&amp;""'"", 0), 1, 1),""NO ENCONTRADO"")"),"")</f>
        <v/>
      </c>
      <c r="BI878" s="12" t="str">
        <f>IFERROR(__xludf.DUMMYFUNCTION("IFERROR(INDEX(QUERY(IMPORTRANGE(""1T7HG8KEs-Ob7f3M5atEVN9Yn7IeORGp0QGvggB62ELw"",""Maestro!A:I""),""SELECT Col7 WHERE Col3 = '""&amp;BE878&amp;""'"", 0), 1, 1),""NO ENCONTRADO"")"),"")</f>
        <v/>
      </c>
      <c r="BJ878" s="16">
        <f t="shared" si="19"/>
        <v>0</v>
      </c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4"/>
      <c r="BX878" s="14"/>
      <c r="BY878" s="14"/>
      <c r="BZ878" s="14"/>
      <c r="CA878" s="14"/>
      <c r="CB878" s="14"/>
      <c r="CC878" s="14"/>
      <c r="CD878" s="14"/>
      <c r="CE878" s="14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</row>
    <row r="879">
      <c r="A879" s="12"/>
      <c r="B879" s="14"/>
      <c r="C879" s="14"/>
      <c r="D879" s="14"/>
      <c r="E879" s="12"/>
      <c r="F879" s="307"/>
      <c r="G879" s="307"/>
      <c r="H879" s="12"/>
      <c r="I879" s="30"/>
      <c r="J879" s="12"/>
      <c r="K879" s="12"/>
      <c r="L879" s="12"/>
      <c r="M879" s="12"/>
      <c r="N879" s="12"/>
      <c r="O879" s="308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4"/>
      <c r="BF879" s="12"/>
      <c r="BG879" s="12"/>
      <c r="BH879" s="12" t="str">
        <f>IFERROR(__xludf.DUMMYFUNCTION("IFERROR(INDEX(QUERY(IMPORTRANGE(""1T7HG8KEs-Ob7f3M5atEVN9Yn7IeORGp0QGvggB62ELw"",""Maestro!A:I""),""SELECT Col8 WHERE Col3 = '""&amp;BE879&amp;""'"", 0), 1, 1),""NO ENCONTRADO"")"),"")</f>
        <v/>
      </c>
      <c r="BI879" s="12" t="str">
        <f>IFERROR(__xludf.DUMMYFUNCTION("IFERROR(INDEX(QUERY(IMPORTRANGE(""1T7HG8KEs-Ob7f3M5atEVN9Yn7IeORGp0QGvggB62ELw"",""Maestro!A:I""),""SELECT Col7 WHERE Col3 = '""&amp;BE879&amp;""'"", 0), 1, 1),""NO ENCONTRADO"")"),"")</f>
        <v/>
      </c>
      <c r="BJ879" s="16">
        <f t="shared" si="19"/>
        <v>0</v>
      </c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4"/>
      <c r="BX879" s="14"/>
      <c r="BY879" s="14"/>
      <c r="BZ879" s="14"/>
      <c r="CA879" s="14"/>
      <c r="CB879" s="14"/>
      <c r="CC879" s="14"/>
      <c r="CD879" s="14"/>
      <c r="CE879" s="14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</row>
    <row r="880">
      <c r="A880" s="12"/>
      <c r="B880" s="14"/>
      <c r="C880" s="14"/>
      <c r="D880" s="14"/>
      <c r="E880" s="12"/>
      <c r="F880" s="307"/>
      <c r="G880" s="307"/>
      <c r="H880" s="12"/>
      <c r="I880" s="30"/>
      <c r="J880" s="12"/>
      <c r="K880" s="12"/>
      <c r="L880" s="12"/>
      <c r="M880" s="12"/>
      <c r="N880" s="12"/>
      <c r="O880" s="308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4"/>
      <c r="BF880" s="12"/>
      <c r="BG880" s="12"/>
      <c r="BH880" s="12" t="str">
        <f>IFERROR(__xludf.DUMMYFUNCTION("IFERROR(INDEX(QUERY(IMPORTRANGE(""1T7HG8KEs-Ob7f3M5atEVN9Yn7IeORGp0QGvggB62ELw"",""Maestro!A:I""),""SELECT Col8 WHERE Col3 = '""&amp;BE880&amp;""'"", 0), 1, 1),""NO ENCONTRADO"")"),"")</f>
        <v/>
      </c>
      <c r="BI880" s="12" t="str">
        <f>IFERROR(__xludf.DUMMYFUNCTION("IFERROR(INDEX(QUERY(IMPORTRANGE(""1T7HG8KEs-Ob7f3M5atEVN9Yn7IeORGp0QGvggB62ELw"",""Maestro!A:I""),""SELECT Col7 WHERE Col3 = '""&amp;BE880&amp;""'"", 0), 1, 1),""NO ENCONTRADO"")"),"")</f>
        <v/>
      </c>
      <c r="BJ880" s="16">
        <f t="shared" si="19"/>
        <v>0</v>
      </c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4"/>
      <c r="BX880" s="14"/>
      <c r="BY880" s="14"/>
      <c r="BZ880" s="14"/>
      <c r="CA880" s="14"/>
      <c r="CB880" s="14"/>
      <c r="CC880" s="14"/>
      <c r="CD880" s="14"/>
      <c r="CE880" s="14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</row>
    <row r="881">
      <c r="A881" s="12"/>
      <c r="B881" s="14"/>
      <c r="C881" s="14"/>
      <c r="D881" s="14"/>
      <c r="E881" s="12"/>
      <c r="F881" s="307"/>
      <c r="G881" s="307"/>
      <c r="H881" s="12"/>
      <c r="I881" s="30"/>
      <c r="J881" s="12"/>
      <c r="K881" s="12"/>
      <c r="L881" s="12"/>
      <c r="M881" s="12"/>
      <c r="N881" s="12"/>
      <c r="O881" s="308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4"/>
      <c r="BF881" s="12"/>
      <c r="BG881" s="12"/>
      <c r="BH881" s="12" t="str">
        <f>IFERROR(__xludf.DUMMYFUNCTION("IFERROR(INDEX(QUERY(IMPORTRANGE(""1T7HG8KEs-Ob7f3M5atEVN9Yn7IeORGp0QGvggB62ELw"",""Maestro!A:I""),""SELECT Col8 WHERE Col3 = '""&amp;BE881&amp;""'"", 0), 1, 1),""NO ENCONTRADO"")"),"")</f>
        <v/>
      </c>
      <c r="BI881" s="12" t="str">
        <f>IFERROR(__xludf.DUMMYFUNCTION("IFERROR(INDEX(QUERY(IMPORTRANGE(""1T7HG8KEs-Ob7f3M5atEVN9Yn7IeORGp0QGvggB62ELw"",""Maestro!A:I""),""SELECT Col7 WHERE Col3 = '""&amp;BE881&amp;""'"", 0), 1, 1),""NO ENCONTRADO"")"),"")</f>
        <v/>
      </c>
      <c r="BJ881" s="16">
        <f t="shared" si="19"/>
        <v>0</v>
      </c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4"/>
      <c r="BX881" s="14"/>
      <c r="BY881" s="14"/>
      <c r="BZ881" s="14"/>
      <c r="CA881" s="14"/>
      <c r="CB881" s="14"/>
      <c r="CC881" s="14"/>
      <c r="CD881" s="14"/>
      <c r="CE881" s="14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</row>
    <row r="882">
      <c r="A882" s="12"/>
      <c r="B882" s="14"/>
      <c r="C882" s="14"/>
      <c r="D882" s="14"/>
      <c r="E882" s="12"/>
      <c r="F882" s="307"/>
      <c r="G882" s="307"/>
      <c r="H882" s="12"/>
      <c r="I882" s="30"/>
      <c r="J882" s="12"/>
      <c r="K882" s="12"/>
      <c r="L882" s="12"/>
      <c r="M882" s="12"/>
      <c r="N882" s="12"/>
      <c r="O882" s="308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4"/>
      <c r="BF882" s="12"/>
      <c r="BG882" s="12"/>
      <c r="BH882" s="12" t="str">
        <f>IFERROR(__xludf.DUMMYFUNCTION("IFERROR(INDEX(QUERY(IMPORTRANGE(""1T7HG8KEs-Ob7f3M5atEVN9Yn7IeORGp0QGvggB62ELw"",""Maestro!A:I""),""SELECT Col8 WHERE Col3 = '""&amp;BE882&amp;""'"", 0), 1, 1),""NO ENCONTRADO"")"),"")</f>
        <v/>
      </c>
      <c r="BI882" s="12" t="str">
        <f>IFERROR(__xludf.DUMMYFUNCTION("IFERROR(INDEX(QUERY(IMPORTRANGE(""1T7HG8KEs-Ob7f3M5atEVN9Yn7IeORGp0QGvggB62ELw"",""Maestro!A:I""),""SELECT Col7 WHERE Col3 = '""&amp;BE882&amp;""'"", 0), 1, 1),""NO ENCONTRADO"")"),"")</f>
        <v/>
      </c>
      <c r="BJ882" s="16">
        <f t="shared" si="19"/>
        <v>0</v>
      </c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4"/>
      <c r="BX882" s="14"/>
      <c r="BY882" s="14"/>
      <c r="BZ882" s="14"/>
      <c r="CA882" s="14"/>
      <c r="CB882" s="14"/>
      <c r="CC882" s="14"/>
      <c r="CD882" s="14"/>
      <c r="CE882" s="14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</row>
    <row r="883">
      <c r="A883" s="12"/>
      <c r="B883" s="14"/>
      <c r="C883" s="14"/>
      <c r="D883" s="14"/>
      <c r="E883" s="12"/>
      <c r="F883" s="307"/>
      <c r="G883" s="307"/>
      <c r="H883" s="12"/>
      <c r="I883" s="30"/>
      <c r="J883" s="12"/>
      <c r="K883" s="12"/>
      <c r="L883" s="12"/>
      <c r="M883" s="12"/>
      <c r="N883" s="12"/>
      <c r="O883" s="308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4"/>
      <c r="BF883" s="12"/>
      <c r="BG883" s="12"/>
      <c r="BH883" s="12" t="str">
        <f>IFERROR(__xludf.DUMMYFUNCTION("IFERROR(INDEX(QUERY(IMPORTRANGE(""1T7HG8KEs-Ob7f3M5atEVN9Yn7IeORGp0QGvggB62ELw"",""Maestro!A:I""),""SELECT Col8 WHERE Col3 = '""&amp;BE883&amp;""'"", 0), 1, 1),""NO ENCONTRADO"")"),"")</f>
        <v/>
      </c>
      <c r="BI883" s="12" t="str">
        <f>IFERROR(__xludf.DUMMYFUNCTION("IFERROR(INDEX(QUERY(IMPORTRANGE(""1T7HG8KEs-Ob7f3M5atEVN9Yn7IeORGp0QGvggB62ELw"",""Maestro!A:I""),""SELECT Col7 WHERE Col3 = '""&amp;BE883&amp;""'"", 0), 1, 1),""NO ENCONTRADO"")"),"")</f>
        <v/>
      </c>
      <c r="BJ883" s="16">
        <f t="shared" si="19"/>
        <v>0</v>
      </c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4"/>
      <c r="BX883" s="14"/>
      <c r="BY883" s="14"/>
      <c r="BZ883" s="14"/>
      <c r="CA883" s="14"/>
      <c r="CB883" s="14"/>
      <c r="CC883" s="14"/>
      <c r="CD883" s="14"/>
      <c r="CE883" s="14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</row>
    <row r="884">
      <c r="A884" s="12"/>
      <c r="B884" s="14"/>
      <c r="C884" s="14"/>
      <c r="D884" s="14"/>
      <c r="E884" s="12"/>
      <c r="F884" s="307"/>
      <c r="G884" s="307"/>
      <c r="H884" s="12"/>
      <c r="I884" s="30"/>
      <c r="J884" s="12"/>
      <c r="K884" s="12"/>
      <c r="L884" s="12"/>
      <c r="M884" s="12"/>
      <c r="N884" s="12"/>
      <c r="O884" s="308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4"/>
      <c r="BF884" s="12"/>
      <c r="BG884" s="12"/>
      <c r="BH884" s="12" t="str">
        <f>IFERROR(__xludf.DUMMYFUNCTION("IFERROR(INDEX(QUERY(IMPORTRANGE(""1T7HG8KEs-Ob7f3M5atEVN9Yn7IeORGp0QGvggB62ELw"",""Maestro!A:I""),""SELECT Col8 WHERE Col3 = '""&amp;BE884&amp;""'"", 0), 1, 1),""NO ENCONTRADO"")"),"")</f>
        <v/>
      </c>
      <c r="BI884" s="12" t="str">
        <f>IFERROR(__xludf.DUMMYFUNCTION("IFERROR(INDEX(QUERY(IMPORTRANGE(""1T7HG8KEs-Ob7f3M5atEVN9Yn7IeORGp0QGvggB62ELw"",""Maestro!A:I""),""SELECT Col7 WHERE Col3 = '""&amp;BE884&amp;""'"", 0), 1, 1),""NO ENCONTRADO"")"),"")</f>
        <v/>
      </c>
      <c r="BJ884" s="16">
        <f t="shared" si="19"/>
        <v>0</v>
      </c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4"/>
      <c r="BX884" s="14"/>
      <c r="BY884" s="14"/>
      <c r="BZ884" s="14"/>
      <c r="CA884" s="14"/>
      <c r="CB884" s="14"/>
      <c r="CC884" s="14"/>
      <c r="CD884" s="14"/>
      <c r="CE884" s="14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</row>
    <row r="885">
      <c r="A885" s="12"/>
      <c r="B885" s="14"/>
      <c r="C885" s="14"/>
      <c r="D885" s="14"/>
      <c r="E885" s="12"/>
      <c r="F885" s="307"/>
      <c r="G885" s="307"/>
      <c r="H885" s="12"/>
      <c r="I885" s="30"/>
      <c r="J885" s="12"/>
      <c r="K885" s="12"/>
      <c r="L885" s="12"/>
      <c r="M885" s="12"/>
      <c r="N885" s="12"/>
      <c r="O885" s="308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4"/>
      <c r="BF885" s="12"/>
      <c r="BG885" s="12"/>
      <c r="BH885" s="12" t="str">
        <f>IFERROR(__xludf.DUMMYFUNCTION("IFERROR(INDEX(QUERY(IMPORTRANGE(""1T7HG8KEs-Ob7f3M5atEVN9Yn7IeORGp0QGvggB62ELw"",""Maestro!A:I""),""SELECT Col8 WHERE Col3 = '""&amp;BE885&amp;""'"", 0), 1, 1),""NO ENCONTRADO"")"),"")</f>
        <v/>
      </c>
      <c r="BI885" s="12" t="str">
        <f>IFERROR(__xludf.DUMMYFUNCTION("IFERROR(INDEX(QUERY(IMPORTRANGE(""1T7HG8KEs-Ob7f3M5atEVN9Yn7IeORGp0QGvggB62ELw"",""Maestro!A:I""),""SELECT Col7 WHERE Col3 = '""&amp;BE885&amp;""'"", 0), 1, 1),""NO ENCONTRADO"")"),"")</f>
        <v/>
      </c>
      <c r="BJ885" s="16">
        <f t="shared" si="19"/>
        <v>0</v>
      </c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4"/>
      <c r="BX885" s="14"/>
      <c r="BY885" s="14"/>
      <c r="BZ885" s="14"/>
      <c r="CA885" s="14"/>
      <c r="CB885" s="14"/>
      <c r="CC885" s="14"/>
      <c r="CD885" s="14"/>
      <c r="CE885" s="14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</row>
    <row r="886">
      <c r="A886" s="12"/>
      <c r="B886" s="14"/>
      <c r="C886" s="14"/>
      <c r="D886" s="14"/>
      <c r="E886" s="12"/>
      <c r="F886" s="307"/>
      <c r="G886" s="307"/>
      <c r="H886" s="12"/>
      <c r="I886" s="30"/>
      <c r="J886" s="12"/>
      <c r="K886" s="12"/>
      <c r="L886" s="12"/>
      <c r="M886" s="12"/>
      <c r="N886" s="12"/>
      <c r="O886" s="308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4"/>
      <c r="BF886" s="12"/>
      <c r="BG886" s="12"/>
      <c r="BH886" s="12" t="str">
        <f>IFERROR(__xludf.DUMMYFUNCTION("IFERROR(INDEX(QUERY(IMPORTRANGE(""1T7HG8KEs-Ob7f3M5atEVN9Yn7IeORGp0QGvggB62ELw"",""Maestro!A:I""),""SELECT Col8 WHERE Col3 = '""&amp;BE886&amp;""'"", 0), 1, 1),""NO ENCONTRADO"")"),"")</f>
        <v/>
      </c>
      <c r="BI886" s="12" t="str">
        <f>IFERROR(__xludf.DUMMYFUNCTION("IFERROR(INDEX(QUERY(IMPORTRANGE(""1T7HG8KEs-Ob7f3M5atEVN9Yn7IeORGp0QGvggB62ELw"",""Maestro!A:I""),""SELECT Col7 WHERE Col3 = '""&amp;BE886&amp;""'"", 0), 1, 1),""NO ENCONTRADO"")"),"")</f>
        <v/>
      </c>
      <c r="BJ886" s="16">
        <f t="shared" si="19"/>
        <v>0</v>
      </c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4"/>
      <c r="BX886" s="14"/>
      <c r="BY886" s="14"/>
      <c r="BZ886" s="14"/>
      <c r="CA886" s="14"/>
      <c r="CB886" s="14"/>
      <c r="CC886" s="14"/>
      <c r="CD886" s="14"/>
      <c r="CE886" s="14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</row>
    <row r="887">
      <c r="A887" s="12"/>
      <c r="B887" s="14"/>
      <c r="C887" s="14"/>
      <c r="D887" s="14"/>
      <c r="E887" s="12"/>
      <c r="F887" s="307"/>
      <c r="G887" s="307"/>
      <c r="H887" s="12"/>
      <c r="I887" s="30"/>
      <c r="J887" s="12"/>
      <c r="K887" s="12"/>
      <c r="L887" s="12"/>
      <c r="M887" s="12"/>
      <c r="N887" s="12"/>
      <c r="O887" s="308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4"/>
      <c r="BF887" s="12"/>
      <c r="BG887" s="12"/>
      <c r="BH887" s="12" t="str">
        <f>IFERROR(__xludf.DUMMYFUNCTION("IFERROR(INDEX(QUERY(IMPORTRANGE(""1T7HG8KEs-Ob7f3M5atEVN9Yn7IeORGp0QGvggB62ELw"",""Maestro!A:I""),""SELECT Col8 WHERE Col3 = '""&amp;BE887&amp;""'"", 0), 1, 1),""NO ENCONTRADO"")"),"")</f>
        <v/>
      </c>
      <c r="BI887" s="12" t="str">
        <f>IFERROR(__xludf.DUMMYFUNCTION("IFERROR(INDEX(QUERY(IMPORTRANGE(""1T7HG8KEs-Ob7f3M5atEVN9Yn7IeORGp0QGvggB62ELw"",""Maestro!A:I""),""SELECT Col7 WHERE Col3 = '""&amp;BE887&amp;""'"", 0), 1, 1),""NO ENCONTRADO"")"),"")</f>
        <v/>
      </c>
      <c r="BJ887" s="16">
        <f t="shared" si="19"/>
        <v>0</v>
      </c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4"/>
      <c r="BX887" s="14"/>
      <c r="BY887" s="14"/>
      <c r="BZ887" s="14"/>
      <c r="CA887" s="14"/>
      <c r="CB887" s="14"/>
      <c r="CC887" s="14"/>
      <c r="CD887" s="14"/>
      <c r="CE887" s="14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</row>
    <row r="888">
      <c r="A888" s="12"/>
      <c r="B888" s="14"/>
      <c r="C888" s="14"/>
      <c r="D888" s="14"/>
      <c r="E888" s="12"/>
      <c r="F888" s="307"/>
      <c r="G888" s="307"/>
      <c r="H888" s="12"/>
      <c r="I888" s="30"/>
      <c r="J888" s="12"/>
      <c r="K888" s="12"/>
      <c r="L888" s="12"/>
      <c r="M888" s="12"/>
      <c r="N888" s="12"/>
      <c r="O888" s="308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4"/>
      <c r="BF888" s="12"/>
      <c r="BG888" s="12"/>
      <c r="BH888" s="12" t="str">
        <f>IFERROR(__xludf.DUMMYFUNCTION("IFERROR(INDEX(QUERY(IMPORTRANGE(""1T7HG8KEs-Ob7f3M5atEVN9Yn7IeORGp0QGvggB62ELw"",""Maestro!A:I""),""SELECT Col8 WHERE Col3 = '""&amp;BE888&amp;""'"", 0), 1, 1),""NO ENCONTRADO"")"),"")</f>
        <v/>
      </c>
      <c r="BI888" s="12" t="str">
        <f>IFERROR(__xludf.DUMMYFUNCTION("IFERROR(INDEX(QUERY(IMPORTRANGE(""1T7HG8KEs-Ob7f3M5atEVN9Yn7IeORGp0QGvggB62ELw"",""Maestro!A:I""),""SELECT Col7 WHERE Col3 = '""&amp;BE888&amp;""'"", 0), 1, 1),""NO ENCONTRADO"")"),"")</f>
        <v/>
      </c>
      <c r="BJ888" s="16">
        <f t="shared" si="19"/>
        <v>0</v>
      </c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4"/>
      <c r="BX888" s="14"/>
      <c r="BY888" s="14"/>
      <c r="BZ888" s="14"/>
      <c r="CA888" s="14"/>
      <c r="CB888" s="14"/>
      <c r="CC888" s="14"/>
      <c r="CD888" s="14"/>
      <c r="CE888" s="14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</row>
    <row r="889">
      <c r="A889" s="12"/>
      <c r="B889" s="14"/>
      <c r="C889" s="14"/>
      <c r="D889" s="14"/>
      <c r="E889" s="12"/>
      <c r="F889" s="307"/>
      <c r="G889" s="307"/>
      <c r="H889" s="12"/>
      <c r="I889" s="30"/>
      <c r="J889" s="12"/>
      <c r="K889" s="12"/>
      <c r="L889" s="12"/>
      <c r="M889" s="12"/>
      <c r="N889" s="12"/>
      <c r="O889" s="308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4"/>
      <c r="BF889" s="12"/>
      <c r="BG889" s="12"/>
      <c r="BH889" s="12" t="str">
        <f>IFERROR(__xludf.DUMMYFUNCTION("IFERROR(INDEX(QUERY(IMPORTRANGE(""1T7HG8KEs-Ob7f3M5atEVN9Yn7IeORGp0QGvggB62ELw"",""Maestro!A:I""),""SELECT Col8 WHERE Col3 = '""&amp;BE889&amp;""'"", 0), 1, 1),""NO ENCONTRADO"")"),"")</f>
        <v/>
      </c>
      <c r="BI889" s="12" t="str">
        <f>IFERROR(__xludf.DUMMYFUNCTION("IFERROR(INDEX(QUERY(IMPORTRANGE(""1T7HG8KEs-Ob7f3M5atEVN9Yn7IeORGp0QGvggB62ELw"",""Maestro!A:I""),""SELECT Col7 WHERE Col3 = '""&amp;BE889&amp;""'"", 0), 1, 1),""NO ENCONTRADO"")"),"")</f>
        <v/>
      </c>
      <c r="BJ889" s="16">
        <f t="shared" si="19"/>
        <v>0</v>
      </c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4"/>
      <c r="BX889" s="14"/>
      <c r="BY889" s="14"/>
      <c r="BZ889" s="14"/>
      <c r="CA889" s="14"/>
      <c r="CB889" s="14"/>
      <c r="CC889" s="14"/>
      <c r="CD889" s="14"/>
      <c r="CE889" s="14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</row>
    <row r="890">
      <c r="A890" s="12"/>
      <c r="B890" s="14"/>
      <c r="C890" s="14"/>
      <c r="D890" s="14"/>
      <c r="E890" s="12"/>
      <c r="F890" s="307"/>
      <c r="G890" s="307"/>
      <c r="H890" s="12"/>
      <c r="I890" s="30"/>
      <c r="J890" s="12"/>
      <c r="K890" s="12"/>
      <c r="L890" s="12"/>
      <c r="M890" s="12"/>
      <c r="N890" s="12"/>
      <c r="O890" s="308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4"/>
      <c r="BF890" s="12"/>
      <c r="BG890" s="12"/>
      <c r="BH890" s="12" t="str">
        <f>IFERROR(__xludf.DUMMYFUNCTION("IFERROR(INDEX(QUERY(IMPORTRANGE(""1T7HG8KEs-Ob7f3M5atEVN9Yn7IeORGp0QGvggB62ELw"",""Maestro!A:I""),""SELECT Col8 WHERE Col3 = '""&amp;BE890&amp;""'"", 0), 1, 1),""NO ENCONTRADO"")"),"")</f>
        <v/>
      </c>
      <c r="BI890" s="12" t="str">
        <f>IFERROR(__xludf.DUMMYFUNCTION("IFERROR(INDEX(QUERY(IMPORTRANGE(""1T7HG8KEs-Ob7f3M5atEVN9Yn7IeORGp0QGvggB62ELw"",""Maestro!A:I""),""SELECT Col7 WHERE Col3 = '""&amp;BE890&amp;""'"", 0), 1, 1),""NO ENCONTRADO"")"),"")</f>
        <v/>
      </c>
      <c r="BJ890" s="16">
        <f t="shared" si="19"/>
        <v>0</v>
      </c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4"/>
      <c r="BX890" s="14"/>
      <c r="BY890" s="14"/>
      <c r="BZ890" s="14"/>
      <c r="CA890" s="14"/>
      <c r="CB890" s="14"/>
      <c r="CC890" s="14"/>
      <c r="CD890" s="14"/>
      <c r="CE890" s="14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</row>
    <row r="891">
      <c r="A891" s="12"/>
      <c r="B891" s="14"/>
      <c r="C891" s="14"/>
      <c r="D891" s="14"/>
      <c r="E891" s="12"/>
      <c r="F891" s="307"/>
      <c r="G891" s="307"/>
      <c r="H891" s="12"/>
      <c r="I891" s="30"/>
      <c r="J891" s="12"/>
      <c r="K891" s="12"/>
      <c r="L891" s="12"/>
      <c r="M891" s="12"/>
      <c r="N891" s="12"/>
      <c r="O891" s="308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4"/>
      <c r="BF891" s="12"/>
      <c r="BG891" s="12"/>
      <c r="BH891" s="12" t="str">
        <f>IFERROR(__xludf.DUMMYFUNCTION("IFERROR(INDEX(QUERY(IMPORTRANGE(""1T7HG8KEs-Ob7f3M5atEVN9Yn7IeORGp0QGvggB62ELw"",""Maestro!A:I""),""SELECT Col8 WHERE Col3 = '""&amp;BE891&amp;""'"", 0), 1, 1),""NO ENCONTRADO"")"),"")</f>
        <v/>
      </c>
      <c r="BI891" s="12" t="str">
        <f>IFERROR(__xludf.DUMMYFUNCTION("IFERROR(INDEX(QUERY(IMPORTRANGE(""1T7HG8KEs-Ob7f3M5atEVN9Yn7IeORGp0QGvggB62ELw"",""Maestro!A:I""),""SELECT Col7 WHERE Col3 = '""&amp;BE891&amp;""'"", 0), 1, 1),""NO ENCONTRADO"")"),"")</f>
        <v/>
      </c>
      <c r="BJ891" s="16">
        <f t="shared" si="19"/>
        <v>0</v>
      </c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4"/>
      <c r="BX891" s="14"/>
      <c r="BY891" s="14"/>
      <c r="BZ891" s="14"/>
      <c r="CA891" s="14"/>
      <c r="CB891" s="14"/>
      <c r="CC891" s="14"/>
      <c r="CD891" s="14"/>
      <c r="CE891" s="14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</row>
    <row r="892">
      <c r="A892" s="12"/>
      <c r="B892" s="14"/>
      <c r="C892" s="14"/>
      <c r="D892" s="14"/>
      <c r="E892" s="12"/>
      <c r="F892" s="307"/>
      <c r="G892" s="307"/>
      <c r="H892" s="12"/>
      <c r="I892" s="30"/>
      <c r="J892" s="12"/>
      <c r="K892" s="12"/>
      <c r="L892" s="12"/>
      <c r="M892" s="12"/>
      <c r="N892" s="12"/>
      <c r="O892" s="308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4"/>
      <c r="BF892" s="12"/>
      <c r="BG892" s="12"/>
      <c r="BH892" s="12" t="str">
        <f>IFERROR(__xludf.DUMMYFUNCTION("IFERROR(INDEX(QUERY(IMPORTRANGE(""1T7HG8KEs-Ob7f3M5atEVN9Yn7IeORGp0QGvggB62ELw"",""Maestro!A:I""),""SELECT Col8 WHERE Col3 = '""&amp;BE892&amp;""'"", 0), 1, 1),""NO ENCONTRADO"")"),"")</f>
        <v/>
      </c>
      <c r="BI892" s="12" t="str">
        <f>IFERROR(__xludf.DUMMYFUNCTION("IFERROR(INDEX(QUERY(IMPORTRANGE(""1T7HG8KEs-Ob7f3M5atEVN9Yn7IeORGp0QGvggB62ELw"",""Maestro!A:I""),""SELECT Col7 WHERE Col3 = '""&amp;BE892&amp;""'"", 0), 1, 1),""NO ENCONTRADO"")"),"")</f>
        <v/>
      </c>
      <c r="BJ892" s="16">
        <f t="shared" si="19"/>
        <v>0</v>
      </c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4"/>
      <c r="BX892" s="14"/>
      <c r="BY892" s="14"/>
      <c r="BZ892" s="14"/>
      <c r="CA892" s="14"/>
      <c r="CB892" s="14"/>
      <c r="CC892" s="14"/>
      <c r="CD892" s="14"/>
      <c r="CE892" s="14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</row>
    <row r="893">
      <c r="A893" s="12"/>
      <c r="B893" s="14"/>
      <c r="C893" s="14"/>
      <c r="D893" s="14"/>
      <c r="E893" s="12"/>
      <c r="F893" s="307"/>
      <c r="G893" s="307"/>
      <c r="H893" s="12"/>
      <c r="I893" s="30"/>
      <c r="J893" s="12"/>
      <c r="K893" s="12"/>
      <c r="L893" s="12"/>
      <c r="M893" s="12"/>
      <c r="N893" s="12"/>
      <c r="O893" s="308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4"/>
      <c r="BF893" s="12"/>
      <c r="BG893" s="12"/>
      <c r="BH893" s="12" t="str">
        <f>IFERROR(__xludf.DUMMYFUNCTION("IFERROR(INDEX(QUERY(IMPORTRANGE(""1T7HG8KEs-Ob7f3M5atEVN9Yn7IeORGp0QGvggB62ELw"",""Maestro!A:I""),""SELECT Col8 WHERE Col3 = '""&amp;BE893&amp;""'"", 0), 1, 1),""NO ENCONTRADO"")"),"")</f>
        <v/>
      </c>
      <c r="BI893" s="12" t="str">
        <f>IFERROR(__xludf.DUMMYFUNCTION("IFERROR(INDEX(QUERY(IMPORTRANGE(""1T7HG8KEs-Ob7f3M5atEVN9Yn7IeORGp0QGvggB62ELw"",""Maestro!A:I""),""SELECT Col7 WHERE Col3 = '""&amp;BE893&amp;""'"", 0), 1, 1),""NO ENCONTRADO"")"),"")</f>
        <v/>
      </c>
      <c r="BJ893" s="16">
        <f t="shared" si="19"/>
        <v>0</v>
      </c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4"/>
      <c r="BX893" s="14"/>
      <c r="BY893" s="14"/>
      <c r="BZ893" s="14"/>
      <c r="CA893" s="14"/>
      <c r="CB893" s="14"/>
      <c r="CC893" s="14"/>
      <c r="CD893" s="14"/>
      <c r="CE893" s="14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</row>
    <row r="894">
      <c r="A894" s="12"/>
      <c r="B894" s="14"/>
      <c r="C894" s="14"/>
      <c r="D894" s="14"/>
      <c r="E894" s="12"/>
      <c r="F894" s="307"/>
      <c r="G894" s="307"/>
      <c r="H894" s="12"/>
      <c r="I894" s="30"/>
      <c r="J894" s="12"/>
      <c r="K894" s="12"/>
      <c r="L894" s="12"/>
      <c r="M894" s="12"/>
      <c r="N894" s="12"/>
      <c r="O894" s="308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4"/>
      <c r="BF894" s="12"/>
      <c r="BG894" s="12"/>
      <c r="BH894" s="12" t="str">
        <f>IFERROR(__xludf.DUMMYFUNCTION("IFERROR(INDEX(QUERY(IMPORTRANGE(""1T7HG8KEs-Ob7f3M5atEVN9Yn7IeORGp0QGvggB62ELw"",""Maestro!A:I""),""SELECT Col8 WHERE Col3 = '""&amp;BE894&amp;""'"", 0), 1, 1),""NO ENCONTRADO"")"),"")</f>
        <v/>
      </c>
      <c r="BI894" s="12" t="str">
        <f>IFERROR(__xludf.DUMMYFUNCTION("IFERROR(INDEX(QUERY(IMPORTRANGE(""1T7HG8KEs-Ob7f3M5atEVN9Yn7IeORGp0QGvggB62ELw"",""Maestro!A:I""),""SELECT Col7 WHERE Col3 = '""&amp;BE894&amp;""'"", 0), 1, 1),""NO ENCONTRADO"")"),"")</f>
        <v/>
      </c>
      <c r="BJ894" s="16">
        <f t="shared" si="19"/>
        <v>0</v>
      </c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4"/>
      <c r="BX894" s="14"/>
      <c r="BY894" s="14"/>
      <c r="BZ894" s="14"/>
      <c r="CA894" s="14"/>
      <c r="CB894" s="14"/>
      <c r="CC894" s="14"/>
      <c r="CD894" s="14"/>
      <c r="CE894" s="14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</row>
    <row r="895">
      <c r="A895" s="12"/>
      <c r="B895" s="14"/>
      <c r="C895" s="14"/>
      <c r="D895" s="14"/>
      <c r="E895" s="12"/>
      <c r="F895" s="307"/>
      <c r="G895" s="307"/>
      <c r="H895" s="12"/>
      <c r="I895" s="30"/>
      <c r="J895" s="12"/>
      <c r="K895" s="12"/>
      <c r="L895" s="12"/>
      <c r="M895" s="12"/>
      <c r="N895" s="12"/>
      <c r="O895" s="308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4"/>
      <c r="BF895" s="12"/>
      <c r="BG895" s="12"/>
      <c r="BH895" s="12" t="str">
        <f>IFERROR(__xludf.DUMMYFUNCTION("IFERROR(INDEX(QUERY(IMPORTRANGE(""1T7HG8KEs-Ob7f3M5atEVN9Yn7IeORGp0QGvggB62ELw"",""Maestro!A:I""),""SELECT Col8 WHERE Col3 = '""&amp;BE895&amp;""'"", 0), 1, 1),""NO ENCONTRADO"")"),"")</f>
        <v/>
      </c>
      <c r="BI895" s="12" t="str">
        <f>IFERROR(__xludf.DUMMYFUNCTION("IFERROR(INDEX(QUERY(IMPORTRANGE(""1T7HG8KEs-Ob7f3M5atEVN9Yn7IeORGp0QGvggB62ELw"",""Maestro!A:I""),""SELECT Col7 WHERE Col3 = '""&amp;BE895&amp;""'"", 0), 1, 1),""NO ENCONTRADO"")"),"")</f>
        <v/>
      </c>
      <c r="BJ895" s="16">
        <f t="shared" si="19"/>
        <v>0</v>
      </c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4"/>
      <c r="BX895" s="14"/>
      <c r="BY895" s="14"/>
      <c r="BZ895" s="14"/>
      <c r="CA895" s="14"/>
      <c r="CB895" s="14"/>
      <c r="CC895" s="14"/>
      <c r="CD895" s="14"/>
      <c r="CE895" s="14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</row>
    <row r="896">
      <c r="A896" s="12"/>
      <c r="B896" s="14"/>
      <c r="C896" s="14"/>
      <c r="D896" s="14"/>
      <c r="E896" s="12"/>
      <c r="F896" s="307"/>
      <c r="G896" s="307"/>
      <c r="H896" s="12"/>
      <c r="I896" s="30"/>
      <c r="J896" s="12"/>
      <c r="K896" s="12"/>
      <c r="L896" s="12"/>
      <c r="M896" s="12"/>
      <c r="N896" s="12"/>
      <c r="O896" s="308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4"/>
      <c r="BF896" s="12"/>
      <c r="BG896" s="12"/>
      <c r="BH896" s="12" t="str">
        <f>IFERROR(__xludf.DUMMYFUNCTION("IFERROR(INDEX(QUERY(IMPORTRANGE(""1T7HG8KEs-Ob7f3M5atEVN9Yn7IeORGp0QGvggB62ELw"",""Maestro!A:I""),""SELECT Col8 WHERE Col3 = '""&amp;BE896&amp;""'"", 0), 1, 1),""NO ENCONTRADO"")"),"")</f>
        <v/>
      </c>
      <c r="BI896" s="12" t="str">
        <f>IFERROR(__xludf.DUMMYFUNCTION("IFERROR(INDEX(QUERY(IMPORTRANGE(""1T7HG8KEs-Ob7f3M5atEVN9Yn7IeORGp0QGvggB62ELw"",""Maestro!A:I""),""SELECT Col7 WHERE Col3 = '""&amp;BE896&amp;""'"", 0), 1, 1),""NO ENCONTRADO"")"),"")</f>
        <v/>
      </c>
      <c r="BJ896" s="16">
        <f t="shared" si="19"/>
        <v>0</v>
      </c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4"/>
      <c r="BX896" s="14"/>
      <c r="BY896" s="14"/>
      <c r="BZ896" s="14"/>
      <c r="CA896" s="14"/>
      <c r="CB896" s="14"/>
      <c r="CC896" s="14"/>
      <c r="CD896" s="14"/>
      <c r="CE896" s="14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</row>
    <row r="897">
      <c r="A897" s="12"/>
      <c r="B897" s="14"/>
      <c r="C897" s="14"/>
      <c r="D897" s="14"/>
      <c r="E897" s="12"/>
      <c r="F897" s="307"/>
      <c r="G897" s="307"/>
      <c r="H897" s="12"/>
      <c r="I897" s="30"/>
      <c r="J897" s="12"/>
      <c r="K897" s="12"/>
      <c r="L897" s="12"/>
      <c r="M897" s="12"/>
      <c r="N897" s="12"/>
      <c r="O897" s="308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4"/>
      <c r="BF897" s="12"/>
      <c r="BG897" s="12"/>
      <c r="BH897" s="12" t="str">
        <f>IFERROR(__xludf.DUMMYFUNCTION("IFERROR(INDEX(QUERY(IMPORTRANGE(""1T7HG8KEs-Ob7f3M5atEVN9Yn7IeORGp0QGvggB62ELw"",""Maestro!A:I""),""SELECT Col8 WHERE Col3 = '""&amp;BE897&amp;""'"", 0), 1, 1),""NO ENCONTRADO"")"),"")</f>
        <v/>
      </c>
      <c r="BI897" s="12" t="str">
        <f>IFERROR(__xludf.DUMMYFUNCTION("IFERROR(INDEX(QUERY(IMPORTRANGE(""1T7HG8KEs-Ob7f3M5atEVN9Yn7IeORGp0QGvggB62ELw"",""Maestro!A:I""),""SELECT Col7 WHERE Col3 = '""&amp;BE897&amp;""'"", 0), 1, 1),""NO ENCONTRADO"")"),"")</f>
        <v/>
      </c>
      <c r="BJ897" s="16">
        <f t="shared" si="19"/>
        <v>0</v>
      </c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4"/>
      <c r="BX897" s="14"/>
      <c r="BY897" s="14"/>
      <c r="BZ897" s="14"/>
      <c r="CA897" s="14"/>
      <c r="CB897" s="14"/>
      <c r="CC897" s="14"/>
      <c r="CD897" s="14"/>
      <c r="CE897" s="14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</row>
    <row r="898">
      <c r="A898" s="12"/>
      <c r="B898" s="14"/>
      <c r="C898" s="14"/>
      <c r="D898" s="14"/>
      <c r="E898" s="12"/>
      <c r="F898" s="307"/>
      <c r="G898" s="307"/>
      <c r="H898" s="12"/>
      <c r="I898" s="30"/>
      <c r="J898" s="12"/>
      <c r="K898" s="12"/>
      <c r="L898" s="12"/>
      <c r="M898" s="12"/>
      <c r="N898" s="12"/>
      <c r="O898" s="308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4"/>
      <c r="BF898" s="12"/>
      <c r="BG898" s="12"/>
      <c r="BH898" s="12" t="str">
        <f>IFERROR(__xludf.DUMMYFUNCTION("IFERROR(INDEX(QUERY(IMPORTRANGE(""1T7HG8KEs-Ob7f3M5atEVN9Yn7IeORGp0QGvggB62ELw"",""Maestro!A:I""),""SELECT Col8 WHERE Col3 = '""&amp;BE898&amp;""'"", 0), 1, 1),""NO ENCONTRADO"")"),"")</f>
        <v/>
      </c>
      <c r="BI898" s="12" t="str">
        <f>IFERROR(__xludf.DUMMYFUNCTION("IFERROR(INDEX(QUERY(IMPORTRANGE(""1T7HG8KEs-Ob7f3M5atEVN9Yn7IeORGp0QGvggB62ELw"",""Maestro!A:I""),""SELECT Col7 WHERE Col3 = '""&amp;BE898&amp;""'"", 0), 1, 1),""NO ENCONTRADO"")"),"")</f>
        <v/>
      </c>
      <c r="BJ898" s="16">
        <f t="shared" si="19"/>
        <v>0</v>
      </c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4"/>
      <c r="BX898" s="14"/>
      <c r="BY898" s="14"/>
      <c r="BZ898" s="14"/>
      <c r="CA898" s="14"/>
      <c r="CB898" s="14"/>
      <c r="CC898" s="14"/>
      <c r="CD898" s="14"/>
      <c r="CE898" s="14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</row>
    <row r="899">
      <c r="A899" s="12"/>
      <c r="B899" s="14"/>
      <c r="C899" s="14"/>
      <c r="D899" s="14"/>
      <c r="E899" s="12"/>
      <c r="F899" s="307"/>
      <c r="G899" s="307"/>
      <c r="H899" s="12"/>
      <c r="I899" s="30"/>
      <c r="J899" s="12"/>
      <c r="K899" s="12"/>
      <c r="L899" s="12"/>
      <c r="M899" s="12"/>
      <c r="N899" s="12"/>
      <c r="O899" s="308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4"/>
      <c r="BF899" s="12"/>
      <c r="BG899" s="12"/>
      <c r="BH899" s="12" t="str">
        <f>IFERROR(__xludf.DUMMYFUNCTION("IFERROR(INDEX(QUERY(IMPORTRANGE(""1T7HG8KEs-Ob7f3M5atEVN9Yn7IeORGp0QGvggB62ELw"",""Maestro!A:I""),""SELECT Col8 WHERE Col3 = '""&amp;BE899&amp;""'"", 0), 1, 1),""NO ENCONTRADO"")"),"")</f>
        <v/>
      </c>
      <c r="BI899" s="12" t="str">
        <f>IFERROR(__xludf.DUMMYFUNCTION("IFERROR(INDEX(QUERY(IMPORTRANGE(""1T7HG8KEs-Ob7f3M5atEVN9Yn7IeORGp0QGvggB62ELw"",""Maestro!A:I""),""SELECT Col7 WHERE Col3 = '""&amp;BE899&amp;""'"", 0), 1, 1),""NO ENCONTRADO"")"),"")</f>
        <v/>
      </c>
      <c r="BJ899" s="16">
        <f t="shared" si="19"/>
        <v>0</v>
      </c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4"/>
      <c r="BX899" s="14"/>
      <c r="BY899" s="14"/>
      <c r="BZ899" s="14"/>
      <c r="CA899" s="14"/>
      <c r="CB899" s="14"/>
      <c r="CC899" s="14"/>
      <c r="CD899" s="14"/>
      <c r="CE899" s="14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</row>
    <row r="900">
      <c r="A900" s="12"/>
      <c r="B900" s="14"/>
      <c r="C900" s="14"/>
      <c r="D900" s="14"/>
      <c r="E900" s="12"/>
      <c r="F900" s="307"/>
      <c r="G900" s="307"/>
      <c r="H900" s="12"/>
      <c r="I900" s="30"/>
      <c r="J900" s="12"/>
      <c r="K900" s="12"/>
      <c r="L900" s="12"/>
      <c r="M900" s="12"/>
      <c r="N900" s="12"/>
      <c r="O900" s="308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4"/>
      <c r="BF900" s="12"/>
      <c r="BG900" s="12"/>
      <c r="BH900" s="12" t="str">
        <f>IFERROR(__xludf.DUMMYFUNCTION("IFERROR(INDEX(QUERY(IMPORTRANGE(""1T7HG8KEs-Ob7f3M5atEVN9Yn7IeORGp0QGvggB62ELw"",""Maestro!A:I""),""SELECT Col8 WHERE Col3 = '""&amp;BE900&amp;""'"", 0), 1, 1),""NO ENCONTRADO"")"),"")</f>
        <v/>
      </c>
      <c r="BI900" s="12" t="str">
        <f>IFERROR(__xludf.DUMMYFUNCTION("IFERROR(INDEX(QUERY(IMPORTRANGE(""1T7HG8KEs-Ob7f3M5atEVN9Yn7IeORGp0QGvggB62ELw"",""Maestro!A:I""),""SELECT Col7 WHERE Col3 = '""&amp;BE900&amp;""'"", 0), 1, 1),""NO ENCONTRADO"")"),"")</f>
        <v/>
      </c>
      <c r="BJ900" s="16">
        <f t="shared" si="19"/>
        <v>0</v>
      </c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4"/>
      <c r="BX900" s="14"/>
      <c r="BY900" s="14"/>
      <c r="BZ900" s="14"/>
      <c r="CA900" s="14"/>
      <c r="CB900" s="14"/>
      <c r="CC900" s="14"/>
      <c r="CD900" s="14"/>
      <c r="CE900" s="14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</row>
    <row r="901">
      <c r="A901" s="12"/>
      <c r="B901" s="14"/>
      <c r="C901" s="14"/>
      <c r="D901" s="14"/>
      <c r="E901" s="12"/>
      <c r="F901" s="307"/>
      <c r="G901" s="307"/>
      <c r="H901" s="12"/>
      <c r="I901" s="30"/>
      <c r="J901" s="12"/>
      <c r="K901" s="12"/>
      <c r="L901" s="12"/>
      <c r="M901" s="12"/>
      <c r="N901" s="12"/>
      <c r="O901" s="308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4"/>
      <c r="BF901" s="12"/>
      <c r="BG901" s="12"/>
      <c r="BH901" s="12" t="str">
        <f>IFERROR(__xludf.DUMMYFUNCTION("IFERROR(INDEX(QUERY(IMPORTRANGE(""1T7HG8KEs-Ob7f3M5atEVN9Yn7IeORGp0QGvggB62ELw"",""Maestro!A:I""),""SELECT Col8 WHERE Col3 = '""&amp;BE901&amp;""'"", 0), 1, 1),""NO ENCONTRADO"")"),"")</f>
        <v/>
      </c>
      <c r="BI901" s="12" t="str">
        <f>IFERROR(__xludf.DUMMYFUNCTION("IFERROR(INDEX(QUERY(IMPORTRANGE(""1T7HG8KEs-Ob7f3M5atEVN9Yn7IeORGp0QGvggB62ELw"",""Maestro!A:I""),""SELECT Col7 WHERE Col3 = '""&amp;BE901&amp;""'"", 0), 1, 1),""NO ENCONTRADO"")"),"")</f>
        <v/>
      </c>
      <c r="BJ901" s="16">
        <f t="shared" si="19"/>
        <v>0</v>
      </c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4"/>
      <c r="BX901" s="14"/>
      <c r="BY901" s="14"/>
      <c r="BZ901" s="14"/>
      <c r="CA901" s="14"/>
      <c r="CB901" s="14"/>
      <c r="CC901" s="14"/>
      <c r="CD901" s="14"/>
      <c r="CE901" s="14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</row>
    <row r="902">
      <c r="A902" s="12"/>
      <c r="B902" s="14"/>
      <c r="C902" s="14"/>
      <c r="D902" s="14"/>
      <c r="E902" s="12"/>
      <c r="F902" s="307"/>
      <c r="G902" s="307"/>
      <c r="H902" s="12"/>
      <c r="I902" s="30"/>
      <c r="J902" s="12"/>
      <c r="K902" s="12"/>
      <c r="L902" s="12"/>
      <c r="M902" s="12"/>
      <c r="N902" s="12"/>
      <c r="O902" s="308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4"/>
      <c r="BF902" s="12"/>
      <c r="BG902" s="12"/>
      <c r="BH902" s="12" t="str">
        <f>IFERROR(__xludf.DUMMYFUNCTION("IFERROR(INDEX(QUERY(IMPORTRANGE(""1T7HG8KEs-Ob7f3M5atEVN9Yn7IeORGp0QGvggB62ELw"",""Maestro!A:I""),""SELECT Col8 WHERE Col3 = '""&amp;BE902&amp;""'"", 0), 1, 1),""NO ENCONTRADO"")"),"")</f>
        <v/>
      </c>
      <c r="BI902" s="12" t="str">
        <f>IFERROR(__xludf.DUMMYFUNCTION("IFERROR(INDEX(QUERY(IMPORTRANGE(""1T7HG8KEs-Ob7f3M5atEVN9Yn7IeORGp0QGvggB62ELw"",""Maestro!A:I""),""SELECT Col7 WHERE Col3 = '""&amp;BE902&amp;""'"", 0), 1, 1),""NO ENCONTRADO"")"),"")</f>
        <v/>
      </c>
      <c r="BJ902" s="16">
        <f t="shared" si="19"/>
        <v>0</v>
      </c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4"/>
      <c r="BX902" s="14"/>
      <c r="BY902" s="14"/>
      <c r="BZ902" s="14"/>
      <c r="CA902" s="14"/>
      <c r="CB902" s="14"/>
      <c r="CC902" s="14"/>
      <c r="CD902" s="14"/>
      <c r="CE902" s="14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</row>
    <row r="903">
      <c r="A903" s="12"/>
      <c r="B903" s="14"/>
      <c r="C903" s="14"/>
      <c r="D903" s="14"/>
      <c r="E903" s="12"/>
      <c r="F903" s="307"/>
      <c r="G903" s="307"/>
      <c r="H903" s="12"/>
      <c r="I903" s="30"/>
      <c r="J903" s="12"/>
      <c r="K903" s="12"/>
      <c r="L903" s="12"/>
      <c r="M903" s="12"/>
      <c r="N903" s="12"/>
      <c r="O903" s="308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4"/>
      <c r="BF903" s="12"/>
      <c r="BG903" s="12"/>
      <c r="BH903" s="12" t="str">
        <f>IFERROR(__xludf.DUMMYFUNCTION("IFERROR(INDEX(QUERY(IMPORTRANGE(""1T7HG8KEs-Ob7f3M5atEVN9Yn7IeORGp0QGvggB62ELw"",""Maestro!A:I""),""SELECT Col8 WHERE Col3 = '""&amp;BE903&amp;""'"", 0), 1, 1),""NO ENCONTRADO"")"),"")</f>
        <v/>
      </c>
      <c r="BI903" s="12" t="str">
        <f>IFERROR(__xludf.DUMMYFUNCTION("IFERROR(INDEX(QUERY(IMPORTRANGE(""1T7HG8KEs-Ob7f3M5atEVN9Yn7IeORGp0QGvggB62ELw"",""Maestro!A:I""),""SELECT Col7 WHERE Col3 = '""&amp;BE903&amp;""'"", 0), 1, 1),""NO ENCONTRADO"")"),"")</f>
        <v/>
      </c>
      <c r="BJ903" s="16">
        <f t="shared" si="19"/>
        <v>0</v>
      </c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4"/>
      <c r="BX903" s="14"/>
      <c r="BY903" s="14"/>
      <c r="BZ903" s="14"/>
      <c r="CA903" s="14"/>
      <c r="CB903" s="14"/>
      <c r="CC903" s="14"/>
      <c r="CD903" s="14"/>
      <c r="CE903" s="14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</row>
    <row r="904">
      <c r="A904" s="12"/>
      <c r="B904" s="14"/>
      <c r="C904" s="14"/>
      <c r="D904" s="14"/>
      <c r="E904" s="12"/>
      <c r="F904" s="307"/>
      <c r="G904" s="307"/>
      <c r="H904" s="12"/>
      <c r="I904" s="30"/>
      <c r="J904" s="12"/>
      <c r="K904" s="12"/>
      <c r="L904" s="12"/>
      <c r="M904" s="12"/>
      <c r="N904" s="12"/>
      <c r="O904" s="308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4"/>
      <c r="BF904" s="12"/>
      <c r="BG904" s="12"/>
      <c r="BH904" s="12" t="str">
        <f>IFERROR(__xludf.DUMMYFUNCTION("IFERROR(INDEX(QUERY(IMPORTRANGE(""1T7HG8KEs-Ob7f3M5atEVN9Yn7IeORGp0QGvggB62ELw"",""Maestro!A:I""),""SELECT Col8 WHERE Col3 = '""&amp;BE904&amp;""'"", 0), 1, 1),""NO ENCONTRADO"")"),"")</f>
        <v/>
      </c>
      <c r="BI904" s="12" t="str">
        <f>IFERROR(__xludf.DUMMYFUNCTION("IFERROR(INDEX(QUERY(IMPORTRANGE(""1T7HG8KEs-Ob7f3M5atEVN9Yn7IeORGp0QGvggB62ELw"",""Maestro!A:I""),""SELECT Col7 WHERE Col3 = '""&amp;BE904&amp;""'"", 0), 1, 1),""NO ENCONTRADO"")"),"")</f>
        <v/>
      </c>
      <c r="BJ904" s="16">
        <f t="shared" si="19"/>
        <v>0</v>
      </c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4"/>
      <c r="BX904" s="14"/>
      <c r="BY904" s="14"/>
      <c r="BZ904" s="14"/>
      <c r="CA904" s="14"/>
      <c r="CB904" s="14"/>
      <c r="CC904" s="14"/>
      <c r="CD904" s="14"/>
      <c r="CE904" s="14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</row>
    <row r="905">
      <c r="A905" s="12"/>
      <c r="B905" s="14"/>
      <c r="C905" s="14"/>
      <c r="D905" s="14"/>
      <c r="E905" s="12"/>
      <c r="F905" s="307"/>
      <c r="G905" s="307"/>
      <c r="H905" s="12"/>
      <c r="I905" s="30"/>
      <c r="J905" s="12"/>
      <c r="K905" s="12"/>
      <c r="L905" s="12"/>
      <c r="M905" s="12"/>
      <c r="N905" s="12"/>
      <c r="O905" s="308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4"/>
      <c r="BF905" s="12"/>
      <c r="BG905" s="12"/>
      <c r="BH905" s="12" t="str">
        <f>IFERROR(__xludf.DUMMYFUNCTION("IFERROR(INDEX(QUERY(IMPORTRANGE(""1T7HG8KEs-Ob7f3M5atEVN9Yn7IeORGp0QGvggB62ELw"",""Maestro!A:I""),""SELECT Col8 WHERE Col3 = '""&amp;BE905&amp;""'"", 0), 1, 1),""NO ENCONTRADO"")"),"")</f>
        <v/>
      </c>
      <c r="BI905" s="12" t="str">
        <f>IFERROR(__xludf.DUMMYFUNCTION("IFERROR(INDEX(QUERY(IMPORTRANGE(""1T7HG8KEs-Ob7f3M5atEVN9Yn7IeORGp0QGvggB62ELw"",""Maestro!A:I""),""SELECT Col7 WHERE Col3 = '""&amp;BE905&amp;""'"", 0), 1, 1),""NO ENCONTRADO"")"),"")</f>
        <v/>
      </c>
      <c r="BJ905" s="16">
        <f t="shared" si="19"/>
        <v>0</v>
      </c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4"/>
      <c r="BX905" s="14"/>
      <c r="BY905" s="14"/>
      <c r="BZ905" s="14"/>
      <c r="CA905" s="14"/>
      <c r="CB905" s="14"/>
      <c r="CC905" s="14"/>
      <c r="CD905" s="14"/>
      <c r="CE905" s="14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</row>
    <row r="906">
      <c r="A906" s="12"/>
      <c r="B906" s="14"/>
      <c r="C906" s="14"/>
      <c r="D906" s="14"/>
      <c r="E906" s="12"/>
      <c r="F906" s="307"/>
      <c r="G906" s="307"/>
      <c r="H906" s="12"/>
      <c r="I906" s="30"/>
      <c r="J906" s="12"/>
      <c r="K906" s="12"/>
      <c r="L906" s="12"/>
      <c r="M906" s="12"/>
      <c r="N906" s="12"/>
      <c r="O906" s="308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4"/>
      <c r="BF906" s="12"/>
      <c r="BG906" s="12"/>
      <c r="BH906" s="12" t="str">
        <f>IFERROR(__xludf.DUMMYFUNCTION("IFERROR(INDEX(QUERY(IMPORTRANGE(""1T7HG8KEs-Ob7f3M5atEVN9Yn7IeORGp0QGvggB62ELw"",""Maestro!A:I""),""SELECT Col8 WHERE Col3 = '""&amp;BE906&amp;""'"", 0), 1, 1),""NO ENCONTRADO"")"),"")</f>
        <v/>
      </c>
      <c r="BI906" s="12" t="str">
        <f>IFERROR(__xludf.DUMMYFUNCTION("IFERROR(INDEX(QUERY(IMPORTRANGE(""1T7HG8KEs-Ob7f3M5atEVN9Yn7IeORGp0QGvggB62ELw"",""Maestro!A:I""),""SELECT Col7 WHERE Col3 = '""&amp;BE906&amp;""'"", 0), 1, 1),""NO ENCONTRADO"")"),"")</f>
        <v/>
      </c>
      <c r="BJ906" s="16">
        <f t="shared" si="19"/>
        <v>0</v>
      </c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4"/>
      <c r="BX906" s="14"/>
      <c r="BY906" s="14"/>
      <c r="BZ906" s="14"/>
      <c r="CA906" s="14"/>
      <c r="CB906" s="14"/>
      <c r="CC906" s="14"/>
      <c r="CD906" s="14"/>
      <c r="CE906" s="14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</row>
    <row r="907">
      <c r="A907" s="12"/>
      <c r="B907" s="14"/>
      <c r="C907" s="14"/>
      <c r="D907" s="14"/>
      <c r="E907" s="12"/>
      <c r="F907" s="307"/>
      <c r="G907" s="307"/>
      <c r="H907" s="12"/>
      <c r="I907" s="30"/>
      <c r="J907" s="12"/>
      <c r="K907" s="12"/>
      <c r="L907" s="12"/>
      <c r="M907" s="12"/>
      <c r="N907" s="12"/>
      <c r="O907" s="308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4"/>
      <c r="BF907" s="12"/>
      <c r="BG907" s="12"/>
      <c r="BH907" s="12" t="str">
        <f>IFERROR(__xludf.DUMMYFUNCTION("IFERROR(INDEX(QUERY(IMPORTRANGE(""1T7HG8KEs-Ob7f3M5atEVN9Yn7IeORGp0QGvggB62ELw"",""Maestro!A:I""),""SELECT Col8 WHERE Col3 = '""&amp;BE907&amp;""'"", 0), 1, 1),""NO ENCONTRADO"")"),"")</f>
        <v/>
      </c>
      <c r="BI907" s="12" t="str">
        <f>IFERROR(__xludf.DUMMYFUNCTION("IFERROR(INDEX(QUERY(IMPORTRANGE(""1T7HG8KEs-Ob7f3M5atEVN9Yn7IeORGp0QGvggB62ELw"",""Maestro!A:I""),""SELECT Col7 WHERE Col3 = '""&amp;BE907&amp;""'"", 0), 1, 1),""NO ENCONTRADO"")"),"")</f>
        <v/>
      </c>
      <c r="BJ907" s="16">
        <f t="shared" si="19"/>
        <v>0</v>
      </c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4"/>
      <c r="BX907" s="14"/>
      <c r="BY907" s="14"/>
      <c r="BZ907" s="14"/>
      <c r="CA907" s="14"/>
      <c r="CB907" s="14"/>
      <c r="CC907" s="14"/>
      <c r="CD907" s="14"/>
      <c r="CE907" s="14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</row>
    <row r="908">
      <c r="A908" s="12"/>
      <c r="B908" s="14"/>
      <c r="C908" s="14"/>
      <c r="D908" s="14"/>
      <c r="E908" s="12"/>
      <c r="F908" s="307"/>
      <c r="G908" s="307"/>
      <c r="H908" s="12"/>
      <c r="I908" s="30"/>
      <c r="J908" s="12"/>
      <c r="K908" s="12"/>
      <c r="L908" s="12"/>
      <c r="M908" s="12"/>
      <c r="N908" s="12"/>
      <c r="O908" s="308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4"/>
      <c r="BF908" s="12"/>
      <c r="BG908" s="12"/>
      <c r="BH908" s="12" t="str">
        <f>IFERROR(__xludf.DUMMYFUNCTION("IFERROR(INDEX(QUERY(IMPORTRANGE(""1T7HG8KEs-Ob7f3M5atEVN9Yn7IeORGp0QGvggB62ELw"",""Maestro!A:I""),""SELECT Col8 WHERE Col3 = '""&amp;BE908&amp;""'"", 0), 1, 1),""NO ENCONTRADO"")"),"")</f>
        <v/>
      </c>
      <c r="BI908" s="12" t="str">
        <f>IFERROR(__xludf.DUMMYFUNCTION("IFERROR(INDEX(QUERY(IMPORTRANGE(""1T7HG8KEs-Ob7f3M5atEVN9Yn7IeORGp0QGvggB62ELw"",""Maestro!A:I""),""SELECT Col7 WHERE Col3 = '""&amp;BE908&amp;""'"", 0), 1, 1),""NO ENCONTRADO"")"),"")</f>
        <v/>
      </c>
      <c r="BJ908" s="16">
        <f t="shared" si="19"/>
        <v>0</v>
      </c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4"/>
      <c r="BX908" s="14"/>
      <c r="BY908" s="14"/>
      <c r="BZ908" s="14"/>
      <c r="CA908" s="14"/>
      <c r="CB908" s="14"/>
      <c r="CC908" s="14"/>
      <c r="CD908" s="14"/>
      <c r="CE908" s="14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</row>
    <row r="909">
      <c r="A909" s="12"/>
      <c r="B909" s="14"/>
      <c r="C909" s="14"/>
      <c r="D909" s="14"/>
      <c r="E909" s="12"/>
      <c r="F909" s="307"/>
      <c r="G909" s="307"/>
      <c r="H909" s="12"/>
      <c r="I909" s="30"/>
      <c r="J909" s="12"/>
      <c r="K909" s="12"/>
      <c r="L909" s="12"/>
      <c r="M909" s="12"/>
      <c r="N909" s="12"/>
      <c r="O909" s="308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4"/>
      <c r="BF909" s="12"/>
      <c r="BG909" s="12"/>
      <c r="BH909" s="12" t="str">
        <f>IFERROR(__xludf.DUMMYFUNCTION("IFERROR(INDEX(QUERY(IMPORTRANGE(""1T7HG8KEs-Ob7f3M5atEVN9Yn7IeORGp0QGvggB62ELw"",""Maestro!A:I""),""SELECT Col8 WHERE Col3 = '""&amp;BE909&amp;""'"", 0), 1, 1),""NO ENCONTRADO"")"),"")</f>
        <v/>
      </c>
      <c r="BI909" s="12" t="str">
        <f>IFERROR(__xludf.DUMMYFUNCTION("IFERROR(INDEX(QUERY(IMPORTRANGE(""1T7HG8KEs-Ob7f3M5atEVN9Yn7IeORGp0QGvggB62ELw"",""Maestro!A:I""),""SELECT Col7 WHERE Col3 = '""&amp;BE909&amp;""'"", 0), 1, 1),""NO ENCONTRADO"")"),"")</f>
        <v/>
      </c>
      <c r="BJ909" s="16">
        <f t="shared" si="19"/>
        <v>0</v>
      </c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4"/>
      <c r="BX909" s="14"/>
      <c r="BY909" s="14"/>
      <c r="BZ909" s="14"/>
      <c r="CA909" s="14"/>
      <c r="CB909" s="14"/>
      <c r="CC909" s="14"/>
      <c r="CD909" s="14"/>
      <c r="CE909" s="14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</row>
    <row r="910">
      <c r="A910" s="12"/>
      <c r="B910" s="14"/>
      <c r="C910" s="14"/>
      <c r="D910" s="14"/>
      <c r="E910" s="12"/>
      <c r="F910" s="307"/>
      <c r="G910" s="307"/>
      <c r="H910" s="12"/>
      <c r="I910" s="30"/>
      <c r="J910" s="12"/>
      <c r="K910" s="12"/>
      <c r="L910" s="12"/>
      <c r="M910" s="12"/>
      <c r="N910" s="12"/>
      <c r="O910" s="308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4"/>
      <c r="BF910" s="12"/>
      <c r="BG910" s="12"/>
      <c r="BH910" s="12" t="str">
        <f>IFERROR(__xludf.DUMMYFUNCTION("IFERROR(INDEX(QUERY(IMPORTRANGE(""1T7HG8KEs-Ob7f3M5atEVN9Yn7IeORGp0QGvggB62ELw"",""Maestro!A:I""),""SELECT Col8 WHERE Col3 = '""&amp;BE910&amp;""'"", 0), 1, 1),""NO ENCONTRADO"")"),"")</f>
        <v/>
      </c>
      <c r="BI910" s="12" t="str">
        <f>IFERROR(__xludf.DUMMYFUNCTION("IFERROR(INDEX(QUERY(IMPORTRANGE(""1T7HG8KEs-Ob7f3M5atEVN9Yn7IeORGp0QGvggB62ELw"",""Maestro!A:I""),""SELECT Col7 WHERE Col3 = '""&amp;BE910&amp;""'"", 0), 1, 1),""NO ENCONTRADO"")"),"")</f>
        <v/>
      </c>
      <c r="BJ910" s="16">
        <f t="shared" si="19"/>
        <v>0</v>
      </c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4"/>
      <c r="BX910" s="14"/>
      <c r="BY910" s="14"/>
      <c r="BZ910" s="14"/>
      <c r="CA910" s="14"/>
      <c r="CB910" s="14"/>
      <c r="CC910" s="14"/>
      <c r="CD910" s="14"/>
      <c r="CE910" s="14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</row>
    <row r="911">
      <c r="A911" s="12"/>
      <c r="B911" s="14"/>
      <c r="C911" s="14"/>
      <c r="D911" s="14"/>
      <c r="E911" s="12"/>
      <c r="F911" s="307"/>
      <c r="G911" s="307"/>
      <c r="H911" s="12"/>
      <c r="I911" s="30"/>
      <c r="J911" s="12"/>
      <c r="K911" s="12"/>
      <c r="L911" s="12"/>
      <c r="M911" s="12"/>
      <c r="N911" s="12"/>
      <c r="O911" s="308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4"/>
      <c r="BF911" s="12"/>
      <c r="BG911" s="12"/>
      <c r="BH911" s="12" t="str">
        <f>IFERROR(__xludf.DUMMYFUNCTION("IFERROR(INDEX(QUERY(IMPORTRANGE(""1T7HG8KEs-Ob7f3M5atEVN9Yn7IeORGp0QGvggB62ELw"",""Maestro!A:I""),""SELECT Col8 WHERE Col3 = '""&amp;BE911&amp;""'"", 0), 1, 1),""NO ENCONTRADO"")"),"")</f>
        <v/>
      </c>
      <c r="BI911" s="12" t="str">
        <f>IFERROR(__xludf.DUMMYFUNCTION("IFERROR(INDEX(QUERY(IMPORTRANGE(""1T7HG8KEs-Ob7f3M5atEVN9Yn7IeORGp0QGvggB62ELw"",""Maestro!A:I""),""SELECT Col7 WHERE Col3 = '""&amp;BE911&amp;""'"", 0), 1, 1),""NO ENCONTRADO"")"),"")</f>
        <v/>
      </c>
      <c r="BJ911" s="16">
        <f t="shared" si="19"/>
        <v>0</v>
      </c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4"/>
      <c r="BX911" s="14"/>
      <c r="BY911" s="14"/>
      <c r="BZ911" s="14"/>
      <c r="CA911" s="14"/>
      <c r="CB911" s="14"/>
      <c r="CC911" s="14"/>
      <c r="CD911" s="14"/>
      <c r="CE911" s="14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</row>
    <row r="912">
      <c r="A912" s="12"/>
      <c r="B912" s="14"/>
      <c r="C912" s="14"/>
      <c r="D912" s="14"/>
      <c r="E912" s="12"/>
      <c r="F912" s="307"/>
      <c r="G912" s="307"/>
      <c r="H912" s="12"/>
      <c r="I912" s="30"/>
      <c r="J912" s="12"/>
      <c r="K912" s="12"/>
      <c r="L912" s="12"/>
      <c r="M912" s="12"/>
      <c r="N912" s="12"/>
      <c r="O912" s="308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4"/>
      <c r="BF912" s="12"/>
      <c r="BG912" s="12"/>
      <c r="BH912" s="12" t="str">
        <f>IFERROR(__xludf.DUMMYFUNCTION("IFERROR(INDEX(QUERY(IMPORTRANGE(""1T7HG8KEs-Ob7f3M5atEVN9Yn7IeORGp0QGvggB62ELw"",""Maestro!A:I""),""SELECT Col8 WHERE Col3 = '""&amp;BE912&amp;""'"", 0), 1, 1),""NO ENCONTRADO"")"),"")</f>
        <v/>
      </c>
      <c r="BI912" s="12" t="str">
        <f>IFERROR(__xludf.DUMMYFUNCTION("IFERROR(INDEX(QUERY(IMPORTRANGE(""1T7HG8KEs-Ob7f3M5atEVN9Yn7IeORGp0QGvggB62ELw"",""Maestro!A:I""),""SELECT Col7 WHERE Col3 = '""&amp;BE912&amp;""'"", 0), 1, 1),""NO ENCONTRADO"")"),"")</f>
        <v/>
      </c>
      <c r="BJ912" s="16">
        <f t="shared" si="19"/>
        <v>0</v>
      </c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4"/>
      <c r="BX912" s="14"/>
      <c r="BY912" s="14"/>
      <c r="BZ912" s="14"/>
      <c r="CA912" s="14"/>
      <c r="CB912" s="14"/>
      <c r="CC912" s="14"/>
      <c r="CD912" s="14"/>
      <c r="CE912" s="14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</row>
    <row r="913">
      <c r="A913" s="12"/>
      <c r="B913" s="14"/>
      <c r="C913" s="14"/>
      <c r="D913" s="14"/>
      <c r="E913" s="12"/>
      <c r="F913" s="307"/>
      <c r="G913" s="307"/>
      <c r="H913" s="12"/>
      <c r="I913" s="30"/>
      <c r="J913" s="12"/>
      <c r="K913" s="12"/>
      <c r="L913" s="12"/>
      <c r="M913" s="12"/>
      <c r="N913" s="12"/>
      <c r="O913" s="308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4"/>
      <c r="BF913" s="12"/>
      <c r="BG913" s="12"/>
      <c r="BH913" s="12" t="str">
        <f>IFERROR(__xludf.DUMMYFUNCTION("IFERROR(INDEX(QUERY(IMPORTRANGE(""1T7HG8KEs-Ob7f3M5atEVN9Yn7IeORGp0QGvggB62ELw"",""Maestro!A:I""),""SELECT Col8 WHERE Col3 = '""&amp;BE913&amp;""'"", 0), 1, 1),""NO ENCONTRADO"")"),"")</f>
        <v/>
      </c>
      <c r="BI913" s="12" t="str">
        <f>IFERROR(__xludf.DUMMYFUNCTION("IFERROR(INDEX(QUERY(IMPORTRANGE(""1T7HG8KEs-Ob7f3M5atEVN9Yn7IeORGp0QGvggB62ELw"",""Maestro!A:I""),""SELECT Col7 WHERE Col3 = '""&amp;BE913&amp;""'"", 0), 1, 1),""NO ENCONTRADO"")"),"")</f>
        <v/>
      </c>
      <c r="BJ913" s="16">
        <f t="shared" si="19"/>
        <v>0</v>
      </c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4"/>
      <c r="BX913" s="14"/>
      <c r="BY913" s="14"/>
      <c r="BZ913" s="14"/>
      <c r="CA913" s="14"/>
      <c r="CB913" s="14"/>
      <c r="CC913" s="14"/>
      <c r="CD913" s="14"/>
      <c r="CE913" s="14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</row>
    <row r="914">
      <c r="A914" s="12"/>
      <c r="B914" s="14"/>
      <c r="C914" s="14"/>
      <c r="D914" s="14"/>
      <c r="E914" s="12"/>
      <c r="F914" s="307"/>
      <c r="G914" s="307"/>
      <c r="H914" s="12"/>
      <c r="I914" s="30"/>
      <c r="J914" s="12"/>
      <c r="K914" s="12"/>
      <c r="L914" s="12"/>
      <c r="M914" s="12"/>
      <c r="N914" s="12"/>
      <c r="O914" s="308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4"/>
      <c r="BF914" s="12"/>
      <c r="BG914" s="12"/>
      <c r="BH914" s="12" t="str">
        <f>IFERROR(__xludf.DUMMYFUNCTION("IFERROR(INDEX(QUERY(IMPORTRANGE(""1T7HG8KEs-Ob7f3M5atEVN9Yn7IeORGp0QGvggB62ELw"",""Maestro!A:I""),""SELECT Col8 WHERE Col3 = '""&amp;BE914&amp;""'"", 0), 1, 1),""NO ENCONTRADO"")"),"")</f>
        <v/>
      </c>
      <c r="BI914" s="12" t="str">
        <f>IFERROR(__xludf.DUMMYFUNCTION("IFERROR(INDEX(QUERY(IMPORTRANGE(""1T7HG8KEs-Ob7f3M5atEVN9Yn7IeORGp0QGvggB62ELw"",""Maestro!A:I""),""SELECT Col7 WHERE Col3 = '""&amp;BE914&amp;""'"", 0), 1, 1),""NO ENCONTRADO"")"),"")</f>
        <v/>
      </c>
      <c r="BJ914" s="16">
        <f t="shared" si="19"/>
        <v>0</v>
      </c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4"/>
      <c r="BX914" s="14"/>
      <c r="BY914" s="14"/>
      <c r="BZ914" s="14"/>
      <c r="CA914" s="14"/>
      <c r="CB914" s="14"/>
      <c r="CC914" s="14"/>
      <c r="CD914" s="14"/>
      <c r="CE914" s="14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</row>
    <row r="915">
      <c r="A915" s="12"/>
      <c r="B915" s="14"/>
      <c r="C915" s="14"/>
      <c r="D915" s="14"/>
      <c r="E915" s="12"/>
      <c r="F915" s="307"/>
      <c r="G915" s="307"/>
      <c r="H915" s="12"/>
      <c r="I915" s="30"/>
      <c r="J915" s="12"/>
      <c r="K915" s="12"/>
      <c r="L915" s="12"/>
      <c r="M915" s="12"/>
      <c r="N915" s="12"/>
      <c r="O915" s="308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4"/>
      <c r="BF915" s="12"/>
      <c r="BG915" s="12"/>
      <c r="BH915" s="12" t="str">
        <f>IFERROR(__xludf.DUMMYFUNCTION("IFERROR(INDEX(QUERY(IMPORTRANGE(""1T7HG8KEs-Ob7f3M5atEVN9Yn7IeORGp0QGvggB62ELw"",""Maestro!A:I""),""SELECT Col8 WHERE Col3 = '""&amp;BE915&amp;""'"", 0), 1, 1),""NO ENCONTRADO"")"),"")</f>
        <v/>
      </c>
      <c r="BI915" s="12" t="str">
        <f>IFERROR(__xludf.DUMMYFUNCTION("IFERROR(INDEX(QUERY(IMPORTRANGE(""1T7HG8KEs-Ob7f3M5atEVN9Yn7IeORGp0QGvggB62ELw"",""Maestro!A:I""),""SELECT Col7 WHERE Col3 = '""&amp;BE915&amp;""'"", 0), 1, 1),""NO ENCONTRADO"")"),"")</f>
        <v/>
      </c>
      <c r="BJ915" s="16">
        <f t="shared" si="19"/>
        <v>0</v>
      </c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4"/>
      <c r="BX915" s="14"/>
      <c r="BY915" s="14"/>
      <c r="BZ915" s="14"/>
      <c r="CA915" s="14"/>
      <c r="CB915" s="14"/>
      <c r="CC915" s="14"/>
      <c r="CD915" s="14"/>
      <c r="CE915" s="14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</row>
    <row r="916">
      <c r="A916" s="12"/>
      <c r="B916" s="14"/>
      <c r="C916" s="14"/>
      <c r="D916" s="14"/>
      <c r="E916" s="12"/>
      <c r="F916" s="307"/>
      <c r="G916" s="307"/>
      <c r="H916" s="12"/>
      <c r="I916" s="30"/>
      <c r="J916" s="12"/>
      <c r="K916" s="12"/>
      <c r="L916" s="12"/>
      <c r="M916" s="12"/>
      <c r="N916" s="12"/>
      <c r="O916" s="308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4"/>
      <c r="BF916" s="12"/>
      <c r="BG916" s="12"/>
      <c r="BH916" s="12" t="str">
        <f>IFERROR(__xludf.DUMMYFUNCTION("IFERROR(INDEX(QUERY(IMPORTRANGE(""1T7HG8KEs-Ob7f3M5atEVN9Yn7IeORGp0QGvggB62ELw"",""Maestro!A:I""),""SELECT Col8 WHERE Col3 = '""&amp;BE916&amp;""'"", 0), 1, 1),""NO ENCONTRADO"")"),"")</f>
        <v/>
      </c>
      <c r="BI916" s="12" t="str">
        <f>IFERROR(__xludf.DUMMYFUNCTION("IFERROR(INDEX(QUERY(IMPORTRANGE(""1T7HG8KEs-Ob7f3M5atEVN9Yn7IeORGp0QGvggB62ELw"",""Maestro!A:I""),""SELECT Col7 WHERE Col3 = '""&amp;BE916&amp;""'"", 0), 1, 1),""NO ENCONTRADO"")"),"")</f>
        <v/>
      </c>
      <c r="BJ916" s="16">
        <f t="shared" si="19"/>
        <v>0</v>
      </c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4"/>
      <c r="BX916" s="14"/>
      <c r="BY916" s="14"/>
      <c r="BZ916" s="14"/>
      <c r="CA916" s="14"/>
      <c r="CB916" s="14"/>
      <c r="CC916" s="14"/>
      <c r="CD916" s="14"/>
      <c r="CE916" s="14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</row>
    <row r="917">
      <c r="A917" s="12"/>
      <c r="B917" s="14"/>
      <c r="C917" s="14"/>
      <c r="D917" s="14"/>
      <c r="E917" s="12"/>
      <c r="F917" s="307"/>
      <c r="G917" s="307"/>
      <c r="H917" s="12"/>
      <c r="I917" s="30"/>
      <c r="J917" s="12"/>
      <c r="K917" s="12"/>
      <c r="L917" s="12"/>
      <c r="M917" s="12"/>
      <c r="N917" s="12"/>
      <c r="O917" s="308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4"/>
      <c r="BF917" s="12"/>
      <c r="BG917" s="12"/>
      <c r="BH917" s="12" t="str">
        <f>IFERROR(__xludf.DUMMYFUNCTION("IFERROR(INDEX(QUERY(IMPORTRANGE(""1T7HG8KEs-Ob7f3M5atEVN9Yn7IeORGp0QGvggB62ELw"",""Maestro!A:I""),""SELECT Col8 WHERE Col3 = '""&amp;BE917&amp;""'"", 0), 1, 1),""NO ENCONTRADO"")"),"")</f>
        <v/>
      </c>
      <c r="BI917" s="12" t="str">
        <f>IFERROR(__xludf.DUMMYFUNCTION("IFERROR(INDEX(QUERY(IMPORTRANGE(""1T7HG8KEs-Ob7f3M5atEVN9Yn7IeORGp0QGvggB62ELw"",""Maestro!A:I""),""SELECT Col7 WHERE Col3 = '""&amp;BE917&amp;""'"", 0), 1, 1),""NO ENCONTRADO"")"),"")</f>
        <v/>
      </c>
      <c r="BJ917" s="16">
        <f t="shared" si="19"/>
        <v>0</v>
      </c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4"/>
      <c r="BX917" s="14"/>
      <c r="BY917" s="14"/>
      <c r="BZ917" s="14"/>
      <c r="CA917" s="14"/>
      <c r="CB917" s="14"/>
      <c r="CC917" s="14"/>
      <c r="CD917" s="14"/>
      <c r="CE917" s="14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</row>
    <row r="918">
      <c r="A918" s="12"/>
      <c r="B918" s="14"/>
      <c r="C918" s="14"/>
      <c r="D918" s="14"/>
      <c r="E918" s="12"/>
      <c r="F918" s="307"/>
      <c r="G918" s="307"/>
      <c r="H918" s="12"/>
      <c r="I918" s="30"/>
      <c r="J918" s="12"/>
      <c r="K918" s="12"/>
      <c r="L918" s="12"/>
      <c r="M918" s="12"/>
      <c r="N918" s="12"/>
      <c r="O918" s="308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4"/>
      <c r="BF918" s="12"/>
      <c r="BG918" s="12"/>
      <c r="BH918" s="12" t="str">
        <f>IFERROR(__xludf.DUMMYFUNCTION("IFERROR(INDEX(QUERY(IMPORTRANGE(""1T7HG8KEs-Ob7f3M5atEVN9Yn7IeORGp0QGvggB62ELw"",""Maestro!A:I""),""SELECT Col8 WHERE Col3 = '""&amp;BE918&amp;""'"", 0), 1, 1),""NO ENCONTRADO"")"),"")</f>
        <v/>
      </c>
      <c r="BI918" s="12" t="str">
        <f>IFERROR(__xludf.DUMMYFUNCTION("IFERROR(INDEX(QUERY(IMPORTRANGE(""1T7HG8KEs-Ob7f3M5atEVN9Yn7IeORGp0QGvggB62ELw"",""Maestro!A:I""),""SELECT Col7 WHERE Col3 = '""&amp;BE918&amp;""'"", 0), 1, 1),""NO ENCONTRADO"")"),"")</f>
        <v/>
      </c>
      <c r="BJ918" s="16">
        <f t="shared" si="19"/>
        <v>0</v>
      </c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4"/>
      <c r="BX918" s="14"/>
      <c r="BY918" s="14"/>
      <c r="BZ918" s="14"/>
      <c r="CA918" s="14"/>
      <c r="CB918" s="14"/>
      <c r="CC918" s="14"/>
      <c r="CD918" s="14"/>
      <c r="CE918" s="14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</row>
    <row r="919">
      <c r="A919" s="12"/>
      <c r="B919" s="14"/>
      <c r="C919" s="14"/>
      <c r="D919" s="14"/>
      <c r="E919" s="12"/>
      <c r="F919" s="307"/>
      <c r="G919" s="307"/>
      <c r="H919" s="12"/>
      <c r="I919" s="30"/>
      <c r="J919" s="12"/>
      <c r="K919" s="12"/>
      <c r="L919" s="12"/>
      <c r="M919" s="12"/>
      <c r="N919" s="12"/>
      <c r="O919" s="308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4"/>
      <c r="BF919" s="12"/>
      <c r="BG919" s="12"/>
      <c r="BH919" s="12" t="str">
        <f>IFERROR(__xludf.DUMMYFUNCTION("IFERROR(INDEX(QUERY(IMPORTRANGE(""1T7HG8KEs-Ob7f3M5atEVN9Yn7IeORGp0QGvggB62ELw"",""Maestro!A:I""),""SELECT Col8 WHERE Col3 = '""&amp;BE919&amp;""'"", 0), 1, 1),""NO ENCONTRADO"")"),"")</f>
        <v/>
      </c>
      <c r="BI919" s="12" t="str">
        <f>IFERROR(__xludf.DUMMYFUNCTION("IFERROR(INDEX(QUERY(IMPORTRANGE(""1T7HG8KEs-Ob7f3M5atEVN9Yn7IeORGp0QGvggB62ELw"",""Maestro!A:I""),""SELECT Col7 WHERE Col3 = '""&amp;BE919&amp;""'"", 0), 1, 1),""NO ENCONTRADO"")"),"")</f>
        <v/>
      </c>
      <c r="BJ919" s="16">
        <f t="shared" si="19"/>
        <v>0</v>
      </c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4"/>
      <c r="BX919" s="14"/>
      <c r="BY919" s="14"/>
      <c r="BZ919" s="14"/>
      <c r="CA919" s="14"/>
      <c r="CB919" s="14"/>
      <c r="CC919" s="14"/>
      <c r="CD919" s="14"/>
      <c r="CE919" s="14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</row>
    <row r="920">
      <c r="A920" s="12"/>
      <c r="B920" s="14"/>
      <c r="C920" s="14"/>
      <c r="D920" s="14"/>
      <c r="E920" s="12"/>
      <c r="F920" s="307"/>
      <c r="G920" s="307"/>
      <c r="H920" s="12"/>
      <c r="I920" s="30"/>
      <c r="J920" s="12"/>
      <c r="K920" s="12"/>
      <c r="L920" s="12"/>
      <c r="M920" s="12"/>
      <c r="N920" s="12"/>
      <c r="O920" s="308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4"/>
      <c r="BF920" s="12"/>
      <c r="BG920" s="12"/>
      <c r="BH920" s="12" t="str">
        <f>IFERROR(__xludf.DUMMYFUNCTION("IFERROR(INDEX(QUERY(IMPORTRANGE(""1T7HG8KEs-Ob7f3M5atEVN9Yn7IeORGp0QGvggB62ELw"",""Maestro!A:I""),""SELECT Col8 WHERE Col3 = '""&amp;BE920&amp;""'"", 0), 1, 1),""NO ENCONTRADO"")"),"")</f>
        <v/>
      </c>
      <c r="BI920" s="12" t="str">
        <f>IFERROR(__xludf.DUMMYFUNCTION("IFERROR(INDEX(QUERY(IMPORTRANGE(""1T7HG8KEs-Ob7f3M5atEVN9Yn7IeORGp0QGvggB62ELw"",""Maestro!A:I""),""SELECT Col7 WHERE Col3 = '""&amp;BE920&amp;""'"", 0), 1, 1),""NO ENCONTRADO"")"),"")</f>
        <v/>
      </c>
      <c r="BJ920" s="16">
        <f t="shared" si="19"/>
        <v>0</v>
      </c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4"/>
      <c r="BX920" s="14"/>
      <c r="BY920" s="14"/>
      <c r="BZ920" s="14"/>
      <c r="CA920" s="14"/>
      <c r="CB920" s="14"/>
      <c r="CC920" s="14"/>
      <c r="CD920" s="14"/>
      <c r="CE920" s="14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</row>
    <row r="921">
      <c r="A921" s="12"/>
      <c r="B921" s="14"/>
      <c r="C921" s="14"/>
      <c r="D921" s="14"/>
      <c r="E921" s="12"/>
      <c r="F921" s="307"/>
      <c r="G921" s="307"/>
      <c r="H921" s="12"/>
      <c r="I921" s="30"/>
      <c r="J921" s="12"/>
      <c r="K921" s="12"/>
      <c r="L921" s="12"/>
      <c r="M921" s="12"/>
      <c r="N921" s="12"/>
      <c r="O921" s="308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4"/>
      <c r="BF921" s="12"/>
      <c r="BG921" s="12"/>
      <c r="BH921" s="12" t="str">
        <f>IFERROR(__xludf.DUMMYFUNCTION("IFERROR(INDEX(QUERY(IMPORTRANGE(""1T7HG8KEs-Ob7f3M5atEVN9Yn7IeORGp0QGvggB62ELw"",""Maestro!A:I""),""SELECT Col8 WHERE Col3 = '""&amp;BE921&amp;""'"", 0), 1, 1),""NO ENCONTRADO"")"),"")</f>
        <v/>
      </c>
      <c r="BI921" s="12" t="str">
        <f>IFERROR(__xludf.DUMMYFUNCTION("IFERROR(INDEX(QUERY(IMPORTRANGE(""1T7HG8KEs-Ob7f3M5atEVN9Yn7IeORGp0QGvggB62ELw"",""Maestro!A:I""),""SELECT Col7 WHERE Col3 = '""&amp;BE921&amp;""'"", 0), 1, 1),""NO ENCONTRADO"")"),"")</f>
        <v/>
      </c>
      <c r="BJ921" s="16">
        <f t="shared" si="19"/>
        <v>0</v>
      </c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4"/>
      <c r="BX921" s="14"/>
      <c r="BY921" s="14"/>
      <c r="BZ921" s="14"/>
      <c r="CA921" s="14"/>
      <c r="CB921" s="14"/>
      <c r="CC921" s="14"/>
      <c r="CD921" s="14"/>
      <c r="CE921" s="14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</row>
    <row r="922">
      <c r="A922" s="12"/>
      <c r="B922" s="14"/>
      <c r="C922" s="14"/>
      <c r="D922" s="14"/>
      <c r="E922" s="12"/>
      <c r="F922" s="307"/>
      <c r="G922" s="307"/>
      <c r="H922" s="12"/>
      <c r="I922" s="30"/>
      <c r="J922" s="12"/>
      <c r="K922" s="12"/>
      <c r="L922" s="12"/>
      <c r="M922" s="12"/>
      <c r="N922" s="12"/>
      <c r="O922" s="308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4"/>
      <c r="BF922" s="12"/>
      <c r="BG922" s="12"/>
      <c r="BH922" s="12" t="str">
        <f>IFERROR(__xludf.DUMMYFUNCTION("IFERROR(INDEX(QUERY(IMPORTRANGE(""1T7HG8KEs-Ob7f3M5atEVN9Yn7IeORGp0QGvggB62ELw"",""Maestro!A:I""),""SELECT Col8 WHERE Col3 = '""&amp;BE922&amp;""'"", 0), 1, 1),""NO ENCONTRADO"")"),"")</f>
        <v/>
      </c>
      <c r="BI922" s="12" t="str">
        <f>IFERROR(__xludf.DUMMYFUNCTION("IFERROR(INDEX(QUERY(IMPORTRANGE(""1T7HG8KEs-Ob7f3M5atEVN9Yn7IeORGp0QGvggB62ELw"",""Maestro!A:I""),""SELECT Col7 WHERE Col3 = '""&amp;BE922&amp;""'"", 0), 1, 1),""NO ENCONTRADO"")"),"")</f>
        <v/>
      </c>
      <c r="BJ922" s="16">
        <f t="shared" si="19"/>
        <v>0</v>
      </c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4"/>
      <c r="BX922" s="14"/>
      <c r="BY922" s="14"/>
      <c r="BZ922" s="14"/>
      <c r="CA922" s="14"/>
      <c r="CB922" s="14"/>
      <c r="CC922" s="14"/>
      <c r="CD922" s="14"/>
      <c r="CE922" s="14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</row>
    <row r="923">
      <c r="A923" s="12"/>
      <c r="B923" s="14"/>
      <c r="C923" s="14"/>
      <c r="D923" s="14"/>
      <c r="E923" s="12"/>
      <c r="F923" s="307"/>
      <c r="G923" s="307"/>
      <c r="H923" s="12"/>
      <c r="I923" s="30"/>
      <c r="J923" s="12"/>
      <c r="K923" s="12"/>
      <c r="L923" s="12"/>
      <c r="M923" s="12"/>
      <c r="N923" s="12"/>
      <c r="O923" s="308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4"/>
      <c r="BF923" s="12"/>
      <c r="BG923" s="12"/>
      <c r="BH923" s="12" t="str">
        <f>IFERROR(__xludf.DUMMYFUNCTION("IFERROR(INDEX(QUERY(IMPORTRANGE(""1T7HG8KEs-Ob7f3M5atEVN9Yn7IeORGp0QGvggB62ELw"",""Maestro!A:I""),""SELECT Col8 WHERE Col3 = '""&amp;BE923&amp;""'"", 0), 1, 1),""NO ENCONTRADO"")"),"")</f>
        <v/>
      </c>
      <c r="BI923" s="12" t="str">
        <f>IFERROR(__xludf.DUMMYFUNCTION("IFERROR(INDEX(QUERY(IMPORTRANGE(""1T7HG8KEs-Ob7f3M5atEVN9Yn7IeORGp0QGvggB62ELw"",""Maestro!A:I""),""SELECT Col7 WHERE Col3 = '""&amp;BE923&amp;""'"", 0), 1, 1),""NO ENCONTRADO"")"),"")</f>
        <v/>
      </c>
      <c r="BJ923" s="16">
        <f t="shared" si="19"/>
        <v>0</v>
      </c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4"/>
      <c r="BX923" s="14"/>
      <c r="BY923" s="14"/>
      <c r="BZ923" s="14"/>
      <c r="CA923" s="14"/>
      <c r="CB923" s="14"/>
      <c r="CC923" s="14"/>
      <c r="CD923" s="14"/>
      <c r="CE923" s="14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</row>
    <row r="924">
      <c r="A924" s="12"/>
      <c r="B924" s="14"/>
      <c r="C924" s="14"/>
      <c r="D924" s="14"/>
      <c r="E924" s="12"/>
      <c r="F924" s="307"/>
      <c r="G924" s="307"/>
      <c r="H924" s="12"/>
      <c r="I924" s="30"/>
      <c r="J924" s="12"/>
      <c r="K924" s="12"/>
      <c r="L924" s="12"/>
      <c r="M924" s="12"/>
      <c r="N924" s="12"/>
      <c r="O924" s="308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4"/>
      <c r="BF924" s="12"/>
      <c r="BG924" s="12"/>
      <c r="BH924" s="12" t="str">
        <f>IFERROR(__xludf.DUMMYFUNCTION("IFERROR(INDEX(QUERY(IMPORTRANGE(""1T7HG8KEs-Ob7f3M5atEVN9Yn7IeORGp0QGvggB62ELw"",""Maestro!A:I""),""SELECT Col8 WHERE Col3 = '""&amp;BE924&amp;""'"", 0), 1, 1),""NO ENCONTRADO"")"),"")</f>
        <v/>
      </c>
      <c r="BI924" s="12" t="str">
        <f>IFERROR(__xludf.DUMMYFUNCTION("IFERROR(INDEX(QUERY(IMPORTRANGE(""1T7HG8KEs-Ob7f3M5atEVN9Yn7IeORGp0QGvggB62ELw"",""Maestro!A:I""),""SELECT Col7 WHERE Col3 = '""&amp;BE924&amp;""'"", 0), 1, 1),""NO ENCONTRADO"")"),"")</f>
        <v/>
      </c>
      <c r="BJ924" s="16">
        <f t="shared" si="19"/>
        <v>0</v>
      </c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4"/>
      <c r="BX924" s="14"/>
      <c r="BY924" s="14"/>
      <c r="BZ924" s="14"/>
      <c r="CA924" s="14"/>
      <c r="CB924" s="14"/>
      <c r="CC924" s="14"/>
      <c r="CD924" s="14"/>
      <c r="CE924" s="14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</row>
    <row r="925">
      <c r="A925" s="12"/>
      <c r="B925" s="14"/>
      <c r="C925" s="14"/>
      <c r="D925" s="14"/>
      <c r="E925" s="12"/>
      <c r="F925" s="307"/>
      <c r="G925" s="307"/>
      <c r="H925" s="12"/>
      <c r="I925" s="30"/>
      <c r="J925" s="12"/>
      <c r="K925" s="12"/>
      <c r="L925" s="12"/>
      <c r="M925" s="12"/>
      <c r="N925" s="12"/>
      <c r="O925" s="308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4"/>
      <c r="BF925" s="12"/>
      <c r="BG925" s="12"/>
      <c r="BH925" s="12" t="str">
        <f>IFERROR(__xludf.DUMMYFUNCTION("IFERROR(INDEX(QUERY(IMPORTRANGE(""1T7HG8KEs-Ob7f3M5atEVN9Yn7IeORGp0QGvggB62ELw"",""Maestro!A:I""),""SELECT Col8 WHERE Col3 = '""&amp;BE925&amp;""'"", 0), 1, 1),""NO ENCONTRADO"")"),"")</f>
        <v/>
      </c>
      <c r="BI925" s="12" t="str">
        <f>IFERROR(__xludf.DUMMYFUNCTION("IFERROR(INDEX(QUERY(IMPORTRANGE(""1T7HG8KEs-Ob7f3M5atEVN9Yn7IeORGp0QGvggB62ELw"",""Maestro!A:I""),""SELECT Col7 WHERE Col3 = '""&amp;BE925&amp;""'"", 0), 1, 1),""NO ENCONTRADO"")"),"")</f>
        <v/>
      </c>
      <c r="BJ925" s="16">
        <f t="shared" si="19"/>
        <v>0</v>
      </c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4"/>
      <c r="BX925" s="14"/>
      <c r="BY925" s="14"/>
      <c r="BZ925" s="14"/>
      <c r="CA925" s="14"/>
      <c r="CB925" s="14"/>
      <c r="CC925" s="14"/>
      <c r="CD925" s="14"/>
      <c r="CE925" s="14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</row>
    <row r="926">
      <c r="A926" s="12"/>
      <c r="B926" s="14"/>
      <c r="C926" s="14"/>
      <c r="D926" s="14"/>
      <c r="E926" s="12"/>
      <c r="F926" s="307"/>
      <c r="G926" s="307"/>
      <c r="H926" s="12"/>
      <c r="I926" s="30"/>
      <c r="J926" s="12"/>
      <c r="K926" s="12"/>
      <c r="L926" s="12"/>
      <c r="M926" s="12"/>
      <c r="N926" s="12"/>
      <c r="O926" s="308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4"/>
      <c r="BF926" s="12"/>
      <c r="BG926" s="12"/>
      <c r="BH926" s="12" t="str">
        <f>IFERROR(__xludf.DUMMYFUNCTION("IFERROR(INDEX(QUERY(IMPORTRANGE(""1T7HG8KEs-Ob7f3M5atEVN9Yn7IeORGp0QGvggB62ELw"",""Maestro!A:I""),""SELECT Col8 WHERE Col3 = '""&amp;BE926&amp;""'"", 0), 1, 1),""NO ENCONTRADO"")"),"")</f>
        <v/>
      </c>
      <c r="BI926" s="12" t="str">
        <f>IFERROR(__xludf.DUMMYFUNCTION("IFERROR(INDEX(QUERY(IMPORTRANGE(""1T7HG8KEs-Ob7f3M5atEVN9Yn7IeORGp0QGvggB62ELw"",""Maestro!A:I""),""SELECT Col7 WHERE Col3 = '""&amp;BE926&amp;""'"", 0), 1, 1),""NO ENCONTRADO"")"),"")</f>
        <v/>
      </c>
      <c r="BJ926" s="16">
        <f t="shared" si="19"/>
        <v>0</v>
      </c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4"/>
      <c r="BX926" s="14"/>
      <c r="BY926" s="14"/>
      <c r="BZ926" s="14"/>
      <c r="CA926" s="14"/>
      <c r="CB926" s="14"/>
      <c r="CC926" s="14"/>
      <c r="CD926" s="14"/>
      <c r="CE926" s="14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</row>
    <row r="927">
      <c r="A927" s="12"/>
      <c r="B927" s="14"/>
      <c r="C927" s="14"/>
      <c r="D927" s="14"/>
      <c r="E927" s="12"/>
      <c r="F927" s="307"/>
      <c r="G927" s="307"/>
      <c r="H927" s="12"/>
      <c r="I927" s="30"/>
      <c r="J927" s="12"/>
      <c r="K927" s="12"/>
      <c r="L927" s="12"/>
      <c r="M927" s="12"/>
      <c r="N927" s="12"/>
      <c r="O927" s="308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4"/>
      <c r="BF927" s="12"/>
      <c r="BG927" s="12"/>
      <c r="BH927" s="12" t="str">
        <f>IFERROR(__xludf.DUMMYFUNCTION("IFERROR(INDEX(QUERY(IMPORTRANGE(""1T7HG8KEs-Ob7f3M5atEVN9Yn7IeORGp0QGvggB62ELw"",""Maestro!A:I""),""SELECT Col8 WHERE Col3 = '""&amp;BE927&amp;""'"", 0), 1, 1),""NO ENCONTRADO"")"),"")</f>
        <v/>
      </c>
      <c r="BI927" s="12" t="str">
        <f>IFERROR(__xludf.DUMMYFUNCTION("IFERROR(INDEX(QUERY(IMPORTRANGE(""1T7HG8KEs-Ob7f3M5atEVN9Yn7IeORGp0QGvggB62ELw"",""Maestro!A:I""),""SELECT Col7 WHERE Col3 = '""&amp;BE927&amp;""'"", 0), 1, 1),""NO ENCONTRADO"")"),"")</f>
        <v/>
      </c>
      <c r="BJ927" s="16">
        <f t="shared" si="19"/>
        <v>0</v>
      </c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4"/>
      <c r="BX927" s="14"/>
      <c r="BY927" s="14"/>
      <c r="BZ927" s="14"/>
      <c r="CA927" s="14"/>
      <c r="CB927" s="14"/>
      <c r="CC927" s="14"/>
      <c r="CD927" s="14"/>
      <c r="CE927" s="14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</row>
    <row r="928">
      <c r="A928" s="12"/>
      <c r="B928" s="14"/>
      <c r="C928" s="14"/>
      <c r="D928" s="14"/>
      <c r="E928" s="12"/>
      <c r="F928" s="307"/>
      <c r="G928" s="307"/>
      <c r="H928" s="12"/>
      <c r="I928" s="30"/>
      <c r="J928" s="12"/>
      <c r="K928" s="12"/>
      <c r="L928" s="12"/>
      <c r="M928" s="12"/>
      <c r="N928" s="12"/>
      <c r="O928" s="308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4"/>
      <c r="BF928" s="12"/>
      <c r="BG928" s="12"/>
      <c r="BH928" s="12" t="str">
        <f>IFERROR(__xludf.DUMMYFUNCTION("IFERROR(INDEX(QUERY(IMPORTRANGE(""1T7HG8KEs-Ob7f3M5atEVN9Yn7IeORGp0QGvggB62ELw"",""Maestro!A:I""),""SELECT Col8 WHERE Col3 = '""&amp;BE928&amp;""'"", 0), 1, 1),""NO ENCONTRADO"")"),"")</f>
        <v/>
      </c>
      <c r="BI928" s="12" t="str">
        <f>IFERROR(__xludf.DUMMYFUNCTION("IFERROR(INDEX(QUERY(IMPORTRANGE(""1T7HG8KEs-Ob7f3M5atEVN9Yn7IeORGp0QGvggB62ELw"",""Maestro!A:I""),""SELECT Col7 WHERE Col3 = '""&amp;BE928&amp;""'"", 0), 1, 1),""NO ENCONTRADO"")"),"")</f>
        <v/>
      </c>
      <c r="BJ928" s="16">
        <f t="shared" si="19"/>
        <v>0</v>
      </c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4"/>
      <c r="BX928" s="14"/>
      <c r="BY928" s="14"/>
      <c r="BZ928" s="14"/>
      <c r="CA928" s="14"/>
      <c r="CB928" s="14"/>
      <c r="CC928" s="14"/>
      <c r="CD928" s="14"/>
      <c r="CE928" s="14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</row>
    <row r="929">
      <c r="A929" s="12"/>
      <c r="B929" s="14"/>
      <c r="C929" s="14"/>
      <c r="D929" s="14"/>
      <c r="E929" s="12"/>
      <c r="F929" s="307"/>
      <c r="G929" s="307"/>
      <c r="H929" s="12"/>
      <c r="I929" s="30"/>
      <c r="J929" s="12"/>
      <c r="K929" s="12"/>
      <c r="L929" s="12"/>
      <c r="M929" s="12"/>
      <c r="N929" s="12"/>
      <c r="O929" s="308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4"/>
      <c r="BF929" s="12"/>
      <c r="BG929" s="12"/>
      <c r="BH929" s="12" t="str">
        <f>IFERROR(__xludf.DUMMYFUNCTION("IFERROR(INDEX(QUERY(IMPORTRANGE(""1T7HG8KEs-Ob7f3M5atEVN9Yn7IeORGp0QGvggB62ELw"",""Maestro!A:I""),""SELECT Col8 WHERE Col3 = '""&amp;BE929&amp;""'"", 0), 1, 1),""NO ENCONTRADO"")"),"")</f>
        <v/>
      </c>
      <c r="BI929" s="12" t="str">
        <f>IFERROR(__xludf.DUMMYFUNCTION("IFERROR(INDEX(QUERY(IMPORTRANGE(""1T7HG8KEs-Ob7f3M5atEVN9Yn7IeORGp0QGvggB62ELw"",""Maestro!A:I""),""SELECT Col7 WHERE Col3 = '""&amp;BE929&amp;""'"", 0), 1, 1),""NO ENCONTRADO"")"),"")</f>
        <v/>
      </c>
      <c r="BJ929" s="16">
        <f t="shared" si="19"/>
        <v>0</v>
      </c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4"/>
      <c r="BX929" s="14"/>
      <c r="BY929" s="14"/>
      <c r="BZ929" s="14"/>
      <c r="CA929" s="14"/>
      <c r="CB929" s="14"/>
      <c r="CC929" s="14"/>
      <c r="CD929" s="14"/>
      <c r="CE929" s="14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</row>
    <row r="930">
      <c r="A930" s="12"/>
      <c r="B930" s="14"/>
      <c r="C930" s="14"/>
      <c r="D930" s="14"/>
      <c r="E930" s="12"/>
      <c r="F930" s="307"/>
      <c r="G930" s="307"/>
      <c r="H930" s="12"/>
      <c r="I930" s="30"/>
      <c r="J930" s="12"/>
      <c r="K930" s="12"/>
      <c r="L930" s="12"/>
      <c r="M930" s="12"/>
      <c r="N930" s="12"/>
      <c r="O930" s="308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4"/>
      <c r="BF930" s="12"/>
      <c r="BG930" s="12"/>
      <c r="BH930" s="12" t="str">
        <f>IFERROR(__xludf.DUMMYFUNCTION("IFERROR(INDEX(QUERY(IMPORTRANGE(""1T7HG8KEs-Ob7f3M5atEVN9Yn7IeORGp0QGvggB62ELw"",""Maestro!A:I""),""SELECT Col8 WHERE Col3 = '""&amp;BE930&amp;""'"", 0), 1, 1),""NO ENCONTRADO"")"),"")</f>
        <v/>
      </c>
      <c r="BI930" s="12" t="str">
        <f>IFERROR(__xludf.DUMMYFUNCTION("IFERROR(INDEX(QUERY(IMPORTRANGE(""1T7HG8KEs-Ob7f3M5atEVN9Yn7IeORGp0QGvggB62ELw"",""Maestro!A:I""),""SELECT Col7 WHERE Col3 = '""&amp;BE930&amp;""'"", 0), 1, 1),""NO ENCONTRADO"")"),"")</f>
        <v/>
      </c>
      <c r="BJ930" s="16">
        <f t="shared" si="19"/>
        <v>0</v>
      </c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4"/>
      <c r="BX930" s="14"/>
      <c r="BY930" s="14"/>
      <c r="BZ930" s="14"/>
      <c r="CA930" s="14"/>
      <c r="CB930" s="14"/>
      <c r="CC930" s="14"/>
      <c r="CD930" s="14"/>
      <c r="CE930" s="14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</row>
    <row r="931">
      <c r="A931" s="12"/>
      <c r="B931" s="14"/>
      <c r="C931" s="14"/>
      <c r="D931" s="14"/>
      <c r="E931" s="12"/>
      <c r="F931" s="307"/>
      <c r="G931" s="307"/>
      <c r="H931" s="12"/>
      <c r="I931" s="30"/>
      <c r="J931" s="12"/>
      <c r="K931" s="12"/>
      <c r="L931" s="12"/>
      <c r="M931" s="12"/>
      <c r="N931" s="12"/>
      <c r="O931" s="308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4"/>
      <c r="BF931" s="12"/>
      <c r="BG931" s="12"/>
      <c r="BH931" s="12" t="str">
        <f>IFERROR(__xludf.DUMMYFUNCTION("IFERROR(INDEX(QUERY(IMPORTRANGE(""1T7HG8KEs-Ob7f3M5atEVN9Yn7IeORGp0QGvggB62ELw"",""Maestro!A:I""),""SELECT Col8 WHERE Col3 = '""&amp;BE931&amp;""'"", 0), 1, 1),""NO ENCONTRADO"")"),"")</f>
        <v/>
      </c>
      <c r="BI931" s="12" t="str">
        <f>IFERROR(__xludf.DUMMYFUNCTION("IFERROR(INDEX(QUERY(IMPORTRANGE(""1T7HG8KEs-Ob7f3M5atEVN9Yn7IeORGp0QGvggB62ELw"",""Maestro!A:I""),""SELECT Col7 WHERE Col3 = '""&amp;BE931&amp;""'"", 0), 1, 1),""NO ENCONTRADO"")"),"")</f>
        <v/>
      </c>
      <c r="BJ931" s="16">
        <f t="shared" si="19"/>
        <v>0</v>
      </c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4"/>
      <c r="BX931" s="14"/>
      <c r="BY931" s="14"/>
      <c r="BZ931" s="14"/>
      <c r="CA931" s="14"/>
      <c r="CB931" s="14"/>
      <c r="CC931" s="14"/>
      <c r="CD931" s="14"/>
      <c r="CE931" s="14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</row>
    <row r="932">
      <c r="A932" s="12"/>
      <c r="B932" s="14"/>
      <c r="C932" s="14"/>
      <c r="D932" s="14"/>
      <c r="E932" s="12"/>
      <c r="F932" s="307"/>
      <c r="G932" s="307"/>
      <c r="H932" s="12"/>
      <c r="I932" s="30"/>
      <c r="J932" s="12"/>
      <c r="K932" s="12"/>
      <c r="L932" s="12"/>
      <c r="M932" s="12"/>
      <c r="N932" s="12"/>
      <c r="O932" s="308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4"/>
      <c r="BF932" s="12"/>
      <c r="BG932" s="12"/>
      <c r="BH932" s="12" t="str">
        <f>IFERROR(__xludf.DUMMYFUNCTION("IFERROR(INDEX(QUERY(IMPORTRANGE(""1T7HG8KEs-Ob7f3M5atEVN9Yn7IeORGp0QGvggB62ELw"",""Maestro!A:I""),""SELECT Col8 WHERE Col3 = '""&amp;BE932&amp;""'"", 0), 1, 1),""NO ENCONTRADO"")"),"")</f>
        <v/>
      </c>
      <c r="BI932" s="12" t="str">
        <f>IFERROR(__xludf.DUMMYFUNCTION("IFERROR(INDEX(QUERY(IMPORTRANGE(""1T7HG8KEs-Ob7f3M5atEVN9Yn7IeORGp0QGvggB62ELw"",""Maestro!A:I""),""SELECT Col7 WHERE Col3 = '""&amp;BE932&amp;""'"", 0), 1, 1),""NO ENCONTRADO"")"),"")</f>
        <v/>
      </c>
      <c r="BJ932" s="16">
        <f t="shared" si="19"/>
        <v>0</v>
      </c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4"/>
      <c r="BX932" s="14"/>
      <c r="BY932" s="14"/>
      <c r="BZ932" s="14"/>
      <c r="CA932" s="14"/>
      <c r="CB932" s="14"/>
      <c r="CC932" s="14"/>
      <c r="CD932" s="14"/>
      <c r="CE932" s="14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</row>
    <row r="933">
      <c r="A933" s="12"/>
      <c r="B933" s="14"/>
      <c r="C933" s="14"/>
      <c r="D933" s="14"/>
      <c r="E933" s="12"/>
      <c r="F933" s="307"/>
      <c r="G933" s="307"/>
      <c r="H933" s="12"/>
      <c r="I933" s="30"/>
      <c r="J933" s="12"/>
      <c r="K933" s="12"/>
      <c r="L933" s="12"/>
      <c r="M933" s="12"/>
      <c r="N933" s="12"/>
      <c r="O933" s="308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4"/>
      <c r="BF933" s="12"/>
      <c r="BG933" s="12"/>
      <c r="BH933" s="12" t="str">
        <f>IFERROR(__xludf.DUMMYFUNCTION("IFERROR(INDEX(QUERY(IMPORTRANGE(""1T7HG8KEs-Ob7f3M5atEVN9Yn7IeORGp0QGvggB62ELw"",""Maestro!A:I""),""SELECT Col8 WHERE Col3 = '""&amp;BE933&amp;""'"", 0), 1, 1),""NO ENCONTRADO"")"),"")</f>
        <v/>
      </c>
      <c r="BI933" s="12" t="str">
        <f>IFERROR(__xludf.DUMMYFUNCTION("IFERROR(INDEX(QUERY(IMPORTRANGE(""1T7HG8KEs-Ob7f3M5atEVN9Yn7IeORGp0QGvggB62ELw"",""Maestro!A:I""),""SELECT Col7 WHERE Col3 = '""&amp;BE933&amp;""'"", 0), 1, 1),""NO ENCONTRADO"")"),"")</f>
        <v/>
      </c>
      <c r="BJ933" s="16">
        <f t="shared" si="19"/>
        <v>0</v>
      </c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4"/>
      <c r="BX933" s="14"/>
      <c r="BY933" s="14"/>
      <c r="BZ933" s="14"/>
      <c r="CA933" s="14"/>
      <c r="CB933" s="14"/>
      <c r="CC933" s="14"/>
      <c r="CD933" s="14"/>
      <c r="CE933" s="14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</row>
    <row r="934">
      <c r="A934" s="12"/>
      <c r="B934" s="14"/>
      <c r="C934" s="14"/>
      <c r="D934" s="14"/>
      <c r="E934" s="12"/>
      <c r="F934" s="307"/>
      <c r="G934" s="307"/>
      <c r="H934" s="12"/>
      <c r="I934" s="30"/>
      <c r="J934" s="12"/>
      <c r="K934" s="12"/>
      <c r="L934" s="12"/>
      <c r="M934" s="12"/>
      <c r="N934" s="12"/>
      <c r="O934" s="308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4"/>
      <c r="BF934" s="12"/>
      <c r="BG934" s="12"/>
      <c r="BH934" s="12" t="str">
        <f>IFERROR(__xludf.DUMMYFUNCTION("IFERROR(INDEX(QUERY(IMPORTRANGE(""1T7HG8KEs-Ob7f3M5atEVN9Yn7IeORGp0QGvggB62ELw"",""Maestro!A:I""),""SELECT Col8 WHERE Col3 = '""&amp;BE934&amp;""'"", 0), 1, 1),""NO ENCONTRADO"")"),"")</f>
        <v/>
      </c>
      <c r="BI934" s="12" t="str">
        <f>IFERROR(__xludf.DUMMYFUNCTION("IFERROR(INDEX(QUERY(IMPORTRANGE(""1T7HG8KEs-Ob7f3M5atEVN9Yn7IeORGp0QGvggB62ELw"",""Maestro!A:I""),""SELECT Col7 WHERE Col3 = '""&amp;BE934&amp;""'"", 0), 1, 1),""NO ENCONTRADO"")"),"")</f>
        <v/>
      </c>
      <c r="BJ934" s="16">
        <f t="shared" si="19"/>
        <v>0</v>
      </c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4"/>
      <c r="BX934" s="14"/>
      <c r="BY934" s="14"/>
      <c r="BZ934" s="14"/>
      <c r="CA934" s="14"/>
      <c r="CB934" s="14"/>
      <c r="CC934" s="14"/>
      <c r="CD934" s="14"/>
      <c r="CE934" s="14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</row>
    <row r="935">
      <c r="A935" s="12"/>
      <c r="B935" s="14"/>
      <c r="C935" s="14"/>
      <c r="D935" s="14"/>
      <c r="E935" s="12"/>
      <c r="F935" s="307"/>
      <c r="G935" s="307"/>
      <c r="H935" s="12"/>
      <c r="I935" s="30"/>
      <c r="J935" s="12"/>
      <c r="K935" s="12"/>
      <c r="L935" s="12"/>
      <c r="M935" s="12"/>
      <c r="N935" s="12"/>
      <c r="O935" s="308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4"/>
      <c r="BF935" s="12"/>
      <c r="BG935" s="12"/>
      <c r="BH935" s="12" t="str">
        <f>IFERROR(__xludf.DUMMYFUNCTION("IFERROR(INDEX(QUERY(IMPORTRANGE(""1T7HG8KEs-Ob7f3M5atEVN9Yn7IeORGp0QGvggB62ELw"",""Maestro!A:I""),""SELECT Col8 WHERE Col3 = '""&amp;BE935&amp;""'"", 0), 1, 1),""NO ENCONTRADO"")"),"")</f>
        <v/>
      </c>
      <c r="BI935" s="12" t="str">
        <f>IFERROR(__xludf.DUMMYFUNCTION("IFERROR(INDEX(QUERY(IMPORTRANGE(""1T7HG8KEs-Ob7f3M5atEVN9Yn7IeORGp0QGvggB62ELw"",""Maestro!A:I""),""SELECT Col7 WHERE Col3 = '""&amp;BE935&amp;""'"", 0), 1, 1),""NO ENCONTRADO"")"),"")</f>
        <v/>
      </c>
      <c r="BJ935" s="16">
        <f t="shared" si="19"/>
        <v>0</v>
      </c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4"/>
      <c r="BX935" s="14"/>
      <c r="BY935" s="14"/>
      <c r="BZ935" s="14"/>
      <c r="CA935" s="14"/>
      <c r="CB935" s="14"/>
      <c r="CC935" s="14"/>
      <c r="CD935" s="14"/>
      <c r="CE935" s="14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</row>
    <row r="936">
      <c r="A936" s="12"/>
      <c r="B936" s="14"/>
      <c r="C936" s="14"/>
      <c r="D936" s="14"/>
      <c r="E936" s="12"/>
      <c r="F936" s="307"/>
      <c r="G936" s="307"/>
      <c r="H936" s="12"/>
      <c r="I936" s="30"/>
      <c r="J936" s="12"/>
      <c r="K936" s="12"/>
      <c r="L936" s="12"/>
      <c r="M936" s="12"/>
      <c r="N936" s="12"/>
      <c r="O936" s="308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4"/>
      <c r="BF936" s="12"/>
      <c r="BG936" s="12"/>
      <c r="BH936" s="12"/>
      <c r="BI936" s="12"/>
      <c r="BJ936" s="16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4"/>
      <c r="BX936" s="14"/>
      <c r="BY936" s="14"/>
      <c r="BZ936" s="14"/>
      <c r="CA936" s="14"/>
      <c r="CB936" s="14"/>
      <c r="CC936" s="14"/>
      <c r="CD936" s="14"/>
      <c r="CE936" s="14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</row>
  </sheetData>
  <conditionalFormatting sqref="E2:J438">
    <cfRule type="notContainsBlanks" dxfId="0" priority="1">
      <formula>LEN(TRIM(E2))&gt;0</formula>
    </cfRule>
  </conditionalFormatting>
  <conditionalFormatting sqref="E2:J438">
    <cfRule type="containsBlanks" dxfId="1" priority="2">
      <formula>LEN(TRIM(E2))=0</formula>
    </cfRule>
  </conditionalFormatting>
  <dataValidations>
    <dataValidation type="custom" allowBlank="1" showDropDown="1" sqref="E2:E438">
      <formula1>OR(NOT(ISERROR(DATEVALUE(E2))), AND(ISNUMBER(E2), LEFT(CELL("format", E2))="D"))</formula1>
    </dataValidation>
    <dataValidation type="custom" allowBlank="1" showDropDown="1" sqref="I2:I438">
      <formula1>AND(ISNUMBER(I2),(NOT(OR(NOT(ISERROR(DATEVALUE(I2))), AND(ISNUMBER(I2), LEFT(CELL("format", I2))="D")))))</formula1>
    </dataValidation>
    <dataValidation allowBlank="1" showDropDown="1" sqref="F2:F438"/>
  </dataValidations>
  <drawing r:id="rId8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8.88"/>
    <col customWidth="1" min="2" max="2" width="8.25"/>
    <col customWidth="1" min="3" max="3" width="11.88"/>
    <col customWidth="1" min="4" max="4" width="12.63"/>
    <col customWidth="1" min="5" max="5" width="14.63"/>
    <col customWidth="1" min="6" max="6" width="17.25"/>
    <col customWidth="1" min="7" max="7" width="17.0"/>
    <col customWidth="1" min="8" max="8" width="35.5"/>
    <col customWidth="1" min="9" max="9" width="17.0"/>
    <col customWidth="1" min="10" max="10" width="17.75"/>
    <col customWidth="1" min="11" max="11" width="10.63"/>
    <col customWidth="1" min="12" max="12" width="6.38"/>
    <col customWidth="1" min="13" max="13" width="13.63"/>
    <col customWidth="1" min="14" max="14" width="11.25"/>
    <col customWidth="1" min="15" max="15" width="9.88"/>
    <col customWidth="1" min="23" max="23" width="8.38"/>
    <col customWidth="1" min="24" max="24" width="6.75"/>
    <col customWidth="1" min="25" max="25" width="7.75"/>
    <col customWidth="1" min="26" max="26" width="10.0"/>
    <col customWidth="1" min="27" max="27" width="13.25"/>
    <col customWidth="1" min="29" max="29" width="10.0"/>
    <col customWidth="1" min="30" max="30" width="7.63"/>
    <col customWidth="1" min="31" max="31" width="33.63"/>
    <col customWidth="1" min="32" max="32" width="13.75"/>
    <col customWidth="1" min="33" max="33" width="15.75"/>
    <col customWidth="1" min="34" max="34" width="4.63"/>
    <col customWidth="1" min="35" max="35" width="4.25"/>
    <col customWidth="1" min="36" max="36" width="6.88"/>
    <col customWidth="1" min="37" max="37" width="3.25"/>
    <col customWidth="1" min="38" max="38" width="7.75"/>
    <col customWidth="1" min="39" max="39" width="10.13"/>
    <col customWidth="1" min="40" max="40" width="33.63"/>
    <col customWidth="1" min="41" max="41" width="18.75"/>
    <col customWidth="1" min="44" max="44" width="12.5"/>
    <col customWidth="1" min="45" max="45" width="10.13"/>
    <col customWidth="1" min="46" max="46" width="36.13"/>
    <col customWidth="1" min="47" max="47" width="14.5"/>
    <col customWidth="1" min="48" max="48" width="18.25"/>
    <col customWidth="1" min="49" max="49" width="8.38"/>
    <col customWidth="1" min="50" max="50" width="6.75"/>
    <col customWidth="1" min="51" max="51" width="7.75"/>
    <col customWidth="1" min="52" max="52" width="5.75"/>
    <col customWidth="1" min="53" max="53" width="7.75"/>
    <col customWidth="1" min="56" max="56" width="12.5"/>
    <col customWidth="1" min="57" max="57" width="10.13"/>
    <col customWidth="1" min="58" max="58" width="33.63"/>
    <col customWidth="1" min="59" max="59" width="13.75"/>
    <col customWidth="1" min="60" max="60" width="12.13"/>
    <col customWidth="1" min="61" max="61" width="4.75"/>
    <col customWidth="1" min="62" max="62" width="6.5"/>
    <col customWidth="1" min="64" max="64" width="11.75"/>
    <col customWidth="1" min="65" max="65" width="9.25"/>
    <col customWidth="1" min="66" max="66" width="25.5"/>
    <col customWidth="1" min="67" max="67" width="14.5"/>
    <col customWidth="1" min="68" max="68" width="13.25"/>
    <col customWidth="1" min="71" max="71" width="12.5"/>
    <col customWidth="1" min="72" max="72" width="10.13"/>
    <col customWidth="1" min="73" max="73" width="36.13"/>
    <col customWidth="1" min="74" max="74" width="14.5"/>
    <col customWidth="1" min="75" max="75" width="15.75"/>
    <col customWidth="1" min="79" max="79" width="20.25"/>
  </cols>
  <sheetData>
    <row r="1">
      <c r="A1" s="309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9" t="s">
        <v>12</v>
      </c>
      <c r="N1" s="10" t="s">
        <v>13</v>
      </c>
      <c r="O1" s="11" t="s">
        <v>14</v>
      </c>
      <c r="P1" s="12"/>
      <c r="Q1" s="12"/>
      <c r="R1" s="12"/>
      <c r="S1" s="12"/>
      <c r="T1" s="12"/>
      <c r="U1" s="12"/>
      <c r="V1" s="12"/>
      <c r="AB1" s="12"/>
      <c r="AC1" s="12" t="str">
        <f>IFERROR(__xludf.DUMMYFUNCTION("QUERY(AR1:BA937, ""SELECT * WHERE AZ &gt; 0 ORDER BY AZ ASC"")"),"UBICACION")</f>
        <v>UBICACION</v>
      </c>
      <c r="AD1" s="12" t="str">
        <f>IFERROR(__xludf.DUMMYFUNCTION("""COMPUTED_VALUE"""),"SKU")</f>
        <v>SKU</v>
      </c>
      <c r="AE1" s="12" t="str">
        <f>IFERROR(__xludf.DUMMYFUNCTION("""COMPUTED_VALUE"""),"DESCRIPCION")</f>
        <v>DESCRIPCION</v>
      </c>
      <c r="AF1" s="12" t="str">
        <f>IFERROR(__xludf.DUMMYFUNCTION("""COMPUTED_VALUE"""),"UNIDADADES TOTAL")</f>
        <v>UNIDADADES TOTAL</v>
      </c>
      <c r="AG1" s="12" t="str">
        <f>IFERROR(__xludf.DUMMYFUNCTION("""COMPUTED_VALUE"""),"ORIGEN INGRESO")</f>
        <v>ORIGEN INGRESO</v>
      </c>
      <c r="AH1" s="12" t="str">
        <f>IFERROR(__xludf.DUMMYFUNCTION("""COMPUTED_VALUE"""),"SALA")</f>
        <v>SALA</v>
      </c>
      <c r="AI1" s="12" t="str">
        <f>IFERROR(__xludf.DUMMYFUNCTION("""COMPUTED_VALUE"""),"FILA")</f>
        <v>FILA</v>
      </c>
      <c r="AJ1" s="12" t="str">
        <f>IFERROR(__xludf.DUMMYFUNCTION("""COMPUTED_VALUE"""),"POSICIÓN")</f>
        <v>POSICIÓN</v>
      </c>
      <c r="AK1" s="12" t="str">
        <f>IFERROR(__xludf.DUMMYFUNCTION("""COMPUTED_VALUE"""),"#")</f>
        <v>#</v>
      </c>
      <c r="AL1" s="12" t="str">
        <f>IFERROR(__xludf.DUMMYFUNCTION("""COMPUTED_VALUE"""),"Cliente")</f>
        <v>Cliente</v>
      </c>
      <c r="AP1" s="12"/>
      <c r="AQ1" s="12"/>
      <c r="BC1" s="12"/>
      <c r="BD1" s="16" t="s">
        <v>16</v>
      </c>
      <c r="BE1" s="14"/>
      <c r="BF1" s="12"/>
      <c r="BG1" s="12"/>
      <c r="BH1" s="14"/>
      <c r="BI1" s="12"/>
      <c r="BJ1" s="12"/>
      <c r="BK1" s="12"/>
      <c r="BL1" s="16" t="s">
        <v>17</v>
      </c>
      <c r="BM1" s="12"/>
      <c r="BN1" s="12"/>
      <c r="BO1" s="12"/>
      <c r="BP1" s="12"/>
      <c r="BQ1" s="12"/>
      <c r="BR1" s="12"/>
      <c r="BS1" s="16" t="s">
        <v>16</v>
      </c>
      <c r="BT1" s="12"/>
      <c r="BU1" s="12"/>
      <c r="BV1" s="12"/>
      <c r="BW1" s="17"/>
      <c r="BX1" s="14"/>
      <c r="BY1" s="14"/>
      <c r="BZ1" s="14"/>
      <c r="CA1" s="14"/>
      <c r="CB1" s="14"/>
      <c r="CC1" s="14"/>
      <c r="CD1" s="14"/>
      <c r="CE1" s="14"/>
      <c r="CF1" s="12"/>
      <c r="CG1" s="12"/>
      <c r="CH1" s="12"/>
      <c r="CI1" s="12"/>
      <c r="CJ1" s="12"/>
      <c r="CK1" s="12"/>
      <c r="CL1" s="12"/>
      <c r="CM1" s="12"/>
      <c r="CN1" s="12"/>
      <c r="CO1" s="12"/>
    </row>
    <row r="2">
      <c r="A2" s="18">
        <v>1.0</v>
      </c>
      <c r="B2" s="19" t="s">
        <v>18</v>
      </c>
      <c r="C2" s="19" t="s">
        <v>18</v>
      </c>
      <c r="D2" s="20" t="str">
        <f t="shared" ref="D2:D439" si="1">CONCATENATE(A2,"-",B2,"-",C2)</f>
        <v>1-1-1</v>
      </c>
      <c r="E2" s="21">
        <v>45733.0</v>
      </c>
      <c r="F2" s="22" t="s">
        <v>19</v>
      </c>
      <c r="G2" s="23" t="s">
        <v>20</v>
      </c>
      <c r="H2" s="24" t="s">
        <v>21</v>
      </c>
      <c r="I2" s="25">
        <v>90.0</v>
      </c>
      <c r="J2" s="26" t="s">
        <v>22</v>
      </c>
      <c r="K2" s="27" t="str">
        <f t="shared" ref="K2:K439" si="2">IF(ISBLANK(E2),"DISPONIBLE","OCUPADO")</f>
        <v>OCUPADO</v>
      </c>
      <c r="L2" s="28">
        <f t="shared" ref="L2:L99" si="3">IF(B1&lt;&gt;"", ROW(A1), "")
</f>
        <v>1</v>
      </c>
      <c r="M2" s="28" t="s">
        <v>23</v>
      </c>
      <c r="N2" s="70"/>
      <c r="O2" s="29" t="s">
        <v>24</v>
      </c>
      <c r="P2" s="12"/>
      <c r="Q2" s="12"/>
      <c r="R2" s="12"/>
      <c r="S2" s="12"/>
      <c r="T2" s="12"/>
      <c r="U2" s="12"/>
      <c r="V2" s="12"/>
      <c r="AB2" s="12"/>
      <c r="AC2" s="12" t="str">
        <f>IFERROR(__xludf.DUMMYFUNCTION("""COMPUTED_VALUE"""),"1-1-1")</f>
        <v>1-1-1</v>
      </c>
      <c r="AD2" s="12" t="str">
        <f>IFERROR(__xludf.DUMMYFUNCTION("""COMPUTED_VALUE"""),"691015")</f>
        <v>691015</v>
      </c>
      <c r="AE2" s="12" t="str">
        <f>IFERROR(__xludf.DUMMYFUNCTION("""COMPUTED_VALUE"""),"CAJA TV")</f>
        <v>CAJA TV</v>
      </c>
      <c r="AF2" s="30">
        <f>IFERROR(__xludf.DUMMYFUNCTION("""COMPUTED_VALUE"""),90.0)</f>
        <v>90</v>
      </c>
      <c r="AG2" s="12" t="str">
        <f>IFERROR(__xludf.DUMMYFUNCTION("""COMPUTED_VALUE"""),"PROVEEDOR")</f>
        <v>PROVEEDOR</v>
      </c>
      <c r="AH2" s="12">
        <f>IFERROR(__xludf.DUMMYFUNCTION("""COMPUTED_VALUE"""),1.0)</f>
        <v>1</v>
      </c>
      <c r="AI2" s="12" t="str">
        <f>IFERROR(__xludf.DUMMYFUNCTION("""COMPUTED_VALUE"""),"1")</f>
        <v>1</v>
      </c>
      <c r="AJ2" s="12" t="str">
        <f>IFERROR(__xludf.DUMMYFUNCTION("""COMPUTED_VALUE"""),"1")</f>
        <v>1</v>
      </c>
      <c r="AK2" s="12">
        <f>IFERROR(__xludf.DUMMYFUNCTION("""COMPUTED_VALUE"""),1.0)</f>
        <v>1</v>
      </c>
      <c r="AL2" s="12" t="str">
        <f>IFERROR(__xludf.DUMMYFUNCTION("""COMPUTED_VALUE"""),"SUMMIT")</f>
        <v>SUMMIT</v>
      </c>
      <c r="AP2" s="12"/>
      <c r="AQ2" s="12"/>
      <c r="BC2" s="12"/>
      <c r="BH2" s="31" t="s">
        <v>28</v>
      </c>
      <c r="BI2" s="31" t="s">
        <v>29</v>
      </c>
      <c r="BJ2" s="31" t="s">
        <v>30</v>
      </c>
      <c r="BK2" s="12"/>
      <c r="BR2" s="12"/>
      <c r="BY2" s="14"/>
      <c r="BZ2" s="14"/>
      <c r="CA2" s="14"/>
      <c r="CB2" s="14"/>
      <c r="CC2" s="14"/>
      <c r="CD2" s="14"/>
      <c r="CE2" s="14"/>
      <c r="CF2" s="12"/>
      <c r="CG2" s="12"/>
      <c r="CH2" s="12"/>
      <c r="CI2" s="12"/>
      <c r="CJ2" s="12"/>
      <c r="CK2" s="12"/>
      <c r="CL2" s="12"/>
      <c r="CM2" s="12"/>
      <c r="CN2" s="12"/>
      <c r="CO2" s="12"/>
    </row>
    <row r="3">
      <c r="A3" s="18">
        <v>1.0</v>
      </c>
      <c r="B3" s="19" t="s">
        <v>18</v>
      </c>
      <c r="C3" s="19" t="s">
        <v>32</v>
      </c>
      <c r="D3" s="20" t="str">
        <f t="shared" si="1"/>
        <v>1-1-2</v>
      </c>
      <c r="E3" s="21">
        <v>45733.0</v>
      </c>
      <c r="F3" s="22" t="s">
        <v>19</v>
      </c>
      <c r="G3" s="23" t="s">
        <v>33</v>
      </c>
      <c r="H3" s="24" t="s">
        <v>34</v>
      </c>
      <c r="I3" s="25">
        <v>43.0</v>
      </c>
      <c r="J3" s="26" t="s">
        <v>35</v>
      </c>
      <c r="K3" s="32" t="str">
        <f t="shared" si="2"/>
        <v>OCUPADO</v>
      </c>
      <c r="L3" s="33">
        <f t="shared" si="3"/>
        <v>2</v>
      </c>
      <c r="M3" s="33" t="s">
        <v>23</v>
      </c>
      <c r="N3" s="53"/>
      <c r="O3" s="34" t="s">
        <v>24</v>
      </c>
      <c r="P3" s="12"/>
      <c r="Q3" s="12"/>
      <c r="R3" s="12"/>
      <c r="S3" s="12"/>
      <c r="T3" s="12"/>
      <c r="U3" s="12"/>
      <c r="V3" s="12"/>
      <c r="AB3" s="12"/>
      <c r="AC3" s="12" t="str">
        <f>IFERROR(__xludf.DUMMYFUNCTION("""COMPUTED_VALUE"""),"1-1-2")</f>
        <v>1-1-2</v>
      </c>
      <c r="AD3" s="12" t="str">
        <f>IFERROR(__xludf.DUMMYFUNCTION("""COMPUTED_VALUE"""),"691410")</f>
        <v>691410</v>
      </c>
      <c r="AE3" s="12" t="str">
        <f>IFERROR(__xludf.DUMMYFUNCTION("""COMPUTED_VALUE"""),"CAJA CARTON ENVIOS PACK")</f>
        <v>CAJA CARTON ENVIOS PACK</v>
      </c>
      <c r="AF3" s="30">
        <f>IFERROR(__xludf.DUMMYFUNCTION("""COMPUTED_VALUE"""),43.0)</f>
        <v>43</v>
      </c>
      <c r="AG3" s="12" t="str">
        <f>IFERROR(__xludf.DUMMYFUNCTION("""COMPUTED_VALUE"""),"PRODUCTO TERMINADO")</f>
        <v>PRODUCTO TERMINADO</v>
      </c>
      <c r="AH3" s="12">
        <f>IFERROR(__xludf.DUMMYFUNCTION("""COMPUTED_VALUE"""),1.0)</f>
        <v>1</v>
      </c>
      <c r="AI3" s="12" t="str">
        <f>IFERROR(__xludf.DUMMYFUNCTION("""COMPUTED_VALUE"""),"1")</f>
        <v>1</v>
      </c>
      <c r="AJ3" s="12" t="str">
        <f>IFERROR(__xludf.DUMMYFUNCTION("""COMPUTED_VALUE"""),"2")</f>
        <v>2</v>
      </c>
      <c r="AK3" s="12">
        <f>IFERROR(__xludf.DUMMYFUNCTION("""COMPUTED_VALUE"""),2.0)</f>
        <v>2</v>
      </c>
      <c r="AL3" s="12" t="str">
        <f>IFERROR(__xludf.DUMMYFUNCTION("""COMPUTED_VALUE"""),"SUMMIT")</f>
        <v>SUMMIT</v>
      </c>
      <c r="AP3" s="12"/>
      <c r="AQ3" s="12"/>
      <c r="BC3" s="12"/>
      <c r="BH3" s="12" t="str">
        <f>IFERROR(__xludf.DUMMYFUNCTION("IFERROR(INDEX(QUERY(IMPORTRANGE(""1T7HG8KEs-Ob7f3M5atEVN9Yn7IeORGp0QGvggB62ELw"",""Maestro!A:I""),""SELECT Col8 WHERE Col3 = '""&amp;BE3&amp;""'"", 0), 1, 1),""NO ENCONTRADO"")"),"D")</f>
        <v>D</v>
      </c>
      <c r="BI3" s="16">
        <v>1.0</v>
      </c>
      <c r="BJ3" s="16">
        <f t="shared" ref="BJ3:BJ98" si="4">IFERROR(ROUND(IF(BH3="D",BG3/BI3,BG3*BI3),0),1)</f>
        <v>90</v>
      </c>
      <c r="BK3" s="12"/>
      <c r="BR3" s="12"/>
      <c r="BY3" s="14"/>
      <c r="BZ3" s="14"/>
      <c r="CA3" s="14"/>
      <c r="CB3" s="14"/>
      <c r="CC3" s="14"/>
      <c r="CD3" s="14"/>
      <c r="CE3" s="14"/>
      <c r="CF3" s="12"/>
      <c r="CG3" s="12"/>
      <c r="CH3" s="12"/>
      <c r="CI3" s="12"/>
      <c r="CJ3" s="12"/>
      <c r="CK3" s="12"/>
      <c r="CL3" s="12"/>
      <c r="CM3" s="12"/>
      <c r="CN3" s="12"/>
      <c r="CO3" s="12"/>
    </row>
    <row r="4">
      <c r="A4" s="18">
        <v>1.0</v>
      </c>
      <c r="B4" s="19" t="s">
        <v>18</v>
      </c>
      <c r="C4" s="19" t="s">
        <v>44</v>
      </c>
      <c r="D4" s="20" t="str">
        <f t="shared" si="1"/>
        <v>1-1-3</v>
      </c>
      <c r="E4" s="35">
        <v>45742.0</v>
      </c>
      <c r="F4" s="36" t="s">
        <v>45</v>
      </c>
      <c r="G4" s="37" t="s">
        <v>46</v>
      </c>
      <c r="H4" s="38" t="s">
        <v>47</v>
      </c>
      <c r="I4" s="39">
        <v>700.0</v>
      </c>
      <c r="J4" s="38" t="s">
        <v>22</v>
      </c>
      <c r="K4" s="27" t="str">
        <f t="shared" si="2"/>
        <v>OCUPADO</v>
      </c>
      <c r="L4" s="28">
        <f t="shared" si="3"/>
        <v>3</v>
      </c>
      <c r="M4" s="28" t="s">
        <v>23</v>
      </c>
      <c r="N4" s="70"/>
      <c r="O4" s="29" t="s">
        <v>24</v>
      </c>
      <c r="P4" s="12"/>
      <c r="Q4" s="12"/>
      <c r="R4" s="12"/>
      <c r="S4" s="12"/>
      <c r="T4" s="12"/>
      <c r="U4" s="12"/>
      <c r="V4" s="12"/>
      <c r="AB4" s="12"/>
      <c r="AC4" s="12" t="str">
        <f>IFERROR(__xludf.DUMMYFUNCTION("""COMPUTED_VALUE"""),"1-1-3")</f>
        <v>1-1-3</v>
      </c>
      <c r="AD4" s="12" t="str">
        <f>IFERROR(__xludf.DUMMYFUNCTION("""COMPUTED_VALUE"""),"692432")</f>
        <v>692432</v>
      </c>
      <c r="AE4" s="12" t="str">
        <f>IFERROR(__xludf.DUMMYFUNCTION("""COMPUTED_VALUE"""),"CAJA CARTON ENVIOS 25x17x13 CM")</f>
        <v>CAJA CARTON ENVIOS 25x17x13 CM</v>
      </c>
      <c r="AF4" s="30">
        <f>IFERROR(__xludf.DUMMYFUNCTION("""COMPUTED_VALUE"""),700.0)</f>
        <v>700</v>
      </c>
      <c r="AG4" s="12" t="str">
        <f>IFERROR(__xludf.DUMMYFUNCTION("""COMPUTED_VALUE"""),"PROVEEDOR")</f>
        <v>PROVEEDOR</v>
      </c>
      <c r="AH4" s="12">
        <f>IFERROR(__xludf.DUMMYFUNCTION("""COMPUTED_VALUE"""),1.0)</f>
        <v>1</v>
      </c>
      <c r="AI4" s="12" t="str">
        <f>IFERROR(__xludf.DUMMYFUNCTION("""COMPUTED_VALUE"""),"1")</f>
        <v>1</v>
      </c>
      <c r="AJ4" s="12" t="str">
        <f>IFERROR(__xludf.DUMMYFUNCTION("""COMPUTED_VALUE"""),"3")</f>
        <v>3</v>
      </c>
      <c r="AK4" s="12">
        <f>IFERROR(__xludf.DUMMYFUNCTION("""COMPUTED_VALUE"""),3.0)</f>
        <v>3</v>
      </c>
      <c r="AL4" s="12" t="str">
        <f>IFERROR(__xludf.DUMMYFUNCTION("""COMPUTED_VALUE"""),"SUMMIT")</f>
        <v>SUMMIT</v>
      </c>
      <c r="AP4" s="12"/>
      <c r="AQ4" s="12"/>
      <c r="BC4" s="12"/>
      <c r="BH4" s="12" t="str">
        <f>IFERROR(__xludf.DUMMYFUNCTION("IFERROR(INDEX(QUERY(IMPORTRANGE(""1T7HG8KEs-Ob7f3M5atEVN9Yn7IeORGp0QGvggB62ELw"",""Maestro!A:I""),""SELECT Col8 WHERE Col3 = '""&amp;BE4&amp;""'"", 0), 1, 1),""NO ENCONTRADO"")"),"NO ENCONTRADO")</f>
        <v>NO ENCONTRADO</v>
      </c>
      <c r="BI4" s="16">
        <v>1.0</v>
      </c>
      <c r="BJ4" s="16">
        <f t="shared" si="4"/>
        <v>43</v>
      </c>
      <c r="BK4" s="12"/>
      <c r="BR4" s="12"/>
      <c r="BY4" s="14"/>
      <c r="BZ4" s="14"/>
      <c r="CA4" s="14"/>
      <c r="CB4" s="14"/>
      <c r="CC4" s="14"/>
      <c r="CD4" s="14"/>
      <c r="CE4" s="14"/>
      <c r="CF4" s="12"/>
      <c r="CG4" s="12"/>
      <c r="CH4" s="12"/>
      <c r="CI4" s="12"/>
      <c r="CJ4" s="12"/>
      <c r="CK4" s="12"/>
      <c r="CL4" s="12"/>
      <c r="CM4" s="12"/>
      <c r="CN4" s="12"/>
      <c r="CO4" s="12"/>
    </row>
    <row r="5">
      <c r="A5" s="18">
        <v>1.0</v>
      </c>
      <c r="B5" s="19" t="s">
        <v>18</v>
      </c>
      <c r="C5" s="19" t="s">
        <v>53</v>
      </c>
      <c r="D5" s="20" t="str">
        <f t="shared" si="1"/>
        <v>1-1-4</v>
      </c>
      <c r="E5" s="310">
        <v>45733.0</v>
      </c>
      <c r="F5" s="311" t="s">
        <v>19</v>
      </c>
      <c r="G5" s="311" t="s">
        <v>54</v>
      </c>
      <c r="H5" s="312" t="s">
        <v>55</v>
      </c>
      <c r="I5" s="43">
        <v>511.0</v>
      </c>
      <c r="J5" s="38" t="s">
        <v>22</v>
      </c>
      <c r="K5" s="32" t="str">
        <f t="shared" si="2"/>
        <v>OCUPADO</v>
      </c>
      <c r="L5" s="33">
        <f t="shared" si="3"/>
        <v>4</v>
      </c>
      <c r="M5" s="33" t="s">
        <v>23</v>
      </c>
      <c r="N5" s="53"/>
      <c r="O5" s="34" t="s">
        <v>24</v>
      </c>
      <c r="P5" s="12"/>
      <c r="Q5" s="12"/>
      <c r="R5" s="12"/>
      <c r="S5" s="12"/>
      <c r="T5" s="12"/>
      <c r="U5" s="12"/>
      <c r="V5" s="12"/>
      <c r="AB5" s="12"/>
      <c r="AC5" s="12" t="str">
        <f>IFERROR(__xludf.DUMMYFUNCTION("""COMPUTED_VALUE"""),"1-1-4")</f>
        <v>1-1-4</v>
      </c>
      <c r="AD5" s="12" t="str">
        <f>IFERROR(__xludf.DUMMYFUNCTION("""COMPUTED_VALUE"""),"692425")</f>
        <v>692425</v>
      </c>
      <c r="AE5" s="12" t="str">
        <f>IFERROR(__xludf.DUMMYFUNCTION("""COMPUTED_VALUE"""),"CAJA CARTON PISQUERA 31x23x31 CM")</f>
        <v>CAJA CARTON PISQUERA 31x23x31 CM</v>
      </c>
      <c r="AF5" s="30">
        <f>IFERROR(__xludf.DUMMYFUNCTION("""COMPUTED_VALUE"""),511.0)</f>
        <v>511</v>
      </c>
      <c r="AG5" s="12" t="str">
        <f>IFERROR(__xludf.DUMMYFUNCTION("""COMPUTED_VALUE"""),"PROVEEDOR")</f>
        <v>PROVEEDOR</v>
      </c>
      <c r="AH5" s="12">
        <f>IFERROR(__xludf.DUMMYFUNCTION("""COMPUTED_VALUE"""),1.0)</f>
        <v>1</v>
      </c>
      <c r="AI5" s="12" t="str">
        <f>IFERROR(__xludf.DUMMYFUNCTION("""COMPUTED_VALUE"""),"1")</f>
        <v>1</v>
      </c>
      <c r="AJ5" s="12" t="str">
        <f>IFERROR(__xludf.DUMMYFUNCTION("""COMPUTED_VALUE"""),"4")</f>
        <v>4</v>
      </c>
      <c r="AK5" s="12">
        <f>IFERROR(__xludf.DUMMYFUNCTION("""COMPUTED_VALUE"""),4.0)</f>
        <v>4</v>
      </c>
      <c r="AL5" s="12" t="str">
        <f>IFERROR(__xludf.DUMMYFUNCTION("""COMPUTED_VALUE"""),"SUMMIT")</f>
        <v>SUMMIT</v>
      </c>
      <c r="AP5" s="12"/>
      <c r="AQ5" s="12"/>
      <c r="BC5" s="12"/>
      <c r="BH5" s="12" t="str">
        <f>IFERROR(__xludf.DUMMYFUNCTION("IFERROR(INDEX(QUERY(IMPORTRANGE(""1T7HG8KEs-Ob7f3M5atEVN9Yn7IeORGp0QGvggB62ELw"",""Maestro!A:I""),""SELECT Col8 WHERE Col3 = '""&amp;BE5&amp;""'"", 0), 1, 1),""NO ENCONTRADO"")"),"D")</f>
        <v>D</v>
      </c>
      <c r="BI5" s="16">
        <v>1.0</v>
      </c>
      <c r="BJ5" s="16">
        <f t="shared" si="4"/>
        <v>700</v>
      </c>
      <c r="BK5" s="12"/>
      <c r="BR5" s="12"/>
      <c r="BY5" s="14"/>
      <c r="BZ5" s="14"/>
      <c r="CA5" s="14"/>
      <c r="CB5" s="14"/>
      <c r="CC5" s="14"/>
      <c r="CD5" s="14"/>
      <c r="CE5" s="14"/>
      <c r="CF5" s="12"/>
      <c r="CG5" s="12"/>
      <c r="CH5" s="12"/>
      <c r="CI5" s="12"/>
      <c r="CJ5" s="12"/>
      <c r="CK5" s="12"/>
      <c r="CL5" s="12"/>
      <c r="CM5" s="12"/>
      <c r="CN5" s="12"/>
      <c r="CO5" s="12"/>
    </row>
    <row r="6">
      <c r="A6" s="18">
        <v>1.0</v>
      </c>
      <c r="B6" s="19" t="s">
        <v>18</v>
      </c>
      <c r="C6" s="19" t="s">
        <v>25</v>
      </c>
      <c r="D6" s="20" t="str">
        <f t="shared" si="1"/>
        <v>1-1-5</v>
      </c>
      <c r="E6" s="310">
        <v>45733.0</v>
      </c>
      <c r="F6" s="311" t="s">
        <v>19</v>
      </c>
      <c r="G6" s="23" t="s">
        <v>749</v>
      </c>
      <c r="H6" s="24" t="s">
        <v>750</v>
      </c>
      <c r="I6" s="25">
        <v>100.0</v>
      </c>
      <c r="J6" s="38" t="s">
        <v>22</v>
      </c>
      <c r="K6" s="27" t="str">
        <f t="shared" si="2"/>
        <v>OCUPADO</v>
      </c>
      <c r="L6" s="28">
        <f t="shared" si="3"/>
        <v>5</v>
      </c>
      <c r="M6" s="28" t="s">
        <v>23</v>
      </c>
      <c r="N6" s="70"/>
      <c r="O6" s="29" t="s">
        <v>24</v>
      </c>
      <c r="P6" s="12"/>
      <c r="Q6" s="12"/>
      <c r="R6" s="12"/>
      <c r="S6" s="12"/>
      <c r="T6" s="12"/>
      <c r="U6" s="12"/>
      <c r="V6" s="12"/>
      <c r="AB6" s="12"/>
      <c r="AC6" s="12" t="str">
        <f>IFERROR(__xludf.DUMMYFUNCTION("""COMPUTED_VALUE"""),"1-1-5")</f>
        <v>1-1-5</v>
      </c>
      <c r="AD6" s="12" t="str">
        <f>IFERROR(__xludf.DUMMYFUNCTION("""COMPUTED_VALUE"""),"692029S")</f>
        <v>692029S</v>
      </c>
      <c r="AE6" s="12" t="str">
        <f>IFERROR(__xludf.DUMMYFUNCTION("""COMPUTED_VALUE"""),"CAJA CARTON CORRUGADO 60x40x40 S/IMPRESION")</f>
        <v>CAJA CARTON CORRUGADO 60x40x40 S/IMPRESION</v>
      </c>
      <c r="AF6" s="30">
        <f>IFERROR(__xludf.DUMMYFUNCTION("""COMPUTED_VALUE"""),100.0)</f>
        <v>100</v>
      </c>
      <c r="AG6" s="12" t="str">
        <f>IFERROR(__xludf.DUMMYFUNCTION("""COMPUTED_VALUE"""),"PROVEEDOR")</f>
        <v>PROVEEDOR</v>
      </c>
      <c r="AH6" s="12">
        <f>IFERROR(__xludf.DUMMYFUNCTION("""COMPUTED_VALUE"""),1.0)</f>
        <v>1</v>
      </c>
      <c r="AI6" s="12" t="str">
        <f>IFERROR(__xludf.DUMMYFUNCTION("""COMPUTED_VALUE"""),"1")</f>
        <v>1</v>
      </c>
      <c r="AJ6" s="12" t="str">
        <f>IFERROR(__xludf.DUMMYFUNCTION("""COMPUTED_VALUE"""),"5")</f>
        <v>5</v>
      </c>
      <c r="AK6" s="12">
        <f>IFERROR(__xludf.DUMMYFUNCTION("""COMPUTED_VALUE"""),5.0)</f>
        <v>5</v>
      </c>
      <c r="AL6" s="12" t="str">
        <f>IFERROR(__xludf.DUMMYFUNCTION("""COMPUTED_VALUE"""),"SUMMIT")</f>
        <v>SUMMIT</v>
      </c>
      <c r="AP6" s="12"/>
      <c r="AQ6" s="12"/>
      <c r="BC6" s="12"/>
      <c r="BH6" s="12" t="str">
        <f>IFERROR(__xludf.DUMMYFUNCTION("IFERROR(INDEX(QUERY(IMPORTRANGE(""1T7HG8KEs-Ob7f3M5atEVN9Yn7IeORGp0QGvggB62ELw"",""Maestro!A:I""),""SELECT Col8 WHERE Col3 = '""&amp;BE6&amp;""'"", 0), 1, 1),""NO ENCONTRADO"")"),"D")</f>
        <v>D</v>
      </c>
      <c r="BI6" s="16">
        <v>1.0</v>
      </c>
      <c r="BJ6" s="16">
        <f t="shared" si="4"/>
        <v>511</v>
      </c>
      <c r="BK6" s="12"/>
      <c r="BR6" s="12"/>
      <c r="BY6" s="14"/>
      <c r="BZ6" s="14"/>
      <c r="CA6" s="14"/>
      <c r="CB6" s="14"/>
      <c r="CC6" s="14"/>
      <c r="CD6" s="14"/>
      <c r="CE6" s="14"/>
      <c r="CF6" s="12"/>
      <c r="CG6" s="12"/>
      <c r="CH6" s="12"/>
      <c r="CI6" s="12"/>
      <c r="CJ6" s="12"/>
      <c r="CK6" s="12"/>
      <c r="CL6" s="12"/>
      <c r="CM6" s="12"/>
      <c r="CN6" s="12"/>
      <c r="CO6" s="12"/>
    </row>
    <row r="7">
      <c r="A7" s="18">
        <v>1.0</v>
      </c>
      <c r="B7" s="19" t="s">
        <v>18</v>
      </c>
      <c r="C7" s="19" t="s">
        <v>36</v>
      </c>
      <c r="D7" s="20" t="str">
        <f t="shared" si="1"/>
        <v>1-1-6</v>
      </c>
      <c r="E7" s="50"/>
      <c r="F7" s="51"/>
      <c r="G7" s="46"/>
      <c r="H7" s="47"/>
      <c r="I7" s="48"/>
      <c r="J7" s="52"/>
      <c r="K7" s="32" t="str">
        <f t="shared" si="2"/>
        <v>DISPONIBLE</v>
      </c>
      <c r="L7" s="33">
        <f t="shared" si="3"/>
        <v>6</v>
      </c>
      <c r="M7" s="33" t="s">
        <v>23</v>
      </c>
      <c r="N7" s="53"/>
      <c r="O7" s="34"/>
      <c r="P7" s="12"/>
      <c r="Q7" s="12"/>
      <c r="R7" s="12"/>
      <c r="S7" s="12"/>
      <c r="T7" s="12"/>
      <c r="U7" s="12"/>
      <c r="V7" s="12"/>
      <c r="AB7" s="12"/>
      <c r="AC7" s="12" t="str">
        <f>IFERROR(__xludf.DUMMYFUNCTION("""COMPUTED_VALUE"""),"2-2-1")</f>
        <v>2-2-1</v>
      </c>
      <c r="AD7" s="12" t="str">
        <f>IFERROR(__xludf.DUMMYFUNCTION("""COMPUTED_VALUE"""),"691411")</f>
        <v>691411</v>
      </c>
      <c r="AE7" s="12" t="str">
        <f>IFERROR(__xludf.DUMMYFUNCTION("""COMPUTED_VALUE"""),"CAJA CARTON ENVIOS SB 18x10x8 CM.")</f>
        <v>CAJA CARTON ENVIOS SB 18x10x8 CM.</v>
      </c>
      <c r="AF7" s="30">
        <f>IFERROR(__xludf.DUMMYFUNCTION("""COMPUTED_VALUE"""),1990.0)</f>
        <v>1990</v>
      </c>
      <c r="AG7" s="12" t="str">
        <f>IFERROR(__xludf.DUMMYFUNCTION("""COMPUTED_VALUE"""),"PROVEEDOR")</f>
        <v>PROVEEDOR</v>
      </c>
      <c r="AH7" s="12">
        <f>IFERROR(__xludf.DUMMYFUNCTION("""COMPUTED_VALUE"""),2.0)</f>
        <v>2</v>
      </c>
      <c r="AI7" s="12" t="str">
        <f>IFERROR(__xludf.DUMMYFUNCTION("""COMPUTED_VALUE"""),"2")</f>
        <v>2</v>
      </c>
      <c r="AJ7" s="12" t="str">
        <f>IFERROR(__xludf.DUMMYFUNCTION("""COMPUTED_VALUE"""),"1")</f>
        <v>1</v>
      </c>
      <c r="AK7" s="12">
        <f>IFERROR(__xludf.DUMMYFUNCTION("""COMPUTED_VALUE"""),11.0)</f>
        <v>11</v>
      </c>
      <c r="AL7" s="12" t="str">
        <f>IFERROR(__xludf.DUMMYFUNCTION("""COMPUTED_VALUE"""),"SUMMIT")</f>
        <v>SUMMIT</v>
      </c>
      <c r="AP7" s="12"/>
      <c r="AQ7" s="12"/>
      <c r="BC7" s="12"/>
      <c r="BH7" s="12" t="str">
        <f>IFERROR(__xludf.DUMMYFUNCTION("IFERROR(INDEX(QUERY(IMPORTRANGE(""1T7HG8KEs-Ob7f3M5atEVN9Yn7IeORGp0QGvggB62ELw"",""Maestro!A:I""),""SELECT Col8 WHERE Col3 = '""&amp;BE7&amp;""'"", 0), 1, 1),""NO ENCONTRADO"")"),"NO ENCONTRADO")</f>
        <v>NO ENCONTRADO</v>
      </c>
      <c r="BI7" s="16">
        <v>1.0</v>
      </c>
      <c r="BJ7" s="16">
        <f t="shared" si="4"/>
        <v>100</v>
      </c>
      <c r="BK7" s="12"/>
      <c r="BR7" s="12"/>
      <c r="BY7" s="14"/>
      <c r="BZ7" s="14"/>
      <c r="CA7" s="14"/>
      <c r="CB7" s="14"/>
      <c r="CC7" s="14"/>
      <c r="CD7" s="14"/>
      <c r="CE7" s="14"/>
      <c r="CF7" s="12"/>
      <c r="CG7" s="12"/>
      <c r="CH7" s="12"/>
      <c r="CI7" s="12"/>
      <c r="CJ7" s="12"/>
      <c r="CK7" s="12"/>
      <c r="CL7" s="12"/>
      <c r="CM7" s="12"/>
      <c r="CN7" s="12"/>
      <c r="CO7" s="12"/>
    </row>
    <row r="8">
      <c r="A8" s="54">
        <v>1.0</v>
      </c>
      <c r="B8" s="55" t="s">
        <v>18</v>
      </c>
      <c r="C8" s="55" t="s">
        <v>48</v>
      </c>
      <c r="D8" s="56" t="str">
        <f t="shared" si="1"/>
        <v>1-1-7</v>
      </c>
      <c r="E8" s="57"/>
      <c r="F8" s="58"/>
      <c r="G8" s="59"/>
      <c r="H8" s="60"/>
      <c r="I8" s="61"/>
      <c r="J8" s="62"/>
      <c r="K8" s="63" t="str">
        <f t="shared" si="2"/>
        <v>DISPONIBLE</v>
      </c>
      <c r="L8" s="64">
        <f t="shared" si="3"/>
        <v>7</v>
      </c>
      <c r="M8" s="64" t="s">
        <v>23</v>
      </c>
      <c r="N8" s="65"/>
      <c r="O8" s="66"/>
      <c r="P8" s="12"/>
      <c r="Q8" s="12"/>
      <c r="R8" s="12"/>
      <c r="S8" s="12"/>
      <c r="T8" s="12"/>
      <c r="U8" s="12"/>
      <c r="V8" s="12"/>
      <c r="AB8" s="12"/>
      <c r="AC8" s="12" t="str">
        <f>IFERROR(__xludf.DUMMYFUNCTION("""COMPUTED_VALUE"""),"2-3-1")</f>
        <v>2-3-1</v>
      </c>
      <c r="AD8" s="12" t="str">
        <f>IFERROR(__xludf.DUMMYFUNCTION("""COMPUTED_VALUE"""),"600482X")</f>
        <v>600482X</v>
      </c>
      <c r="AE8" s="12" t="str">
        <f>IFERROR(__xludf.DUMMYFUNCTION("""COMPUTED_VALUE"""),"CAJA CARTON CON ASAS 40X30X30 CM  EASY")</f>
        <v>CAJA CARTON CON ASAS 40X30X30 CM  EASY</v>
      </c>
      <c r="AF8" s="30">
        <f>IFERROR(__xludf.DUMMYFUNCTION("""COMPUTED_VALUE"""),868.0)</f>
        <v>868</v>
      </c>
      <c r="AG8" s="12" t="str">
        <f>IFERROR(__xludf.DUMMYFUNCTION("""COMPUTED_VALUE"""),"PROVEEDOR")</f>
        <v>PROVEEDOR</v>
      </c>
      <c r="AH8" s="12">
        <f>IFERROR(__xludf.DUMMYFUNCTION("""COMPUTED_VALUE"""),2.0)</f>
        <v>2</v>
      </c>
      <c r="AI8" s="12" t="str">
        <f>IFERROR(__xludf.DUMMYFUNCTION("""COMPUTED_VALUE"""),"3")</f>
        <v>3</v>
      </c>
      <c r="AJ8" s="12" t="str">
        <f>IFERROR(__xludf.DUMMYFUNCTION("""COMPUTED_VALUE"""),"1")</f>
        <v>1</v>
      </c>
      <c r="AK8" s="12">
        <f>IFERROR(__xludf.DUMMYFUNCTION("""COMPUTED_VALUE"""),14.0)</f>
        <v>14</v>
      </c>
      <c r="AL8" s="12" t="str">
        <f>IFERROR(__xludf.DUMMYFUNCTION("""COMPUTED_VALUE"""),"SUMMIT")</f>
        <v>SUMMIT</v>
      </c>
      <c r="AP8" s="12"/>
      <c r="AQ8" s="12"/>
      <c r="BC8" s="12"/>
      <c r="BH8" s="12" t="str">
        <f>IFERROR(__xludf.DUMMYFUNCTION("IFERROR(INDEX(QUERY(IMPORTRANGE(""1T7HG8KEs-Ob7f3M5atEVN9Yn7IeORGp0QGvggB62ELw"",""Maestro!A:I""),""SELECT Col8 WHERE Col3 = '""&amp;BE8&amp;""'"", 0), 1, 1),""NO ENCONTRADO"")"),"D")</f>
        <v>D</v>
      </c>
      <c r="BI8" s="16">
        <v>1.0</v>
      </c>
      <c r="BJ8" s="16">
        <f t="shared" si="4"/>
        <v>1990</v>
      </c>
      <c r="BK8" s="12"/>
      <c r="BR8" s="12"/>
      <c r="BY8" s="14"/>
      <c r="BZ8" s="14"/>
      <c r="CA8" s="14"/>
      <c r="CB8" s="14"/>
      <c r="CC8" s="14"/>
      <c r="CD8" s="14"/>
      <c r="CE8" s="14"/>
      <c r="CF8" s="12"/>
      <c r="CG8" s="12"/>
      <c r="CH8" s="12"/>
      <c r="CI8" s="12"/>
      <c r="CJ8" s="12"/>
      <c r="CK8" s="12"/>
      <c r="CL8" s="12"/>
      <c r="CM8" s="12"/>
      <c r="CN8" s="12"/>
      <c r="CO8" s="12"/>
    </row>
    <row r="9">
      <c r="A9" s="67">
        <v>2.0</v>
      </c>
      <c r="B9" s="68" t="s">
        <v>18</v>
      </c>
      <c r="C9" s="68" t="s">
        <v>18</v>
      </c>
      <c r="D9" s="69" t="str">
        <f t="shared" si="1"/>
        <v>2-1-1</v>
      </c>
      <c r="E9" s="50"/>
      <c r="F9" s="51"/>
      <c r="G9" s="46"/>
      <c r="H9" s="47"/>
      <c r="I9" s="48"/>
      <c r="J9" s="52"/>
      <c r="K9" s="32" t="str">
        <f t="shared" si="2"/>
        <v>DISPONIBLE</v>
      </c>
      <c r="L9" s="33">
        <f t="shared" si="3"/>
        <v>8</v>
      </c>
      <c r="M9" s="33" t="s">
        <v>23</v>
      </c>
      <c r="N9" s="53"/>
      <c r="O9" s="34"/>
      <c r="P9" s="12"/>
      <c r="Q9" s="12"/>
      <c r="R9" s="12"/>
      <c r="S9" s="12"/>
      <c r="T9" s="12"/>
      <c r="U9" s="12"/>
      <c r="V9" s="12"/>
      <c r="AB9" s="12"/>
      <c r="AC9" s="12" t="str">
        <f>IFERROR(__xludf.DUMMYFUNCTION("""COMPUTED_VALUE"""),"2-3-2")</f>
        <v>2-3-2</v>
      </c>
      <c r="AD9" s="12" t="str">
        <f>IFERROR(__xludf.DUMMYFUNCTION("""COMPUTED_VALUE"""),"600505X")</f>
        <v>600505X</v>
      </c>
      <c r="AE9" s="12" t="str">
        <f>IFERROR(__xludf.DUMMYFUNCTION("""COMPUTED_VALUE"""),"CAJA CARTON CON ASAS 70X30X30 CM EASY")</f>
        <v>CAJA CARTON CON ASAS 70X30X30 CM EASY</v>
      </c>
      <c r="AF9" s="30">
        <f>IFERROR(__xludf.DUMMYFUNCTION("""COMPUTED_VALUE"""),417.0)</f>
        <v>417</v>
      </c>
      <c r="AG9" s="12" t="str">
        <f>IFERROR(__xludf.DUMMYFUNCTION("""COMPUTED_VALUE"""),"PROVEEDOR")</f>
        <v>PROVEEDOR</v>
      </c>
      <c r="AH9" s="12">
        <f>IFERROR(__xludf.DUMMYFUNCTION("""COMPUTED_VALUE"""),2.0)</f>
        <v>2</v>
      </c>
      <c r="AI9" s="12" t="str">
        <f>IFERROR(__xludf.DUMMYFUNCTION("""COMPUTED_VALUE"""),"3")</f>
        <v>3</v>
      </c>
      <c r="AJ9" s="12" t="str">
        <f>IFERROR(__xludf.DUMMYFUNCTION("""COMPUTED_VALUE"""),"2")</f>
        <v>2</v>
      </c>
      <c r="AK9" s="12">
        <f>IFERROR(__xludf.DUMMYFUNCTION("""COMPUTED_VALUE"""),15.0)</f>
        <v>15</v>
      </c>
      <c r="AL9" s="12" t="str">
        <f>IFERROR(__xludf.DUMMYFUNCTION("""COMPUTED_VALUE"""),"SUMMIT")</f>
        <v>SUMMIT</v>
      </c>
      <c r="AP9" s="12"/>
      <c r="AQ9" s="12"/>
      <c r="BC9" s="12"/>
      <c r="BH9" s="12" t="str">
        <f>IFERROR(__xludf.DUMMYFUNCTION("IFERROR(INDEX(QUERY(IMPORTRANGE(""1T7HG8KEs-Ob7f3M5atEVN9Yn7IeORGp0QGvggB62ELw"",""Maestro!A:I""),""SELECT Col8 WHERE Col3 = '""&amp;BE9&amp;""'"", 0), 1, 1),""NO ENCONTRADO"")"),"D")</f>
        <v>D</v>
      </c>
      <c r="BI9" s="16">
        <v>1.0</v>
      </c>
      <c r="BJ9" s="16">
        <f t="shared" si="4"/>
        <v>868</v>
      </c>
      <c r="BK9" s="12"/>
      <c r="BR9" s="12"/>
      <c r="BY9" s="14"/>
      <c r="BZ9" s="14"/>
      <c r="CA9" s="14"/>
      <c r="CB9" s="14"/>
      <c r="CC9" s="14"/>
      <c r="CD9" s="14"/>
      <c r="CE9" s="14"/>
      <c r="CF9" s="12"/>
      <c r="CG9" s="12"/>
      <c r="CH9" s="12"/>
      <c r="CI9" s="12"/>
      <c r="CJ9" s="12"/>
      <c r="CK9" s="12"/>
      <c r="CL9" s="12"/>
      <c r="CM9" s="12"/>
      <c r="CN9" s="12"/>
      <c r="CO9" s="12"/>
    </row>
    <row r="10">
      <c r="A10" s="67">
        <v>2.0</v>
      </c>
      <c r="B10" s="68" t="s">
        <v>18</v>
      </c>
      <c r="C10" s="68" t="s">
        <v>32</v>
      </c>
      <c r="D10" s="69" t="str">
        <f t="shared" si="1"/>
        <v>2-1-2</v>
      </c>
      <c r="E10" s="50"/>
      <c r="F10" s="51"/>
      <c r="G10" s="46"/>
      <c r="H10" s="47"/>
      <c r="I10" s="48"/>
      <c r="J10" s="52"/>
      <c r="K10" s="27" t="str">
        <f t="shared" si="2"/>
        <v>DISPONIBLE</v>
      </c>
      <c r="L10" s="28">
        <f t="shared" si="3"/>
        <v>9</v>
      </c>
      <c r="M10" s="28" t="s">
        <v>23</v>
      </c>
      <c r="N10" s="70"/>
      <c r="O10" s="29"/>
      <c r="P10" s="12"/>
      <c r="Q10" s="12"/>
      <c r="R10" s="12"/>
      <c r="S10" s="12"/>
      <c r="T10" s="12"/>
      <c r="U10" s="12"/>
      <c r="V10" s="12"/>
      <c r="AB10" s="12"/>
      <c r="AC10" s="12" t="str">
        <f>IFERROR(__xludf.DUMMYFUNCTION("""COMPUTED_VALUE"""),"2-3-3")</f>
        <v>2-3-3</v>
      </c>
      <c r="AD10" s="12" t="str">
        <f>IFERROR(__xludf.DUMMYFUNCTION("""COMPUTED_VALUE"""),"600499X")</f>
        <v>600499X</v>
      </c>
      <c r="AE10" s="12" t="str">
        <f>IFERROR(__xludf.DUMMYFUNCTION("""COMPUTED_VALUE"""),"CAJA CARTON CON ASAS 50X30X30 CM EASY")</f>
        <v>CAJA CARTON CON ASAS 50X30X30 CM EASY</v>
      </c>
      <c r="AF10" s="30">
        <f>IFERROR(__xludf.DUMMYFUNCTION("""COMPUTED_VALUE"""),475.0)</f>
        <v>475</v>
      </c>
      <c r="AG10" s="12" t="str">
        <f>IFERROR(__xludf.DUMMYFUNCTION("""COMPUTED_VALUE"""),"PROVEEDOR")</f>
        <v>PROVEEDOR</v>
      </c>
      <c r="AH10" s="12">
        <f>IFERROR(__xludf.DUMMYFUNCTION("""COMPUTED_VALUE"""),2.0)</f>
        <v>2</v>
      </c>
      <c r="AI10" s="12" t="str">
        <f>IFERROR(__xludf.DUMMYFUNCTION("""COMPUTED_VALUE"""),"3")</f>
        <v>3</v>
      </c>
      <c r="AJ10" s="12" t="str">
        <f>IFERROR(__xludf.DUMMYFUNCTION("""COMPUTED_VALUE"""),"3")</f>
        <v>3</v>
      </c>
      <c r="AK10" s="12">
        <f>IFERROR(__xludf.DUMMYFUNCTION("""COMPUTED_VALUE"""),16.0)</f>
        <v>16</v>
      </c>
      <c r="AL10" s="12" t="str">
        <f>IFERROR(__xludf.DUMMYFUNCTION("""COMPUTED_VALUE"""),"SUMMIT")</f>
        <v>SUMMIT</v>
      </c>
      <c r="AP10" s="12"/>
      <c r="AQ10" s="12"/>
      <c r="BC10" s="12"/>
      <c r="BH10" s="12" t="str">
        <f>IFERROR(__xludf.DUMMYFUNCTION("IFERROR(INDEX(QUERY(IMPORTRANGE(""1T7HG8KEs-Ob7f3M5atEVN9Yn7IeORGp0QGvggB62ELw"",""Maestro!A:I""),""SELECT Col8 WHERE Col3 = '""&amp;BE10&amp;""'"", 0), 1, 1),""NO ENCONTRADO"")"),"D")</f>
        <v>D</v>
      </c>
      <c r="BI10" s="16">
        <v>1.0</v>
      </c>
      <c r="BJ10" s="16">
        <f t="shared" si="4"/>
        <v>417</v>
      </c>
      <c r="BK10" s="12"/>
      <c r="BR10" s="12"/>
      <c r="BY10" s="14"/>
      <c r="BZ10" s="14"/>
      <c r="CA10" s="14"/>
      <c r="CB10" s="14"/>
      <c r="CC10" s="14"/>
      <c r="CD10" s="14"/>
      <c r="CE10" s="14"/>
      <c r="CF10" s="12"/>
      <c r="CG10" s="12"/>
      <c r="CH10" s="12"/>
      <c r="CI10" s="12"/>
      <c r="CJ10" s="12"/>
      <c r="CK10" s="12"/>
      <c r="CL10" s="12"/>
      <c r="CM10" s="12"/>
      <c r="CN10" s="12"/>
      <c r="CO10" s="12"/>
    </row>
    <row r="11">
      <c r="A11" s="67">
        <v>2.0</v>
      </c>
      <c r="B11" s="68" t="s">
        <v>18</v>
      </c>
      <c r="C11" s="68" t="s">
        <v>44</v>
      </c>
      <c r="D11" s="69" t="str">
        <f t="shared" si="1"/>
        <v>2-1-3</v>
      </c>
      <c r="E11" s="50"/>
      <c r="F11" s="51"/>
      <c r="G11" s="46"/>
      <c r="H11" s="47"/>
      <c r="I11" s="48"/>
      <c r="J11" s="52"/>
      <c r="K11" s="32" t="str">
        <f t="shared" si="2"/>
        <v>DISPONIBLE</v>
      </c>
      <c r="L11" s="33">
        <f t="shared" si="3"/>
        <v>10</v>
      </c>
      <c r="M11" s="33" t="s">
        <v>23</v>
      </c>
      <c r="N11" s="53"/>
      <c r="O11" s="34"/>
      <c r="P11" s="12"/>
      <c r="Q11" s="12"/>
      <c r="R11" s="12"/>
      <c r="S11" s="12"/>
      <c r="T11" s="12"/>
      <c r="U11" s="12"/>
      <c r="V11" s="12"/>
      <c r="AB11" s="12"/>
      <c r="AC11" s="12" t="str">
        <f>IFERROR(__xludf.DUMMYFUNCTION("""COMPUTED_VALUE"""),"2-4-1")</f>
        <v>2-4-1</v>
      </c>
      <c r="AD11" s="12" t="str">
        <f>IFERROR(__xludf.DUMMYFUNCTION("""COMPUTED_VALUE"""),"600482X")</f>
        <v>600482X</v>
      </c>
      <c r="AE11" s="12" t="str">
        <f>IFERROR(__xludf.DUMMYFUNCTION("""COMPUTED_VALUE"""),"CAJA CARTON CON ASAS 40X30X30 CM  EASY")</f>
        <v>CAJA CARTON CON ASAS 40X30X30 CM  EASY</v>
      </c>
      <c r="AF11" s="30">
        <f>IFERROR(__xludf.DUMMYFUNCTION("""COMPUTED_VALUE"""),475.0)</f>
        <v>475</v>
      </c>
      <c r="AG11" s="12" t="str">
        <f>IFERROR(__xludf.DUMMYFUNCTION("""COMPUTED_VALUE"""),"PROVEEDOR")</f>
        <v>PROVEEDOR</v>
      </c>
      <c r="AH11" s="12">
        <f>IFERROR(__xludf.DUMMYFUNCTION("""COMPUTED_VALUE"""),2.0)</f>
        <v>2</v>
      </c>
      <c r="AI11" s="12" t="str">
        <f>IFERROR(__xludf.DUMMYFUNCTION("""COMPUTED_VALUE"""),"4")</f>
        <v>4</v>
      </c>
      <c r="AJ11" s="12" t="str">
        <f>IFERROR(__xludf.DUMMYFUNCTION("""COMPUTED_VALUE"""),"1")</f>
        <v>1</v>
      </c>
      <c r="AK11" s="12">
        <f>IFERROR(__xludf.DUMMYFUNCTION("""COMPUTED_VALUE"""),17.0)</f>
        <v>17</v>
      </c>
      <c r="AL11" s="12" t="str">
        <f>IFERROR(__xludf.DUMMYFUNCTION("""COMPUTED_VALUE"""),"SUMMIT")</f>
        <v>SUMMIT</v>
      </c>
      <c r="AP11" s="12"/>
      <c r="AQ11" s="12"/>
      <c r="BC11" s="12"/>
      <c r="BH11" s="12" t="str">
        <f>IFERROR(__xludf.DUMMYFUNCTION("IFERROR(INDEX(QUERY(IMPORTRANGE(""1T7HG8KEs-Ob7f3M5atEVN9Yn7IeORGp0QGvggB62ELw"",""Maestro!A:I""),""SELECT Col8 WHERE Col3 = '""&amp;BE11&amp;""'"", 0), 1, 1),""NO ENCONTRADO"")"),"D")</f>
        <v>D</v>
      </c>
      <c r="BI11" s="16">
        <v>1.0</v>
      </c>
      <c r="BJ11" s="16">
        <f t="shared" si="4"/>
        <v>475</v>
      </c>
      <c r="BK11" s="12"/>
      <c r="BR11" s="12"/>
      <c r="BY11" s="14"/>
      <c r="BZ11" s="14"/>
      <c r="CA11" s="14"/>
      <c r="CB11" s="14"/>
      <c r="CC11" s="14"/>
      <c r="CD11" s="14"/>
      <c r="CE11" s="14"/>
      <c r="CF11" s="12"/>
      <c r="CG11" s="12"/>
      <c r="CH11" s="12"/>
      <c r="CI11" s="12"/>
      <c r="CJ11" s="12"/>
      <c r="CK11" s="12"/>
      <c r="CL11" s="12"/>
      <c r="CM11" s="12"/>
      <c r="CN11" s="12"/>
      <c r="CO11" s="12"/>
    </row>
    <row r="12">
      <c r="A12" s="67">
        <v>2.0</v>
      </c>
      <c r="B12" s="68" t="s">
        <v>32</v>
      </c>
      <c r="C12" s="68" t="s">
        <v>18</v>
      </c>
      <c r="D12" s="69" t="str">
        <f t="shared" si="1"/>
        <v>2-2-1</v>
      </c>
      <c r="E12" s="21">
        <v>45733.0</v>
      </c>
      <c r="F12" s="22" t="s">
        <v>19</v>
      </c>
      <c r="G12" s="23" t="s">
        <v>70</v>
      </c>
      <c r="H12" s="24" t="s">
        <v>71</v>
      </c>
      <c r="I12" s="25">
        <v>1990.0</v>
      </c>
      <c r="J12" s="26" t="s">
        <v>22</v>
      </c>
      <c r="K12" s="27" t="str">
        <f t="shared" si="2"/>
        <v>OCUPADO</v>
      </c>
      <c r="L12" s="28">
        <f t="shared" si="3"/>
        <v>11</v>
      </c>
      <c r="M12" s="28" t="s">
        <v>23</v>
      </c>
      <c r="N12" s="70"/>
      <c r="O12" s="29" t="s">
        <v>24</v>
      </c>
      <c r="P12" s="12"/>
      <c r="Q12" s="12"/>
      <c r="R12" s="12"/>
      <c r="S12" s="12"/>
      <c r="T12" s="12"/>
      <c r="U12" s="12"/>
      <c r="V12" s="12"/>
      <c r="AB12" s="12"/>
      <c r="AC12" s="12" t="str">
        <f>IFERROR(__xludf.DUMMYFUNCTION("""COMPUTED_VALUE"""),"2-4-2")</f>
        <v>2-4-2</v>
      </c>
      <c r="AD12" s="12" t="str">
        <f>IFERROR(__xludf.DUMMYFUNCTION("""COMPUTED_VALUE"""),"600505X")</f>
        <v>600505X</v>
      </c>
      <c r="AE12" s="12" t="str">
        <f>IFERROR(__xludf.DUMMYFUNCTION("""COMPUTED_VALUE"""),"CAJA CARTON CON ASAS 70X30X30 CM EASY")</f>
        <v>CAJA CARTON CON ASAS 70X30X30 CM EASY</v>
      </c>
      <c r="AF12" s="30">
        <f>IFERROR(__xludf.DUMMYFUNCTION("""COMPUTED_VALUE"""),700.0)</f>
        <v>700</v>
      </c>
      <c r="AG12" s="12" t="str">
        <f>IFERROR(__xludf.DUMMYFUNCTION("""COMPUTED_VALUE"""),"PROVEEDOR")</f>
        <v>PROVEEDOR</v>
      </c>
      <c r="AH12" s="12">
        <f>IFERROR(__xludf.DUMMYFUNCTION("""COMPUTED_VALUE"""),2.0)</f>
        <v>2</v>
      </c>
      <c r="AI12" s="12" t="str">
        <f>IFERROR(__xludf.DUMMYFUNCTION("""COMPUTED_VALUE"""),"4")</f>
        <v>4</v>
      </c>
      <c r="AJ12" s="12" t="str">
        <f>IFERROR(__xludf.DUMMYFUNCTION("""COMPUTED_VALUE"""),"2")</f>
        <v>2</v>
      </c>
      <c r="AK12" s="12">
        <f>IFERROR(__xludf.DUMMYFUNCTION("""COMPUTED_VALUE"""),18.0)</f>
        <v>18</v>
      </c>
      <c r="AL12" s="12" t="str">
        <f>IFERROR(__xludf.DUMMYFUNCTION("""COMPUTED_VALUE"""),"SUMMIT")</f>
        <v>SUMMIT</v>
      </c>
      <c r="AP12" s="12"/>
      <c r="AQ12" s="12"/>
      <c r="BC12" s="12"/>
      <c r="BH12" s="12" t="str">
        <f>IFERROR(__xludf.DUMMYFUNCTION("IFERROR(INDEX(QUERY(IMPORTRANGE(""1T7HG8KEs-Ob7f3M5atEVN9Yn7IeORGp0QGvggB62ELw"",""Maestro!A:I""),""SELECT Col8 WHERE Col3 = '""&amp;BE12&amp;""'"", 0), 1, 1),""NO ENCONTRADO"")"),"D")</f>
        <v>D</v>
      </c>
      <c r="BI12" s="16">
        <v>1.0</v>
      </c>
      <c r="BJ12" s="16">
        <f t="shared" si="4"/>
        <v>475</v>
      </c>
      <c r="BK12" s="12"/>
      <c r="BR12" s="12"/>
      <c r="BY12" s="14"/>
      <c r="BZ12" s="14"/>
      <c r="CA12" s="14"/>
      <c r="CB12" s="14"/>
      <c r="CC12" s="14"/>
      <c r="CD12" s="14"/>
      <c r="CE12" s="14"/>
      <c r="CF12" s="12"/>
      <c r="CG12" s="12"/>
      <c r="CH12" s="12"/>
      <c r="CI12" s="12"/>
      <c r="CJ12" s="12"/>
      <c r="CK12" s="12"/>
      <c r="CL12" s="12"/>
      <c r="CM12" s="12"/>
      <c r="CN12" s="12"/>
      <c r="CO12" s="12"/>
    </row>
    <row r="13">
      <c r="A13" s="67">
        <v>2.0</v>
      </c>
      <c r="B13" s="68" t="s">
        <v>32</v>
      </c>
      <c r="C13" s="68" t="s">
        <v>32</v>
      </c>
      <c r="D13" s="69" t="str">
        <f t="shared" si="1"/>
        <v>2-2-2</v>
      </c>
      <c r="E13" s="50"/>
      <c r="F13" s="51"/>
      <c r="G13" s="46"/>
      <c r="H13" s="47"/>
      <c r="I13" s="48"/>
      <c r="J13" s="52"/>
      <c r="K13" s="32" t="str">
        <f t="shared" si="2"/>
        <v>DISPONIBLE</v>
      </c>
      <c r="L13" s="33">
        <f t="shared" si="3"/>
        <v>12</v>
      </c>
      <c r="M13" s="33" t="s">
        <v>23</v>
      </c>
      <c r="N13" s="53"/>
      <c r="O13" s="34"/>
      <c r="P13" s="12"/>
      <c r="Q13" s="12"/>
      <c r="R13" s="12"/>
      <c r="S13" s="12"/>
      <c r="T13" s="12"/>
      <c r="U13" s="12"/>
      <c r="V13" s="12"/>
      <c r="AB13" s="12"/>
      <c r="AC13" s="12" t="str">
        <f>IFERROR(__xludf.DUMMYFUNCTION("""COMPUTED_VALUE"""),"2-4-3")</f>
        <v>2-4-3</v>
      </c>
      <c r="AD13" s="12" t="str">
        <f>IFERROR(__xludf.DUMMYFUNCTION("""COMPUTED_VALUE"""),"600499X")</f>
        <v>600499X</v>
      </c>
      <c r="AE13" s="12" t="str">
        <f>IFERROR(__xludf.DUMMYFUNCTION("""COMPUTED_VALUE"""),"CAJA CARTON CON ASAS 50X30X30 CM EASY")</f>
        <v>CAJA CARTON CON ASAS 50X30X30 CM EASY</v>
      </c>
      <c r="AF13" s="30">
        <f>IFERROR(__xludf.DUMMYFUNCTION("""COMPUTED_VALUE"""),400.0)</f>
        <v>400</v>
      </c>
      <c r="AG13" s="12" t="str">
        <f>IFERROR(__xludf.DUMMYFUNCTION("""COMPUTED_VALUE"""),"PROVEEDOR")</f>
        <v>PROVEEDOR</v>
      </c>
      <c r="AH13" s="12">
        <f>IFERROR(__xludf.DUMMYFUNCTION("""COMPUTED_VALUE"""),2.0)</f>
        <v>2</v>
      </c>
      <c r="AI13" s="12" t="str">
        <f>IFERROR(__xludf.DUMMYFUNCTION("""COMPUTED_VALUE"""),"4")</f>
        <v>4</v>
      </c>
      <c r="AJ13" s="12" t="str">
        <f>IFERROR(__xludf.DUMMYFUNCTION("""COMPUTED_VALUE"""),"3")</f>
        <v>3</v>
      </c>
      <c r="AK13" s="12">
        <f>IFERROR(__xludf.DUMMYFUNCTION("""COMPUTED_VALUE"""),19.0)</f>
        <v>19</v>
      </c>
      <c r="AL13" s="12" t="str">
        <f>IFERROR(__xludf.DUMMYFUNCTION("""COMPUTED_VALUE"""),"SUMMIT")</f>
        <v>SUMMIT</v>
      </c>
      <c r="AP13" s="12"/>
      <c r="AQ13" s="12"/>
      <c r="BC13" s="12"/>
      <c r="BH13" s="12" t="str">
        <f>IFERROR(__xludf.DUMMYFUNCTION("IFERROR(INDEX(QUERY(IMPORTRANGE(""1T7HG8KEs-Ob7f3M5atEVN9Yn7IeORGp0QGvggB62ELw"",""Maestro!A:I""),""SELECT Col8 WHERE Col3 = '""&amp;BE13&amp;""'"", 0), 1, 1),""NO ENCONTRADO"")"),"D")</f>
        <v>D</v>
      </c>
      <c r="BI13" s="16">
        <v>1.0</v>
      </c>
      <c r="BJ13" s="16">
        <f t="shared" si="4"/>
        <v>700</v>
      </c>
      <c r="BK13" s="12"/>
      <c r="BR13" s="12"/>
      <c r="BY13" s="14"/>
      <c r="BZ13" s="14"/>
      <c r="CA13" s="14"/>
      <c r="CB13" s="14"/>
      <c r="CC13" s="14"/>
      <c r="CD13" s="14"/>
      <c r="CE13" s="14"/>
      <c r="CF13" s="12"/>
      <c r="CG13" s="12"/>
      <c r="CH13" s="12"/>
      <c r="CI13" s="12"/>
      <c r="CJ13" s="12"/>
      <c r="CK13" s="12"/>
      <c r="CL13" s="12"/>
      <c r="CM13" s="12"/>
      <c r="CN13" s="12"/>
      <c r="CO13" s="12"/>
    </row>
    <row r="14">
      <c r="A14" s="67">
        <v>2.0</v>
      </c>
      <c r="B14" s="68" t="s">
        <v>32</v>
      </c>
      <c r="C14" s="68" t="s">
        <v>44</v>
      </c>
      <c r="D14" s="69" t="str">
        <f t="shared" si="1"/>
        <v>2-2-3</v>
      </c>
      <c r="E14" s="50"/>
      <c r="F14" s="51"/>
      <c r="G14" s="46"/>
      <c r="H14" s="47"/>
      <c r="I14" s="48"/>
      <c r="J14" s="52"/>
      <c r="K14" s="27" t="str">
        <f t="shared" si="2"/>
        <v>DISPONIBLE</v>
      </c>
      <c r="L14" s="28">
        <f t="shared" si="3"/>
        <v>13</v>
      </c>
      <c r="M14" s="28" t="s">
        <v>23</v>
      </c>
      <c r="N14" s="70"/>
      <c r="O14" s="29"/>
      <c r="P14" s="12"/>
      <c r="Q14" s="12"/>
      <c r="R14" s="12"/>
      <c r="S14" s="12"/>
      <c r="T14" s="12"/>
      <c r="U14" s="12"/>
      <c r="V14" s="12"/>
      <c r="AB14" s="12"/>
      <c r="AC14" s="12" t="str">
        <f>IFERROR(__xludf.DUMMYFUNCTION("""COMPUTED_VALUE"""),"2-5-1")</f>
        <v>2-5-1</v>
      </c>
      <c r="AD14" s="12" t="str">
        <f>IFERROR(__xludf.DUMMYFUNCTION("""COMPUTED_VALUE"""),"600499X")</f>
        <v>600499X</v>
      </c>
      <c r="AE14" s="12" t="str">
        <f>IFERROR(__xludf.DUMMYFUNCTION("""COMPUTED_VALUE"""),"CAJA CARTON CON ASAS 50X30X30 CM EASY")</f>
        <v>CAJA CARTON CON ASAS 50X30X30 CM EASY</v>
      </c>
      <c r="AF14" s="30">
        <f>IFERROR(__xludf.DUMMYFUNCTION("""COMPUTED_VALUE"""),409.0)</f>
        <v>409</v>
      </c>
      <c r="AG14" s="12" t="str">
        <f>IFERROR(__xludf.DUMMYFUNCTION("""COMPUTED_VALUE"""),"PROVEEDOR")</f>
        <v>PROVEEDOR</v>
      </c>
      <c r="AH14" s="12">
        <f>IFERROR(__xludf.DUMMYFUNCTION("""COMPUTED_VALUE"""),2.0)</f>
        <v>2</v>
      </c>
      <c r="AI14" s="12" t="str">
        <f>IFERROR(__xludf.DUMMYFUNCTION("""COMPUTED_VALUE"""),"5")</f>
        <v>5</v>
      </c>
      <c r="AJ14" s="12" t="str">
        <f>IFERROR(__xludf.DUMMYFUNCTION("""COMPUTED_VALUE"""),"1")</f>
        <v>1</v>
      </c>
      <c r="AK14" s="12">
        <f>IFERROR(__xludf.DUMMYFUNCTION("""COMPUTED_VALUE"""),20.0)</f>
        <v>20</v>
      </c>
      <c r="AL14" s="12" t="str">
        <f>IFERROR(__xludf.DUMMYFUNCTION("""COMPUTED_VALUE"""),"SUMMIT")</f>
        <v>SUMMIT</v>
      </c>
      <c r="AP14" s="12"/>
      <c r="AQ14" s="12"/>
      <c r="BC14" s="12"/>
      <c r="BH14" s="12" t="str">
        <f>IFERROR(__xludf.DUMMYFUNCTION("IFERROR(INDEX(QUERY(IMPORTRANGE(""1T7HG8KEs-Ob7f3M5atEVN9Yn7IeORGp0QGvggB62ELw"",""Maestro!A:I""),""SELECT Col8 WHERE Col3 = '""&amp;BE14&amp;""'"", 0), 1, 1),""NO ENCONTRADO"")"),"D")</f>
        <v>D</v>
      </c>
      <c r="BI14" s="16">
        <v>1.0</v>
      </c>
      <c r="BJ14" s="16">
        <f t="shared" si="4"/>
        <v>400</v>
      </c>
      <c r="BK14" s="12"/>
      <c r="BR14" s="12"/>
      <c r="BY14" s="14"/>
      <c r="BZ14" s="14"/>
      <c r="CA14" s="14"/>
      <c r="CB14" s="14"/>
      <c r="CC14" s="14"/>
      <c r="CD14" s="14"/>
      <c r="CE14" s="14"/>
      <c r="CF14" s="12"/>
      <c r="CG14" s="12"/>
      <c r="CH14" s="12"/>
      <c r="CI14" s="12"/>
      <c r="CJ14" s="12"/>
      <c r="CK14" s="12"/>
      <c r="CL14" s="12"/>
      <c r="CM14" s="12"/>
      <c r="CN14" s="12"/>
      <c r="CO14" s="12"/>
    </row>
    <row r="15">
      <c r="A15" s="67">
        <v>2.0</v>
      </c>
      <c r="B15" s="68" t="s">
        <v>44</v>
      </c>
      <c r="C15" s="68" t="s">
        <v>18</v>
      </c>
      <c r="D15" s="69" t="str">
        <f t="shared" si="1"/>
        <v>2-3-1</v>
      </c>
      <c r="E15" s="78">
        <v>45737.0</v>
      </c>
      <c r="F15" s="88" t="s">
        <v>154</v>
      </c>
      <c r="G15" s="80" t="s">
        <v>67</v>
      </c>
      <c r="H15" s="81" t="s">
        <v>68</v>
      </c>
      <c r="I15" s="82">
        <v>868.0</v>
      </c>
      <c r="J15" s="81" t="s">
        <v>22</v>
      </c>
      <c r="K15" s="32" t="str">
        <f t="shared" si="2"/>
        <v>OCUPADO</v>
      </c>
      <c r="L15" s="33">
        <f t="shared" si="3"/>
        <v>14</v>
      </c>
      <c r="M15" s="33" t="s">
        <v>23</v>
      </c>
      <c r="N15" s="53"/>
      <c r="O15" s="34" t="s">
        <v>24</v>
      </c>
      <c r="P15" s="12"/>
      <c r="Q15" s="12"/>
      <c r="R15" s="12"/>
      <c r="S15" s="12"/>
      <c r="T15" s="12"/>
      <c r="U15" s="12"/>
      <c r="V15" s="12"/>
      <c r="AB15" s="12"/>
      <c r="AC15" s="12" t="str">
        <f>IFERROR(__xludf.DUMMYFUNCTION("""COMPUTED_VALUE"""),"2-5-3")</f>
        <v>2-5-3</v>
      </c>
      <c r="AD15" s="12" t="str">
        <f>IFERROR(__xludf.DUMMYFUNCTION("""COMPUTED_VALUE"""),"600666")</f>
        <v>600666</v>
      </c>
      <c r="AE15" s="12" t="str">
        <f>IFERROR(__xludf.DUMMYFUNCTION("""COMPUTED_VALUE"""),"CAJA CARTON S/IMP 32x23x32 CM")</f>
        <v>CAJA CARTON S/IMP 32x23x32 CM</v>
      </c>
      <c r="AF15" s="30">
        <f>IFERROR(__xludf.DUMMYFUNCTION("""COMPUTED_VALUE"""),700.0)</f>
        <v>700</v>
      </c>
      <c r="AG15" s="12" t="str">
        <f>IFERROR(__xludf.DUMMYFUNCTION("""COMPUTED_VALUE"""),"PROVEEDOR")</f>
        <v>PROVEEDOR</v>
      </c>
      <c r="AH15" s="12">
        <f>IFERROR(__xludf.DUMMYFUNCTION("""COMPUTED_VALUE"""),2.0)</f>
        <v>2</v>
      </c>
      <c r="AI15" s="12" t="str">
        <f>IFERROR(__xludf.DUMMYFUNCTION("""COMPUTED_VALUE"""),"5")</f>
        <v>5</v>
      </c>
      <c r="AJ15" s="12" t="str">
        <f>IFERROR(__xludf.DUMMYFUNCTION("""COMPUTED_VALUE"""),"3")</f>
        <v>3</v>
      </c>
      <c r="AK15" s="12">
        <f>IFERROR(__xludf.DUMMYFUNCTION("""COMPUTED_VALUE"""),22.0)</f>
        <v>22</v>
      </c>
      <c r="AL15" s="12" t="str">
        <f>IFERROR(__xludf.DUMMYFUNCTION("""COMPUTED_VALUE"""),"SUMMIT")</f>
        <v>SUMMIT</v>
      </c>
      <c r="AP15" s="12"/>
      <c r="AQ15" s="12"/>
      <c r="BC15" s="12"/>
      <c r="BH15" s="12" t="str">
        <f>IFERROR(__xludf.DUMMYFUNCTION("IFERROR(INDEX(QUERY(IMPORTRANGE(""1T7HG8KEs-Ob7f3M5atEVN9Yn7IeORGp0QGvggB62ELw"",""Maestro!A:I""),""SELECT Col8 WHERE Col3 = '""&amp;BE15&amp;""'"", 0), 1, 1),""NO ENCONTRADO"")"),"D")</f>
        <v>D</v>
      </c>
      <c r="BI15" s="16">
        <v>1.0</v>
      </c>
      <c r="BJ15" s="16">
        <f t="shared" si="4"/>
        <v>409</v>
      </c>
      <c r="BK15" s="12"/>
      <c r="BR15" s="12"/>
      <c r="BY15" s="14"/>
      <c r="BZ15" s="14"/>
      <c r="CA15" s="14"/>
      <c r="CB15" s="14"/>
      <c r="CC15" s="14"/>
      <c r="CD15" s="14"/>
      <c r="CE15" s="14"/>
      <c r="CF15" s="12"/>
      <c r="CG15" s="12"/>
      <c r="CH15" s="12"/>
      <c r="CI15" s="12"/>
      <c r="CJ15" s="12"/>
      <c r="CK15" s="12"/>
      <c r="CL15" s="12"/>
      <c r="CM15" s="12"/>
      <c r="CN15" s="12"/>
      <c r="CO15" s="12"/>
    </row>
    <row r="16">
      <c r="A16" s="67">
        <v>2.0</v>
      </c>
      <c r="B16" s="68" t="s">
        <v>44</v>
      </c>
      <c r="C16" s="68" t="s">
        <v>32</v>
      </c>
      <c r="D16" s="69" t="str">
        <f t="shared" si="1"/>
        <v>2-3-2</v>
      </c>
      <c r="E16" s="78">
        <v>45737.0</v>
      </c>
      <c r="F16" s="79" t="s">
        <v>154</v>
      </c>
      <c r="G16" s="80" t="s">
        <v>83</v>
      </c>
      <c r="H16" s="81" t="s">
        <v>84</v>
      </c>
      <c r="I16" s="82">
        <v>417.0</v>
      </c>
      <c r="J16" s="81" t="s">
        <v>22</v>
      </c>
      <c r="K16" s="27" t="str">
        <f t="shared" si="2"/>
        <v>OCUPADO</v>
      </c>
      <c r="L16" s="28">
        <f t="shared" si="3"/>
        <v>15</v>
      </c>
      <c r="M16" s="28" t="s">
        <v>23</v>
      </c>
      <c r="N16" s="70"/>
      <c r="O16" s="29" t="s">
        <v>24</v>
      </c>
      <c r="P16" s="12"/>
      <c r="Q16" s="12"/>
      <c r="R16" s="12"/>
      <c r="S16" s="12"/>
      <c r="T16" s="12"/>
      <c r="U16" s="12"/>
      <c r="V16" s="12"/>
      <c r="AB16" s="12"/>
      <c r="AC16" s="12" t="str">
        <f>IFERROR(__xludf.DUMMYFUNCTION("""COMPUTED_VALUE"""),"2-6-1")</f>
        <v>2-6-1</v>
      </c>
      <c r="AD16" s="12" t="str">
        <f>IFERROR(__xludf.DUMMYFUNCTION("""COMPUTED_VALUE"""),"600536")</f>
        <v>600536</v>
      </c>
      <c r="AE16" s="12" t="str">
        <f>IFERROR(__xludf.DUMMYFUNCTION("""COMPUTED_VALUE"""),"ROLLO PAPEL KRAFT 35GR 20 MT")</f>
        <v>ROLLO PAPEL KRAFT 35GR 20 MT</v>
      </c>
      <c r="AF16" s="30">
        <f>IFERROR(__xludf.DUMMYFUNCTION("""COMPUTED_VALUE"""),299.0)</f>
        <v>299</v>
      </c>
      <c r="AG16" s="12" t="str">
        <f>IFERROR(__xludf.DUMMYFUNCTION("""COMPUTED_VALUE"""),"PROVEEDOR")</f>
        <v>PROVEEDOR</v>
      </c>
      <c r="AH16" s="12">
        <f>IFERROR(__xludf.DUMMYFUNCTION("""COMPUTED_VALUE"""),2.0)</f>
        <v>2</v>
      </c>
      <c r="AI16" s="12" t="str">
        <f>IFERROR(__xludf.DUMMYFUNCTION("""COMPUTED_VALUE"""),"6")</f>
        <v>6</v>
      </c>
      <c r="AJ16" s="12" t="str">
        <f>IFERROR(__xludf.DUMMYFUNCTION("""COMPUTED_VALUE"""),"1")</f>
        <v>1</v>
      </c>
      <c r="AK16" s="12">
        <f>IFERROR(__xludf.DUMMYFUNCTION("""COMPUTED_VALUE"""),23.0)</f>
        <v>23</v>
      </c>
      <c r="AL16" s="12" t="str">
        <f>IFERROR(__xludf.DUMMYFUNCTION("""COMPUTED_VALUE"""),"SUMMIT")</f>
        <v>SUMMIT</v>
      </c>
      <c r="AP16" s="12"/>
      <c r="AQ16" s="12"/>
      <c r="BC16" s="12"/>
      <c r="BH16" s="12" t="str">
        <f>IFERROR(__xludf.DUMMYFUNCTION("IFERROR(INDEX(QUERY(IMPORTRANGE(""1T7HG8KEs-Ob7f3M5atEVN9Yn7IeORGp0QGvggB62ELw"",""Maestro!A:I""),""SELECT Col8 WHERE Col3 = '""&amp;BE16&amp;""'"", 0), 1, 1),""NO ENCONTRADO"")"),"D")</f>
        <v>D</v>
      </c>
      <c r="BI16" s="16">
        <v>1.0</v>
      </c>
      <c r="BJ16" s="16">
        <f t="shared" si="4"/>
        <v>700</v>
      </c>
      <c r="BK16" s="12"/>
      <c r="BR16" s="12"/>
      <c r="BY16" s="14"/>
      <c r="BZ16" s="14"/>
      <c r="CA16" s="14"/>
      <c r="CB16" s="14"/>
      <c r="CC16" s="14"/>
      <c r="CD16" s="14"/>
      <c r="CE16" s="14"/>
      <c r="CF16" s="12"/>
      <c r="CG16" s="12"/>
      <c r="CH16" s="12"/>
      <c r="CI16" s="12"/>
      <c r="CJ16" s="12"/>
      <c r="CK16" s="12"/>
      <c r="CL16" s="12"/>
      <c r="CM16" s="12"/>
      <c r="CN16" s="12"/>
      <c r="CO16" s="12"/>
    </row>
    <row r="17">
      <c r="A17" s="67">
        <v>2.0</v>
      </c>
      <c r="B17" s="68" t="s">
        <v>44</v>
      </c>
      <c r="C17" s="68" t="s">
        <v>44</v>
      </c>
      <c r="D17" s="69" t="str">
        <f t="shared" si="1"/>
        <v>2-3-3</v>
      </c>
      <c r="E17" s="78">
        <v>45751.0</v>
      </c>
      <c r="F17" s="79" t="s">
        <v>154</v>
      </c>
      <c r="G17" s="80" t="s">
        <v>74</v>
      </c>
      <c r="H17" s="81" t="s">
        <v>75</v>
      </c>
      <c r="I17" s="82">
        <v>475.0</v>
      </c>
      <c r="J17" s="81" t="s">
        <v>22</v>
      </c>
      <c r="K17" s="32" t="str">
        <f t="shared" si="2"/>
        <v>OCUPADO</v>
      </c>
      <c r="L17" s="33">
        <f t="shared" si="3"/>
        <v>16</v>
      </c>
      <c r="M17" s="33" t="s">
        <v>23</v>
      </c>
      <c r="N17" s="53"/>
      <c r="O17" s="34" t="s">
        <v>24</v>
      </c>
      <c r="P17" s="12"/>
      <c r="Q17" s="12"/>
      <c r="R17" s="12"/>
      <c r="S17" s="12"/>
      <c r="T17" s="12"/>
      <c r="U17" s="12"/>
      <c r="V17" s="12"/>
      <c r="AB17" s="12"/>
      <c r="AC17" s="12" t="str">
        <f>IFERROR(__xludf.DUMMYFUNCTION("""COMPUTED_VALUE"""),"2-6-2")</f>
        <v>2-6-2</v>
      </c>
      <c r="AD17" s="12" t="str">
        <f>IFERROR(__xludf.DUMMYFUNCTION("""COMPUTED_VALUE"""),"PDQSEPARADORPLATO")</f>
        <v>PDQSEPARADORPLATO</v>
      </c>
      <c r="AE17" s="12" t="str">
        <f>IFERROR(__xludf.DUMMYFUNCTION("""COMPUTED_VALUE"""),"PDQ SEPARADOR PLATO")</f>
        <v>PDQ SEPARADOR PLATO</v>
      </c>
      <c r="AF17" s="30">
        <f>IFERROR(__xludf.DUMMYFUNCTION("""COMPUTED_VALUE"""),111.0)</f>
        <v>111</v>
      </c>
      <c r="AG17" s="12" t="str">
        <f>IFERROR(__xludf.DUMMYFUNCTION("""COMPUTED_VALUE"""),"PROVEEDOR")</f>
        <v>PROVEEDOR</v>
      </c>
      <c r="AH17" s="12">
        <f>IFERROR(__xludf.DUMMYFUNCTION("""COMPUTED_VALUE"""),2.0)</f>
        <v>2</v>
      </c>
      <c r="AI17" s="12" t="str">
        <f>IFERROR(__xludf.DUMMYFUNCTION("""COMPUTED_VALUE"""),"6")</f>
        <v>6</v>
      </c>
      <c r="AJ17" s="12" t="str">
        <f>IFERROR(__xludf.DUMMYFUNCTION("""COMPUTED_VALUE"""),"2")</f>
        <v>2</v>
      </c>
      <c r="AK17" s="12">
        <f>IFERROR(__xludf.DUMMYFUNCTION("""COMPUTED_VALUE"""),24.0)</f>
        <v>24</v>
      </c>
      <c r="AL17" s="12" t="str">
        <f>IFERROR(__xludf.DUMMYFUNCTION("""COMPUTED_VALUE"""),"SUMMIT")</f>
        <v>SUMMIT</v>
      </c>
      <c r="AP17" s="12"/>
      <c r="AQ17" s="12"/>
      <c r="BC17" s="12"/>
      <c r="BH17" s="12" t="str">
        <f>IFERROR(__xludf.DUMMYFUNCTION("IFERROR(INDEX(QUERY(IMPORTRANGE(""1T7HG8KEs-Ob7f3M5atEVN9Yn7IeORGp0QGvggB62ELw"",""Maestro!A:I""),""SELECT Col8 WHERE Col3 = '""&amp;BE17&amp;""'"", 0), 1, 1),""NO ENCONTRADO"")"),"D")</f>
        <v>D</v>
      </c>
      <c r="BI17" s="16">
        <v>1.0</v>
      </c>
      <c r="BJ17" s="16">
        <f t="shared" si="4"/>
        <v>299</v>
      </c>
      <c r="BK17" s="12"/>
      <c r="BR17" s="12"/>
      <c r="BY17" s="14"/>
      <c r="BZ17" s="14"/>
      <c r="CA17" s="14"/>
      <c r="CB17" s="14"/>
      <c r="CC17" s="14"/>
      <c r="CD17" s="14"/>
      <c r="CE17" s="14"/>
      <c r="CF17" s="12"/>
      <c r="CG17" s="12"/>
      <c r="CH17" s="12"/>
      <c r="CI17" s="12"/>
      <c r="CJ17" s="12"/>
      <c r="CK17" s="12"/>
      <c r="CL17" s="12"/>
      <c r="CM17" s="12"/>
      <c r="CN17" s="12"/>
      <c r="CO17" s="12"/>
    </row>
    <row r="18">
      <c r="A18" s="67">
        <v>2.0</v>
      </c>
      <c r="B18" s="68" t="s">
        <v>53</v>
      </c>
      <c r="C18" s="68" t="s">
        <v>18</v>
      </c>
      <c r="D18" s="69" t="str">
        <f t="shared" si="1"/>
        <v>2-4-1</v>
      </c>
      <c r="E18" s="78">
        <v>45737.0</v>
      </c>
      <c r="F18" s="79" t="s">
        <v>154</v>
      </c>
      <c r="G18" s="80" t="s">
        <v>67</v>
      </c>
      <c r="H18" s="81" t="s">
        <v>68</v>
      </c>
      <c r="I18" s="82">
        <v>475.0</v>
      </c>
      <c r="J18" s="81" t="s">
        <v>22</v>
      </c>
      <c r="K18" s="27" t="str">
        <f t="shared" si="2"/>
        <v>OCUPADO</v>
      </c>
      <c r="L18" s="28">
        <f t="shared" si="3"/>
        <v>17</v>
      </c>
      <c r="M18" s="28" t="s">
        <v>23</v>
      </c>
      <c r="N18" s="70"/>
      <c r="O18" s="29" t="s">
        <v>24</v>
      </c>
      <c r="P18" s="12"/>
      <c r="Q18" s="12"/>
      <c r="R18" s="12"/>
      <c r="S18" s="12"/>
      <c r="T18" s="12"/>
      <c r="U18" s="12"/>
      <c r="V18" s="12"/>
      <c r="AB18" s="12"/>
      <c r="AC18" s="12" t="str">
        <f>IFERROR(__xludf.DUMMYFUNCTION("""COMPUTED_VALUE"""),"3-1-1A")</f>
        <v>3-1-1A</v>
      </c>
      <c r="AD18" s="12" t="str">
        <f>IFERROR(__xludf.DUMMYFUNCTION("""COMPUTED_VALUE"""),"692036X")</f>
        <v>692036X</v>
      </c>
      <c r="AE18" s="12" t="str">
        <f>IFERROR(__xludf.DUMMYFUNCTION("""COMPUTED_VALUE"""),"CAJA CARTON CORRUGADO 47x31x31 ")</f>
        <v>CAJA CARTON CORRUGADO 47x31x31 </v>
      </c>
      <c r="AF18" s="30">
        <f>IFERROR(__xludf.DUMMYFUNCTION("""COMPUTED_VALUE"""),200.0)</f>
        <v>200</v>
      </c>
      <c r="AG18" s="12" t="str">
        <f>IFERROR(__xludf.DUMMYFUNCTION("""COMPUTED_VALUE"""),"PROVEEDOR")</f>
        <v>PROVEEDOR</v>
      </c>
      <c r="AH18" s="12">
        <f>IFERROR(__xludf.DUMMYFUNCTION("""COMPUTED_VALUE"""),3.0)</f>
        <v>3</v>
      </c>
      <c r="AI18" s="12" t="str">
        <f>IFERROR(__xludf.DUMMYFUNCTION("""COMPUTED_VALUE"""),"1")</f>
        <v>1</v>
      </c>
      <c r="AJ18" s="12" t="str">
        <f>IFERROR(__xludf.DUMMYFUNCTION("""COMPUTED_VALUE"""),"1A")</f>
        <v>1A</v>
      </c>
      <c r="AK18" s="12">
        <f>IFERROR(__xludf.DUMMYFUNCTION("""COMPUTED_VALUE"""),26.0)</f>
        <v>26</v>
      </c>
      <c r="AL18" s="12" t="str">
        <f>IFERROR(__xludf.DUMMYFUNCTION("""COMPUTED_VALUE"""),"SUMMIT")</f>
        <v>SUMMIT</v>
      </c>
      <c r="AP18" s="12"/>
      <c r="AQ18" s="12"/>
      <c r="BC18" s="12"/>
      <c r="BH18" s="12" t="str">
        <f>IFERROR(__xludf.DUMMYFUNCTION("IFERROR(INDEX(QUERY(IMPORTRANGE(""1T7HG8KEs-Ob7f3M5atEVN9Yn7IeORGp0QGvggB62ELw"",""Maestro!A:I""),""SELECT Col8 WHERE Col3 = '""&amp;BE18&amp;""'"", 0), 1, 1),""NO ENCONTRADO"")"),"NO ENCONTRADO")</f>
        <v>NO ENCONTRADO</v>
      </c>
      <c r="BI18" s="16">
        <v>1.0</v>
      </c>
      <c r="BJ18" s="16">
        <f t="shared" si="4"/>
        <v>111</v>
      </c>
      <c r="BK18" s="12"/>
      <c r="BR18" s="12"/>
      <c r="BY18" s="14"/>
      <c r="BZ18" s="14"/>
      <c r="CA18" s="14"/>
      <c r="CB18" s="14"/>
      <c r="CC18" s="14"/>
      <c r="CD18" s="14"/>
      <c r="CE18" s="14"/>
      <c r="CF18" s="12"/>
      <c r="CG18" s="12"/>
      <c r="CH18" s="12"/>
      <c r="CI18" s="12"/>
      <c r="CJ18" s="12"/>
      <c r="CK18" s="12"/>
      <c r="CL18" s="12"/>
      <c r="CM18" s="12"/>
      <c r="CN18" s="12"/>
      <c r="CO18" s="12"/>
    </row>
    <row r="19">
      <c r="A19" s="67">
        <v>2.0</v>
      </c>
      <c r="B19" s="68" t="s">
        <v>53</v>
      </c>
      <c r="C19" s="68" t="s">
        <v>32</v>
      </c>
      <c r="D19" s="69" t="str">
        <f t="shared" si="1"/>
        <v>2-4-2</v>
      </c>
      <c r="E19" s="78">
        <v>45754.0</v>
      </c>
      <c r="F19" s="79" t="s">
        <v>154</v>
      </c>
      <c r="G19" s="80" t="s">
        <v>83</v>
      </c>
      <c r="H19" s="81" t="s">
        <v>84</v>
      </c>
      <c r="I19" s="82">
        <v>700.0</v>
      </c>
      <c r="J19" s="81" t="s">
        <v>22</v>
      </c>
      <c r="K19" s="32" t="str">
        <f t="shared" si="2"/>
        <v>OCUPADO</v>
      </c>
      <c r="L19" s="33">
        <f t="shared" si="3"/>
        <v>18</v>
      </c>
      <c r="M19" s="33" t="s">
        <v>23</v>
      </c>
      <c r="N19" s="53"/>
      <c r="O19" s="34" t="s">
        <v>24</v>
      </c>
      <c r="P19" s="12"/>
      <c r="Q19" s="12"/>
      <c r="R19" s="12"/>
      <c r="S19" s="12"/>
      <c r="T19" s="12"/>
      <c r="U19" s="12"/>
      <c r="V19" s="12"/>
      <c r="AB19" s="12"/>
      <c r="AC19" s="12" t="str">
        <f>IFERROR(__xludf.DUMMYFUNCTION("""COMPUTED_VALUE"""),"3-1-2A")</f>
        <v>3-1-2A</v>
      </c>
      <c r="AD19" s="12" t="str">
        <f>IFERROR(__xludf.DUMMYFUNCTION("""COMPUTED_VALUE"""),"600567")</f>
        <v>600567</v>
      </c>
      <c r="AE19" s="12" t="str">
        <f>IFERROR(__xludf.DUMMYFUNCTION("""COMPUTED_VALUE"""),"SEPARADORES PLATOS 32X23X32")</f>
        <v>SEPARADORES PLATOS 32X23X32</v>
      </c>
      <c r="AF19" s="30">
        <f>IFERROR(__xludf.DUMMYFUNCTION("""COMPUTED_VALUE"""),525.0)</f>
        <v>525</v>
      </c>
      <c r="AG19" s="12" t="str">
        <f>IFERROR(__xludf.DUMMYFUNCTION("""COMPUTED_VALUE"""),"PROVEEDOR")</f>
        <v>PROVEEDOR</v>
      </c>
      <c r="AH19" s="12">
        <f>IFERROR(__xludf.DUMMYFUNCTION("""COMPUTED_VALUE"""),3.0)</f>
        <v>3</v>
      </c>
      <c r="AI19" s="12" t="str">
        <f>IFERROR(__xludf.DUMMYFUNCTION("""COMPUTED_VALUE"""),"1")</f>
        <v>1</v>
      </c>
      <c r="AJ19" s="12" t="str">
        <f>IFERROR(__xludf.DUMMYFUNCTION("""COMPUTED_VALUE"""),"2A")</f>
        <v>2A</v>
      </c>
      <c r="AK19" s="12">
        <f>IFERROR(__xludf.DUMMYFUNCTION("""COMPUTED_VALUE"""),28.0)</f>
        <v>28</v>
      </c>
      <c r="AL19" s="12" t="str">
        <f>IFERROR(__xludf.DUMMYFUNCTION("""COMPUTED_VALUE"""),"SUMMIT")</f>
        <v>SUMMIT</v>
      </c>
      <c r="AP19" s="12"/>
      <c r="AQ19" s="12"/>
      <c r="BC19" s="12"/>
      <c r="BH19" s="12" t="str">
        <f>IFERROR(__xludf.DUMMYFUNCTION("IFERROR(INDEX(QUERY(IMPORTRANGE(""1T7HG8KEs-Ob7f3M5atEVN9Yn7IeORGp0QGvggB62ELw"",""Maestro!A:I""),""SELECT Col8 WHERE Col3 = '""&amp;BE19&amp;""'"", 0), 1, 1),""NO ENCONTRADO"")"),"D")</f>
        <v>D</v>
      </c>
      <c r="BI19" s="16">
        <v>1.0</v>
      </c>
      <c r="BJ19" s="16">
        <f t="shared" si="4"/>
        <v>200</v>
      </c>
      <c r="BK19" s="12"/>
      <c r="BR19" s="12"/>
      <c r="BY19" s="14"/>
      <c r="BZ19" s="14"/>
      <c r="CA19" s="14"/>
      <c r="CB19" s="14"/>
      <c r="CC19" s="14"/>
      <c r="CD19" s="14"/>
      <c r="CE19" s="14"/>
      <c r="CF19" s="12"/>
      <c r="CG19" s="12"/>
      <c r="CH19" s="12"/>
      <c r="CI19" s="12"/>
      <c r="CJ19" s="12"/>
      <c r="CK19" s="12"/>
      <c r="CL19" s="12"/>
      <c r="CM19" s="12"/>
      <c r="CN19" s="12"/>
      <c r="CO19" s="12"/>
    </row>
    <row r="20">
      <c r="A20" s="67">
        <v>2.0</v>
      </c>
      <c r="B20" s="68" t="s">
        <v>53</v>
      </c>
      <c r="C20" s="68" t="s">
        <v>44</v>
      </c>
      <c r="D20" s="69" t="str">
        <f t="shared" si="1"/>
        <v>2-4-3</v>
      </c>
      <c r="E20" s="78">
        <v>45751.0</v>
      </c>
      <c r="F20" s="79" t="s">
        <v>154</v>
      </c>
      <c r="G20" s="80" t="s">
        <v>74</v>
      </c>
      <c r="H20" s="81" t="s">
        <v>75</v>
      </c>
      <c r="I20" s="82">
        <v>400.0</v>
      </c>
      <c r="J20" s="81" t="s">
        <v>22</v>
      </c>
      <c r="K20" s="27" t="str">
        <f t="shared" si="2"/>
        <v>OCUPADO</v>
      </c>
      <c r="L20" s="28">
        <f t="shared" si="3"/>
        <v>19</v>
      </c>
      <c r="M20" s="28" t="s">
        <v>23</v>
      </c>
      <c r="N20" s="70"/>
      <c r="O20" s="29" t="s">
        <v>24</v>
      </c>
      <c r="P20" s="12"/>
      <c r="Q20" s="12"/>
      <c r="R20" s="12"/>
      <c r="S20" s="12"/>
      <c r="T20" s="12"/>
      <c r="U20" s="12"/>
      <c r="V20" s="12"/>
      <c r="AB20" s="12"/>
      <c r="AC20" s="12" t="str">
        <f>IFERROR(__xludf.DUMMYFUNCTION("""COMPUTED_VALUE"""),"3-1-2B")</f>
        <v>3-1-2B</v>
      </c>
      <c r="AD20" s="12" t="str">
        <f>IFERROR(__xludf.DUMMYFUNCTION("""COMPUTED_VALUE"""),"600567")</f>
        <v>600567</v>
      </c>
      <c r="AE20" s="12" t="str">
        <f>IFERROR(__xludf.DUMMYFUNCTION("""COMPUTED_VALUE"""),"SEPARADORES PLATOS 32X23X32")</f>
        <v>SEPARADORES PLATOS 32X23X32</v>
      </c>
      <c r="AF20" s="30">
        <f>IFERROR(__xludf.DUMMYFUNCTION("""COMPUTED_VALUE"""),400.0)</f>
        <v>400</v>
      </c>
      <c r="AG20" s="12" t="str">
        <f>IFERROR(__xludf.DUMMYFUNCTION("""COMPUTED_VALUE"""),"PROVEEDOR")</f>
        <v>PROVEEDOR</v>
      </c>
      <c r="AH20" s="12">
        <f>IFERROR(__xludf.DUMMYFUNCTION("""COMPUTED_VALUE"""),3.0)</f>
        <v>3</v>
      </c>
      <c r="AI20" s="12" t="str">
        <f>IFERROR(__xludf.DUMMYFUNCTION("""COMPUTED_VALUE"""),"1")</f>
        <v>1</v>
      </c>
      <c r="AJ20" s="12" t="str">
        <f>IFERROR(__xludf.DUMMYFUNCTION("""COMPUTED_VALUE"""),"2B")</f>
        <v>2B</v>
      </c>
      <c r="AK20" s="12">
        <f>IFERROR(__xludf.DUMMYFUNCTION("""COMPUTED_VALUE"""),29.0)</f>
        <v>29</v>
      </c>
      <c r="AL20" s="12" t="str">
        <f>IFERROR(__xludf.DUMMYFUNCTION("""COMPUTED_VALUE"""),"SUMMIT")</f>
        <v>SUMMIT</v>
      </c>
      <c r="AP20" s="12"/>
      <c r="AQ20" s="12"/>
      <c r="BC20" s="12"/>
      <c r="BH20" s="12" t="str">
        <f>IFERROR(__xludf.DUMMYFUNCTION("IFERROR(INDEX(QUERY(IMPORTRANGE(""1T7HG8KEs-Ob7f3M5atEVN9Yn7IeORGp0QGvggB62ELw"",""Maestro!A:I""),""SELECT Col8 WHERE Col3 = '""&amp;BE20&amp;""'"", 0), 1, 1),""NO ENCONTRADO"")"),"D")</f>
        <v>D</v>
      </c>
      <c r="BI20" s="16">
        <v>1.0</v>
      </c>
      <c r="BJ20" s="16">
        <f t="shared" si="4"/>
        <v>525</v>
      </c>
      <c r="BK20" s="12"/>
      <c r="BR20" s="12"/>
      <c r="BY20" s="14"/>
      <c r="BZ20" s="14"/>
      <c r="CA20" s="14"/>
      <c r="CB20" s="14"/>
      <c r="CC20" s="14"/>
      <c r="CD20" s="14"/>
      <c r="CE20" s="14"/>
      <c r="CF20" s="12"/>
      <c r="CG20" s="12"/>
      <c r="CH20" s="12"/>
      <c r="CI20" s="12"/>
      <c r="CJ20" s="12"/>
      <c r="CK20" s="12"/>
      <c r="CL20" s="12"/>
      <c r="CM20" s="12"/>
      <c r="CN20" s="12"/>
      <c r="CO20" s="12"/>
    </row>
    <row r="21">
      <c r="A21" s="67">
        <v>2.0</v>
      </c>
      <c r="B21" s="68" t="s">
        <v>25</v>
      </c>
      <c r="C21" s="68" t="s">
        <v>18</v>
      </c>
      <c r="D21" s="69" t="str">
        <f t="shared" si="1"/>
        <v>2-5-1</v>
      </c>
      <c r="E21" s="78">
        <v>45737.0</v>
      </c>
      <c r="F21" s="79" t="s">
        <v>154</v>
      </c>
      <c r="G21" s="80" t="s">
        <v>74</v>
      </c>
      <c r="H21" s="81" t="s">
        <v>75</v>
      </c>
      <c r="I21" s="82">
        <v>409.0</v>
      </c>
      <c r="J21" s="81" t="s">
        <v>22</v>
      </c>
      <c r="K21" s="32" t="str">
        <f t="shared" si="2"/>
        <v>OCUPADO</v>
      </c>
      <c r="L21" s="33">
        <f t="shared" si="3"/>
        <v>20</v>
      </c>
      <c r="M21" s="33" t="s">
        <v>23</v>
      </c>
      <c r="N21" s="53"/>
      <c r="O21" s="34" t="s">
        <v>24</v>
      </c>
      <c r="P21" s="12"/>
      <c r="Q21" s="12"/>
      <c r="R21" s="12"/>
      <c r="S21" s="12"/>
      <c r="T21" s="12"/>
      <c r="U21" s="12"/>
      <c r="V21" s="12"/>
      <c r="AB21" s="12"/>
      <c r="AC21" s="12" t="str">
        <f>IFERROR(__xludf.DUMMYFUNCTION("""COMPUTED_VALUE"""),"3-1-3A")</f>
        <v>3-1-3A</v>
      </c>
      <c r="AD21" s="12" t="str">
        <f>IFERROR(__xludf.DUMMYFUNCTION("""COMPUTED_VALUE"""),"PENDIENTE")</f>
        <v>PENDIENTE</v>
      </c>
      <c r="AE21" s="12" t="str">
        <f>IFERROR(__xludf.DUMMYFUNCTION("""COMPUTED_VALUE"""),"SEPARADOR BOTELLA DOS RANURAS")</f>
        <v>SEPARADOR BOTELLA DOS RANURAS</v>
      </c>
      <c r="AF21" s="30">
        <f>IFERROR(__xludf.DUMMYFUNCTION("""COMPUTED_VALUE"""),1500.0)</f>
        <v>1500</v>
      </c>
      <c r="AG21" s="12" t="str">
        <f>IFERROR(__xludf.DUMMYFUNCTION("""COMPUTED_VALUE"""),"PROVEEDOR")</f>
        <v>PROVEEDOR</v>
      </c>
      <c r="AH21" s="12">
        <f>IFERROR(__xludf.DUMMYFUNCTION("""COMPUTED_VALUE"""),3.0)</f>
        <v>3</v>
      </c>
      <c r="AI21" s="12" t="str">
        <f>IFERROR(__xludf.DUMMYFUNCTION("""COMPUTED_VALUE"""),"1")</f>
        <v>1</v>
      </c>
      <c r="AJ21" s="12" t="str">
        <f>IFERROR(__xludf.DUMMYFUNCTION("""COMPUTED_VALUE"""),"3A")</f>
        <v>3A</v>
      </c>
      <c r="AK21" s="12">
        <f>IFERROR(__xludf.DUMMYFUNCTION("""COMPUTED_VALUE"""),30.0)</f>
        <v>30</v>
      </c>
      <c r="AL21" s="12" t="str">
        <f>IFERROR(__xludf.DUMMYFUNCTION("""COMPUTED_VALUE"""),"SUMMIT")</f>
        <v>SUMMIT</v>
      </c>
      <c r="AP21" s="12"/>
      <c r="AQ21" s="12"/>
      <c r="BC21" s="12"/>
      <c r="BH21" s="12" t="str">
        <f>IFERROR(__xludf.DUMMYFUNCTION("IFERROR(INDEX(QUERY(IMPORTRANGE(""1T7HG8KEs-Ob7f3M5atEVN9Yn7IeORGp0QGvggB62ELw"",""Maestro!A:I""),""SELECT Col8 WHERE Col3 = '""&amp;BE21&amp;""'"", 0), 1, 1),""NO ENCONTRADO"")"),"D")</f>
        <v>D</v>
      </c>
      <c r="BI21" s="16">
        <v>1.0</v>
      </c>
      <c r="BJ21" s="16">
        <f t="shared" si="4"/>
        <v>400</v>
      </c>
      <c r="BK21" s="12"/>
      <c r="BR21" s="12"/>
      <c r="BY21" s="14"/>
      <c r="BZ21" s="14"/>
      <c r="CA21" s="14"/>
      <c r="CB21" s="14"/>
      <c r="CC21" s="14"/>
      <c r="CD21" s="14"/>
      <c r="CE21" s="14"/>
      <c r="CF21" s="12"/>
      <c r="CG21" s="12"/>
      <c r="CH21" s="12"/>
      <c r="CI21" s="12"/>
      <c r="CJ21" s="12"/>
      <c r="CK21" s="12"/>
      <c r="CL21" s="12"/>
      <c r="CM21" s="12"/>
      <c r="CN21" s="12"/>
      <c r="CO21" s="12"/>
    </row>
    <row r="22">
      <c r="A22" s="67">
        <v>2.0</v>
      </c>
      <c r="B22" s="68" t="s">
        <v>25</v>
      </c>
      <c r="C22" s="68" t="s">
        <v>32</v>
      </c>
      <c r="D22" s="69" t="str">
        <f t="shared" si="1"/>
        <v>2-5-2</v>
      </c>
      <c r="E22" s="50"/>
      <c r="F22" s="51"/>
      <c r="G22" s="46"/>
      <c r="H22" s="47"/>
      <c r="I22" s="48"/>
      <c r="J22" s="52"/>
      <c r="K22" s="27" t="str">
        <f t="shared" si="2"/>
        <v>DISPONIBLE</v>
      </c>
      <c r="L22" s="28">
        <f t="shared" si="3"/>
        <v>21</v>
      </c>
      <c r="M22" s="28" t="s">
        <v>23</v>
      </c>
      <c r="N22" s="70"/>
      <c r="O22" s="29"/>
      <c r="P22" s="12"/>
      <c r="Q22" s="12"/>
      <c r="R22" s="12"/>
      <c r="S22" s="12"/>
      <c r="T22" s="12"/>
      <c r="U22" s="12"/>
      <c r="V22" s="12"/>
      <c r="AB22" s="12"/>
      <c r="AC22" s="12" t="str">
        <f>IFERROR(__xludf.DUMMYFUNCTION("""COMPUTED_VALUE"""),"3-2-1A")</f>
        <v>3-2-1A</v>
      </c>
      <c r="AD22" s="12" t="str">
        <f>IFERROR(__xludf.DUMMYFUNCTION("""COMPUTED_VALUE"""),"692036X")</f>
        <v>692036X</v>
      </c>
      <c r="AE22" s="12" t="str">
        <f>IFERROR(__xludf.DUMMYFUNCTION("""COMPUTED_VALUE"""),"CAJA CARTON CORRUGADO 47x31x31 ")</f>
        <v>CAJA CARTON CORRUGADO 47x31x31 </v>
      </c>
      <c r="AF22" s="30">
        <f>IFERROR(__xludf.DUMMYFUNCTION("""COMPUTED_VALUE"""),700.0)</f>
        <v>700</v>
      </c>
      <c r="AG22" s="12" t="str">
        <f>IFERROR(__xludf.DUMMYFUNCTION("""COMPUTED_VALUE"""),"PROVEEDOR")</f>
        <v>PROVEEDOR</v>
      </c>
      <c r="AH22" s="12">
        <f>IFERROR(__xludf.DUMMYFUNCTION("""COMPUTED_VALUE"""),3.0)</f>
        <v>3</v>
      </c>
      <c r="AI22" s="12" t="str">
        <f>IFERROR(__xludf.DUMMYFUNCTION("""COMPUTED_VALUE"""),"2")</f>
        <v>2</v>
      </c>
      <c r="AJ22" s="12" t="str">
        <f>IFERROR(__xludf.DUMMYFUNCTION("""COMPUTED_VALUE"""),"1A")</f>
        <v>1A</v>
      </c>
      <c r="AK22" s="12">
        <f>IFERROR(__xludf.DUMMYFUNCTION("""COMPUTED_VALUE"""),32.0)</f>
        <v>32</v>
      </c>
      <c r="AL22" s="12" t="str">
        <f>IFERROR(__xludf.DUMMYFUNCTION("""COMPUTED_VALUE"""),"SUMMIT")</f>
        <v>SUMMIT</v>
      </c>
      <c r="AP22" s="12"/>
      <c r="AQ22" s="12"/>
      <c r="BC22" s="12"/>
      <c r="BH22" s="12" t="str">
        <f>IFERROR(__xludf.DUMMYFUNCTION("IFERROR(INDEX(QUERY(IMPORTRANGE(""1T7HG8KEs-Ob7f3M5atEVN9Yn7IeORGp0QGvggB62ELw"",""Maestro!A:I""),""SELECT Col8 WHERE Col3 = '""&amp;BE22&amp;""'"", 0), 1, 1),""NO ENCONTRADO"")"),"NO ENCONTRADO")</f>
        <v>NO ENCONTRADO</v>
      </c>
      <c r="BI22" s="16">
        <v>1.0</v>
      </c>
      <c r="BJ22" s="16">
        <f t="shared" si="4"/>
        <v>1500</v>
      </c>
      <c r="BK22" s="12"/>
      <c r="BR22" s="12"/>
      <c r="BY22" s="14"/>
      <c r="BZ22" s="14"/>
      <c r="CA22" s="14"/>
      <c r="CB22" s="14"/>
      <c r="CC22" s="14"/>
      <c r="CD22" s="14"/>
      <c r="CE22" s="14"/>
      <c r="CF22" s="12"/>
      <c r="CG22" s="12"/>
      <c r="CH22" s="12"/>
      <c r="CI22" s="12"/>
      <c r="CJ22" s="12"/>
      <c r="CK22" s="12"/>
      <c r="CL22" s="12"/>
      <c r="CM22" s="12"/>
      <c r="CN22" s="12"/>
      <c r="CO22" s="12"/>
    </row>
    <row r="23">
      <c r="A23" s="67">
        <v>2.0</v>
      </c>
      <c r="B23" s="68" t="s">
        <v>25</v>
      </c>
      <c r="C23" s="68" t="s">
        <v>44</v>
      </c>
      <c r="D23" s="69" t="str">
        <f t="shared" si="1"/>
        <v>2-5-3</v>
      </c>
      <c r="E23" s="35">
        <v>45751.0</v>
      </c>
      <c r="F23" s="36" t="s">
        <v>19</v>
      </c>
      <c r="G23" s="37" t="s">
        <v>77</v>
      </c>
      <c r="H23" s="38" t="s">
        <v>78</v>
      </c>
      <c r="I23" s="39">
        <v>700.0</v>
      </c>
      <c r="J23" s="205" t="s">
        <v>22</v>
      </c>
      <c r="K23" s="32" t="str">
        <f t="shared" si="2"/>
        <v>OCUPADO</v>
      </c>
      <c r="L23" s="33">
        <f t="shared" si="3"/>
        <v>22</v>
      </c>
      <c r="M23" s="33" t="s">
        <v>23</v>
      </c>
      <c r="N23" s="53"/>
      <c r="O23" s="34" t="s">
        <v>24</v>
      </c>
      <c r="P23" s="12"/>
      <c r="Q23" s="12"/>
      <c r="R23" s="12"/>
      <c r="S23" s="12"/>
      <c r="T23" s="12"/>
      <c r="U23" s="12"/>
      <c r="V23" s="12"/>
      <c r="AB23" s="12"/>
      <c r="AC23" s="12" t="str">
        <f>IFERROR(__xludf.DUMMYFUNCTION("""COMPUTED_VALUE"""),"3-2-2A")</f>
        <v>3-2-2A</v>
      </c>
      <c r="AD23" s="12" t="str">
        <f>IFERROR(__xludf.DUMMYFUNCTION("""COMPUTED_VALUE"""),"692036X")</f>
        <v>692036X</v>
      </c>
      <c r="AE23" s="12" t="str">
        <f>IFERROR(__xludf.DUMMYFUNCTION("""COMPUTED_VALUE"""),"CAJA CARTON CORRUGADO 47x31x31 ")</f>
        <v>CAJA CARTON CORRUGADO 47x31x31 </v>
      </c>
      <c r="AF23" s="30">
        <f>IFERROR(__xludf.DUMMYFUNCTION("""COMPUTED_VALUE"""),700.0)</f>
        <v>700</v>
      </c>
      <c r="AG23" s="12" t="str">
        <f>IFERROR(__xludf.DUMMYFUNCTION("""COMPUTED_VALUE"""),"PROVEEDOR")</f>
        <v>PROVEEDOR</v>
      </c>
      <c r="AH23" s="12">
        <f>IFERROR(__xludf.DUMMYFUNCTION("""COMPUTED_VALUE"""),3.0)</f>
        <v>3</v>
      </c>
      <c r="AI23" s="12" t="str">
        <f>IFERROR(__xludf.DUMMYFUNCTION("""COMPUTED_VALUE"""),"2")</f>
        <v>2</v>
      </c>
      <c r="AJ23" s="12" t="str">
        <f>IFERROR(__xludf.DUMMYFUNCTION("""COMPUTED_VALUE"""),"2A")</f>
        <v>2A</v>
      </c>
      <c r="AK23" s="12">
        <f>IFERROR(__xludf.DUMMYFUNCTION("""COMPUTED_VALUE"""),34.0)</f>
        <v>34</v>
      </c>
      <c r="AL23" s="12" t="str">
        <f>IFERROR(__xludf.DUMMYFUNCTION("""COMPUTED_VALUE"""),"SUMMIT")</f>
        <v>SUMMIT</v>
      </c>
      <c r="AP23" s="12"/>
      <c r="AQ23" s="12"/>
      <c r="BC23" s="12"/>
      <c r="BH23" s="12" t="str">
        <f>IFERROR(__xludf.DUMMYFUNCTION("IFERROR(INDEX(QUERY(IMPORTRANGE(""1T7HG8KEs-Ob7f3M5atEVN9Yn7IeORGp0QGvggB62ELw"",""Maestro!A:I""),""SELECT Col8 WHERE Col3 = '""&amp;BE23&amp;""'"", 0), 1, 1),""NO ENCONTRADO"")"),"D")</f>
        <v>D</v>
      </c>
      <c r="BI23" s="16">
        <v>1.0</v>
      </c>
      <c r="BJ23" s="16">
        <f t="shared" si="4"/>
        <v>700</v>
      </c>
      <c r="BK23" s="12"/>
      <c r="BR23" s="12"/>
      <c r="BY23" s="14"/>
      <c r="BZ23" s="14"/>
      <c r="CA23" s="14"/>
      <c r="CB23" s="14"/>
      <c r="CC23" s="14"/>
      <c r="CD23" s="14"/>
      <c r="CE23" s="14"/>
      <c r="CF23" s="12"/>
      <c r="CG23" s="12"/>
      <c r="CH23" s="12"/>
      <c r="CI23" s="12"/>
      <c r="CJ23" s="12"/>
      <c r="CK23" s="12"/>
      <c r="CL23" s="12"/>
      <c r="CM23" s="12"/>
      <c r="CN23" s="12"/>
      <c r="CO23" s="12"/>
    </row>
    <row r="24">
      <c r="A24" s="67">
        <v>2.0</v>
      </c>
      <c r="B24" s="68" t="s">
        <v>36</v>
      </c>
      <c r="C24" s="68" t="s">
        <v>18</v>
      </c>
      <c r="D24" s="69" t="str">
        <f t="shared" si="1"/>
        <v>2-6-1</v>
      </c>
      <c r="E24" s="35">
        <v>45733.0</v>
      </c>
      <c r="F24" s="88" t="s">
        <v>19</v>
      </c>
      <c r="G24" s="80" t="s">
        <v>103</v>
      </c>
      <c r="H24" s="81" t="s">
        <v>756</v>
      </c>
      <c r="I24" s="82">
        <v>299.0</v>
      </c>
      <c r="J24" s="81" t="s">
        <v>22</v>
      </c>
      <c r="K24" s="27" t="str">
        <f t="shared" si="2"/>
        <v>OCUPADO</v>
      </c>
      <c r="L24" s="28">
        <f t="shared" si="3"/>
        <v>23</v>
      </c>
      <c r="M24" s="28" t="s">
        <v>23</v>
      </c>
      <c r="N24" s="70"/>
      <c r="O24" s="29" t="s">
        <v>24</v>
      </c>
      <c r="P24" s="12"/>
      <c r="Q24" s="12"/>
      <c r="R24" s="12"/>
      <c r="S24" s="12"/>
      <c r="T24" s="12"/>
      <c r="U24" s="12"/>
      <c r="V24" s="12"/>
      <c r="AB24" s="12"/>
      <c r="AC24" s="12" t="str">
        <f>IFERROR(__xludf.DUMMYFUNCTION("""COMPUTED_VALUE"""),"3-2-3A")</f>
        <v>3-2-3A</v>
      </c>
      <c r="AD24" s="12" t="str">
        <f>IFERROR(__xludf.DUMMYFUNCTION("""COMPUTED_VALUE"""),"692036X")</f>
        <v>692036X</v>
      </c>
      <c r="AE24" s="12" t="str">
        <f>IFERROR(__xludf.DUMMYFUNCTION("""COMPUTED_VALUE"""),"CAJA CARTON CORRUGADO 47x31x31 ")</f>
        <v>CAJA CARTON CORRUGADO 47x31x31 </v>
      </c>
      <c r="AF24" s="30">
        <f>IFERROR(__xludf.DUMMYFUNCTION("""COMPUTED_VALUE"""),4.0)</f>
        <v>4</v>
      </c>
      <c r="AG24" s="12" t="str">
        <f>IFERROR(__xludf.DUMMYFUNCTION("""COMPUTED_VALUE"""),"PROVEEDOR")</f>
        <v>PROVEEDOR</v>
      </c>
      <c r="AH24" s="12">
        <f>IFERROR(__xludf.DUMMYFUNCTION("""COMPUTED_VALUE"""),3.0)</f>
        <v>3</v>
      </c>
      <c r="AI24" s="12" t="str">
        <f>IFERROR(__xludf.DUMMYFUNCTION("""COMPUTED_VALUE"""),"2")</f>
        <v>2</v>
      </c>
      <c r="AJ24" s="12" t="str">
        <f>IFERROR(__xludf.DUMMYFUNCTION("""COMPUTED_VALUE"""),"3A")</f>
        <v>3A</v>
      </c>
      <c r="AK24" s="12">
        <f>IFERROR(__xludf.DUMMYFUNCTION("""COMPUTED_VALUE"""),36.0)</f>
        <v>36</v>
      </c>
      <c r="AL24" s="12" t="str">
        <f>IFERROR(__xludf.DUMMYFUNCTION("""COMPUTED_VALUE"""),"SUMMIT")</f>
        <v>SUMMIT</v>
      </c>
      <c r="AP24" s="12"/>
      <c r="AQ24" s="12"/>
      <c r="BC24" s="12"/>
      <c r="BH24" s="12" t="str">
        <f>IFERROR(__xludf.DUMMYFUNCTION("IFERROR(INDEX(QUERY(IMPORTRANGE(""1T7HG8KEs-Ob7f3M5atEVN9Yn7IeORGp0QGvggB62ELw"",""Maestro!A:I""),""SELECT Col8 WHERE Col3 = '""&amp;BE24&amp;""'"", 0), 1, 1),""NO ENCONTRADO"")"),"D")</f>
        <v>D</v>
      </c>
      <c r="BI24" s="16">
        <v>1.0</v>
      </c>
      <c r="BJ24" s="16">
        <f t="shared" si="4"/>
        <v>700</v>
      </c>
      <c r="BK24" s="12"/>
      <c r="BR24" s="12"/>
      <c r="BY24" s="14"/>
      <c r="BZ24" s="14"/>
      <c r="CA24" s="14"/>
      <c r="CB24" s="14"/>
      <c r="CC24" s="14"/>
      <c r="CD24" s="14"/>
      <c r="CE24" s="14"/>
      <c r="CF24" s="12"/>
      <c r="CG24" s="12"/>
      <c r="CH24" s="12"/>
      <c r="CI24" s="12"/>
      <c r="CJ24" s="12"/>
      <c r="CK24" s="12"/>
      <c r="CL24" s="12"/>
      <c r="CM24" s="12"/>
      <c r="CN24" s="12"/>
      <c r="CO24" s="12"/>
    </row>
    <row r="25">
      <c r="A25" s="67">
        <v>2.0</v>
      </c>
      <c r="B25" s="68" t="s">
        <v>36</v>
      </c>
      <c r="C25" s="68" t="s">
        <v>32</v>
      </c>
      <c r="D25" s="69" t="str">
        <f t="shared" si="1"/>
        <v>2-6-2</v>
      </c>
      <c r="E25" s="35">
        <v>45764.0</v>
      </c>
      <c r="F25" s="79" t="s">
        <v>19</v>
      </c>
      <c r="G25" s="80" t="s">
        <v>759</v>
      </c>
      <c r="H25" s="81" t="s">
        <v>109</v>
      </c>
      <c r="I25" s="82">
        <v>111.0</v>
      </c>
      <c r="J25" s="81" t="s">
        <v>22</v>
      </c>
      <c r="K25" s="32" t="str">
        <f t="shared" si="2"/>
        <v>OCUPADO</v>
      </c>
      <c r="L25" s="33">
        <f t="shared" si="3"/>
        <v>24</v>
      </c>
      <c r="M25" s="33" t="s">
        <v>23</v>
      </c>
      <c r="N25" s="53"/>
      <c r="O25" s="34" t="s">
        <v>24</v>
      </c>
      <c r="P25" s="12"/>
      <c r="Q25" s="12"/>
      <c r="R25" s="12"/>
      <c r="S25" s="12"/>
      <c r="T25" s="12"/>
      <c r="U25" s="12"/>
      <c r="V25" s="12"/>
      <c r="AB25" s="12"/>
      <c r="AC25" s="12" t="str">
        <f>IFERROR(__xludf.DUMMYFUNCTION("""COMPUTED_VALUE"""),"3-2-4A")</f>
        <v>3-2-4A</v>
      </c>
      <c r="AD25" s="12" t="str">
        <f>IFERROR(__xludf.DUMMYFUNCTION("""COMPUTED_VALUE"""),"692036X")</f>
        <v>692036X</v>
      </c>
      <c r="AE25" s="12" t="str">
        <f>IFERROR(__xludf.DUMMYFUNCTION("""COMPUTED_VALUE"""),"CAJA CARTON CORRUGADO 47x31x31 ")</f>
        <v>CAJA CARTON CORRUGADO 47x31x31 </v>
      </c>
      <c r="AF25" s="30">
        <f>IFERROR(__xludf.DUMMYFUNCTION("""COMPUTED_VALUE"""),700.0)</f>
        <v>700</v>
      </c>
      <c r="AG25" s="12" t="str">
        <f>IFERROR(__xludf.DUMMYFUNCTION("""COMPUTED_VALUE"""),"PROVEEDOR")</f>
        <v>PROVEEDOR</v>
      </c>
      <c r="AH25" s="12">
        <f>IFERROR(__xludf.DUMMYFUNCTION("""COMPUTED_VALUE"""),3.0)</f>
        <v>3</v>
      </c>
      <c r="AI25" s="12" t="str">
        <f>IFERROR(__xludf.DUMMYFUNCTION("""COMPUTED_VALUE"""),"2")</f>
        <v>2</v>
      </c>
      <c r="AJ25" s="12" t="str">
        <f>IFERROR(__xludf.DUMMYFUNCTION("""COMPUTED_VALUE"""),"4A")</f>
        <v>4A</v>
      </c>
      <c r="AK25" s="12">
        <f>IFERROR(__xludf.DUMMYFUNCTION("""COMPUTED_VALUE"""),38.0)</f>
        <v>38</v>
      </c>
      <c r="AL25" s="12" t="str">
        <f>IFERROR(__xludf.DUMMYFUNCTION("""COMPUTED_VALUE"""),"SUMMIT")</f>
        <v>SUMMIT</v>
      </c>
      <c r="AP25" s="12"/>
      <c r="AQ25" s="12"/>
      <c r="BC25" s="12"/>
      <c r="BH25" s="12" t="str">
        <f>IFERROR(__xludf.DUMMYFUNCTION("IFERROR(INDEX(QUERY(IMPORTRANGE(""1T7HG8KEs-Ob7f3M5atEVN9Yn7IeORGp0QGvggB62ELw"",""Maestro!A:I""),""SELECT Col8 WHERE Col3 = '""&amp;BE25&amp;""'"", 0), 1, 1),""NO ENCONTRADO"")"),"D")</f>
        <v>D</v>
      </c>
      <c r="BI25" s="16">
        <v>1.0</v>
      </c>
      <c r="BJ25" s="16">
        <f t="shared" si="4"/>
        <v>4</v>
      </c>
      <c r="BK25" s="12"/>
      <c r="BR25" s="12"/>
      <c r="BY25" s="14"/>
      <c r="BZ25" s="14"/>
      <c r="CA25" s="14"/>
      <c r="CB25" s="14"/>
      <c r="CC25" s="14"/>
      <c r="CD25" s="14"/>
      <c r="CE25" s="14"/>
      <c r="CF25" s="12"/>
      <c r="CG25" s="12"/>
      <c r="CH25" s="12"/>
      <c r="CI25" s="12"/>
      <c r="CJ25" s="12"/>
      <c r="CK25" s="12"/>
      <c r="CL25" s="12"/>
      <c r="CM25" s="12"/>
      <c r="CN25" s="12"/>
      <c r="CO25" s="12"/>
    </row>
    <row r="26">
      <c r="A26" s="89">
        <v>2.0</v>
      </c>
      <c r="B26" s="90" t="s">
        <v>36</v>
      </c>
      <c r="C26" s="90" t="s">
        <v>44</v>
      </c>
      <c r="D26" s="91" t="str">
        <f t="shared" si="1"/>
        <v>2-6-3</v>
      </c>
      <c r="E26" s="57"/>
      <c r="F26" s="58"/>
      <c r="G26" s="59"/>
      <c r="H26" s="60"/>
      <c r="I26" s="61"/>
      <c r="J26" s="62"/>
      <c r="K26" s="63" t="str">
        <f t="shared" si="2"/>
        <v>DISPONIBLE</v>
      </c>
      <c r="L26" s="64">
        <f t="shared" si="3"/>
        <v>25</v>
      </c>
      <c r="M26" s="64" t="s">
        <v>23</v>
      </c>
      <c r="N26" s="65"/>
      <c r="O26" s="66"/>
      <c r="P26" s="12"/>
      <c r="Q26" s="12"/>
      <c r="R26" s="12"/>
      <c r="S26" s="12"/>
      <c r="T26" s="12"/>
      <c r="U26" s="12"/>
      <c r="V26" s="12"/>
      <c r="AB26" s="12"/>
      <c r="AC26" s="12" t="str">
        <f>IFERROR(__xludf.DUMMYFUNCTION("""COMPUTED_VALUE"""),"3-2-5A")</f>
        <v>3-2-5A</v>
      </c>
      <c r="AD26" s="12" t="str">
        <f>IFERROR(__xludf.DUMMYFUNCTION("""COMPUTED_VALUE"""),"600505X")</f>
        <v>600505X</v>
      </c>
      <c r="AE26" s="12" t="str">
        <f>IFERROR(__xludf.DUMMYFUNCTION("""COMPUTED_VALUE"""),"CAJA CARTON CON ASAS 70X30X30 CM EASY")</f>
        <v>CAJA CARTON CON ASAS 70X30X30 CM EASY</v>
      </c>
      <c r="AF26" s="30">
        <f>IFERROR(__xludf.DUMMYFUNCTION("""COMPUTED_VALUE"""),350.0)</f>
        <v>350</v>
      </c>
      <c r="AG26" s="12" t="str">
        <f>IFERROR(__xludf.DUMMYFUNCTION("""COMPUTED_VALUE"""),"PROVEEDOR")</f>
        <v>PROVEEDOR</v>
      </c>
      <c r="AH26" s="12">
        <f>IFERROR(__xludf.DUMMYFUNCTION("""COMPUTED_VALUE"""),3.0)</f>
        <v>3</v>
      </c>
      <c r="AI26" s="12" t="str">
        <f>IFERROR(__xludf.DUMMYFUNCTION("""COMPUTED_VALUE"""),"2")</f>
        <v>2</v>
      </c>
      <c r="AJ26" s="12" t="str">
        <f>IFERROR(__xludf.DUMMYFUNCTION("""COMPUTED_VALUE"""),"5A")</f>
        <v>5A</v>
      </c>
      <c r="AK26" s="12">
        <f>IFERROR(__xludf.DUMMYFUNCTION("""COMPUTED_VALUE"""),40.0)</f>
        <v>40</v>
      </c>
      <c r="AL26" s="12" t="str">
        <f>IFERROR(__xludf.DUMMYFUNCTION("""COMPUTED_VALUE"""),"SUMMIT")</f>
        <v>SUMMIT</v>
      </c>
      <c r="AP26" s="12"/>
      <c r="AQ26" s="12"/>
      <c r="BC26" s="12"/>
      <c r="BH26" s="12" t="str">
        <f>IFERROR(__xludf.DUMMYFUNCTION("IFERROR(INDEX(QUERY(IMPORTRANGE(""1T7HG8KEs-Ob7f3M5atEVN9Yn7IeORGp0QGvggB62ELw"",""Maestro!A:I""),""SELECT Col8 WHERE Col3 = '""&amp;BE26&amp;""'"", 0), 1, 1),""NO ENCONTRADO"")"),"D")</f>
        <v>D</v>
      </c>
      <c r="BI26" s="16">
        <v>1.0</v>
      </c>
      <c r="BJ26" s="16">
        <f t="shared" si="4"/>
        <v>700</v>
      </c>
      <c r="BK26" s="12"/>
      <c r="BR26" s="12"/>
      <c r="BY26" s="14"/>
      <c r="BZ26" s="14"/>
      <c r="CA26" s="14"/>
      <c r="CB26" s="14"/>
      <c r="CC26" s="14"/>
      <c r="CD26" s="14"/>
      <c r="CE26" s="14"/>
      <c r="CF26" s="12"/>
      <c r="CG26" s="12"/>
      <c r="CH26" s="12"/>
      <c r="CI26" s="12"/>
      <c r="CJ26" s="12"/>
      <c r="CK26" s="12"/>
      <c r="CL26" s="12"/>
      <c r="CM26" s="12"/>
      <c r="CN26" s="12"/>
      <c r="CO26" s="12"/>
    </row>
    <row r="27">
      <c r="A27" s="92">
        <v>3.0</v>
      </c>
      <c r="B27" s="93" t="s">
        <v>18</v>
      </c>
      <c r="C27" s="94" t="s">
        <v>119</v>
      </c>
      <c r="D27" s="95" t="str">
        <f t="shared" si="1"/>
        <v>3-1-1A</v>
      </c>
      <c r="E27" s="96">
        <v>45733.0</v>
      </c>
      <c r="F27" s="97" t="s">
        <v>19</v>
      </c>
      <c r="G27" s="98" t="s">
        <v>143</v>
      </c>
      <c r="H27" s="99" t="s">
        <v>144</v>
      </c>
      <c r="I27" s="100">
        <v>200.0</v>
      </c>
      <c r="J27" s="101" t="s">
        <v>22</v>
      </c>
      <c r="K27" s="32" t="str">
        <f t="shared" si="2"/>
        <v>OCUPADO</v>
      </c>
      <c r="L27" s="33">
        <f t="shared" si="3"/>
        <v>26</v>
      </c>
      <c r="M27" s="33" t="s">
        <v>23</v>
      </c>
      <c r="N27" s="102"/>
      <c r="O27" s="34" t="s">
        <v>24</v>
      </c>
      <c r="P27" s="12"/>
      <c r="Q27" s="12"/>
      <c r="R27" s="12"/>
      <c r="S27" s="12"/>
      <c r="T27" s="12"/>
      <c r="U27" s="12"/>
      <c r="V27" s="12"/>
      <c r="AB27" s="12"/>
      <c r="AC27" s="12" t="str">
        <f>IFERROR(__xludf.DUMMYFUNCTION("""COMPUTED_VALUE"""),"3-2-5B")</f>
        <v>3-2-5B</v>
      </c>
      <c r="AD27" s="12" t="str">
        <f>IFERROR(__xludf.DUMMYFUNCTION("""COMPUTED_VALUE"""),"600505X")</f>
        <v>600505X</v>
      </c>
      <c r="AE27" s="12" t="str">
        <f>IFERROR(__xludf.DUMMYFUNCTION("""COMPUTED_VALUE"""),"CAJA CARTON CON ASAS 70X30X30 CM EASY")</f>
        <v>CAJA CARTON CON ASAS 70X30X30 CM EASY</v>
      </c>
      <c r="AF27" s="30">
        <f>IFERROR(__xludf.DUMMYFUNCTION("""COMPUTED_VALUE"""),199.0)</f>
        <v>199</v>
      </c>
      <c r="AG27" s="12" t="str">
        <f>IFERROR(__xludf.DUMMYFUNCTION("""COMPUTED_VALUE"""),"PROVEEDOR")</f>
        <v>PROVEEDOR</v>
      </c>
      <c r="AH27" s="12">
        <f>IFERROR(__xludf.DUMMYFUNCTION("""COMPUTED_VALUE"""),3.0)</f>
        <v>3</v>
      </c>
      <c r="AI27" s="12" t="str">
        <f>IFERROR(__xludf.DUMMYFUNCTION("""COMPUTED_VALUE"""),"2")</f>
        <v>2</v>
      </c>
      <c r="AJ27" s="12" t="str">
        <f>IFERROR(__xludf.DUMMYFUNCTION("""COMPUTED_VALUE"""),"5B")</f>
        <v>5B</v>
      </c>
      <c r="AK27" s="12">
        <f>IFERROR(__xludf.DUMMYFUNCTION("""COMPUTED_VALUE"""),41.0)</f>
        <v>41</v>
      </c>
      <c r="AL27" s="12" t="str">
        <f>IFERROR(__xludf.DUMMYFUNCTION("""COMPUTED_VALUE"""),"SUMMIT")</f>
        <v>SUMMIT</v>
      </c>
      <c r="AP27" s="12"/>
      <c r="AQ27" s="12"/>
      <c r="BC27" s="12"/>
      <c r="BH27" s="12" t="str">
        <f>IFERROR(__xludf.DUMMYFUNCTION("IFERROR(INDEX(QUERY(IMPORTRANGE(""1T7HG8KEs-Ob7f3M5atEVN9Yn7IeORGp0QGvggB62ELw"",""Maestro!A:I""),""SELECT Col8 WHERE Col3 = '""&amp;BE27&amp;""'"", 0), 1, 1),""NO ENCONTRADO"")"),"D")</f>
        <v>D</v>
      </c>
      <c r="BI27" s="16">
        <v>1.0</v>
      </c>
      <c r="BJ27" s="16">
        <f t="shared" si="4"/>
        <v>350</v>
      </c>
      <c r="BK27" s="12"/>
      <c r="BR27" s="12"/>
      <c r="BY27" s="14"/>
      <c r="BZ27" s="14"/>
      <c r="CA27" s="14"/>
      <c r="CB27" s="14"/>
      <c r="CC27" s="14"/>
      <c r="CD27" s="14"/>
      <c r="CE27" s="14"/>
      <c r="CF27" s="12"/>
      <c r="CG27" s="12"/>
      <c r="CH27" s="12"/>
      <c r="CI27" s="12"/>
      <c r="CJ27" s="12"/>
      <c r="CK27" s="12"/>
      <c r="CL27" s="12"/>
      <c r="CM27" s="12"/>
      <c r="CN27" s="12"/>
      <c r="CO27" s="12"/>
    </row>
    <row r="28">
      <c r="A28" s="92">
        <v>3.0</v>
      </c>
      <c r="B28" s="93" t="s">
        <v>18</v>
      </c>
      <c r="C28" s="94" t="s">
        <v>132</v>
      </c>
      <c r="D28" s="95" t="str">
        <f t="shared" si="1"/>
        <v>3-1-1B</v>
      </c>
      <c r="E28" s="103"/>
      <c r="F28" s="104"/>
      <c r="G28" s="105"/>
      <c r="H28" s="106"/>
      <c r="I28" s="107"/>
      <c r="J28" s="108"/>
      <c r="K28" s="27" t="str">
        <f t="shared" si="2"/>
        <v>DISPONIBLE</v>
      </c>
      <c r="L28" s="28">
        <f t="shared" si="3"/>
        <v>27</v>
      </c>
      <c r="M28" s="28" t="s">
        <v>23</v>
      </c>
      <c r="N28" s="109"/>
      <c r="O28" s="29"/>
      <c r="P28" s="12"/>
      <c r="Q28" s="12"/>
      <c r="R28" s="12"/>
      <c r="S28" s="12"/>
      <c r="T28" s="12"/>
      <c r="U28" s="12"/>
      <c r="V28" s="12"/>
      <c r="AB28" s="12"/>
      <c r="AC28" s="12" t="str">
        <f>IFERROR(__xludf.DUMMYFUNCTION("""COMPUTED_VALUE"""),"3-3-1A")</f>
        <v>3-3-1A</v>
      </c>
      <c r="AD28" s="12" t="str">
        <f>IFERROR(__xludf.DUMMYFUNCTION("""COMPUTED_VALUE"""),"692012X")</f>
        <v>692012X</v>
      </c>
      <c r="AE28" s="12" t="str">
        <f>IFERROR(__xludf.DUMMYFUNCTION("""COMPUTED_VALUE"""),"CAJA CARTON CORRUGADO 50x40x30 ")</f>
        <v>CAJA CARTON CORRUGADO 50x40x30 </v>
      </c>
      <c r="AF28" s="30">
        <f>IFERROR(__xludf.DUMMYFUNCTION("""COMPUTED_VALUE"""),450.0)</f>
        <v>450</v>
      </c>
      <c r="AG28" s="12" t="str">
        <f>IFERROR(__xludf.DUMMYFUNCTION("""COMPUTED_VALUE"""),"PROVEEDOR")</f>
        <v>PROVEEDOR</v>
      </c>
      <c r="AH28" s="12">
        <f>IFERROR(__xludf.DUMMYFUNCTION("""COMPUTED_VALUE"""),3.0)</f>
        <v>3</v>
      </c>
      <c r="AI28" s="12" t="str">
        <f>IFERROR(__xludf.DUMMYFUNCTION("""COMPUTED_VALUE"""),"3")</f>
        <v>3</v>
      </c>
      <c r="AJ28" s="12" t="str">
        <f>IFERROR(__xludf.DUMMYFUNCTION("""COMPUTED_VALUE"""),"1A")</f>
        <v>1A</v>
      </c>
      <c r="AK28" s="12">
        <f>IFERROR(__xludf.DUMMYFUNCTION("""COMPUTED_VALUE"""),42.0)</f>
        <v>42</v>
      </c>
      <c r="AL28" s="12" t="str">
        <f>IFERROR(__xludf.DUMMYFUNCTION("""COMPUTED_VALUE"""),"SUMMIT")</f>
        <v>SUMMIT</v>
      </c>
      <c r="AP28" s="12"/>
      <c r="AQ28" s="12"/>
      <c r="BC28" s="12"/>
      <c r="BH28" s="12" t="str">
        <f>IFERROR(__xludf.DUMMYFUNCTION("IFERROR(INDEX(QUERY(IMPORTRANGE(""1T7HG8KEs-Ob7f3M5atEVN9Yn7IeORGp0QGvggB62ELw"",""Maestro!A:I""),""SELECT Col8 WHERE Col3 = '""&amp;BE28&amp;""'"", 0), 1, 1),""NO ENCONTRADO"")"),"D")</f>
        <v>D</v>
      </c>
      <c r="BI28" s="16">
        <v>1.0</v>
      </c>
      <c r="BJ28" s="16">
        <f t="shared" si="4"/>
        <v>199</v>
      </c>
      <c r="BK28" s="12"/>
      <c r="BR28" s="12"/>
      <c r="BY28" s="14"/>
      <c r="BZ28" s="14"/>
      <c r="CA28" s="14"/>
      <c r="CB28" s="14"/>
      <c r="CC28" s="14"/>
      <c r="CD28" s="14"/>
      <c r="CE28" s="14"/>
      <c r="CF28" s="12"/>
      <c r="CG28" s="12"/>
      <c r="CH28" s="12"/>
      <c r="CI28" s="12"/>
      <c r="CJ28" s="12"/>
      <c r="CK28" s="12"/>
      <c r="CL28" s="12"/>
      <c r="CM28" s="12"/>
      <c r="CN28" s="12"/>
      <c r="CO28" s="12"/>
    </row>
    <row r="29">
      <c r="A29" s="92">
        <v>3.0</v>
      </c>
      <c r="B29" s="93" t="s">
        <v>18</v>
      </c>
      <c r="C29" s="94" t="s">
        <v>124</v>
      </c>
      <c r="D29" s="95" t="str">
        <f t="shared" si="1"/>
        <v>3-1-2A</v>
      </c>
      <c r="E29" s="96">
        <v>45733.0</v>
      </c>
      <c r="F29" s="97" t="s">
        <v>19</v>
      </c>
      <c r="G29" s="98" t="s">
        <v>114</v>
      </c>
      <c r="H29" s="99" t="s">
        <v>115</v>
      </c>
      <c r="I29" s="100">
        <v>525.0</v>
      </c>
      <c r="J29" s="101" t="s">
        <v>22</v>
      </c>
      <c r="K29" s="32" t="str">
        <f t="shared" si="2"/>
        <v>OCUPADO</v>
      </c>
      <c r="L29" s="33">
        <f t="shared" si="3"/>
        <v>28</v>
      </c>
      <c r="M29" s="33" t="s">
        <v>23</v>
      </c>
      <c r="N29" s="122"/>
      <c r="O29" s="34" t="s">
        <v>24</v>
      </c>
      <c r="P29" s="12"/>
      <c r="Q29" s="12"/>
      <c r="R29" s="12"/>
      <c r="S29" s="12"/>
      <c r="T29" s="12"/>
      <c r="U29" s="12"/>
      <c r="V29" s="12"/>
      <c r="AB29" s="12"/>
      <c r="AC29" s="12" t="str">
        <f>IFERROR(__xludf.DUMMYFUNCTION("""COMPUTED_VALUE"""),"3-3-2A")</f>
        <v>3-3-2A</v>
      </c>
      <c r="AD29" s="12" t="str">
        <f>IFERROR(__xludf.DUMMYFUNCTION("""COMPUTED_VALUE"""),"692012X")</f>
        <v>692012X</v>
      </c>
      <c r="AE29" s="12" t="str">
        <f>IFERROR(__xludf.DUMMYFUNCTION("""COMPUTED_VALUE"""),"CAJA CARTON CORRUGADO 50x40x30 ")</f>
        <v>CAJA CARTON CORRUGADO 50x40x30 </v>
      </c>
      <c r="AF29" s="30">
        <f>IFERROR(__xludf.DUMMYFUNCTION("""COMPUTED_VALUE"""),450.0)</f>
        <v>450</v>
      </c>
      <c r="AG29" s="12" t="str">
        <f>IFERROR(__xludf.DUMMYFUNCTION("""COMPUTED_VALUE"""),"PROVEEDOR")</f>
        <v>PROVEEDOR</v>
      </c>
      <c r="AH29" s="12">
        <f>IFERROR(__xludf.DUMMYFUNCTION("""COMPUTED_VALUE"""),3.0)</f>
        <v>3</v>
      </c>
      <c r="AI29" s="12" t="str">
        <f>IFERROR(__xludf.DUMMYFUNCTION("""COMPUTED_VALUE"""),"3")</f>
        <v>3</v>
      </c>
      <c r="AJ29" s="12" t="str">
        <f>IFERROR(__xludf.DUMMYFUNCTION("""COMPUTED_VALUE"""),"2A")</f>
        <v>2A</v>
      </c>
      <c r="AK29" s="12">
        <f>IFERROR(__xludf.DUMMYFUNCTION("""COMPUTED_VALUE"""),44.0)</f>
        <v>44</v>
      </c>
      <c r="AL29" s="12" t="str">
        <f>IFERROR(__xludf.DUMMYFUNCTION("""COMPUTED_VALUE"""),"SUMMIT")</f>
        <v>SUMMIT</v>
      </c>
      <c r="AP29" s="12"/>
      <c r="AQ29" s="12"/>
      <c r="BC29" s="12"/>
      <c r="BH29" s="12" t="str">
        <f>IFERROR(__xludf.DUMMYFUNCTION("IFERROR(INDEX(QUERY(IMPORTRANGE(""1T7HG8KEs-Ob7f3M5atEVN9Yn7IeORGp0QGvggB62ELw"",""Maestro!A:I""),""SELECT Col8 WHERE Col3 = '""&amp;BE29&amp;""'"", 0), 1, 1),""NO ENCONTRADO"")"),"D")</f>
        <v>D</v>
      </c>
      <c r="BI29" s="16">
        <v>1.0</v>
      </c>
      <c r="BJ29" s="16">
        <f t="shared" si="4"/>
        <v>450</v>
      </c>
      <c r="BK29" s="12"/>
      <c r="BR29" s="12"/>
      <c r="BY29" s="14"/>
      <c r="BZ29" s="14"/>
      <c r="CA29" s="14"/>
      <c r="CB29" s="14"/>
      <c r="CC29" s="14"/>
      <c r="CD29" s="14"/>
      <c r="CE29" s="14"/>
      <c r="CF29" s="12"/>
      <c r="CG29" s="12"/>
      <c r="CH29" s="12"/>
      <c r="CI29" s="12"/>
      <c r="CJ29" s="12"/>
      <c r="CK29" s="12"/>
      <c r="CL29" s="12"/>
      <c r="CM29" s="12"/>
      <c r="CN29" s="12"/>
      <c r="CO29" s="12"/>
    </row>
    <row r="30">
      <c r="A30" s="92">
        <v>3.0</v>
      </c>
      <c r="B30" s="93" t="s">
        <v>18</v>
      </c>
      <c r="C30" s="94" t="s">
        <v>140</v>
      </c>
      <c r="D30" s="95" t="str">
        <f t="shared" si="1"/>
        <v>3-1-2B</v>
      </c>
      <c r="E30" s="96">
        <v>45733.0</v>
      </c>
      <c r="F30" s="97" t="s">
        <v>19</v>
      </c>
      <c r="G30" s="98" t="s">
        <v>114</v>
      </c>
      <c r="H30" s="99" t="s">
        <v>115</v>
      </c>
      <c r="I30" s="100">
        <v>400.0</v>
      </c>
      <c r="J30" s="101" t="s">
        <v>22</v>
      </c>
      <c r="K30" s="27" t="str">
        <f t="shared" si="2"/>
        <v>OCUPADO</v>
      </c>
      <c r="L30" s="28">
        <f t="shared" si="3"/>
        <v>29</v>
      </c>
      <c r="M30" s="28" t="s">
        <v>23</v>
      </c>
      <c r="N30" s="109"/>
      <c r="O30" s="29" t="s">
        <v>24</v>
      </c>
      <c r="P30" s="12"/>
      <c r="Q30" s="12"/>
      <c r="R30" s="12"/>
      <c r="S30" s="12"/>
      <c r="T30" s="12"/>
      <c r="U30" s="12"/>
      <c r="V30" s="12"/>
      <c r="AB30" s="12"/>
      <c r="AC30" s="12" t="str">
        <f>IFERROR(__xludf.DUMMYFUNCTION("""COMPUTED_VALUE"""),"3-3-3A")</f>
        <v>3-3-3A</v>
      </c>
      <c r="AD30" s="12" t="str">
        <f>IFERROR(__xludf.DUMMYFUNCTION("""COMPUTED_VALUE"""),"692012X")</f>
        <v>692012X</v>
      </c>
      <c r="AE30" s="12" t="str">
        <f>IFERROR(__xludf.DUMMYFUNCTION("""COMPUTED_VALUE"""),"CAJA CARTON CORRUGADO 50x40x30 ")</f>
        <v>CAJA CARTON CORRUGADO 50x40x30 </v>
      </c>
      <c r="AF30" s="30">
        <f>IFERROR(__xludf.DUMMYFUNCTION("""COMPUTED_VALUE"""),450.0)</f>
        <v>450</v>
      </c>
      <c r="AG30" s="12" t="str">
        <f>IFERROR(__xludf.DUMMYFUNCTION("""COMPUTED_VALUE"""),"PROVEEDOR")</f>
        <v>PROVEEDOR</v>
      </c>
      <c r="AH30" s="12">
        <f>IFERROR(__xludf.DUMMYFUNCTION("""COMPUTED_VALUE"""),3.0)</f>
        <v>3</v>
      </c>
      <c r="AI30" s="12" t="str">
        <f>IFERROR(__xludf.DUMMYFUNCTION("""COMPUTED_VALUE"""),"3")</f>
        <v>3</v>
      </c>
      <c r="AJ30" s="12" t="str">
        <f>IFERROR(__xludf.DUMMYFUNCTION("""COMPUTED_VALUE"""),"3A")</f>
        <v>3A</v>
      </c>
      <c r="AK30" s="12">
        <f>IFERROR(__xludf.DUMMYFUNCTION("""COMPUTED_VALUE"""),46.0)</f>
        <v>46</v>
      </c>
      <c r="AL30" s="12" t="str">
        <f>IFERROR(__xludf.DUMMYFUNCTION("""COMPUTED_VALUE"""),"SUMMIT")</f>
        <v>SUMMIT</v>
      </c>
      <c r="AP30" s="12"/>
      <c r="AQ30" s="12"/>
      <c r="BC30" s="12"/>
      <c r="BH30" s="12" t="str">
        <f>IFERROR(__xludf.DUMMYFUNCTION("IFERROR(INDEX(QUERY(IMPORTRANGE(""1T7HG8KEs-Ob7f3M5atEVN9Yn7IeORGp0QGvggB62ELw"",""Maestro!A:I""),""SELECT Col8 WHERE Col3 = '""&amp;BE30&amp;""'"", 0), 1, 1),""NO ENCONTRADO"")"),"D")</f>
        <v>D</v>
      </c>
      <c r="BI30" s="16">
        <v>1.0</v>
      </c>
      <c r="BJ30" s="16">
        <f t="shared" si="4"/>
        <v>450</v>
      </c>
      <c r="BK30" s="12"/>
      <c r="BR30" s="12"/>
      <c r="BY30" s="14"/>
      <c r="BZ30" s="14"/>
      <c r="CA30" s="14"/>
      <c r="CB30" s="14"/>
      <c r="CC30" s="14"/>
      <c r="CD30" s="14"/>
      <c r="CE30" s="14"/>
      <c r="CF30" s="12"/>
      <c r="CG30" s="12"/>
      <c r="CH30" s="12"/>
      <c r="CI30" s="12"/>
      <c r="CJ30" s="12"/>
      <c r="CK30" s="12"/>
      <c r="CL30" s="12"/>
      <c r="CM30" s="12"/>
      <c r="CN30" s="12"/>
      <c r="CO30" s="12"/>
    </row>
    <row r="31">
      <c r="A31" s="92">
        <v>3.0</v>
      </c>
      <c r="B31" s="93" t="s">
        <v>18</v>
      </c>
      <c r="C31" s="94" t="s">
        <v>130</v>
      </c>
      <c r="D31" s="95" t="str">
        <f t="shared" si="1"/>
        <v>3-1-3A</v>
      </c>
      <c r="E31" s="116">
        <v>45751.0</v>
      </c>
      <c r="F31" s="117" t="s">
        <v>19</v>
      </c>
      <c r="G31" s="118" t="s">
        <v>128</v>
      </c>
      <c r="H31" s="119" t="s">
        <v>129</v>
      </c>
      <c r="I31" s="120">
        <v>1500.0</v>
      </c>
      <c r="J31" s="121" t="s">
        <v>22</v>
      </c>
      <c r="K31" s="32" t="str">
        <f t="shared" si="2"/>
        <v>OCUPADO</v>
      </c>
      <c r="L31" s="33">
        <f t="shared" si="3"/>
        <v>30</v>
      </c>
      <c r="M31" s="33" t="s">
        <v>23</v>
      </c>
      <c r="N31" s="122"/>
      <c r="O31" s="34" t="s">
        <v>24</v>
      </c>
      <c r="P31" s="12"/>
      <c r="Q31" s="12"/>
      <c r="R31" s="12"/>
      <c r="S31" s="12"/>
      <c r="T31" s="12"/>
      <c r="U31" s="12"/>
      <c r="V31" s="12"/>
      <c r="AB31" s="12"/>
      <c r="AC31" s="12" t="str">
        <f>IFERROR(__xludf.DUMMYFUNCTION("""COMPUTED_VALUE"""),"3-3-4A")</f>
        <v>3-3-4A</v>
      </c>
      <c r="AD31" s="12" t="str">
        <f>IFERROR(__xludf.DUMMYFUNCTION("""COMPUTED_VALUE"""),"692012X")</f>
        <v>692012X</v>
      </c>
      <c r="AE31" s="12" t="str">
        <f>IFERROR(__xludf.DUMMYFUNCTION("""COMPUTED_VALUE"""),"CAJA CARTON CORRUGADO 50x40x30 ")</f>
        <v>CAJA CARTON CORRUGADO 50x40x30 </v>
      </c>
      <c r="AF31" s="30">
        <f>IFERROR(__xludf.DUMMYFUNCTION("""COMPUTED_VALUE"""),450.0)</f>
        <v>450</v>
      </c>
      <c r="AG31" s="12" t="str">
        <f>IFERROR(__xludf.DUMMYFUNCTION("""COMPUTED_VALUE"""),"PROVEEDOR")</f>
        <v>PROVEEDOR</v>
      </c>
      <c r="AH31" s="12">
        <f>IFERROR(__xludf.DUMMYFUNCTION("""COMPUTED_VALUE"""),3.0)</f>
        <v>3</v>
      </c>
      <c r="AI31" s="12" t="str">
        <f>IFERROR(__xludf.DUMMYFUNCTION("""COMPUTED_VALUE"""),"3")</f>
        <v>3</v>
      </c>
      <c r="AJ31" s="12" t="str">
        <f>IFERROR(__xludf.DUMMYFUNCTION("""COMPUTED_VALUE"""),"4A")</f>
        <v>4A</v>
      </c>
      <c r="AK31" s="12">
        <f>IFERROR(__xludf.DUMMYFUNCTION("""COMPUTED_VALUE"""),48.0)</f>
        <v>48</v>
      </c>
      <c r="AL31" s="12" t="str">
        <f>IFERROR(__xludf.DUMMYFUNCTION("""COMPUTED_VALUE"""),"SUMMIT")</f>
        <v>SUMMIT</v>
      </c>
      <c r="AP31" s="12"/>
      <c r="AQ31" s="12"/>
      <c r="BC31" s="12"/>
      <c r="BH31" s="12" t="str">
        <f>IFERROR(__xludf.DUMMYFUNCTION("IFERROR(INDEX(QUERY(IMPORTRANGE(""1T7HG8KEs-Ob7f3M5atEVN9Yn7IeORGp0QGvggB62ELw"",""Maestro!A:I""),""SELECT Col8 WHERE Col3 = '""&amp;BE31&amp;""'"", 0), 1, 1),""NO ENCONTRADO"")"),"D")</f>
        <v>D</v>
      </c>
      <c r="BI31" s="16">
        <v>1.0</v>
      </c>
      <c r="BJ31" s="16">
        <f t="shared" si="4"/>
        <v>450</v>
      </c>
      <c r="BK31" s="12"/>
      <c r="BR31" s="12"/>
      <c r="BY31" s="14"/>
      <c r="BZ31" s="14"/>
      <c r="CA31" s="14"/>
      <c r="CB31" s="14"/>
      <c r="CC31" s="14"/>
      <c r="CD31" s="14"/>
      <c r="CE31" s="14"/>
      <c r="CF31" s="12"/>
      <c r="CG31" s="12"/>
      <c r="CH31" s="12"/>
      <c r="CI31" s="12"/>
      <c r="CJ31" s="12"/>
      <c r="CK31" s="12"/>
      <c r="CL31" s="12"/>
      <c r="CM31" s="12"/>
      <c r="CN31" s="12"/>
      <c r="CO31" s="12"/>
    </row>
    <row r="32" ht="23.25" customHeight="1">
      <c r="A32" s="92">
        <v>3.0</v>
      </c>
      <c r="B32" s="93" t="s">
        <v>18</v>
      </c>
      <c r="C32" s="94" t="s">
        <v>148</v>
      </c>
      <c r="D32" s="95" t="str">
        <f t="shared" si="1"/>
        <v>3-1-3B</v>
      </c>
      <c r="E32" s="50"/>
      <c r="F32" s="51"/>
      <c r="G32" s="46"/>
      <c r="H32" s="47"/>
      <c r="I32" s="48"/>
      <c r="J32" s="52"/>
      <c r="K32" s="27" t="str">
        <f t="shared" si="2"/>
        <v>DISPONIBLE</v>
      </c>
      <c r="L32" s="28">
        <f t="shared" si="3"/>
        <v>31</v>
      </c>
      <c r="M32" s="28" t="s">
        <v>23</v>
      </c>
      <c r="N32" s="109"/>
      <c r="O32" s="29"/>
      <c r="P32" s="12"/>
      <c r="Q32" s="12"/>
      <c r="R32" s="12"/>
      <c r="S32" s="12"/>
      <c r="T32" s="12"/>
      <c r="U32" s="12"/>
      <c r="V32" s="12"/>
      <c r="AB32" s="12"/>
      <c r="AC32" s="12" t="str">
        <f>IFERROR(__xludf.DUMMYFUNCTION("""COMPUTED_VALUE"""),"3-3-5A")</f>
        <v>3-3-5A</v>
      </c>
      <c r="AD32" s="12" t="str">
        <f>IFERROR(__xludf.DUMMYFUNCTION("""COMPUTED_VALUE"""),"692012X")</f>
        <v>692012X</v>
      </c>
      <c r="AE32" s="12" t="str">
        <f>IFERROR(__xludf.DUMMYFUNCTION("""COMPUTED_VALUE"""),"CAJA CARTON CORRUGADO 50x40x30 ")</f>
        <v>CAJA CARTON CORRUGADO 50x40x30 </v>
      </c>
      <c r="AF32" s="30">
        <f>IFERROR(__xludf.DUMMYFUNCTION("""COMPUTED_VALUE"""),475.0)</f>
        <v>475</v>
      </c>
      <c r="AG32" s="12" t="str">
        <f>IFERROR(__xludf.DUMMYFUNCTION("""COMPUTED_VALUE"""),"PROVEEDOR")</f>
        <v>PROVEEDOR</v>
      </c>
      <c r="AH32" s="12">
        <f>IFERROR(__xludf.DUMMYFUNCTION("""COMPUTED_VALUE"""),3.0)</f>
        <v>3</v>
      </c>
      <c r="AI32" s="12" t="str">
        <f>IFERROR(__xludf.DUMMYFUNCTION("""COMPUTED_VALUE"""),"3")</f>
        <v>3</v>
      </c>
      <c r="AJ32" s="12" t="str">
        <f>IFERROR(__xludf.DUMMYFUNCTION("""COMPUTED_VALUE"""),"5A")</f>
        <v>5A</v>
      </c>
      <c r="AK32" s="12">
        <f>IFERROR(__xludf.DUMMYFUNCTION("""COMPUTED_VALUE"""),50.0)</f>
        <v>50</v>
      </c>
      <c r="AL32" s="12" t="str">
        <f>IFERROR(__xludf.DUMMYFUNCTION("""COMPUTED_VALUE"""),"SUMMIT")</f>
        <v>SUMMIT</v>
      </c>
      <c r="AP32" s="12"/>
      <c r="AQ32" s="12"/>
      <c r="BC32" s="12"/>
      <c r="BH32" s="12" t="str">
        <f>IFERROR(__xludf.DUMMYFUNCTION("IFERROR(INDEX(QUERY(IMPORTRANGE(""1T7HG8KEs-Ob7f3M5atEVN9Yn7IeORGp0QGvggB62ELw"",""Maestro!A:I""),""SELECT Col8 WHERE Col3 = '""&amp;BE32&amp;""'"", 0), 1, 1),""NO ENCONTRADO"")"),"D")</f>
        <v>D</v>
      </c>
      <c r="BI32" s="16">
        <v>1.0</v>
      </c>
      <c r="BJ32" s="16">
        <f t="shared" si="4"/>
        <v>450</v>
      </c>
      <c r="BK32" s="12"/>
      <c r="BR32" s="12"/>
      <c r="BY32" s="14"/>
      <c r="BZ32" s="14"/>
      <c r="CA32" s="14"/>
      <c r="CB32" s="14"/>
      <c r="CC32" s="14"/>
      <c r="CD32" s="14"/>
      <c r="CE32" s="14"/>
      <c r="CF32" s="12"/>
      <c r="CG32" s="12"/>
      <c r="CH32" s="12"/>
      <c r="CI32" s="12"/>
      <c r="CJ32" s="12"/>
      <c r="CK32" s="12"/>
      <c r="CL32" s="12"/>
      <c r="CM32" s="12"/>
      <c r="CN32" s="12"/>
      <c r="CO32" s="12"/>
    </row>
    <row r="33" ht="23.25" customHeight="1">
      <c r="A33" s="92">
        <v>3.0</v>
      </c>
      <c r="B33" s="93" t="s">
        <v>32</v>
      </c>
      <c r="C33" s="94" t="s">
        <v>119</v>
      </c>
      <c r="D33" s="95" t="str">
        <f t="shared" si="1"/>
        <v>3-2-1A</v>
      </c>
      <c r="E33" s="96">
        <v>45733.0</v>
      </c>
      <c r="F33" s="97" t="s">
        <v>19</v>
      </c>
      <c r="G33" s="98" t="s">
        <v>143</v>
      </c>
      <c r="H33" s="99" t="s">
        <v>144</v>
      </c>
      <c r="I33" s="100">
        <v>700.0</v>
      </c>
      <c r="J33" s="101" t="s">
        <v>22</v>
      </c>
      <c r="K33" s="32" t="str">
        <f t="shared" si="2"/>
        <v>OCUPADO</v>
      </c>
      <c r="L33" s="33">
        <f t="shared" si="3"/>
        <v>32</v>
      </c>
      <c r="M33" s="33" t="s">
        <v>23</v>
      </c>
      <c r="N33" s="122"/>
      <c r="O33" s="34" t="s">
        <v>24</v>
      </c>
      <c r="P33" s="12"/>
      <c r="Q33" s="12"/>
      <c r="R33" s="12"/>
      <c r="S33" s="12"/>
      <c r="T33" s="12"/>
      <c r="U33" s="12"/>
      <c r="V33" s="12"/>
      <c r="AB33" s="12"/>
      <c r="AC33" s="12" t="str">
        <f>IFERROR(__xludf.DUMMYFUNCTION("""COMPUTED_VALUE"""),"3-4-1A")</f>
        <v>3-4-1A</v>
      </c>
      <c r="AD33" s="12" t="str">
        <f>IFERROR(__xludf.DUMMYFUNCTION("""COMPUTED_VALUE"""),"692012X")</f>
        <v>692012X</v>
      </c>
      <c r="AE33" s="12" t="str">
        <f>IFERROR(__xludf.DUMMYFUNCTION("""COMPUTED_VALUE"""),"CAJA CARTON CORRUGADO 50x40x30 ")</f>
        <v>CAJA CARTON CORRUGADO 50x40x30 </v>
      </c>
      <c r="AF33" s="30">
        <f>IFERROR(__xludf.DUMMYFUNCTION("""COMPUTED_VALUE"""),450.0)</f>
        <v>450</v>
      </c>
      <c r="AG33" s="12" t="str">
        <f>IFERROR(__xludf.DUMMYFUNCTION("""COMPUTED_VALUE"""),"PROVEEDOR")</f>
        <v>PROVEEDOR</v>
      </c>
      <c r="AH33" s="12">
        <f>IFERROR(__xludf.DUMMYFUNCTION("""COMPUTED_VALUE"""),3.0)</f>
        <v>3</v>
      </c>
      <c r="AI33" s="12" t="str">
        <f>IFERROR(__xludf.DUMMYFUNCTION("""COMPUTED_VALUE"""),"4")</f>
        <v>4</v>
      </c>
      <c r="AJ33" s="12" t="str">
        <f>IFERROR(__xludf.DUMMYFUNCTION("""COMPUTED_VALUE"""),"1A")</f>
        <v>1A</v>
      </c>
      <c r="AK33" s="12">
        <f>IFERROR(__xludf.DUMMYFUNCTION("""COMPUTED_VALUE"""),52.0)</f>
        <v>52</v>
      </c>
      <c r="AL33" s="12" t="str">
        <f>IFERROR(__xludf.DUMMYFUNCTION("""COMPUTED_VALUE"""),"SUMMIT")</f>
        <v>SUMMIT</v>
      </c>
      <c r="AP33" s="12"/>
      <c r="AQ33" s="12"/>
      <c r="BC33" s="12"/>
      <c r="BH33" s="12" t="str">
        <f>IFERROR(__xludf.DUMMYFUNCTION("IFERROR(INDEX(QUERY(IMPORTRANGE(""1T7HG8KEs-Ob7f3M5atEVN9Yn7IeORGp0QGvggB62ELw"",""Maestro!A:I""),""SELECT Col8 WHERE Col3 = '""&amp;BE33&amp;""'"", 0), 1, 1),""NO ENCONTRADO"")"),"D")</f>
        <v>D</v>
      </c>
      <c r="BI33" s="16">
        <v>1.0</v>
      </c>
      <c r="BJ33" s="16">
        <f t="shared" si="4"/>
        <v>475</v>
      </c>
      <c r="BK33" s="12"/>
      <c r="BR33" s="12"/>
      <c r="BY33" s="14"/>
      <c r="BZ33" s="14"/>
      <c r="CA33" s="14"/>
      <c r="CB33" s="14"/>
      <c r="CC33" s="14"/>
      <c r="CD33" s="14"/>
      <c r="CE33" s="14"/>
      <c r="CF33" s="12"/>
      <c r="CG33" s="12"/>
      <c r="CH33" s="12"/>
      <c r="CI33" s="12"/>
      <c r="CJ33" s="12"/>
      <c r="CK33" s="12"/>
      <c r="CL33" s="12"/>
      <c r="CM33" s="12"/>
      <c r="CN33" s="12"/>
      <c r="CO33" s="12"/>
    </row>
    <row r="34" ht="23.25" customHeight="1">
      <c r="A34" s="92">
        <v>3.0</v>
      </c>
      <c r="B34" s="93" t="s">
        <v>32</v>
      </c>
      <c r="C34" s="94" t="s">
        <v>132</v>
      </c>
      <c r="D34" s="95" t="str">
        <f t="shared" si="1"/>
        <v>3-2-1B</v>
      </c>
      <c r="E34" s="50"/>
      <c r="F34" s="51"/>
      <c r="G34" s="105"/>
      <c r="H34" s="47"/>
      <c r="I34" s="48"/>
      <c r="J34" s="52"/>
      <c r="K34" s="27" t="str">
        <f t="shared" si="2"/>
        <v>DISPONIBLE</v>
      </c>
      <c r="L34" s="28">
        <f t="shared" si="3"/>
        <v>33</v>
      </c>
      <c r="M34" s="28" t="s">
        <v>23</v>
      </c>
      <c r="N34" s="109"/>
      <c r="O34" s="29"/>
      <c r="P34" s="12"/>
      <c r="Q34" s="12"/>
      <c r="R34" s="12"/>
      <c r="S34" s="12"/>
      <c r="T34" s="12"/>
      <c r="U34" s="12"/>
      <c r="V34" s="12"/>
      <c r="AB34" s="12"/>
      <c r="AC34" s="12" t="str">
        <f>IFERROR(__xludf.DUMMYFUNCTION("""COMPUTED_VALUE"""),"3-4-2A")</f>
        <v>3-4-2A</v>
      </c>
      <c r="AD34" s="12" t="str">
        <f>IFERROR(__xludf.DUMMYFUNCTION("""COMPUTED_VALUE"""),"692012X")</f>
        <v>692012X</v>
      </c>
      <c r="AE34" s="12" t="str">
        <f>IFERROR(__xludf.DUMMYFUNCTION("""COMPUTED_VALUE"""),"CAJA CARTON CORRUGADO 50x40x30 ")</f>
        <v>CAJA CARTON CORRUGADO 50x40x30 </v>
      </c>
      <c r="AF34" s="30">
        <f>IFERROR(__xludf.DUMMYFUNCTION("""COMPUTED_VALUE"""),500.0)</f>
        <v>500</v>
      </c>
      <c r="AG34" s="12" t="str">
        <f>IFERROR(__xludf.DUMMYFUNCTION("""COMPUTED_VALUE"""),"PROVEEDOR")</f>
        <v>PROVEEDOR</v>
      </c>
      <c r="AH34" s="12">
        <f>IFERROR(__xludf.DUMMYFUNCTION("""COMPUTED_VALUE"""),3.0)</f>
        <v>3</v>
      </c>
      <c r="AI34" s="12" t="str">
        <f>IFERROR(__xludf.DUMMYFUNCTION("""COMPUTED_VALUE"""),"4")</f>
        <v>4</v>
      </c>
      <c r="AJ34" s="12" t="str">
        <f>IFERROR(__xludf.DUMMYFUNCTION("""COMPUTED_VALUE"""),"2A")</f>
        <v>2A</v>
      </c>
      <c r="AK34" s="12">
        <f>IFERROR(__xludf.DUMMYFUNCTION("""COMPUTED_VALUE"""),54.0)</f>
        <v>54</v>
      </c>
      <c r="AL34" s="12" t="str">
        <f>IFERROR(__xludf.DUMMYFUNCTION("""COMPUTED_VALUE"""),"SUMMIT")</f>
        <v>SUMMIT</v>
      </c>
      <c r="AP34" s="12"/>
      <c r="AQ34" s="12"/>
      <c r="BC34" s="12"/>
      <c r="BH34" s="12" t="str">
        <f>IFERROR(__xludf.DUMMYFUNCTION("IFERROR(INDEX(QUERY(IMPORTRANGE(""1T7HG8KEs-Ob7f3M5atEVN9Yn7IeORGp0QGvggB62ELw"",""Maestro!A:I""),""SELECT Col8 WHERE Col3 = '""&amp;BE34&amp;""'"", 0), 1, 1),""NO ENCONTRADO"")"),"D")</f>
        <v>D</v>
      </c>
      <c r="BI34" s="16">
        <v>1.0</v>
      </c>
      <c r="BJ34" s="16">
        <f t="shared" si="4"/>
        <v>450</v>
      </c>
      <c r="BK34" s="12"/>
      <c r="BR34" s="12"/>
      <c r="BY34" s="14"/>
      <c r="BZ34" s="14"/>
      <c r="CA34" s="14"/>
      <c r="CB34" s="14"/>
      <c r="CC34" s="14"/>
      <c r="CD34" s="14"/>
      <c r="CE34" s="14"/>
      <c r="CF34" s="12"/>
      <c r="CG34" s="12"/>
      <c r="CH34" s="12"/>
      <c r="CI34" s="12"/>
      <c r="CJ34" s="12"/>
      <c r="CK34" s="12"/>
      <c r="CL34" s="12"/>
      <c r="CM34" s="12"/>
      <c r="CN34" s="12"/>
      <c r="CO34" s="12"/>
    </row>
    <row r="35" ht="23.25" customHeight="1">
      <c r="A35" s="92">
        <v>3.0</v>
      </c>
      <c r="B35" s="93" t="s">
        <v>32</v>
      </c>
      <c r="C35" s="94" t="s">
        <v>124</v>
      </c>
      <c r="D35" s="95" t="str">
        <f t="shared" si="1"/>
        <v>3-2-2A</v>
      </c>
      <c r="E35" s="96">
        <v>45763.0</v>
      </c>
      <c r="F35" s="97" t="s">
        <v>258</v>
      </c>
      <c r="G35" s="98" t="s">
        <v>143</v>
      </c>
      <c r="H35" s="99" t="s">
        <v>144</v>
      </c>
      <c r="I35" s="100">
        <v>700.0</v>
      </c>
      <c r="J35" s="101" t="s">
        <v>22</v>
      </c>
      <c r="K35" s="32" t="str">
        <f t="shared" si="2"/>
        <v>OCUPADO</v>
      </c>
      <c r="L35" s="33">
        <f t="shared" si="3"/>
        <v>34</v>
      </c>
      <c r="M35" s="33" t="s">
        <v>23</v>
      </c>
      <c r="N35" s="122"/>
      <c r="O35" s="34" t="s">
        <v>24</v>
      </c>
      <c r="P35" s="12"/>
      <c r="Q35" s="12"/>
      <c r="R35" s="12"/>
      <c r="S35" s="12"/>
      <c r="T35" s="12"/>
      <c r="U35" s="12"/>
      <c r="V35" s="12"/>
      <c r="AB35" s="12"/>
      <c r="AC35" s="12" t="str">
        <f>IFERROR(__xludf.DUMMYFUNCTION("""COMPUTED_VALUE"""),"3-4-3A")</f>
        <v>3-4-3A</v>
      </c>
      <c r="AD35" s="12" t="str">
        <f>IFERROR(__xludf.DUMMYFUNCTION("""COMPUTED_VALUE"""),"692012X")</f>
        <v>692012X</v>
      </c>
      <c r="AE35" s="12" t="str">
        <f>IFERROR(__xludf.DUMMYFUNCTION("""COMPUTED_VALUE"""),"CAJA CARTON CORRUGADO 50x40x30 ")</f>
        <v>CAJA CARTON CORRUGADO 50x40x30 </v>
      </c>
      <c r="AF35" s="30">
        <f>IFERROR(__xludf.DUMMYFUNCTION("""COMPUTED_VALUE"""),250.0)</f>
        <v>250</v>
      </c>
      <c r="AG35" s="12" t="str">
        <f>IFERROR(__xludf.DUMMYFUNCTION("""COMPUTED_VALUE"""),"PROVEEDOR")</f>
        <v>PROVEEDOR</v>
      </c>
      <c r="AH35" s="12">
        <f>IFERROR(__xludf.DUMMYFUNCTION("""COMPUTED_VALUE"""),3.0)</f>
        <v>3</v>
      </c>
      <c r="AI35" s="12" t="str">
        <f>IFERROR(__xludf.DUMMYFUNCTION("""COMPUTED_VALUE"""),"4")</f>
        <v>4</v>
      </c>
      <c r="AJ35" s="12" t="str">
        <f>IFERROR(__xludf.DUMMYFUNCTION("""COMPUTED_VALUE"""),"3A")</f>
        <v>3A</v>
      </c>
      <c r="AK35" s="12">
        <f>IFERROR(__xludf.DUMMYFUNCTION("""COMPUTED_VALUE"""),56.0)</f>
        <v>56</v>
      </c>
      <c r="AL35" s="12" t="str">
        <f>IFERROR(__xludf.DUMMYFUNCTION("""COMPUTED_VALUE"""),"SUMMIT")</f>
        <v>SUMMIT</v>
      </c>
      <c r="AP35" s="12"/>
      <c r="AQ35" s="12"/>
      <c r="BC35" s="12"/>
      <c r="BH35" s="12" t="str">
        <f>IFERROR(__xludf.DUMMYFUNCTION("IFERROR(INDEX(QUERY(IMPORTRANGE(""1T7HG8KEs-Ob7f3M5atEVN9Yn7IeORGp0QGvggB62ELw"",""Maestro!A:I""),""SELECT Col8 WHERE Col3 = '""&amp;BE35&amp;""'"", 0), 1, 1),""NO ENCONTRADO"")"),"D")</f>
        <v>D</v>
      </c>
      <c r="BI35" s="16">
        <v>1.0</v>
      </c>
      <c r="BJ35" s="16">
        <f t="shared" si="4"/>
        <v>500</v>
      </c>
      <c r="BK35" s="12"/>
      <c r="BR35" s="12"/>
      <c r="BY35" s="14"/>
      <c r="BZ35" s="14"/>
      <c r="CA35" s="14"/>
      <c r="CB35" s="14"/>
      <c r="CC35" s="14"/>
      <c r="CD35" s="14"/>
      <c r="CE35" s="14"/>
      <c r="CF35" s="12"/>
      <c r="CG35" s="12"/>
      <c r="CH35" s="12"/>
      <c r="CI35" s="12"/>
      <c r="CJ35" s="12"/>
      <c r="CK35" s="12"/>
      <c r="CL35" s="12"/>
      <c r="CM35" s="12"/>
      <c r="CN35" s="12"/>
      <c r="CO35" s="12"/>
    </row>
    <row r="36">
      <c r="A36" s="92">
        <v>3.0</v>
      </c>
      <c r="B36" s="93" t="s">
        <v>32</v>
      </c>
      <c r="C36" s="94" t="s">
        <v>140</v>
      </c>
      <c r="D36" s="95" t="str">
        <f t="shared" si="1"/>
        <v>3-2-2B</v>
      </c>
      <c r="E36" s="50"/>
      <c r="F36" s="51"/>
      <c r="G36" s="46"/>
      <c r="H36" s="47"/>
      <c r="I36" s="48"/>
      <c r="J36" s="52"/>
      <c r="K36" s="27" t="str">
        <f t="shared" si="2"/>
        <v>DISPONIBLE</v>
      </c>
      <c r="L36" s="28">
        <f t="shared" si="3"/>
        <v>35</v>
      </c>
      <c r="M36" s="28" t="s">
        <v>23</v>
      </c>
      <c r="N36" s="109"/>
      <c r="O36" s="29"/>
      <c r="P36" s="12"/>
      <c r="Q36" s="12"/>
      <c r="R36" s="12"/>
      <c r="S36" s="12"/>
      <c r="T36" s="12"/>
      <c r="U36" s="12"/>
      <c r="V36" s="12"/>
      <c r="AB36" s="12"/>
      <c r="AC36" s="12" t="str">
        <f>IFERROR(__xludf.DUMMYFUNCTION("""COMPUTED_VALUE"""),"3-4-5A")</f>
        <v>3-4-5A</v>
      </c>
      <c r="AD36" s="12" t="str">
        <f>IFERROR(__xludf.DUMMYFUNCTION("""COMPUTED_VALUE"""),"692036X")</f>
        <v>692036X</v>
      </c>
      <c r="AE36" s="12" t="str">
        <f>IFERROR(__xludf.DUMMYFUNCTION("""COMPUTED_VALUE"""),"CAJA CARTON CORRUGADO 47x31x31 ")</f>
        <v>CAJA CARTON CORRUGADO 47x31x31 </v>
      </c>
      <c r="AF36" s="30">
        <f>IFERROR(__xludf.DUMMYFUNCTION("""COMPUTED_VALUE"""),488.0)</f>
        <v>488</v>
      </c>
      <c r="AG36" s="12" t="str">
        <f>IFERROR(__xludf.DUMMYFUNCTION("""COMPUTED_VALUE"""),"PROVEEDOR")</f>
        <v>PROVEEDOR</v>
      </c>
      <c r="AH36" s="12">
        <f>IFERROR(__xludf.DUMMYFUNCTION("""COMPUTED_VALUE"""),3.0)</f>
        <v>3</v>
      </c>
      <c r="AI36" s="12" t="str">
        <f>IFERROR(__xludf.DUMMYFUNCTION("""COMPUTED_VALUE"""),"4")</f>
        <v>4</v>
      </c>
      <c r="AJ36" s="12" t="str">
        <f>IFERROR(__xludf.DUMMYFUNCTION("""COMPUTED_VALUE"""),"5A")</f>
        <v>5A</v>
      </c>
      <c r="AK36" s="12">
        <f>IFERROR(__xludf.DUMMYFUNCTION("""COMPUTED_VALUE"""),60.0)</f>
        <v>60</v>
      </c>
      <c r="AL36" s="12" t="str">
        <f>IFERROR(__xludf.DUMMYFUNCTION("""COMPUTED_VALUE"""),"SUMMIT")</f>
        <v>SUMMIT</v>
      </c>
      <c r="AP36" s="12"/>
      <c r="AQ36" s="12"/>
      <c r="BC36" s="12"/>
      <c r="BH36" s="12" t="str">
        <f>IFERROR(__xludf.DUMMYFUNCTION("IFERROR(INDEX(QUERY(IMPORTRANGE(""1T7HG8KEs-Ob7f3M5atEVN9Yn7IeORGp0QGvggB62ELw"",""Maestro!A:I""),""SELECT Col8 WHERE Col3 = '""&amp;BE36&amp;""'"", 0), 1, 1),""NO ENCONTRADO"")"),"D")</f>
        <v>D</v>
      </c>
      <c r="BI36" s="16">
        <v>1.0</v>
      </c>
      <c r="BJ36" s="16">
        <f t="shared" si="4"/>
        <v>250</v>
      </c>
      <c r="BK36" s="12"/>
      <c r="BR36" s="12"/>
      <c r="BY36" s="14"/>
      <c r="BZ36" s="14"/>
      <c r="CA36" s="14"/>
      <c r="CB36" s="14"/>
      <c r="CC36" s="14"/>
      <c r="CD36" s="14"/>
      <c r="CE36" s="14"/>
      <c r="CF36" s="12"/>
      <c r="CG36" s="12"/>
      <c r="CH36" s="12"/>
      <c r="CI36" s="12"/>
      <c r="CJ36" s="12"/>
      <c r="CK36" s="12"/>
      <c r="CL36" s="12"/>
      <c r="CM36" s="12"/>
      <c r="CN36" s="12"/>
      <c r="CO36" s="12"/>
    </row>
    <row r="37">
      <c r="A37" s="92">
        <v>3.0</v>
      </c>
      <c r="B37" s="93" t="s">
        <v>32</v>
      </c>
      <c r="C37" s="94" t="s">
        <v>130</v>
      </c>
      <c r="D37" s="95" t="str">
        <f t="shared" si="1"/>
        <v>3-2-3A</v>
      </c>
      <c r="E37" s="96">
        <v>45754.0</v>
      </c>
      <c r="F37" s="97" t="s">
        <v>764</v>
      </c>
      <c r="G37" s="98" t="s">
        <v>143</v>
      </c>
      <c r="H37" s="99" t="s">
        <v>144</v>
      </c>
      <c r="I37" s="100">
        <v>4.0</v>
      </c>
      <c r="J37" s="101" t="s">
        <v>22</v>
      </c>
      <c r="K37" s="32" t="str">
        <f t="shared" si="2"/>
        <v>OCUPADO</v>
      </c>
      <c r="L37" s="33">
        <f t="shared" si="3"/>
        <v>36</v>
      </c>
      <c r="M37" s="33" t="s">
        <v>23</v>
      </c>
      <c r="N37" s="122"/>
      <c r="O37" s="34" t="s">
        <v>24</v>
      </c>
      <c r="P37" s="12"/>
      <c r="Q37" s="12"/>
      <c r="R37" s="12"/>
      <c r="S37" s="12"/>
      <c r="T37" s="12"/>
      <c r="U37" s="12"/>
      <c r="V37" s="12"/>
      <c r="AB37" s="12"/>
      <c r="AC37" s="12" t="str">
        <f>IFERROR(__xludf.DUMMYFUNCTION("""COMPUTED_VALUE"""),"3-5-1A")</f>
        <v>3-5-1A</v>
      </c>
      <c r="AD37" s="12" t="str">
        <f>IFERROR(__xludf.DUMMYFUNCTION("""COMPUTED_VALUE"""),"600499X")</f>
        <v>600499X</v>
      </c>
      <c r="AE37" s="12" t="str">
        <f>IFERROR(__xludf.DUMMYFUNCTION("""COMPUTED_VALUE"""),"CAJA CARTON CON ASAS 50X30X30 CM EASY")</f>
        <v>CAJA CARTON CON ASAS 50X30X30 CM EASY</v>
      </c>
      <c r="AF37" s="30">
        <f>IFERROR(__xludf.DUMMYFUNCTION("""COMPUTED_VALUE"""),268.0)</f>
        <v>268</v>
      </c>
      <c r="AG37" s="12" t="str">
        <f>IFERROR(__xludf.DUMMYFUNCTION("""COMPUTED_VALUE"""),"PROVEEDOR")</f>
        <v>PROVEEDOR</v>
      </c>
      <c r="AH37" s="12">
        <f>IFERROR(__xludf.DUMMYFUNCTION("""COMPUTED_VALUE"""),3.0)</f>
        <v>3</v>
      </c>
      <c r="AI37" s="12" t="str">
        <f>IFERROR(__xludf.DUMMYFUNCTION("""COMPUTED_VALUE"""),"5")</f>
        <v>5</v>
      </c>
      <c r="AJ37" s="12" t="str">
        <f>IFERROR(__xludf.DUMMYFUNCTION("""COMPUTED_VALUE"""),"1A")</f>
        <v>1A</v>
      </c>
      <c r="AK37" s="12">
        <f>IFERROR(__xludf.DUMMYFUNCTION("""COMPUTED_VALUE"""),62.0)</f>
        <v>62</v>
      </c>
      <c r="AL37" s="12" t="str">
        <f>IFERROR(__xludf.DUMMYFUNCTION("""COMPUTED_VALUE"""),"SUMMIT")</f>
        <v>SUMMIT</v>
      </c>
      <c r="AP37" s="12"/>
      <c r="AQ37" s="12"/>
      <c r="BC37" s="12"/>
      <c r="BH37" s="12" t="str">
        <f>IFERROR(__xludf.DUMMYFUNCTION("IFERROR(INDEX(QUERY(IMPORTRANGE(""1T7HG8KEs-Ob7f3M5atEVN9Yn7IeORGp0QGvggB62ELw"",""Maestro!A:I""),""SELECT Col8 WHERE Col3 = '""&amp;BE37&amp;""'"", 0), 1, 1),""NO ENCONTRADO"")"),"D")</f>
        <v>D</v>
      </c>
      <c r="BI37" s="16">
        <v>1.0</v>
      </c>
      <c r="BJ37" s="16">
        <f t="shared" si="4"/>
        <v>488</v>
      </c>
      <c r="BK37" s="12"/>
      <c r="BR37" s="12"/>
      <c r="BY37" s="14"/>
      <c r="BZ37" s="14"/>
      <c r="CA37" s="14"/>
      <c r="CB37" s="14"/>
      <c r="CC37" s="14"/>
      <c r="CD37" s="14"/>
      <c r="CE37" s="14"/>
      <c r="CF37" s="12"/>
      <c r="CG37" s="12"/>
      <c r="CH37" s="12"/>
      <c r="CI37" s="12"/>
      <c r="CJ37" s="12"/>
      <c r="CK37" s="12"/>
      <c r="CL37" s="12"/>
      <c r="CM37" s="12"/>
      <c r="CN37" s="12"/>
      <c r="CO37" s="12"/>
    </row>
    <row r="38">
      <c r="A38" s="92">
        <v>3.0</v>
      </c>
      <c r="B38" s="93" t="s">
        <v>32</v>
      </c>
      <c r="C38" s="94" t="s">
        <v>148</v>
      </c>
      <c r="D38" s="95" t="str">
        <f t="shared" si="1"/>
        <v>3-2-3B</v>
      </c>
      <c r="E38" s="50"/>
      <c r="F38" s="51"/>
      <c r="G38" s="46"/>
      <c r="H38" s="47"/>
      <c r="I38" s="48"/>
      <c r="J38" s="52"/>
      <c r="K38" s="27" t="str">
        <f t="shared" si="2"/>
        <v>DISPONIBLE</v>
      </c>
      <c r="L38" s="28">
        <f t="shared" si="3"/>
        <v>37</v>
      </c>
      <c r="M38" s="28" t="s">
        <v>23</v>
      </c>
      <c r="N38" s="109"/>
      <c r="O38" s="29"/>
      <c r="P38" s="12"/>
      <c r="Q38" s="12"/>
      <c r="R38" s="12"/>
      <c r="S38" s="12"/>
      <c r="T38" s="12"/>
      <c r="U38" s="12"/>
      <c r="V38" s="12"/>
      <c r="AB38" s="12"/>
      <c r="AC38" s="12" t="str">
        <f>IFERROR(__xludf.DUMMYFUNCTION("""COMPUTED_VALUE"""),"3-5-3A")</f>
        <v>3-5-3A</v>
      </c>
      <c r="AD38" s="12" t="str">
        <f>IFERROR(__xludf.DUMMYFUNCTION("""COMPUTED_VALUE"""),"600666")</f>
        <v>600666</v>
      </c>
      <c r="AE38" s="12" t="str">
        <f>IFERROR(__xludf.DUMMYFUNCTION("""COMPUTED_VALUE"""),"CAJA CARTON S/IMP 32x23x32 CM")</f>
        <v>CAJA CARTON S/IMP 32x23x32 CM</v>
      </c>
      <c r="AF38" s="30">
        <f>IFERROR(__xludf.DUMMYFUNCTION("""COMPUTED_VALUE"""),640.0)</f>
        <v>640</v>
      </c>
      <c r="AG38" s="12" t="str">
        <f>IFERROR(__xludf.DUMMYFUNCTION("""COMPUTED_VALUE"""),"PROVEEDOR")</f>
        <v>PROVEEDOR</v>
      </c>
      <c r="AH38" s="12">
        <f>IFERROR(__xludf.DUMMYFUNCTION("""COMPUTED_VALUE"""),3.0)</f>
        <v>3</v>
      </c>
      <c r="AI38" s="12" t="str">
        <f>IFERROR(__xludf.DUMMYFUNCTION("""COMPUTED_VALUE"""),"5")</f>
        <v>5</v>
      </c>
      <c r="AJ38" s="12" t="str">
        <f>IFERROR(__xludf.DUMMYFUNCTION("""COMPUTED_VALUE"""),"3A")</f>
        <v>3A</v>
      </c>
      <c r="AK38" s="12">
        <f>IFERROR(__xludf.DUMMYFUNCTION("""COMPUTED_VALUE"""),66.0)</f>
        <v>66</v>
      </c>
      <c r="AL38" s="12" t="str">
        <f>IFERROR(__xludf.DUMMYFUNCTION("""COMPUTED_VALUE"""),"SUMMIT")</f>
        <v>SUMMIT</v>
      </c>
      <c r="AP38" s="12"/>
      <c r="AQ38" s="12"/>
      <c r="BC38" s="12"/>
      <c r="BH38" s="12" t="str">
        <f>IFERROR(__xludf.DUMMYFUNCTION("IFERROR(INDEX(QUERY(IMPORTRANGE(""1T7HG8KEs-Ob7f3M5atEVN9Yn7IeORGp0QGvggB62ELw"",""Maestro!A:I""),""SELECT Col8 WHERE Col3 = '""&amp;BE38&amp;""'"", 0), 1, 1),""NO ENCONTRADO"")"),"D")</f>
        <v>D</v>
      </c>
      <c r="BI38" s="16">
        <v>1.0</v>
      </c>
      <c r="BJ38" s="16">
        <f t="shared" si="4"/>
        <v>268</v>
      </c>
      <c r="BK38" s="12"/>
      <c r="BR38" s="12"/>
      <c r="BY38" s="14"/>
      <c r="BZ38" s="14"/>
      <c r="CA38" s="14"/>
      <c r="CB38" s="14"/>
      <c r="CC38" s="14"/>
      <c r="CD38" s="14"/>
      <c r="CE38" s="14"/>
      <c r="CF38" s="12"/>
      <c r="CG38" s="12"/>
      <c r="CH38" s="12"/>
      <c r="CI38" s="12"/>
      <c r="CJ38" s="12"/>
      <c r="CK38" s="12"/>
      <c r="CL38" s="12"/>
      <c r="CM38" s="12"/>
      <c r="CN38" s="12"/>
      <c r="CO38" s="12"/>
    </row>
    <row r="39">
      <c r="A39" s="92">
        <v>3.0</v>
      </c>
      <c r="B39" s="93" t="s">
        <v>32</v>
      </c>
      <c r="C39" s="94" t="s">
        <v>145</v>
      </c>
      <c r="D39" s="95" t="str">
        <f t="shared" si="1"/>
        <v>3-2-4A</v>
      </c>
      <c r="E39" s="96">
        <v>45763.0</v>
      </c>
      <c r="F39" s="97" t="s">
        <v>258</v>
      </c>
      <c r="G39" s="98" t="s">
        <v>143</v>
      </c>
      <c r="H39" s="99" t="s">
        <v>144</v>
      </c>
      <c r="I39" s="100">
        <v>700.0</v>
      </c>
      <c r="J39" s="101" t="s">
        <v>22</v>
      </c>
      <c r="K39" s="32" t="str">
        <f t="shared" si="2"/>
        <v>OCUPADO</v>
      </c>
      <c r="L39" s="33">
        <f t="shared" si="3"/>
        <v>38</v>
      </c>
      <c r="M39" s="33" t="s">
        <v>23</v>
      </c>
      <c r="N39" s="122"/>
      <c r="O39" s="34" t="s">
        <v>24</v>
      </c>
      <c r="P39" s="12"/>
      <c r="Q39" s="12"/>
      <c r="R39" s="12"/>
      <c r="S39" s="12"/>
      <c r="T39" s="12"/>
      <c r="U39" s="12"/>
      <c r="V39" s="12"/>
      <c r="AB39" s="12"/>
      <c r="AC39" s="12" t="str">
        <f>IFERROR(__xludf.DUMMYFUNCTION("""COMPUTED_VALUE"""),"3-5-4A")</f>
        <v>3-5-4A</v>
      </c>
      <c r="AD39" s="12" t="str">
        <f>IFERROR(__xludf.DUMMYFUNCTION("""COMPUTED_VALUE"""),"692425")</f>
        <v>692425</v>
      </c>
      <c r="AE39" s="12" t="str">
        <f>IFERROR(__xludf.DUMMYFUNCTION("""COMPUTED_VALUE"""),"CAJA CARTON PISQUERA 31x23x31 CM")</f>
        <v>CAJA CARTON PISQUERA 31x23x31 CM</v>
      </c>
      <c r="AF39" s="30">
        <f>IFERROR(__xludf.DUMMYFUNCTION("""COMPUTED_VALUE"""),600.0)</f>
        <v>600</v>
      </c>
      <c r="AG39" s="12" t="str">
        <f>IFERROR(__xludf.DUMMYFUNCTION("""COMPUTED_VALUE"""),"PROVEEDOR")</f>
        <v>PROVEEDOR</v>
      </c>
      <c r="AH39" s="12">
        <f>IFERROR(__xludf.DUMMYFUNCTION("""COMPUTED_VALUE"""),3.0)</f>
        <v>3</v>
      </c>
      <c r="AI39" s="12" t="str">
        <f>IFERROR(__xludf.DUMMYFUNCTION("""COMPUTED_VALUE"""),"5")</f>
        <v>5</v>
      </c>
      <c r="AJ39" s="12" t="str">
        <f>IFERROR(__xludf.DUMMYFUNCTION("""COMPUTED_VALUE"""),"4A")</f>
        <v>4A</v>
      </c>
      <c r="AK39" s="12">
        <f>IFERROR(__xludf.DUMMYFUNCTION("""COMPUTED_VALUE"""),68.0)</f>
        <v>68</v>
      </c>
      <c r="AL39" s="12" t="str">
        <f>IFERROR(__xludf.DUMMYFUNCTION("""COMPUTED_VALUE"""),"SUMMIT")</f>
        <v>SUMMIT</v>
      </c>
      <c r="AP39" s="12"/>
      <c r="AQ39" s="12"/>
      <c r="BC39" s="12"/>
      <c r="BH39" s="12" t="str">
        <f>IFERROR(__xludf.DUMMYFUNCTION("IFERROR(INDEX(QUERY(IMPORTRANGE(""1T7HG8KEs-Ob7f3M5atEVN9Yn7IeORGp0QGvggB62ELw"",""Maestro!A:I""),""SELECT Col8 WHERE Col3 = '""&amp;BE39&amp;""'"", 0), 1, 1),""NO ENCONTRADO"")"),"D")</f>
        <v>D</v>
      </c>
      <c r="BI39" s="16">
        <v>1.0</v>
      </c>
      <c r="BJ39" s="16">
        <f t="shared" si="4"/>
        <v>640</v>
      </c>
      <c r="BK39" s="12"/>
      <c r="BR39" s="12"/>
      <c r="BY39" s="14"/>
      <c r="BZ39" s="14"/>
      <c r="CA39" s="14"/>
      <c r="CB39" s="14"/>
      <c r="CC39" s="14"/>
      <c r="CD39" s="14"/>
      <c r="CE39" s="14"/>
      <c r="CF39" s="12"/>
      <c r="CG39" s="12"/>
      <c r="CH39" s="12"/>
      <c r="CI39" s="12"/>
      <c r="CJ39" s="12"/>
      <c r="CK39" s="12"/>
      <c r="CL39" s="12"/>
      <c r="CM39" s="12"/>
      <c r="CN39" s="12"/>
      <c r="CO39" s="12"/>
    </row>
    <row r="40">
      <c r="A40" s="92">
        <v>3.0</v>
      </c>
      <c r="B40" s="93" t="s">
        <v>32</v>
      </c>
      <c r="C40" s="94" t="s">
        <v>181</v>
      </c>
      <c r="D40" s="95" t="str">
        <f t="shared" si="1"/>
        <v>3-2-4B</v>
      </c>
      <c r="E40" s="103"/>
      <c r="F40" s="51"/>
      <c r="G40" s="46"/>
      <c r="H40" s="47"/>
      <c r="I40" s="48"/>
      <c r="J40" s="52"/>
      <c r="K40" s="27" t="str">
        <f t="shared" si="2"/>
        <v>DISPONIBLE</v>
      </c>
      <c r="L40" s="28">
        <f t="shared" si="3"/>
        <v>39</v>
      </c>
      <c r="M40" s="28" t="s">
        <v>23</v>
      </c>
      <c r="N40" s="109"/>
      <c r="O40" s="29"/>
      <c r="P40" s="12"/>
      <c r="Q40" s="12"/>
      <c r="R40" s="12"/>
      <c r="S40" s="12"/>
      <c r="T40" s="12"/>
      <c r="U40" s="12"/>
      <c r="V40" s="12"/>
      <c r="AB40" s="12"/>
      <c r="AC40" s="12" t="str">
        <f>IFERROR(__xludf.DUMMYFUNCTION("""COMPUTED_VALUE"""),"3-6-1A")</f>
        <v>3-6-1A</v>
      </c>
      <c r="AD40" s="12" t="str">
        <f>IFERROR(__xludf.DUMMYFUNCTION("""COMPUTED_VALUE"""),"600482X")</f>
        <v>600482X</v>
      </c>
      <c r="AE40" s="12" t="str">
        <f>IFERROR(__xludf.DUMMYFUNCTION("""COMPUTED_VALUE"""),"CAJA CARTON CON ASAS 40X30X30 CM  EASY")</f>
        <v>CAJA CARTON CON ASAS 40X30X30 CM  EASY</v>
      </c>
      <c r="AF40" s="30">
        <f>IFERROR(__xludf.DUMMYFUNCTION("""COMPUTED_VALUE"""),775.0)</f>
        <v>775</v>
      </c>
      <c r="AG40" s="12" t="str">
        <f>IFERROR(__xludf.DUMMYFUNCTION("""COMPUTED_VALUE"""),"PROVEEDOR")</f>
        <v>PROVEEDOR</v>
      </c>
      <c r="AH40" s="12">
        <f>IFERROR(__xludf.DUMMYFUNCTION("""COMPUTED_VALUE"""),3.0)</f>
        <v>3</v>
      </c>
      <c r="AI40" s="12" t="str">
        <f>IFERROR(__xludf.DUMMYFUNCTION("""COMPUTED_VALUE"""),"6")</f>
        <v>6</v>
      </c>
      <c r="AJ40" s="12" t="str">
        <f>IFERROR(__xludf.DUMMYFUNCTION("""COMPUTED_VALUE"""),"1A")</f>
        <v>1A</v>
      </c>
      <c r="AK40" s="12">
        <f>IFERROR(__xludf.DUMMYFUNCTION("""COMPUTED_VALUE"""),72.0)</f>
        <v>72</v>
      </c>
      <c r="AL40" s="12" t="str">
        <f>IFERROR(__xludf.DUMMYFUNCTION("""COMPUTED_VALUE"""),"SUMMIT")</f>
        <v>SUMMIT</v>
      </c>
      <c r="AP40" s="12"/>
      <c r="AQ40" s="12"/>
      <c r="BC40" s="12"/>
      <c r="BH40" s="12" t="str">
        <f>IFERROR(__xludf.DUMMYFUNCTION("IFERROR(INDEX(QUERY(IMPORTRANGE(""1T7HG8KEs-Ob7f3M5atEVN9Yn7IeORGp0QGvggB62ELw"",""Maestro!A:I""),""SELECT Col8 WHERE Col3 = '""&amp;BE40&amp;""'"", 0), 1, 1),""NO ENCONTRADO"")"),"D")</f>
        <v>D</v>
      </c>
      <c r="BI40" s="16">
        <v>1.0</v>
      </c>
      <c r="BJ40" s="16">
        <f t="shared" si="4"/>
        <v>600</v>
      </c>
      <c r="BK40" s="12"/>
      <c r="BR40" s="12"/>
      <c r="BY40" s="14"/>
      <c r="BZ40" s="14"/>
      <c r="CA40" s="14"/>
      <c r="CB40" s="14"/>
      <c r="CC40" s="14"/>
      <c r="CD40" s="14"/>
      <c r="CE40" s="14"/>
      <c r="CF40" s="12"/>
      <c r="CG40" s="12"/>
      <c r="CH40" s="12"/>
      <c r="CI40" s="12"/>
      <c r="CJ40" s="12"/>
      <c r="CK40" s="12"/>
      <c r="CL40" s="12"/>
      <c r="CM40" s="12"/>
      <c r="CN40" s="12"/>
      <c r="CO40" s="12"/>
    </row>
    <row r="41">
      <c r="A41" s="123">
        <v>3.0</v>
      </c>
      <c r="B41" s="94" t="s">
        <v>32</v>
      </c>
      <c r="C41" s="94" t="s">
        <v>188</v>
      </c>
      <c r="D41" s="95" t="str">
        <f t="shared" si="1"/>
        <v>3-2-5A</v>
      </c>
      <c r="E41" s="96">
        <v>45754.0</v>
      </c>
      <c r="F41" s="144" t="s">
        <v>154</v>
      </c>
      <c r="G41" s="98" t="s">
        <v>83</v>
      </c>
      <c r="H41" s="99" t="s">
        <v>84</v>
      </c>
      <c r="I41" s="100">
        <v>350.0</v>
      </c>
      <c r="J41" s="101" t="s">
        <v>22</v>
      </c>
      <c r="K41" s="32" t="str">
        <f t="shared" si="2"/>
        <v>OCUPADO</v>
      </c>
      <c r="L41" s="33">
        <f t="shared" si="3"/>
        <v>40</v>
      </c>
      <c r="M41" s="33" t="s">
        <v>23</v>
      </c>
      <c r="N41" s="53"/>
      <c r="O41" s="34" t="s">
        <v>24</v>
      </c>
      <c r="P41" s="12"/>
      <c r="Q41" s="12"/>
      <c r="R41" s="12"/>
      <c r="S41" s="12"/>
      <c r="T41" s="12"/>
      <c r="U41" s="12"/>
      <c r="V41" s="12"/>
      <c r="AB41" s="12"/>
      <c r="AC41" s="12" t="str">
        <f>IFERROR(__xludf.DUMMYFUNCTION("""COMPUTED_VALUE"""),"3-6-2A")</f>
        <v>3-6-2A</v>
      </c>
      <c r="AD41" s="12" t="str">
        <f>IFERROR(__xludf.DUMMYFUNCTION("""COMPUTED_VALUE"""),"600505X")</f>
        <v>600505X</v>
      </c>
      <c r="AE41" s="12" t="str">
        <f>IFERROR(__xludf.DUMMYFUNCTION("""COMPUTED_VALUE"""),"CAJA CARTON CON ASAS 70X30X30 CM EASY")</f>
        <v>CAJA CARTON CON ASAS 70X30X30 CM EASY</v>
      </c>
      <c r="AF41" s="30">
        <f>IFERROR(__xludf.DUMMYFUNCTION("""COMPUTED_VALUE"""),300.0)</f>
        <v>300</v>
      </c>
      <c r="AG41" s="12" t="str">
        <f>IFERROR(__xludf.DUMMYFUNCTION("""COMPUTED_VALUE"""),"PROVEEDOR")</f>
        <v>PROVEEDOR</v>
      </c>
      <c r="AH41" s="12">
        <f>IFERROR(__xludf.DUMMYFUNCTION("""COMPUTED_VALUE"""),3.0)</f>
        <v>3</v>
      </c>
      <c r="AI41" s="12" t="str">
        <f>IFERROR(__xludf.DUMMYFUNCTION("""COMPUTED_VALUE"""),"6")</f>
        <v>6</v>
      </c>
      <c r="AJ41" s="12" t="str">
        <f>IFERROR(__xludf.DUMMYFUNCTION("""COMPUTED_VALUE"""),"2A")</f>
        <v>2A</v>
      </c>
      <c r="AK41" s="12">
        <f>IFERROR(__xludf.DUMMYFUNCTION("""COMPUTED_VALUE"""),74.0)</f>
        <v>74</v>
      </c>
      <c r="AL41" s="12" t="str">
        <f>IFERROR(__xludf.DUMMYFUNCTION("""COMPUTED_VALUE"""),"SUMMIT")</f>
        <v>SUMMIT</v>
      </c>
      <c r="AP41" s="12"/>
      <c r="AQ41" s="12"/>
      <c r="BC41" s="12"/>
      <c r="BH41" s="12" t="str">
        <f>IFERROR(__xludf.DUMMYFUNCTION("IFERROR(INDEX(QUERY(IMPORTRANGE(""1T7HG8KEs-Ob7f3M5atEVN9Yn7IeORGp0QGvggB62ELw"",""Maestro!A:I""),""SELECT Col8 WHERE Col3 = '""&amp;BE41&amp;""'"", 0), 1, 1),""NO ENCONTRADO"")"),"D")</f>
        <v>D</v>
      </c>
      <c r="BI41" s="16">
        <v>1.0</v>
      </c>
      <c r="BJ41" s="16">
        <f t="shared" si="4"/>
        <v>775</v>
      </c>
      <c r="BK41" s="12"/>
      <c r="BR41" s="12"/>
      <c r="BY41" s="14"/>
      <c r="BZ41" s="14"/>
      <c r="CA41" s="14"/>
      <c r="CB41" s="14"/>
      <c r="CC41" s="14"/>
      <c r="CD41" s="14"/>
      <c r="CE41" s="14"/>
      <c r="CF41" s="12"/>
      <c r="CG41" s="12"/>
      <c r="CH41" s="12"/>
      <c r="CI41" s="12"/>
      <c r="CJ41" s="12"/>
      <c r="CK41" s="12"/>
      <c r="CL41" s="12"/>
      <c r="CM41" s="12"/>
      <c r="CN41" s="12"/>
      <c r="CO41" s="12"/>
    </row>
    <row r="42">
      <c r="A42" s="123">
        <v>3.0</v>
      </c>
      <c r="B42" s="94" t="s">
        <v>32</v>
      </c>
      <c r="C42" s="94" t="s">
        <v>192</v>
      </c>
      <c r="D42" s="95" t="str">
        <f t="shared" si="1"/>
        <v>3-2-5B</v>
      </c>
      <c r="E42" s="96">
        <v>45754.0</v>
      </c>
      <c r="F42" s="144" t="s">
        <v>154</v>
      </c>
      <c r="G42" s="98" t="s">
        <v>83</v>
      </c>
      <c r="H42" s="99" t="s">
        <v>84</v>
      </c>
      <c r="I42" s="100">
        <v>199.0</v>
      </c>
      <c r="J42" s="101" t="s">
        <v>22</v>
      </c>
      <c r="K42" s="27" t="str">
        <f t="shared" si="2"/>
        <v>OCUPADO</v>
      </c>
      <c r="L42" s="28">
        <f t="shared" si="3"/>
        <v>41</v>
      </c>
      <c r="M42" s="28" t="s">
        <v>23</v>
      </c>
      <c r="N42" s="70"/>
      <c r="O42" s="29" t="s">
        <v>24</v>
      </c>
      <c r="P42" s="12"/>
      <c r="Q42" s="12"/>
      <c r="R42" s="12"/>
      <c r="S42" s="12"/>
      <c r="T42" s="12"/>
      <c r="U42" s="12"/>
      <c r="V42" s="12"/>
      <c r="AB42" s="12"/>
      <c r="AC42" s="12" t="str">
        <f>IFERROR(__xludf.DUMMYFUNCTION("""COMPUTED_VALUE"""),"3-6-2B")</f>
        <v>3-6-2B</v>
      </c>
      <c r="AD42" s="12" t="str">
        <f>IFERROR(__xludf.DUMMYFUNCTION("""COMPUTED_VALUE"""),"600505X")</f>
        <v>600505X</v>
      </c>
      <c r="AE42" s="12" t="str">
        <f>IFERROR(__xludf.DUMMYFUNCTION("""COMPUTED_VALUE"""),"CAJA CARTON CON ASAS 70X30X30 CM EASY")</f>
        <v>CAJA CARTON CON ASAS 70X30X30 CM EASY</v>
      </c>
      <c r="AF42" s="30">
        <f>IFERROR(__xludf.DUMMYFUNCTION("""COMPUTED_VALUE"""),400.0)</f>
        <v>400</v>
      </c>
      <c r="AG42" s="12" t="str">
        <f>IFERROR(__xludf.DUMMYFUNCTION("""COMPUTED_VALUE"""),"PROVEEDOR")</f>
        <v>PROVEEDOR</v>
      </c>
      <c r="AH42" s="12">
        <f>IFERROR(__xludf.DUMMYFUNCTION("""COMPUTED_VALUE"""),3.0)</f>
        <v>3</v>
      </c>
      <c r="AI42" s="12" t="str">
        <f>IFERROR(__xludf.DUMMYFUNCTION("""COMPUTED_VALUE"""),"6")</f>
        <v>6</v>
      </c>
      <c r="AJ42" s="12" t="str">
        <f>IFERROR(__xludf.DUMMYFUNCTION("""COMPUTED_VALUE"""),"2B")</f>
        <v>2B</v>
      </c>
      <c r="AK42" s="12">
        <f>IFERROR(__xludf.DUMMYFUNCTION("""COMPUTED_VALUE"""),75.0)</f>
        <v>75</v>
      </c>
      <c r="AL42" s="12" t="str">
        <f>IFERROR(__xludf.DUMMYFUNCTION("""COMPUTED_VALUE"""),"SUMMIT")</f>
        <v>SUMMIT</v>
      </c>
      <c r="AP42" s="12"/>
      <c r="AQ42" s="12"/>
      <c r="BC42" s="12"/>
      <c r="BH42" s="12" t="str">
        <f>IFERROR(__xludf.DUMMYFUNCTION("IFERROR(INDEX(QUERY(IMPORTRANGE(""1T7HG8KEs-Ob7f3M5atEVN9Yn7IeORGp0QGvggB62ELw"",""Maestro!A:I""),""SELECT Col8 WHERE Col3 = '""&amp;BE42&amp;""'"", 0), 1, 1),""NO ENCONTRADO"")"),"D")</f>
        <v>D</v>
      </c>
      <c r="BI42" s="16">
        <v>1.0</v>
      </c>
      <c r="BJ42" s="16">
        <f t="shared" si="4"/>
        <v>300</v>
      </c>
      <c r="BK42" s="12"/>
      <c r="BR42" s="12"/>
      <c r="BY42" s="14"/>
      <c r="BZ42" s="14"/>
      <c r="CA42" s="14"/>
      <c r="CB42" s="14"/>
      <c r="CC42" s="14"/>
      <c r="CD42" s="14"/>
      <c r="CE42" s="14"/>
      <c r="CF42" s="12"/>
      <c r="CG42" s="12"/>
      <c r="CH42" s="12"/>
      <c r="CI42" s="12"/>
      <c r="CJ42" s="12"/>
      <c r="CK42" s="12"/>
      <c r="CL42" s="12"/>
      <c r="CM42" s="12"/>
      <c r="CN42" s="12"/>
      <c r="CO42" s="12"/>
    </row>
    <row r="43">
      <c r="A43" s="92">
        <v>3.0</v>
      </c>
      <c r="B43" s="93" t="s">
        <v>44</v>
      </c>
      <c r="C43" s="94" t="s">
        <v>119</v>
      </c>
      <c r="D43" s="95" t="str">
        <f t="shared" si="1"/>
        <v>3-3-1A</v>
      </c>
      <c r="E43" s="96">
        <v>45733.0</v>
      </c>
      <c r="F43" s="97" t="s">
        <v>19</v>
      </c>
      <c r="G43" s="98" t="s">
        <v>137</v>
      </c>
      <c r="H43" s="99" t="s">
        <v>138</v>
      </c>
      <c r="I43" s="100">
        <v>450.0</v>
      </c>
      <c r="J43" s="101" t="s">
        <v>22</v>
      </c>
      <c r="K43" s="32" t="str">
        <f t="shared" si="2"/>
        <v>OCUPADO</v>
      </c>
      <c r="L43" s="33">
        <f t="shared" si="3"/>
        <v>42</v>
      </c>
      <c r="M43" s="33" t="s">
        <v>23</v>
      </c>
      <c r="N43" s="53"/>
      <c r="O43" s="34" t="s">
        <v>24</v>
      </c>
      <c r="P43" s="12"/>
      <c r="Q43" s="12"/>
      <c r="R43" s="12"/>
      <c r="S43" s="12"/>
      <c r="T43" s="12"/>
      <c r="U43" s="12"/>
      <c r="V43" s="12"/>
      <c r="AB43" s="12"/>
      <c r="AC43" s="12" t="str">
        <f>IFERROR(__xludf.DUMMYFUNCTION("""COMPUTED_VALUE"""),"3-6-3A")</f>
        <v>3-6-3A</v>
      </c>
      <c r="AD43" s="12" t="str">
        <f>IFERROR(__xludf.DUMMYFUNCTION("""COMPUTED_VALUE"""),"600673")</f>
        <v>600673</v>
      </c>
      <c r="AE43" s="12" t="str">
        <f>IFERROR(__xludf.DUMMYFUNCTION("""COMPUTED_VALUE"""),"ROLLO PAPEL KRAFT 35GR 25 MT")</f>
        <v>ROLLO PAPEL KRAFT 35GR 25 MT</v>
      </c>
      <c r="AF43" s="30">
        <f>IFERROR(__xludf.DUMMYFUNCTION("""COMPUTED_VALUE"""),250.0)</f>
        <v>250</v>
      </c>
      <c r="AG43" s="12" t="str">
        <f>IFERROR(__xludf.DUMMYFUNCTION("""COMPUTED_VALUE"""),"PROVEEDOR")</f>
        <v>PROVEEDOR</v>
      </c>
      <c r="AH43" s="12">
        <f>IFERROR(__xludf.DUMMYFUNCTION("""COMPUTED_VALUE"""),3.0)</f>
        <v>3</v>
      </c>
      <c r="AI43" s="12" t="str">
        <f>IFERROR(__xludf.DUMMYFUNCTION("""COMPUTED_VALUE"""),"6")</f>
        <v>6</v>
      </c>
      <c r="AJ43" s="12" t="str">
        <f>IFERROR(__xludf.DUMMYFUNCTION("""COMPUTED_VALUE"""),"3A")</f>
        <v>3A</v>
      </c>
      <c r="AK43" s="12">
        <f>IFERROR(__xludf.DUMMYFUNCTION("""COMPUTED_VALUE"""),76.0)</f>
        <v>76</v>
      </c>
      <c r="AL43" s="12" t="str">
        <f>IFERROR(__xludf.DUMMYFUNCTION("""COMPUTED_VALUE"""),"SUMMIT")</f>
        <v>SUMMIT</v>
      </c>
      <c r="AP43" s="12"/>
      <c r="AQ43" s="12"/>
      <c r="BC43" s="12"/>
      <c r="BH43" s="12" t="str">
        <f>IFERROR(__xludf.DUMMYFUNCTION("IFERROR(INDEX(QUERY(IMPORTRANGE(""1T7HG8KEs-Ob7f3M5atEVN9Yn7IeORGp0QGvggB62ELw"",""Maestro!A:I""),""SELECT Col8 WHERE Col3 = '""&amp;BE43&amp;""'"", 0), 1, 1),""NO ENCONTRADO"")"),"D")</f>
        <v>D</v>
      </c>
      <c r="BI43" s="16">
        <v>1.0</v>
      </c>
      <c r="BJ43" s="16">
        <f t="shared" si="4"/>
        <v>400</v>
      </c>
      <c r="BK43" s="12"/>
      <c r="BR43" s="12"/>
      <c r="BY43" s="14"/>
      <c r="BZ43" s="14"/>
      <c r="CA43" s="14"/>
      <c r="CB43" s="14"/>
      <c r="CC43" s="14"/>
      <c r="CD43" s="14"/>
      <c r="CE43" s="14"/>
      <c r="CF43" s="12"/>
      <c r="CG43" s="12"/>
      <c r="CH43" s="12"/>
      <c r="CI43" s="12"/>
      <c r="CJ43" s="12"/>
      <c r="CK43" s="12"/>
      <c r="CL43" s="12"/>
      <c r="CM43" s="12"/>
      <c r="CN43" s="12"/>
      <c r="CO43" s="12"/>
    </row>
    <row r="44">
      <c r="A44" s="92">
        <v>3.0</v>
      </c>
      <c r="B44" s="93" t="s">
        <v>44</v>
      </c>
      <c r="C44" s="94" t="s">
        <v>132</v>
      </c>
      <c r="D44" s="95" t="str">
        <f t="shared" si="1"/>
        <v>3-3-1B</v>
      </c>
      <c r="E44" s="50"/>
      <c r="F44" s="51"/>
      <c r="G44" s="46"/>
      <c r="H44" s="47"/>
      <c r="I44" s="48"/>
      <c r="J44" s="52"/>
      <c r="K44" s="27" t="str">
        <f t="shared" si="2"/>
        <v>DISPONIBLE</v>
      </c>
      <c r="L44" s="28">
        <f t="shared" si="3"/>
        <v>43</v>
      </c>
      <c r="M44" s="28" t="s">
        <v>23</v>
      </c>
      <c r="N44" s="70"/>
      <c r="P44" s="12"/>
      <c r="Q44" s="12"/>
      <c r="R44" s="12"/>
      <c r="S44" s="12"/>
      <c r="T44" s="12"/>
      <c r="U44" s="12"/>
      <c r="V44" s="12"/>
      <c r="AB44" s="12"/>
      <c r="AC44" s="12" t="str">
        <f>IFERROR(__xludf.DUMMYFUNCTION("""COMPUTED_VALUE"""),"3-6-4A")</f>
        <v>3-6-4A</v>
      </c>
      <c r="AD44" s="12" t="str">
        <f>IFERROR(__xludf.DUMMYFUNCTION("""COMPUTED_VALUE"""),"600697")</f>
        <v>600697</v>
      </c>
      <c r="AE44" s="12" t="str">
        <f>IFERROR(__xludf.DUMMYFUNCTION("""COMPUTED_VALUE"""),"CAJA PLUMAVIT 35 LITROS")</f>
        <v>CAJA PLUMAVIT 35 LITROS</v>
      </c>
      <c r="AF44" s="30">
        <f>IFERROR(__xludf.DUMMYFUNCTION("""COMPUTED_VALUE"""),30.0)</f>
        <v>30</v>
      </c>
      <c r="AG44" s="12" t="str">
        <f>IFERROR(__xludf.DUMMYFUNCTION("""COMPUTED_VALUE"""),"PROVEEDOR")</f>
        <v>PROVEEDOR</v>
      </c>
      <c r="AH44" s="12">
        <f>IFERROR(__xludf.DUMMYFUNCTION("""COMPUTED_VALUE"""),3.0)</f>
        <v>3</v>
      </c>
      <c r="AI44" s="12" t="str">
        <f>IFERROR(__xludf.DUMMYFUNCTION("""COMPUTED_VALUE"""),"6")</f>
        <v>6</v>
      </c>
      <c r="AJ44" s="12" t="str">
        <f>IFERROR(__xludf.DUMMYFUNCTION("""COMPUTED_VALUE"""),"4A")</f>
        <v>4A</v>
      </c>
      <c r="AK44" s="12">
        <f>IFERROR(__xludf.DUMMYFUNCTION("""COMPUTED_VALUE"""),78.0)</f>
        <v>78</v>
      </c>
      <c r="AL44" s="12" t="str">
        <f>IFERROR(__xludf.DUMMYFUNCTION("""COMPUTED_VALUE"""),"SUMMIT")</f>
        <v>SUMMIT</v>
      </c>
      <c r="AP44" s="12"/>
      <c r="AQ44" s="12"/>
      <c r="BC44" s="12"/>
      <c r="BH44" s="12" t="str">
        <f>IFERROR(__xludf.DUMMYFUNCTION("IFERROR(INDEX(QUERY(IMPORTRANGE(""1T7HG8KEs-Ob7f3M5atEVN9Yn7IeORGp0QGvggB62ELw"",""Maestro!A:I""),""SELECT Col8 WHERE Col3 = '""&amp;BE44&amp;""'"", 0), 1, 1),""NO ENCONTRADO"")"),"D")</f>
        <v>D</v>
      </c>
      <c r="BI44" s="16">
        <v>1.0</v>
      </c>
      <c r="BJ44" s="16">
        <f t="shared" si="4"/>
        <v>250</v>
      </c>
      <c r="BK44" s="12"/>
      <c r="BR44" s="12"/>
      <c r="BY44" s="14"/>
      <c r="BZ44" s="14"/>
      <c r="CA44" s="14"/>
      <c r="CB44" s="14"/>
      <c r="CC44" s="14"/>
      <c r="CD44" s="14"/>
      <c r="CE44" s="14"/>
      <c r="CF44" s="12"/>
      <c r="CG44" s="12"/>
      <c r="CH44" s="12"/>
      <c r="CI44" s="12"/>
      <c r="CJ44" s="12"/>
      <c r="CK44" s="12"/>
      <c r="CL44" s="12"/>
      <c r="CM44" s="12"/>
      <c r="CN44" s="12"/>
      <c r="CO44" s="12"/>
    </row>
    <row r="45">
      <c r="A45" s="92">
        <v>3.0</v>
      </c>
      <c r="B45" s="93" t="s">
        <v>44</v>
      </c>
      <c r="C45" s="94" t="s">
        <v>124</v>
      </c>
      <c r="D45" s="95" t="str">
        <f t="shared" si="1"/>
        <v>3-3-2A</v>
      </c>
      <c r="E45" s="96">
        <v>45733.0</v>
      </c>
      <c r="F45" s="97" t="s">
        <v>19</v>
      </c>
      <c r="G45" s="98" t="s">
        <v>137</v>
      </c>
      <c r="H45" s="99" t="s">
        <v>138</v>
      </c>
      <c r="I45" s="100">
        <v>450.0</v>
      </c>
      <c r="J45" s="101" t="s">
        <v>22</v>
      </c>
      <c r="K45" s="32" t="str">
        <f t="shared" si="2"/>
        <v>OCUPADO</v>
      </c>
      <c r="L45" s="33">
        <f t="shared" si="3"/>
        <v>44</v>
      </c>
      <c r="M45" s="33" t="s">
        <v>23</v>
      </c>
      <c r="N45" s="53"/>
      <c r="O45" s="34" t="s">
        <v>24</v>
      </c>
      <c r="P45" s="12"/>
      <c r="Q45" s="12"/>
      <c r="R45" s="12"/>
      <c r="S45" s="12"/>
      <c r="T45" s="12"/>
      <c r="U45" s="12"/>
      <c r="V45" s="12"/>
      <c r="AB45" s="12"/>
      <c r="AC45" s="12" t="str">
        <f>IFERROR(__xludf.DUMMYFUNCTION("""COMPUTED_VALUE"""),"3-7-2A")</f>
        <v>3-7-2A</v>
      </c>
      <c r="AD45" s="12" t="str">
        <f>IFERROR(__xludf.DUMMYFUNCTION("""COMPUTED_VALUE"""),"600659")</f>
        <v>600659</v>
      </c>
      <c r="AE45" s="12" t="str">
        <f>IFERROR(__xludf.DUMMYFUNCTION("""COMPUTED_VALUE"""),"ROLLO ESPUMA EMBALAJE 1 MM 0,70X5 MT")</f>
        <v>ROLLO ESPUMA EMBALAJE 1 MM 0,70X5 MT</v>
      </c>
      <c r="AF45" s="30">
        <f>IFERROR(__xludf.DUMMYFUNCTION("""COMPUTED_VALUE"""),9.0)</f>
        <v>9</v>
      </c>
      <c r="AG45" s="12" t="str">
        <f>IFERROR(__xludf.DUMMYFUNCTION("""COMPUTED_VALUE"""),"PRODUCTO TERMINADO")</f>
        <v>PRODUCTO TERMINADO</v>
      </c>
      <c r="AH45" s="12">
        <f>IFERROR(__xludf.DUMMYFUNCTION("""COMPUTED_VALUE"""),3.0)</f>
        <v>3</v>
      </c>
      <c r="AI45" s="12" t="str">
        <f>IFERROR(__xludf.DUMMYFUNCTION("""COMPUTED_VALUE"""),"7")</f>
        <v>7</v>
      </c>
      <c r="AJ45" s="12" t="str">
        <f>IFERROR(__xludf.DUMMYFUNCTION("""COMPUTED_VALUE"""),"2A")</f>
        <v>2A</v>
      </c>
      <c r="AK45" s="12">
        <f>IFERROR(__xludf.DUMMYFUNCTION("""COMPUTED_VALUE"""),84.0)</f>
        <v>84</v>
      </c>
      <c r="AL45" s="12" t="str">
        <f>IFERROR(__xludf.DUMMYFUNCTION("""COMPUTED_VALUE"""),"SUMMIT")</f>
        <v>SUMMIT</v>
      </c>
      <c r="AP45" s="12"/>
      <c r="AQ45" s="12"/>
      <c r="BC45" s="12"/>
      <c r="BH45" s="12" t="str">
        <f>IFERROR(__xludf.DUMMYFUNCTION("IFERROR(INDEX(QUERY(IMPORTRANGE(""1T7HG8KEs-Ob7f3M5atEVN9Yn7IeORGp0QGvggB62ELw"",""Maestro!A:I""),""SELECT Col8 WHERE Col3 = '""&amp;BE45&amp;""'"", 0), 1, 1),""NO ENCONTRADO"")"),"D")</f>
        <v>D</v>
      </c>
      <c r="BI45" s="16">
        <v>1.0</v>
      </c>
      <c r="BJ45" s="16">
        <f t="shared" si="4"/>
        <v>30</v>
      </c>
      <c r="BK45" s="12"/>
      <c r="BR45" s="12"/>
      <c r="BY45" s="14"/>
      <c r="BZ45" s="14"/>
      <c r="CA45" s="14"/>
      <c r="CB45" s="14"/>
      <c r="CC45" s="14"/>
      <c r="CD45" s="14"/>
      <c r="CE45" s="14"/>
      <c r="CF45" s="12"/>
      <c r="CG45" s="12"/>
      <c r="CH45" s="12"/>
      <c r="CI45" s="12"/>
      <c r="CJ45" s="12"/>
      <c r="CK45" s="12"/>
      <c r="CL45" s="12"/>
      <c r="CM45" s="12"/>
      <c r="CN45" s="12"/>
      <c r="CO45" s="12"/>
    </row>
    <row r="46">
      <c r="A46" s="92">
        <v>3.0</v>
      </c>
      <c r="B46" s="93" t="s">
        <v>44</v>
      </c>
      <c r="C46" s="94" t="s">
        <v>140</v>
      </c>
      <c r="D46" s="95" t="str">
        <f t="shared" si="1"/>
        <v>3-3-2B</v>
      </c>
      <c r="E46" s="50"/>
      <c r="F46" s="51"/>
      <c r="G46" s="46"/>
      <c r="H46" s="47"/>
      <c r="I46" s="48"/>
      <c r="J46" s="52"/>
      <c r="K46" s="27" t="str">
        <f t="shared" si="2"/>
        <v>DISPONIBLE</v>
      </c>
      <c r="L46" s="28">
        <f t="shared" si="3"/>
        <v>45</v>
      </c>
      <c r="M46" s="28" t="s">
        <v>23</v>
      </c>
      <c r="N46" s="70"/>
      <c r="O46" s="29"/>
      <c r="P46" s="12"/>
      <c r="Q46" s="12"/>
      <c r="R46" s="12"/>
      <c r="S46" s="12"/>
      <c r="T46" s="12"/>
      <c r="U46" s="12"/>
      <c r="V46" s="12"/>
      <c r="AB46" s="12"/>
      <c r="AC46" s="12" t="str">
        <f>IFERROR(__xludf.DUMMYFUNCTION("""COMPUTED_VALUE"""),"3-7-2B")</f>
        <v>3-7-2B</v>
      </c>
      <c r="AD46" s="12" t="str">
        <f>IFERROR(__xludf.DUMMYFUNCTION("""COMPUTED_VALUE"""),"600550")</f>
        <v>600550</v>
      </c>
      <c r="AE46" s="12" t="str">
        <f>IFERROR(__xludf.DUMMYFUNCTION("""COMPUTED_VALUE"""),"ROLLO PAPEL PANAL 0,50 X 25MTS")</f>
        <v>ROLLO PAPEL PANAL 0,50 X 25MTS</v>
      </c>
      <c r="AF46" s="30">
        <f>IFERROR(__xludf.DUMMYFUNCTION("""COMPUTED_VALUE"""),18.0)</f>
        <v>18</v>
      </c>
      <c r="AG46" s="12" t="str">
        <f>IFERROR(__xludf.DUMMYFUNCTION("""COMPUTED_VALUE"""),"PRODUCTO TERMINADO")</f>
        <v>PRODUCTO TERMINADO</v>
      </c>
      <c r="AH46" s="12">
        <f>IFERROR(__xludf.DUMMYFUNCTION("""COMPUTED_VALUE"""),3.0)</f>
        <v>3</v>
      </c>
      <c r="AI46" s="12" t="str">
        <f>IFERROR(__xludf.DUMMYFUNCTION("""COMPUTED_VALUE"""),"7")</f>
        <v>7</v>
      </c>
      <c r="AJ46" s="12" t="str">
        <f>IFERROR(__xludf.DUMMYFUNCTION("""COMPUTED_VALUE"""),"2B")</f>
        <v>2B</v>
      </c>
      <c r="AK46" s="12">
        <f>IFERROR(__xludf.DUMMYFUNCTION("""COMPUTED_VALUE"""),85.0)</f>
        <v>85</v>
      </c>
      <c r="AL46" s="12"/>
      <c r="AP46" s="12"/>
      <c r="AQ46" s="12"/>
      <c r="BC46" s="12"/>
      <c r="BH46" s="12" t="str">
        <f>IFERROR(__xludf.DUMMYFUNCTION("IFERROR(INDEX(QUERY(IMPORTRANGE(""1T7HG8KEs-Ob7f3M5atEVN9Yn7IeORGp0QGvggB62ELw"",""Maestro!A:I""),""SELECT Col8 WHERE Col3 = '""&amp;BE46&amp;""'"", 0), 1, 1),""NO ENCONTRADO"")"),"M")</f>
        <v>M</v>
      </c>
      <c r="BI46" s="16">
        <v>1.0</v>
      </c>
      <c r="BJ46" s="16">
        <f t="shared" si="4"/>
        <v>9</v>
      </c>
      <c r="BK46" s="12"/>
      <c r="BR46" s="12"/>
      <c r="BY46" s="14"/>
      <c r="BZ46" s="14"/>
      <c r="CA46" s="14"/>
      <c r="CB46" s="14"/>
      <c r="CC46" s="14"/>
      <c r="CD46" s="14"/>
      <c r="CE46" s="14"/>
      <c r="CF46" s="12"/>
      <c r="CG46" s="12"/>
      <c r="CH46" s="12"/>
      <c r="CI46" s="12"/>
      <c r="CJ46" s="12"/>
      <c r="CK46" s="12"/>
      <c r="CL46" s="12"/>
      <c r="CM46" s="12"/>
      <c r="CN46" s="12"/>
      <c r="CO46" s="12"/>
    </row>
    <row r="47">
      <c r="A47" s="92">
        <v>3.0</v>
      </c>
      <c r="B47" s="93" t="s">
        <v>44</v>
      </c>
      <c r="C47" s="94" t="s">
        <v>130</v>
      </c>
      <c r="D47" s="95" t="str">
        <f t="shared" si="1"/>
        <v>3-3-3A</v>
      </c>
      <c r="E47" s="96">
        <v>45751.0</v>
      </c>
      <c r="F47" s="97" t="s">
        <v>765</v>
      </c>
      <c r="G47" s="98" t="s">
        <v>137</v>
      </c>
      <c r="H47" s="99" t="s">
        <v>138</v>
      </c>
      <c r="I47" s="100">
        <v>450.0</v>
      </c>
      <c r="J47" s="101" t="s">
        <v>22</v>
      </c>
      <c r="K47" s="32" t="str">
        <f t="shared" si="2"/>
        <v>OCUPADO</v>
      </c>
      <c r="L47" s="33">
        <f t="shared" si="3"/>
        <v>46</v>
      </c>
      <c r="M47" s="33" t="s">
        <v>23</v>
      </c>
      <c r="N47" s="53"/>
      <c r="O47" s="34" t="s">
        <v>24</v>
      </c>
      <c r="P47" s="12"/>
      <c r="Q47" s="12"/>
      <c r="R47" s="12"/>
      <c r="S47" s="12"/>
      <c r="T47" s="12"/>
      <c r="U47" s="12"/>
      <c r="V47" s="12"/>
      <c r="AB47" s="12"/>
      <c r="AC47" s="12" t="str">
        <f>IFERROR(__xludf.DUMMYFUNCTION("""COMPUTED_VALUE"""),"3-7-3A")</f>
        <v>3-7-3A</v>
      </c>
      <c r="AD47" s="12" t="str">
        <f>IFERROR(__xludf.DUMMYFUNCTION("""COMPUTED_VALUE"""),"600512")</f>
        <v>600512</v>
      </c>
      <c r="AE47" s="12" t="str">
        <f>IFERROR(__xludf.DUMMYFUNCTION("""COMPUTED_VALUE"""),"ROLLO ESPUMA EMBALAJE 1 MM 0,70X10 MT")</f>
        <v>ROLLO ESPUMA EMBALAJE 1 MM 0,70X10 MT</v>
      </c>
      <c r="AF47" s="30">
        <f>IFERROR(__xludf.DUMMYFUNCTION("""COMPUTED_VALUE"""),7.0)</f>
        <v>7</v>
      </c>
      <c r="AG47" s="12" t="str">
        <f>IFERROR(__xludf.DUMMYFUNCTION("""COMPUTED_VALUE"""),"PRODUCTO TERMINADO")</f>
        <v>PRODUCTO TERMINADO</v>
      </c>
      <c r="AH47" s="12">
        <f>IFERROR(__xludf.DUMMYFUNCTION("""COMPUTED_VALUE"""),3.0)</f>
        <v>3</v>
      </c>
      <c r="AI47" s="12" t="str">
        <f>IFERROR(__xludf.DUMMYFUNCTION("""COMPUTED_VALUE"""),"7")</f>
        <v>7</v>
      </c>
      <c r="AJ47" s="12" t="str">
        <f>IFERROR(__xludf.DUMMYFUNCTION("""COMPUTED_VALUE"""),"3A")</f>
        <v>3A</v>
      </c>
      <c r="AK47" s="12">
        <f>IFERROR(__xludf.DUMMYFUNCTION("""COMPUTED_VALUE"""),86.0)</f>
        <v>86</v>
      </c>
      <c r="AL47" s="12" t="str">
        <f>IFERROR(__xludf.DUMMYFUNCTION("""COMPUTED_VALUE"""),"SUMMIT")</f>
        <v>SUMMIT</v>
      </c>
      <c r="AP47" s="12"/>
      <c r="AQ47" s="12"/>
      <c r="BC47" s="12"/>
      <c r="BH47" s="12" t="str">
        <f>IFERROR(__xludf.DUMMYFUNCTION("IFERROR(INDEX(QUERY(IMPORTRANGE(""1T7HG8KEs-Ob7f3M5atEVN9Yn7IeORGp0QGvggB62ELw"",""Maestro!A:I""),""SELECT Col8 WHERE Col3 = '""&amp;BE47&amp;""'"", 0), 1, 1),""NO ENCONTRADO"")"),"M")</f>
        <v>M</v>
      </c>
      <c r="BI47" s="16">
        <v>1.0</v>
      </c>
      <c r="BJ47" s="16">
        <f t="shared" si="4"/>
        <v>7</v>
      </c>
      <c r="BK47" s="12"/>
      <c r="BR47" s="12"/>
      <c r="BY47" s="14"/>
      <c r="BZ47" s="14"/>
      <c r="CA47" s="14"/>
      <c r="CB47" s="14"/>
      <c r="CC47" s="14"/>
      <c r="CD47" s="14"/>
      <c r="CE47" s="14"/>
      <c r="CF47" s="12"/>
      <c r="CG47" s="12"/>
      <c r="CH47" s="12"/>
      <c r="CI47" s="12"/>
      <c r="CJ47" s="12"/>
      <c r="CK47" s="12"/>
      <c r="CL47" s="12"/>
      <c r="CM47" s="12"/>
      <c r="CN47" s="12"/>
      <c r="CO47" s="12"/>
    </row>
    <row r="48">
      <c r="A48" s="92">
        <v>3.0</v>
      </c>
      <c r="B48" s="93" t="s">
        <v>44</v>
      </c>
      <c r="C48" s="94" t="s">
        <v>148</v>
      </c>
      <c r="D48" s="95" t="str">
        <f t="shared" si="1"/>
        <v>3-3-3B</v>
      </c>
      <c r="E48" s="50"/>
      <c r="F48" s="51"/>
      <c r="G48" s="46"/>
      <c r="H48" s="47"/>
      <c r="I48" s="48"/>
      <c r="J48" s="52"/>
      <c r="K48" s="27" t="str">
        <f t="shared" si="2"/>
        <v>DISPONIBLE</v>
      </c>
      <c r="L48" s="28">
        <f t="shared" si="3"/>
        <v>47</v>
      </c>
      <c r="M48" s="28" t="s">
        <v>23</v>
      </c>
      <c r="N48" s="70"/>
      <c r="O48" s="29"/>
      <c r="P48" s="12"/>
      <c r="Q48" s="12"/>
      <c r="R48" s="12"/>
      <c r="S48" s="12"/>
      <c r="T48" s="12"/>
      <c r="U48" s="12"/>
      <c r="V48" s="12"/>
      <c r="AB48" s="12"/>
      <c r="AC48" s="12" t="str">
        <f>IFERROR(__xludf.DUMMYFUNCTION("""COMPUTED_VALUE"""),"3-7-3B")</f>
        <v>3-7-3B</v>
      </c>
      <c r="AD48" s="12" t="str">
        <f>IFERROR(__xludf.DUMMYFUNCTION("""COMPUTED_VALUE"""),"600550")</f>
        <v>600550</v>
      </c>
      <c r="AE48" s="12" t="str">
        <f>IFERROR(__xludf.DUMMYFUNCTION("""COMPUTED_VALUE"""),"ROLLO PAPEL PANAL 0,50 X 25MTS")</f>
        <v>ROLLO PAPEL PANAL 0,50 X 25MTS</v>
      </c>
      <c r="AF48" s="30">
        <f>IFERROR(__xludf.DUMMYFUNCTION("""COMPUTED_VALUE"""),71.0)</f>
        <v>71</v>
      </c>
      <c r="AG48" s="12" t="str">
        <f>IFERROR(__xludf.DUMMYFUNCTION("""COMPUTED_VALUE"""),"PRODUCTO TERMINADO")</f>
        <v>PRODUCTO TERMINADO</v>
      </c>
      <c r="AH48" s="12">
        <f>IFERROR(__xludf.DUMMYFUNCTION("""COMPUTED_VALUE"""),3.0)</f>
        <v>3</v>
      </c>
      <c r="AI48" s="12" t="str">
        <f>IFERROR(__xludf.DUMMYFUNCTION("""COMPUTED_VALUE"""),"7")</f>
        <v>7</v>
      </c>
      <c r="AJ48" s="12" t="str">
        <f>IFERROR(__xludf.DUMMYFUNCTION("""COMPUTED_VALUE"""),"3B")</f>
        <v>3B</v>
      </c>
      <c r="AK48" s="12">
        <f>IFERROR(__xludf.DUMMYFUNCTION("""COMPUTED_VALUE"""),87.0)</f>
        <v>87</v>
      </c>
      <c r="AL48" s="12"/>
      <c r="AP48" s="12"/>
      <c r="AQ48" s="12"/>
      <c r="BC48" s="12"/>
      <c r="BH48" s="12" t="str">
        <f>IFERROR(__xludf.DUMMYFUNCTION("IFERROR(INDEX(QUERY(IMPORTRANGE(""1T7HG8KEs-Ob7f3M5atEVN9Yn7IeORGp0QGvggB62ELw"",""Maestro!A:I""),""SELECT Col8 WHERE Col3 = '""&amp;BE48&amp;""'"", 0), 1, 1),""NO ENCONTRADO"")"),"NO ENCONTRADO")</f>
        <v>NO ENCONTRADO</v>
      </c>
      <c r="BI48" s="16">
        <v>1.0</v>
      </c>
      <c r="BJ48" s="16">
        <f t="shared" si="4"/>
        <v>55</v>
      </c>
      <c r="BK48" s="12"/>
      <c r="BR48" s="12"/>
      <c r="BY48" s="14"/>
      <c r="BZ48" s="14"/>
      <c r="CA48" s="14"/>
      <c r="CB48" s="14"/>
      <c r="CC48" s="14"/>
      <c r="CD48" s="14"/>
      <c r="CE48" s="14"/>
      <c r="CF48" s="12"/>
      <c r="CG48" s="12"/>
      <c r="CH48" s="12"/>
      <c r="CI48" s="12"/>
      <c r="CJ48" s="12"/>
      <c r="CK48" s="12"/>
      <c r="CL48" s="12"/>
      <c r="CM48" s="12"/>
      <c r="CN48" s="12"/>
      <c r="CO48" s="12"/>
    </row>
    <row r="49">
      <c r="A49" s="92">
        <v>3.0</v>
      </c>
      <c r="B49" s="93" t="s">
        <v>44</v>
      </c>
      <c r="C49" s="94" t="s">
        <v>145</v>
      </c>
      <c r="D49" s="95" t="str">
        <f t="shared" si="1"/>
        <v>3-3-4A</v>
      </c>
      <c r="E49" s="96">
        <v>45751.0</v>
      </c>
      <c r="F49" s="97" t="s">
        <v>765</v>
      </c>
      <c r="G49" s="98" t="s">
        <v>137</v>
      </c>
      <c r="H49" s="99" t="s">
        <v>138</v>
      </c>
      <c r="I49" s="100">
        <v>450.0</v>
      </c>
      <c r="J49" s="101" t="s">
        <v>22</v>
      </c>
      <c r="K49" s="32" t="str">
        <f t="shared" si="2"/>
        <v>OCUPADO</v>
      </c>
      <c r="L49" s="33">
        <f t="shared" si="3"/>
        <v>48</v>
      </c>
      <c r="M49" s="33" t="s">
        <v>23</v>
      </c>
      <c r="N49" s="53"/>
      <c r="O49" s="34" t="s">
        <v>24</v>
      </c>
      <c r="P49" s="12"/>
      <c r="Q49" s="12"/>
      <c r="R49" s="12"/>
      <c r="S49" s="12"/>
      <c r="T49" s="12"/>
      <c r="U49" s="12"/>
      <c r="V49" s="12"/>
      <c r="AB49" s="12"/>
      <c r="AC49" s="12" t="str">
        <f>IFERROR(__xludf.DUMMYFUNCTION("""COMPUTED_VALUE"""),"3-7-4B")</f>
        <v>3-7-4B</v>
      </c>
      <c r="AD49" s="12" t="str">
        <f>IFERROR(__xludf.DUMMYFUNCTION("""COMPUTED_VALUE"""),"111111")</f>
        <v>111111</v>
      </c>
      <c r="AE49" s="12" t="str">
        <f>IFERROR(__xludf.DUMMYFUNCTION("""COMPUTED_VALUE"""),"ROLLO PAPEL KRAFT 35G 230MT")</f>
        <v>ROLLO PAPEL KRAFT 35G 230MT</v>
      </c>
      <c r="AF49" s="30">
        <f>IFERROR(__xludf.DUMMYFUNCTION("""COMPUTED_VALUE"""),55.0)</f>
        <v>55</v>
      </c>
      <c r="AG49" s="12" t="str">
        <f>IFERROR(__xludf.DUMMYFUNCTION("""COMPUTED_VALUE"""),"PROVEEDOR")</f>
        <v>PROVEEDOR</v>
      </c>
      <c r="AH49" s="12">
        <f>IFERROR(__xludf.DUMMYFUNCTION("""COMPUTED_VALUE"""),3.0)</f>
        <v>3</v>
      </c>
      <c r="AI49" s="12" t="str">
        <f>IFERROR(__xludf.DUMMYFUNCTION("""COMPUTED_VALUE"""),"7")</f>
        <v>7</v>
      </c>
      <c r="AJ49" s="12" t="str">
        <f>IFERROR(__xludf.DUMMYFUNCTION("""COMPUTED_VALUE"""),"4B")</f>
        <v>4B</v>
      </c>
      <c r="AK49" s="12">
        <f>IFERROR(__xludf.DUMMYFUNCTION("""COMPUTED_VALUE"""),89.0)</f>
        <v>89</v>
      </c>
      <c r="AL49" s="12" t="str">
        <f>IFERROR(__xludf.DUMMYFUNCTION("""COMPUTED_VALUE"""),"SUMMIT")</f>
        <v>SUMMIT</v>
      </c>
      <c r="AP49" s="12"/>
      <c r="AQ49" s="12"/>
      <c r="BC49" s="12"/>
      <c r="BH49" s="12" t="str">
        <f>IFERROR(__xludf.DUMMYFUNCTION("IFERROR(INDEX(QUERY(IMPORTRANGE(""1T7HG8KEs-Ob7f3M5atEVN9Yn7IeORGp0QGvggB62ELw"",""Maestro!A:I""),""SELECT Col8 WHERE Col3 = '""&amp;BE49&amp;""'"", 0), 1, 1),""NO ENCONTRADO"")"),"D")</f>
        <v>D</v>
      </c>
      <c r="BI49" s="16">
        <v>1.0</v>
      </c>
      <c r="BJ49" s="16">
        <f t="shared" si="4"/>
        <v>23</v>
      </c>
      <c r="BK49" s="12"/>
      <c r="BR49" s="12"/>
      <c r="BY49" s="14"/>
      <c r="BZ49" s="14"/>
      <c r="CA49" s="14"/>
      <c r="CB49" s="14"/>
      <c r="CC49" s="14"/>
      <c r="CD49" s="14"/>
      <c r="CE49" s="14"/>
      <c r="CF49" s="12"/>
      <c r="CG49" s="12"/>
      <c r="CH49" s="12"/>
      <c r="CI49" s="12"/>
      <c r="CJ49" s="12"/>
      <c r="CK49" s="12"/>
      <c r="CL49" s="12"/>
      <c r="CM49" s="12"/>
      <c r="CN49" s="12"/>
      <c r="CO49" s="12"/>
    </row>
    <row r="50">
      <c r="A50" s="92">
        <v>3.0</v>
      </c>
      <c r="B50" s="93" t="s">
        <v>44</v>
      </c>
      <c r="C50" s="94" t="s">
        <v>181</v>
      </c>
      <c r="D50" s="95" t="str">
        <f t="shared" si="1"/>
        <v>3-3-4B</v>
      </c>
      <c r="E50" s="50"/>
      <c r="F50" s="51"/>
      <c r="G50" s="46"/>
      <c r="H50" s="47"/>
      <c r="I50" s="48"/>
      <c r="J50" s="52"/>
      <c r="K50" s="27" t="str">
        <f t="shared" si="2"/>
        <v>DISPONIBLE</v>
      </c>
      <c r="L50" s="28">
        <f t="shared" si="3"/>
        <v>49</v>
      </c>
      <c r="M50" s="28" t="s">
        <v>23</v>
      </c>
      <c r="N50" s="70"/>
      <c r="O50" s="29"/>
      <c r="P50" s="12"/>
      <c r="Q50" s="12"/>
      <c r="R50" s="12"/>
      <c r="S50" s="12"/>
      <c r="T50" s="12"/>
      <c r="U50" s="12"/>
      <c r="V50" s="12"/>
      <c r="AB50" s="12"/>
      <c r="AC50" s="12" t="str">
        <f>IFERROR(__xludf.DUMMYFUNCTION("""COMPUTED_VALUE"""),"3-NV-1")</f>
        <v>3-NV-1</v>
      </c>
      <c r="AD50" s="12" t="str">
        <f>IFERROR(__xludf.DUMMYFUNCTION("""COMPUTED_VALUE"""),"600900P")</f>
        <v>600900P</v>
      </c>
      <c r="AE50" s="12" t="str">
        <f>IFERROR(__xludf.DUMMYFUNCTION("""COMPUTED_VALUE"""),"ROLLO ESPUMA EMBALAJE 1 MM 1.40X125 MT")</f>
        <v>ROLLO ESPUMA EMBALAJE 1 MM 1.40X125 MT</v>
      </c>
      <c r="AF50" s="30">
        <f>IFERROR(__xludf.DUMMYFUNCTION("""COMPUTED_VALUE"""),23.0)</f>
        <v>23</v>
      </c>
      <c r="AG50" s="12" t="str">
        <f>IFERROR(__xludf.DUMMYFUNCTION("""COMPUTED_VALUE"""),"PROVEEDOR")</f>
        <v>PROVEEDOR</v>
      </c>
      <c r="AH50" s="12">
        <f>IFERROR(__xludf.DUMMYFUNCTION("""COMPUTED_VALUE"""),3.0)</f>
        <v>3</v>
      </c>
      <c r="AI50" s="12" t="str">
        <f>IFERROR(__xludf.DUMMYFUNCTION("""COMPUTED_VALUE"""),"NV")</f>
        <v>NV</v>
      </c>
      <c r="AJ50" s="12" t="str">
        <f>IFERROR(__xludf.DUMMYFUNCTION("""COMPUTED_VALUE"""),"1")</f>
        <v>1</v>
      </c>
      <c r="AK50" s="12">
        <f>IFERROR(__xludf.DUMMYFUNCTION("""COMPUTED_VALUE"""),92.0)</f>
        <v>92</v>
      </c>
      <c r="AL50" s="12" t="str">
        <f>IFERROR(__xludf.DUMMYFUNCTION("""COMPUTED_VALUE"""),"SUMMIT")</f>
        <v>SUMMIT</v>
      </c>
      <c r="AP50" s="12"/>
      <c r="AQ50" s="12"/>
      <c r="BC50" s="12"/>
      <c r="BH50" s="12" t="str">
        <f>IFERROR(__xludf.DUMMYFUNCTION("IFERROR(INDEX(QUERY(IMPORTRANGE(""1T7HG8KEs-Ob7f3M5atEVN9Yn7IeORGp0QGvggB62ELw"",""Maestro!A:I""),""SELECT Col8 WHERE Col3 = '""&amp;BE50&amp;""'"", 0), 1, 1),""NO ENCONTRADO"")"),"D")</f>
        <v>D</v>
      </c>
      <c r="BI50" s="16">
        <v>1.0</v>
      </c>
      <c r="BJ50" s="16">
        <f t="shared" si="4"/>
        <v>6</v>
      </c>
      <c r="BK50" s="12"/>
      <c r="BR50" s="12"/>
      <c r="BY50" s="14"/>
      <c r="BZ50" s="14"/>
      <c r="CA50" s="14"/>
      <c r="CB50" s="14"/>
      <c r="CC50" s="14"/>
      <c r="CD50" s="14"/>
      <c r="CE50" s="14"/>
      <c r="CF50" s="12"/>
      <c r="CG50" s="12"/>
      <c r="CH50" s="12"/>
      <c r="CI50" s="12"/>
      <c r="CJ50" s="12"/>
      <c r="CK50" s="12"/>
      <c r="CL50" s="12"/>
      <c r="CM50" s="12"/>
      <c r="CN50" s="12"/>
      <c r="CO50" s="12"/>
    </row>
    <row r="51">
      <c r="A51" s="92">
        <v>3.0</v>
      </c>
      <c r="B51" s="93" t="s">
        <v>44</v>
      </c>
      <c r="C51" s="94" t="s">
        <v>188</v>
      </c>
      <c r="D51" s="95" t="str">
        <f t="shared" si="1"/>
        <v>3-3-5A</v>
      </c>
      <c r="E51" s="96">
        <v>45751.0</v>
      </c>
      <c r="F51" s="97" t="s">
        <v>19</v>
      </c>
      <c r="G51" s="98" t="s">
        <v>137</v>
      </c>
      <c r="H51" s="99" t="s">
        <v>138</v>
      </c>
      <c r="I51" s="100">
        <v>475.0</v>
      </c>
      <c r="J51" s="101" t="s">
        <v>22</v>
      </c>
      <c r="K51" s="32" t="str">
        <f t="shared" si="2"/>
        <v>OCUPADO</v>
      </c>
      <c r="L51" s="33">
        <f t="shared" si="3"/>
        <v>50</v>
      </c>
      <c r="M51" s="33" t="s">
        <v>23</v>
      </c>
      <c r="N51" s="53"/>
      <c r="O51" s="34" t="s">
        <v>24</v>
      </c>
      <c r="P51" s="12"/>
      <c r="Q51" s="12"/>
      <c r="R51" s="12"/>
      <c r="S51" s="12"/>
      <c r="T51" s="12"/>
      <c r="U51" s="12"/>
      <c r="V51" s="12"/>
      <c r="AB51" s="12"/>
      <c r="AC51" s="12" t="str">
        <f>IFERROR(__xludf.DUMMYFUNCTION("""COMPUTED_VALUE"""),"3-NV-3")</f>
        <v>3-NV-3</v>
      </c>
      <c r="AD51" s="12" t="str">
        <f>IFERROR(__xludf.DUMMYFUNCTION("""COMPUTED_VALUE"""),"605678")</f>
        <v>605678</v>
      </c>
      <c r="AE51" s="12" t="str">
        <f>IFERROR(__xludf.DUMMYFUNCTION("""COMPUTED_VALUE"""),"ROLLO CARTON CORRUGADO 1.20X73Mt aprox. 25K")</f>
        <v>ROLLO CARTON CORRUGADO 1.20X73Mt aprox. 25K</v>
      </c>
      <c r="AF51" s="30">
        <f>IFERROR(__xludf.DUMMYFUNCTION("""COMPUTED_VALUE"""),6.0)</f>
        <v>6</v>
      </c>
      <c r="AG51" s="12" t="str">
        <f>IFERROR(__xludf.DUMMYFUNCTION("""COMPUTED_VALUE"""),"PROVEEDOR")</f>
        <v>PROVEEDOR</v>
      </c>
      <c r="AH51" s="12">
        <f>IFERROR(__xludf.DUMMYFUNCTION("""COMPUTED_VALUE"""),3.0)</f>
        <v>3</v>
      </c>
      <c r="AI51" s="12" t="str">
        <f>IFERROR(__xludf.DUMMYFUNCTION("""COMPUTED_VALUE"""),"NV")</f>
        <v>NV</v>
      </c>
      <c r="AJ51" s="12" t="str">
        <f>IFERROR(__xludf.DUMMYFUNCTION("""COMPUTED_VALUE"""),"3")</f>
        <v>3</v>
      </c>
      <c r="AK51" s="12">
        <f>IFERROR(__xludf.DUMMYFUNCTION("""COMPUTED_VALUE"""),94.0)</f>
        <v>94</v>
      </c>
      <c r="AL51" s="12" t="str">
        <f>IFERROR(__xludf.DUMMYFUNCTION("""COMPUTED_VALUE"""),"SUMMIT")</f>
        <v>SUMMIT</v>
      </c>
      <c r="AP51" s="12"/>
      <c r="AQ51" s="12"/>
      <c r="BC51" s="12"/>
      <c r="BH51" s="12" t="str">
        <f>IFERROR(__xludf.DUMMYFUNCTION("IFERROR(INDEX(QUERY(IMPORTRANGE(""1T7HG8KEs-Ob7f3M5atEVN9Yn7IeORGp0QGvggB62ELw"",""Maestro!A:I""),""SELECT Col8 WHERE Col3 = '""&amp;BE51&amp;""'"", 0), 1, 1),""NO ENCONTRADO"")"),"D")</f>
        <v>D</v>
      </c>
      <c r="BI51" s="16">
        <v>1.0</v>
      </c>
      <c r="BJ51" s="16">
        <f t="shared" si="4"/>
        <v>20</v>
      </c>
      <c r="BK51" s="12"/>
      <c r="BR51" s="12"/>
      <c r="BY51" s="14"/>
      <c r="BZ51" s="14"/>
      <c r="CA51" s="14"/>
      <c r="CB51" s="14"/>
      <c r="CC51" s="14"/>
      <c r="CD51" s="14"/>
      <c r="CE51" s="14"/>
      <c r="CF51" s="12"/>
      <c r="CG51" s="12"/>
      <c r="CH51" s="12"/>
      <c r="CI51" s="12"/>
      <c r="CJ51" s="12"/>
      <c r="CK51" s="12"/>
      <c r="CL51" s="12"/>
      <c r="CM51" s="12"/>
      <c r="CN51" s="12"/>
      <c r="CO51" s="12"/>
    </row>
    <row r="52">
      <c r="A52" s="92">
        <v>3.0</v>
      </c>
      <c r="B52" s="93" t="s">
        <v>44</v>
      </c>
      <c r="C52" s="94" t="s">
        <v>192</v>
      </c>
      <c r="D52" s="95" t="str">
        <f t="shared" si="1"/>
        <v>3-3-5B</v>
      </c>
      <c r="E52" s="50"/>
      <c r="F52" s="51"/>
      <c r="G52" s="46"/>
      <c r="H52" s="47"/>
      <c r="I52" s="48"/>
      <c r="J52" s="52"/>
      <c r="K52" s="27" t="str">
        <f t="shared" si="2"/>
        <v>DISPONIBLE</v>
      </c>
      <c r="L52" s="28">
        <f t="shared" si="3"/>
        <v>51</v>
      </c>
      <c r="M52" s="28" t="s">
        <v>23</v>
      </c>
      <c r="N52" s="70"/>
      <c r="O52" s="29"/>
      <c r="P52" s="12"/>
      <c r="Q52" s="12"/>
      <c r="R52" s="12"/>
      <c r="S52" s="12"/>
      <c r="T52" s="12"/>
      <c r="U52" s="12"/>
      <c r="V52" s="12"/>
      <c r="AB52" s="12"/>
      <c r="AC52" s="12" t="str">
        <f>IFERROR(__xludf.DUMMYFUNCTION("""COMPUTED_VALUE"""),"3-R-1A")</f>
        <v>3-R-1A</v>
      </c>
      <c r="AD52" s="12" t="str">
        <f>IFERROR(__xludf.DUMMYFUNCTION("""COMPUTED_VALUE"""),"600900P")</f>
        <v>600900P</v>
      </c>
      <c r="AE52" s="12" t="str">
        <f>IFERROR(__xludf.DUMMYFUNCTION("""COMPUTED_VALUE"""),"ROLLO ESPUMA EMBALAJE 1 MM 1.40X125 MT")</f>
        <v>ROLLO ESPUMA EMBALAJE 1 MM 1.40X125 MT</v>
      </c>
      <c r="AF52" s="30">
        <f>IFERROR(__xludf.DUMMYFUNCTION("""COMPUTED_VALUE"""),10.0)</f>
        <v>10</v>
      </c>
      <c r="AG52" s="12" t="str">
        <f>IFERROR(__xludf.DUMMYFUNCTION("""COMPUTED_VALUE"""),"PROVEEDOR")</f>
        <v>PROVEEDOR</v>
      </c>
      <c r="AH52" s="12">
        <f>IFERROR(__xludf.DUMMYFUNCTION("""COMPUTED_VALUE"""),3.0)</f>
        <v>3</v>
      </c>
      <c r="AI52" s="12" t="str">
        <f>IFERROR(__xludf.DUMMYFUNCTION("""COMPUTED_VALUE"""),"R")</f>
        <v>R</v>
      </c>
      <c r="AJ52" s="12" t="str">
        <f>IFERROR(__xludf.DUMMYFUNCTION("""COMPUTED_VALUE"""),"1A")</f>
        <v>1A</v>
      </c>
      <c r="AK52" s="12">
        <f>IFERROR(__xludf.DUMMYFUNCTION("""COMPUTED_VALUE"""),96.0)</f>
        <v>96</v>
      </c>
      <c r="AL52" s="12" t="str">
        <f>IFERROR(__xludf.DUMMYFUNCTION("""COMPUTED_VALUE"""),"SUMMIT")</f>
        <v>SUMMIT</v>
      </c>
      <c r="AP52" s="12"/>
      <c r="AQ52" s="12"/>
      <c r="BC52" s="12"/>
      <c r="BH52" s="12" t="str">
        <f>IFERROR(__xludf.DUMMYFUNCTION("IFERROR(INDEX(QUERY(IMPORTRANGE(""1T7HG8KEs-Ob7f3M5atEVN9Yn7IeORGp0QGvggB62ELw"",""Maestro!A:I""),""SELECT Col8 WHERE Col3 = '""&amp;BE52&amp;""'"", 0), 1, 1),""NO ENCONTRADO"")"),"D")</f>
        <v>D</v>
      </c>
      <c r="BI52" s="16">
        <v>1.0</v>
      </c>
      <c r="BJ52" s="16">
        <f t="shared" si="4"/>
        <v>35</v>
      </c>
      <c r="BK52" s="12"/>
      <c r="BR52" s="12"/>
      <c r="BY52" s="14"/>
      <c r="BZ52" s="14"/>
      <c r="CA52" s="14"/>
      <c r="CB52" s="14"/>
      <c r="CC52" s="14"/>
      <c r="CD52" s="14"/>
      <c r="CE52" s="14"/>
      <c r="CF52" s="12"/>
      <c r="CG52" s="12"/>
      <c r="CH52" s="12"/>
      <c r="CI52" s="12"/>
      <c r="CJ52" s="12"/>
      <c r="CK52" s="12"/>
      <c r="CL52" s="12"/>
      <c r="CM52" s="12"/>
      <c r="CN52" s="12"/>
      <c r="CO52" s="12"/>
    </row>
    <row r="53">
      <c r="A53" s="92">
        <v>3.0</v>
      </c>
      <c r="B53" s="93" t="s">
        <v>53</v>
      </c>
      <c r="C53" s="94" t="s">
        <v>119</v>
      </c>
      <c r="D53" s="95" t="str">
        <f t="shared" si="1"/>
        <v>3-4-1A</v>
      </c>
      <c r="E53" s="96">
        <v>45733.0</v>
      </c>
      <c r="F53" s="97" t="s">
        <v>19</v>
      </c>
      <c r="G53" s="98" t="s">
        <v>137</v>
      </c>
      <c r="H53" s="99" t="s">
        <v>138</v>
      </c>
      <c r="I53" s="100">
        <v>450.0</v>
      </c>
      <c r="J53" s="101" t="s">
        <v>22</v>
      </c>
      <c r="K53" s="32" t="str">
        <f t="shared" si="2"/>
        <v>OCUPADO</v>
      </c>
      <c r="L53" s="33">
        <f t="shared" si="3"/>
        <v>52</v>
      </c>
      <c r="M53" s="33" t="s">
        <v>23</v>
      </c>
      <c r="N53" s="53"/>
      <c r="O53" s="34" t="s">
        <v>24</v>
      </c>
      <c r="P53" s="12"/>
      <c r="Q53" s="12"/>
      <c r="R53" s="12"/>
      <c r="S53" s="12"/>
      <c r="T53" s="12"/>
      <c r="U53" s="12"/>
      <c r="V53" s="12"/>
      <c r="AB53" s="12"/>
      <c r="AC53" s="12" t="str">
        <f>IFERROR(__xludf.DUMMYFUNCTION("""COMPUTED_VALUE"""),"3-R-2A1")</f>
        <v>3-R-2A1</v>
      </c>
      <c r="AD53" s="12" t="str">
        <f>IFERROR(__xludf.DUMMYFUNCTION("""COMPUTED_VALUE"""),"PENDIENTE")</f>
        <v>PENDIENTE</v>
      </c>
      <c r="AE53" s="12" t="str">
        <f>IFERROR(__xludf.DUMMYFUNCTION("""COMPUTED_VALUE"""),"SEPARADOR 2 RANURAS")</f>
        <v>SEPARADOR 2 RANURAS</v>
      </c>
      <c r="AF53" s="30">
        <f>IFERROR(__xludf.DUMMYFUNCTION("""COMPUTED_VALUE"""),666.0)</f>
        <v>666</v>
      </c>
      <c r="AG53" s="12" t="str">
        <f>IFERROR(__xludf.DUMMYFUNCTION("""COMPUTED_VALUE"""),"PROVEEDOR")</f>
        <v>PROVEEDOR</v>
      </c>
      <c r="AH53" s="12">
        <f>IFERROR(__xludf.DUMMYFUNCTION("""COMPUTED_VALUE"""),3.0)</f>
        <v>3</v>
      </c>
      <c r="AI53" s="12" t="str">
        <f>IFERROR(__xludf.DUMMYFUNCTION("""COMPUTED_VALUE"""),"R")</f>
        <v>R</v>
      </c>
      <c r="AJ53" s="12" t="str">
        <f>IFERROR(__xludf.DUMMYFUNCTION("""COMPUTED_VALUE"""),"2A1")</f>
        <v>2A1</v>
      </c>
      <c r="AK53" s="12">
        <f>IFERROR(__xludf.DUMMYFUNCTION("""COMPUTED_VALUE"""),97.0)</f>
        <v>97</v>
      </c>
      <c r="AL53" s="12" t="str">
        <f>IFERROR(__xludf.DUMMYFUNCTION("""COMPUTED_VALUE"""),"SUMMIT")</f>
        <v>SUMMIT</v>
      </c>
      <c r="AP53" s="12"/>
      <c r="AQ53" s="12"/>
      <c r="BC53" s="12"/>
      <c r="BH53" s="12" t="str">
        <f>IFERROR(__xludf.DUMMYFUNCTION("IFERROR(INDEX(QUERY(IMPORTRANGE(""1T7HG8KEs-Ob7f3M5atEVN9Yn7IeORGp0QGvggB62ELw"",""Maestro!A:I""),""SELECT Col8 WHERE Col3 = '""&amp;BE53&amp;""'"", 0), 1, 1),""NO ENCONTRADO"")"),"D")</f>
        <v>D</v>
      </c>
      <c r="BI53" s="16">
        <v>1.0</v>
      </c>
      <c r="BJ53" s="16">
        <f t="shared" si="4"/>
        <v>21</v>
      </c>
      <c r="BK53" s="12"/>
      <c r="BR53" s="12"/>
      <c r="BY53" s="14"/>
      <c r="BZ53" s="14"/>
      <c r="CA53" s="14"/>
      <c r="CB53" s="14"/>
      <c r="CC53" s="14"/>
      <c r="CD53" s="14"/>
      <c r="CE53" s="14"/>
      <c r="CF53" s="12"/>
      <c r="CG53" s="12"/>
      <c r="CH53" s="12"/>
      <c r="CI53" s="12"/>
      <c r="CJ53" s="12"/>
      <c r="CK53" s="12"/>
      <c r="CL53" s="12"/>
      <c r="CM53" s="12"/>
      <c r="CN53" s="12"/>
      <c r="CO53" s="12"/>
    </row>
    <row r="54">
      <c r="A54" s="92">
        <v>3.0</v>
      </c>
      <c r="B54" s="93" t="s">
        <v>53</v>
      </c>
      <c r="C54" s="94" t="s">
        <v>132</v>
      </c>
      <c r="D54" s="95" t="str">
        <f t="shared" si="1"/>
        <v>3-4-1B</v>
      </c>
      <c r="E54" s="50"/>
      <c r="F54" s="51"/>
      <c r="G54" s="46"/>
      <c r="H54" s="47"/>
      <c r="I54" s="48"/>
      <c r="J54" s="52"/>
      <c r="K54" s="27" t="str">
        <f t="shared" si="2"/>
        <v>DISPONIBLE</v>
      </c>
      <c r="L54" s="28">
        <f t="shared" si="3"/>
        <v>53</v>
      </c>
      <c r="M54" s="28" t="s">
        <v>23</v>
      </c>
      <c r="N54" s="70"/>
      <c r="O54" s="29"/>
      <c r="P54" s="12"/>
      <c r="Q54" s="12"/>
      <c r="R54" s="12"/>
      <c r="S54" s="12"/>
      <c r="T54" s="12"/>
      <c r="U54" s="12"/>
      <c r="V54" s="12"/>
      <c r="AB54" s="12"/>
      <c r="AC54" s="12" t="str">
        <f>IFERROR(__xludf.DUMMYFUNCTION("""COMPUTED_VALUE"""),"3-R-2A2")</f>
        <v>3-R-2A2</v>
      </c>
      <c r="AD54" s="12" t="str">
        <f>IFERROR(__xludf.DUMMYFUNCTION("""COMPUTED_VALUE"""),"PENDIENTE")</f>
        <v>PENDIENTE</v>
      </c>
      <c r="AE54" s="12" t="str">
        <f>IFERROR(__xludf.DUMMYFUNCTION("""COMPUTED_VALUE"""),"SEPARADOR 2 RANURAS")</f>
        <v>SEPARADOR 2 RANURAS</v>
      </c>
      <c r="AF54" s="30">
        <f>IFERROR(__xludf.DUMMYFUNCTION("""COMPUTED_VALUE"""),666.0)</f>
        <v>666</v>
      </c>
      <c r="AG54" s="12" t="str">
        <f>IFERROR(__xludf.DUMMYFUNCTION("""COMPUTED_VALUE"""),"PROVEEDOR")</f>
        <v>PROVEEDOR</v>
      </c>
      <c r="AH54" s="12">
        <f>IFERROR(__xludf.DUMMYFUNCTION("""COMPUTED_VALUE"""),3.0)</f>
        <v>3</v>
      </c>
      <c r="AI54" s="12" t="str">
        <f>IFERROR(__xludf.DUMMYFUNCTION("""COMPUTED_VALUE"""),"R")</f>
        <v>R</v>
      </c>
      <c r="AJ54" s="12" t="str">
        <f>IFERROR(__xludf.DUMMYFUNCTION("""COMPUTED_VALUE"""),"2A2")</f>
        <v>2A2</v>
      </c>
      <c r="AK54" s="12">
        <f>IFERROR(__xludf.DUMMYFUNCTION("""COMPUTED_VALUE"""),98.0)</f>
        <v>98</v>
      </c>
      <c r="AL54" s="12" t="str">
        <f>IFERROR(__xludf.DUMMYFUNCTION("""COMPUTED_VALUE"""),"SUMMIT")</f>
        <v>SUMMIT</v>
      </c>
      <c r="AP54" s="12"/>
      <c r="AQ54" s="12"/>
      <c r="BC54" s="12"/>
      <c r="BH54" s="12" t="str">
        <f>IFERROR(__xludf.DUMMYFUNCTION("IFERROR(INDEX(QUERY(IMPORTRANGE(""1T7HG8KEs-Ob7f3M5atEVN9Yn7IeORGp0QGvggB62ELw"",""Maestro!A:I""),""SELECT Col8 WHERE Col3 = '""&amp;BE54&amp;""'"", 0), 1, 1),""NO ENCONTRADO"")"),"D")</f>
        <v>D</v>
      </c>
      <c r="BI54" s="16">
        <v>1.0</v>
      </c>
      <c r="BJ54" s="16">
        <f t="shared" si="4"/>
        <v>10</v>
      </c>
      <c r="BK54" s="12"/>
      <c r="BR54" s="12"/>
      <c r="BY54" s="14"/>
      <c r="BZ54" s="14"/>
      <c r="CA54" s="14"/>
      <c r="CB54" s="14"/>
      <c r="CC54" s="14"/>
      <c r="CD54" s="14"/>
      <c r="CE54" s="14"/>
      <c r="CF54" s="12"/>
      <c r="CG54" s="12"/>
      <c r="CH54" s="12"/>
      <c r="CI54" s="12"/>
      <c r="CJ54" s="12"/>
      <c r="CK54" s="12"/>
      <c r="CL54" s="12"/>
      <c r="CM54" s="12"/>
      <c r="CN54" s="12"/>
      <c r="CO54" s="12"/>
    </row>
    <row r="55">
      <c r="A55" s="92">
        <v>3.0</v>
      </c>
      <c r="B55" s="93" t="s">
        <v>53</v>
      </c>
      <c r="C55" s="94" t="s">
        <v>124</v>
      </c>
      <c r="D55" s="95" t="str">
        <f t="shared" si="1"/>
        <v>3-4-2A</v>
      </c>
      <c r="E55" s="96">
        <v>45754.0</v>
      </c>
      <c r="F55" s="97" t="s">
        <v>19</v>
      </c>
      <c r="G55" s="98" t="s">
        <v>137</v>
      </c>
      <c r="H55" s="99" t="s">
        <v>138</v>
      </c>
      <c r="I55" s="100">
        <v>500.0</v>
      </c>
      <c r="J55" s="101" t="s">
        <v>22</v>
      </c>
      <c r="K55" s="32" t="str">
        <f t="shared" si="2"/>
        <v>OCUPADO</v>
      </c>
      <c r="L55" s="33">
        <f t="shared" si="3"/>
        <v>54</v>
      </c>
      <c r="M55" s="33" t="s">
        <v>23</v>
      </c>
      <c r="N55" s="53"/>
      <c r="O55" s="34" t="s">
        <v>24</v>
      </c>
      <c r="P55" s="12"/>
      <c r="Q55" s="12"/>
      <c r="R55" s="12"/>
      <c r="S55" s="12"/>
      <c r="T55" s="12"/>
      <c r="U55" s="12"/>
      <c r="V55" s="12"/>
      <c r="AB55" s="12"/>
      <c r="AC55" s="12" t="str">
        <f>IFERROR(__xludf.DUMMYFUNCTION("""COMPUTED_VALUE"""),"3-R-2B")</f>
        <v>3-R-2B</v>
      </c>
      <c r="AD55" s="12" t="str">
        <f>IFERROR(__xludf.DUMMYFUNCTION("""COMPUTED_VALUE"""),"600900P")</f>
        <v>600900P</v>
      </c>
      <c r="AE55" s="12" t="str">
        <f>IFERROR(__xludf.DUMMYFUNCTION("""COMPUTED_VALUE"""),"ROLLO ESPUMA EMBALAJE 1 MM 1.40X125 MT")</f>
        <v>ROLLO ESPUMA EMBALAJE 1 MM 1.40X125 MT</v>
      </c>
      <c r="AF55" s="30">
        <f>IFERROR(__xludf.DUMMYFUNCTION("""COMPUTED_VALUE"""),10.0)</f>
        <v>10</v>
      </c>
      <c r="AG55" s="12" t="str">
        <f>IFERROR(__xludf.DUMMYFUNCTION("""COMPUTED_VALUE"""),"PROVEEDOR")</f>
        <v>PROVEEDOR</v>
      </c>
      <c r="AH55" s="12">
        <f>IFERROR(__xludf.DUMMYFUNCTION("""COMPUTED_VALUE"""),3.0)</f>
        <v>3</v>
      </c>
      <c r="AI55" s="12" t="str">
        <f>IFERROR(__xludf.DUMMYFUNCTION("""COMPUTED_VALUE"""),"R")</f>
        <v>R</v>
      </c>
      <c r="AJ55" s="12" t="str">
        <f>IFERROR(__xludf.DUMMYFUNCTION("""COMPUTED_VALUE"""),"2B")</f>
        <v>2B</v>
      </c>
      <c r="AK55" s="12">
        <f>IFERROR(__xludf.DUMMYFUNCTION("""COMPUTED_VALUE"""),98.0)</f>
        <v>98</v>
      </c>
      <c r="AL55" s="12" t="str">
        <f>IFERROR(__xludf.DUMMYFUNCTION("""COMPUTED_VALUE"""),"SUMMIT")</f>
        <v>SUMMIT</v>
      </c>
      <c r="AP55" s="12"/>
      <c r="AQ55" s="12"/>
      <c r="BC55" s="12"/>
      <c r="BH55" s="12" t="str">
        <f>IFERROR(__xludf.DUMMYFUNCTION("IFERROR(INDEX(QUERY(IMPORTRANGE(""1T7HG8KEs-Ob7f3M5atEVN9Yn7IeORGp0QGvggB62ELw"",""Maestro!A:I""),""SELECT Col8 WHERE Col3 = '""&amp;BE55&amp;""'"", 0), 1, 1),""NO ENCONTRADO"")"),"D")</f>
        <v>D</v>
      </c>
      <c r="BI55" s="16">
        <v>1.0</v>
      </c>
      <c r="BJ55" s="16">
        <f t="shared" si="4"/>
        <v>11</v>
      </c>
      <c r="BK55" s="12"/>
      <c r="BR55" s="12"/>
      <c r="BY55" s="14"/>
      <c r="BZ55" s="14"/>
      <c r="CA55" s="14"/>
      <c r="CB55" s="14"/>
      <c r="CC55" s="14"/>
      <c r="CD55" s="14"/>
      <c r="CE55" s="14"/>
      <c r="CF55" s="12"/>
      <c r="CG55" s="12"/>
      <c r="CH55" s="12"/>
      <c r="CI55" s="12"/>
      <c r="CJ55" s="12"/>
      <c r="CK55" s="12"/>
      <c r="CL55" s="12"/>
      <c r="CM55" s="12"/>
      <c r="CN55" s="12"/>
      <c r="CO55" s="12"/>
    </row>
    <row r="56">
      <c r="A56" s="92">
        <v>3.0</v>
      </c>
      <c r="B56" s="93" t="s">
        <v>53</v>
      </c>
      <c r="C56" s="94" t="s">
        <v>140</v>
      </c>
      <c r="D56" s="95" t="str">
        <f t="shared" si="1"/>
        <v>3-4-2B</v>
      </c>
      <c r="E56" s="50"/>
      <c r="F56" s="51"/>
      <c r="G56" s="46"/>
      <c r="H56" s="47"/>
      <c r="I56" s="48"/>
      <c r="J56" s="52"/>
      <c r="K56" s="27" t="str">
        <f t="shared" si="2"/>
        <v>DISPONIBLE</v>
      </c>
      <c r="L56" s="28">
        <f t="shared" si="3"/>
        <v>55</v>
      </c>
      <c r="M56" s="28" t="s">
        <v>23</v>
      </c>
      <c r="N56" s="70"/>
      <c r="O56" s="29"/>
      <c r="P56" s="12"/>
      <c r="Q56" s="12"/>
      <c r="R56" s="12"/>
      <c r="S56" s="12"/>
      <c r="T56" s="12"/>
      <c r="U56" s="12"/>
      <c r="V56" s="12"/>
      <c r="AB56" s="12"/>
      <c r="AC56" s="12" t="str">
        <f>IFERROR(__xludf.DUMMYFUNCTION("""COMPUTED_VALUE"""),"3-PRD-F1-1")</f>
        <v>3-PRD-F1-1</v>
      </c>
      <c r="AD56" s="12" t="str">
        <f>IFERROR(__xludf.DUMMYFUNCTION("""COMPUTED_VALUE"""),"600499X")</f>
        <v>600499X</v>
      </c>
      <c r="AE56" s="12" t="str">
        <f>IFERROR(__xludf.DUMMYFUNCTION("""COMPUTED_VALUE"""),"CAJA CARTON CON ASAS 50X30X30 CM EASY")</f>
        <v>CAJA CARTON CON ASAS 50X30X30 CM EASY</v>
      </c>
      <c r="AF56" s="30">
        <f>IFERROR(__xludf.DUMMYFUNCTION("""COMPUTED_VALUE"""),20.0)</f>
        <v>20</v>
      </c>
      <c r="AG56" s="12" t="str">
        <f>IFERROR(__xludf.DUMMYFUNCTION("""COMPUTED_VALUE"""),"PROVEEDOR")</f>
        <v>PROVEEDOR</v>
      </c>
      <c r="AH56" s="12">
        <f>IFERROR(__xludf.DUMMYFUNCTION("""COMPUTED_VALUE"""),3.0)</f>
        <v>3</v>
      </c>
      <c r="AI56" s="12" t="str">
        <f>IFERROR(__xludf.DUMMYFUNCTION("""COMPUTED_VALUE"""),"PRD-F1")</f>
        <v>PRD-F1</v>
      </c>
      <c r="AJ56" s="12" t="str">
        <f>IFERROR(__xludf.DUMMYFUNCTION("""COMPUTED_VALUE"""),"1")</f>
        <v>1</v>
      </c>
      <c r="AK56" s="12">
        <f>IFERROR(__xludf.DUMMYFUNCTION("""COMPUTED_VALUE"""),100.0)</f>
        <v>100</v>
      </c>
      <c r="AL56" s="12" t="str">
        <f>IFERROR(__xludf.DUMMYFUNCTION("""COMPUTED_VALUE"""),"SUMMIT")</f>
        <v>SUMMIT</v>
      </c>
      <c r="AP56" s="12"/>
      <c r="AQ56" s="12"/>
      <c r="BC56" s="12"/>
      <c r="BH56" s="12" t="str">
        <f>IFERROR(__xludf.DUMMYFUNCTION("IFERROR(INDEX(QUERY(IMPORTRANGE(""1T7HG8KEs-Ob7f3M5atEVN9Yn7IeORGp0QGvggB62ELw"",""Maestro!A:I""),""SELECT Col8 WHERE Col3 = '""&amp;BE56&amp;""'"", 0), 1, 1),""NO ENCONTRADO"")"),"D")</f>
        <v>D</v>
      </c>
      <c r="BI56" s="16">
        <v>1.0</v>
      </c>
      <c r="BJ56" s="16">
        <f t="shared" si="4"/>
        <v>19</v>
      </c>
      <c r="BK56" s="12"/>
      <c r="BR56" s="12"/>
      <c r="BY56" s="14"/>
      <c r="BZ56" s="14"/>
      <c r="CA56" s="14"/>
      <c r="CB56" s="14"/>
      <c r="CC56" s="14"/>
      <c r="CD56" s="14"/>
      <c r="CE56" s="14"/>
      <c r="CF56" s="12"/>
      <c r="CG56" s="12"/>
      <c r="CH56" s="12"/>
      <c r="CI56" s="12"/>
      <c r="CJ56" s="12"/>
      <c r="CK56" s="12"/>
      <c r="CL56" s="12"/>
      <c r="CM56" s="12"/>
      <c r="CN56" s="12"/>
      <c r="CO56" s="12"/>
    </row>
    <row r="57">
      <c r="A57" s="92">
        <v>3.0</v>
      </c>
      <c r="B57" s="93" t="s">
        <v>53</v>
      </c>
      <c r="C57" s="94" t="s">
        <v>130</v>
      </c>
      <c r="D57" s="95" t="str">
        <f t="shared" si="1"/>
        <v>3-4-3A</v>
      </c>
      <c r="E57" s="96">
        <v>45754.0</v>
      </c>
      <c r="F57" s="97" t="s">
        <v>766</v>
      </c>
      <c r="G57" s="98" t="s">
        <v>137</v>
      </c>
      <c r="H57" s="99" t="s">
        <v>138</v>
      </c>
      <c r="I57" s="100">
        <v>250.0</v>
      </c>
      <c r="J57" s="101" t="s">
        <v>22</v>
      </c>
      <c r="K57" s="32" t="str">
        <f t="shared" si="2"/>
        <v>OCUPADO</v>
      </c>
      <c r="L57" s="33">
        <f t="shared" si="3"/>
        <v>56</v>
      </c>
      <c r="M57" s="33" t="s">
        <v>23</v>
      </c>
      <c r="N57" s="53"/>
      <c r="O57" s="34" t="s">
        <v>24</v>
      </c>
      <c r="P57" s="12"/>
      <c r="Q57" s="12"/>
      <c r="R57" s="12"/>
      <c r="S57" s="12"/>
      <c r="T57" s="12"/>
      <c r="U57" s="12"/>
      <c r="V57" s="12"/>
      <c r="AB57" s="12"/>
      <c r="AC57" s="12" t="str">
        <f>IFERROR(__xludf.DUMMYFUNCTION("""COMPUTED_VALUE"""),"3-PRD-F1-2")</f>
        <v>3-PRD-F1-2</v>
      </c>
      <c r="AD57" s="12" t="str">
        <f>IFERROR(__xludf.DUMMYFUNCTION("""COMPUTED_VALUE"""),"600482X")</f>
        <v>600482X</v>
      </c>
      <c r="AE57" s="12" t="str">
        <f>IFERROR(__xludf.DUMMYFUNCTION("""COMPUTED_VALUE"""),"CAJA CARTON CON ASAS 40X30X30 CM  EASY")</f>
        <v>CAJA CARTON CON ASAS 40X30X30 CM  EASY</v>
      </c>
      <c r="AF57" s="30">
        <f>IFERROR(__xludf.DUMMYFUNCTION("""COMPUTED_VALUE"""),35.0)</f>
        <v>35</v>
      </c>
      <c r="AG57" s="12" t="str">
        <f>IFERROR(__xludf.DUMMYFUNCTION("""COMPUTED_VALUE"""),"PROVEEDOR")</f>
        <v>PROVEEDOR</v>
      </c>
      <c r="AH57" s="12">
        <f>IFERROR(__xludf.DUMMYFUNCTION("""COMPUTED_VALUE"""),3.0)</f>
        <v>3</v>
      </c>
      <c r="AI57" s="12" t="str">
        <f>IFERROR(__xludf.DUMMYFUNCTION("""COMPUTED_VALUE"""),"PRD-F1")</f>
        <v>PRD-F1</v>
      </c>
      <c r="AJ57" s="12" t="str">
        <f>IFERROR(__xludf.DUMMYFUNCTION("""COMPUTED_VALUE"""),"2")</f>
        <v>2</v>
      </c>
      <c r="AK57" s="12">
        <f>IFERROR(__xludf.DUMMYFUNCTION("""COMPUTED_VALUE"""),101.0)</f>
        <v>101</v>
      </c>
      <c r="AL57" s="12" t="str">
        <f>IFERROR(__xludf.DUMMYFUNCTION("""COMPUTED_VALUE"""),"SUMMIT")</f>
        <v>SUMMIT</v>
      </c>
      <c r="AM57" s="12"/>
      <c r="AN57" s="12"/>
      <c r="AO57" s="12"/>
      <c r="AP57" s="12"/>
      <c r="AQ57" s="12"/>
      <c r="BC57" s="12"/>
      <c r="BH57" s="12" t="str">
        <f>IFERROR(__xludf.DUMMYFUNCTION("IFERROR(INDEX(QUERY(IMPORTRANGE(""1T7HG8KEs-Ob7f3M5atEVN9Yn7IeORGp0QGvggB62ELw"",""Maestro!A:I""),""SELECT Col8 WHERE Col3 = '""&amp;BE57&amp;""'"", 0), 1, 1),""NO ENCONTRADO"")"),"M")</f>
        <v>M</v>
      </c>
      <c r="BI57" s="16">
        <v>1.0</v>
      </c>
      <c r="BJ57" s="16">
        <f t="shared" si="4"/>
        <v>3</v>
      </c>
      <c r="BK57" s="12"/>
      <c r="BR57" s="12"/>
      <c r="BY57" s="14"/>
      <c r="BZ57" s="14"/>
      <c r="CA57" s="14"/>
      <c r="CB57" s="14"/>
      <c r="CC57" s="14"/>
      <c r="CD57" s="14"/>
      <c r="CE57" s="14"/>
      <c r="CF57" s="12"/>
      <c r="CG57" s="12"/>
      <c r="CH57" s="12"/>
      <c r="CI57" s="12"/>
      <c r="CJ57" s="12"/>
      <c r="CK57" s="12"/>
      <c r="CL57" s="12"/>
      <c r="CM57" s="12"/>
      <c r="CN57" s="12"/>
      <c r="CO57" s="12"/>
    </row>
    <row r="58">
      <c r="A58" s="92">
        <v>3.0</v>
      </c>
      <c r="B58" s="93" t="s">
        <v>53</v>
      </c>
      <c r="C58" s="94" t="s">
        <v>148</v>
      </c>
      <c r="D58" s="95" t="str">
        <f t="shared" si="1"/>
        <v>3-4-3B</v>
      </c>
      <c r="E58" s="50"/>
      <c r="F58" s="51"/>
      <c r="G58" s="46"/>
      <c r="H58" s="47"/>
      <c r="I58" s="48"/>
      <c r="J58" s="52"/>
      <c r="K58" s="27" t="str">
        <f t="shared" si="2"/>
        <v>DISPONIBLE</v>
      </c>
      <c r="L58" s="28">
        <f t="shared" si="3"/>
        <v>57</v>
      </c>
      <c r="M58" s="28" t="s">
        <v>23</v>
      </c>
      <c r="N58" s="70"/>
      <c r="O58" s="140"/>
      <c r="P58" s="12"/>
      <c r="Q58" s="12"/>
      <c r="R58" s="12"/>
      <c r="S58" s="12"/>
      <c r="T58" s="12"/>
      <c r="U58" s="12"/>
      <c r="V58" s="12"/>
      <c r="AB58" s="12"/>
      <c r="AC58" s="12" t="str">
        <f>IFERROR(__xludf.DUMMYFUNCTION("""COMPUTED_VALUE"""),"3-PRD-F1-3")</f>
        <v>3-PRD-F1-3</v>
      </c>
      <c r="AD58" s="12" t="str">
        <f>IFERROR(__xludf.DUMMYFUNCTION("""COMPUTED_VALUE"""),"692029X")</f>
        <v>692029X</v>
      </c>
      <c r="AE58" s="12" t="str">
        <f>IFERROR(__xludf.DUMMYFUNCTION("""COMPUTED_VALUE"""),"CAJA CARTON CORRUGADO 60x40x40")</f>
        <v>CAJA CARTON CORRUGADO 60x40x40</v>
      </c>
      <c r="AF58" s="30">
        <f>IFERROR(__xludf.DUMMYFUNCTION("""COMPUTED_VALUE"""),21.0)</f>
        <v>21</v>
      </c>
      <c r="AG58" s="12" t="str">
        <f>IFERROR(__xludf.DUMMYFUNCTION("""COMPUTED_VALUE"""),"PROVEEDOR")</f>
        <v>PROVEEDOR</v>
      </c>
      <c r="AH58" s="12">
        <f>IFERROR(__xludf.DUMMYFUNCTION("""COMPUTED_VALUE"""),3.0)</f>
        <v>3</v>
      </c>
      <c r="AI58" s="12" t="str">
        <f>IFERROR(__xludf.DUMMYFUNCTION("""COMPUTED_VALUE"""),"PRD-F1")</f>
        <v>PRD-F1</v>
      </c>
      <c r="AJ58" s="12" t="str">
        <f>IFERROR(__xludf.DUMMYFUNCTION("""COMPUTED_VALUE"""),"3")</f>
        <v>3</v>
      </c>
      <c r="AK58" s="12">
        <f>IFERROR(__xludf.DUMMYFUNCTION("""COMPUTED_VALUE"""),102.0)</f>
        <v>102</v>
      </c>
      <c r="AL58" s="12" t="str">
        <f>IFERROR(__xludf.DUMMYFUNCTION("""COMPUTED_VALUE"""),"SUMMIT")</f>
        <v>SUMMIT</v>
      </c>
      <c r="AM58" s="12"/>
      <c r="AN58" s="12"/>
      <c r="AO58" s="12"/>
      <c r="AP58" s="12"/>
      <c r="AQ58" s="12"/>
      <c r="BC58" s="12"/>
      <c r="BH58" s="12" t="str">
        <f>IFERROR(__xludf.DUMMYFUNCTION("IFERROR(INDEX(QUERY(IMPORTRANGE(""1T7HG8KEs-Ob7f3M5atEVN9Yn7IeORGp0QGvggB62ELw"",""Maestro!A:I""),""SELECT Col8 WHERE Col3 = '""&amp;BE58&amp;""'"", 0), 1, 1),""NO ENCONTRADO"")"),"D")</f>
        <v>D</v>
      </c>
      <c r="BI58" s="16">
        <v>1.0</v>
      </c>
      <c r="BJ58" s="16">
        <f t="shared" si="4"/>
        <v>10</v>
      </c>
      <c r="BK58" s="12"/>
      <c r="BR58" s="12"/>
      <c r="BY58" s="14"/>
      <c r="BZ58" s="14"/>
      <c r="CA58" s="14"/>
      <c r="CB58" s="14"/>
      <c r="CC58" s="14"/>
      <c r="CD58" s="14"/>
      <c r="CE58" s="14"/>
      <c r="CF58" s="12"/>
      <c r="CG58" s="12"/>
      <c r="CH58" s="12"/>
      <c r="CI58" s="12"/>
      <c r="CJ58" s="12"/>
      <c r="CK58" s="12"/>
      <c r="CL58" s="12"/>
      <c r="CM58" s="12"/>
      <c r="CN58" s="12"/>
      <c r="CO58" s="12"/>
    </row>
    <row r="59">
      <c r="A59" s="92">
        <v>3.0</v>
      </c>
      <c r="B59" s="93" t="s">
        <v>53</v>
      </c>
      <c r="C59" s="94" t="s">
        <v>145</v>
      </c>
      <c r="D59" s="95" t="str">
        <f t="shared" si="1"/>
        <v>3-4-4A</v>
      </c>
      <c r="E59" s="110"/>
      <c r="F59" s="124"/>
      <c r="G59" s="112"/>
      <c r="H59" s="113"/>
      <c r="I59" s="114"/>
      <c r="J59" s="115"/>
      <c r="K59" s="32" t="str">
        <f t="shared" si="2"/>
        <v>DISPONIBLE</v>
      </c>
      <c r="L59" s="33">
        <f t="shared" si="3"/>
        <v>58</v>
      </c>
      <c r="M59" s="33" t="s">
        <v>23</v>
      </c>
      <c r="N59" s="53"/>
      <c r="O59" s="34"/>
      <c r="P59" s="12"/>
      <c r="Q59" s="12"/>
      <c r="R59" s="12"/>
      <c r="S59" s="12"/>
      <c r="T59" s="12"/>
      <c r="U59" s="12"/>
      <c r="V59" s="12"/>
      <c r="AB59" s="12"/>
      <c r="AC59" s="12" t="str">
        <f>IFERROR(__xludf.DUMMYFUNCTION("""COMPUTED_VALUE"""),"3-PRD-F1-4")</f>
        <v>3-PRD-F1-4</v>
      </c>
      <c r="AD59" s="12" t="str">
        <f>IFERROR(__xludf.DUMMYFUNCTION("""COMPUTED_VALUE"""),"692043")</f>
        <v>692043</v>
      </c>
      <c r="AE59" s="12" t="str">
        <f>IFERROR(__xludf.DUMMYFUNCTION("""COMPUTED_VALUE"""),"CAJA CARTON CORRUGADO 60x60x50 CM")</f>
        <v>CAJA CARTON CORRUGADO 60x60x50 CM</v>
      </c>
      <c r="AF59" s="30">
        <f>IFERROR(__xludf.DUMMYFUNCTION("""COMPUTED_VALUE"""),10.0)</f>
        <v>10</v>
      </c>
      <c r="AG59" s="12" t="str">
        <f>IFERROR(__xludf.DUMMYFUNCTION("""COMPUTED_VALUE"""),"PROVEEDOR")</f>
        <v>PROVEEDOR</v>
      </c>
      <c r="AH59" s="12">
        <f>IFERROR(__xludf.DUMMYFUNCTION("""COMPUTED_VALUE"""),3.0)</f>
        <v>3</v>
      </c>
      <c r="AI59" s="12" t="str">
        <f>IFERROR(__xludf.DUMMYFUNCTION("""COMPUTED_VALUE"""),"PRD-F1")</f>
        <v>PRD-F1</v>
      </c>
      <c r="AJ59" s="12" t="str">
        <f>IFERROR(__xludf.DUMMYFUNCTION("""COMPUTED_VALUE"""),"4")</f>
        <v>4</v>
      </c>
      <c r="AK59" s="12">
        <f>IFERROR(__xludf.DUMMYFUNCTION("""COMPUTED_VALUE"""),103.0)</f>
        <v>103</v>
      </c>
      <c r="AL59" s="12" t="str">
        <f>IFERROR(__xludf.DUMMYFUNCTION("""COMPUTED_VALUE"""),"SUMMIT")</f>
        <v>SUMMIT</v>
      </c>
      <c r="AM59" s="12"/>
      <c r="AN59" s="12"/>
      <c r="AO59" s="12"/>
      <c r="AP59" s="12"/>
      <c r="AQ59" s="12"/>
      <c r="BC59" s="12"/>
      <c r="BH59" s="12" t="str">
        <f>IFERROR(__xludf.DUMMYFUNCTION("IFERROR(INDEX(QUERY(IMPORTRANGE(""1T7HG8KEs-Ob7f3M5atEVN9Yn7IeORGp0QGvggB62ELw"",""Maestro!A:I""),""SELECT Col8 WHERE Col3 = '""&amp;BE59&amp;""'"", 0), 1, 1),""NO ENCONTRADO"")"),"NO ENCONTRADO")</f>
        <v>NO ENCONTRADO</v>
      </c>
      <c r="BI59" s="16">
        <v>1.0</v>
      </c>
      <c r="BJ59" s="16">
        <f t="shared" si="4"/>
        <v>666</v>
      </c>
      <c r="BK59" s="12"/>
      <c r="BR59" s="12"/>
      <c r="BY59" s="14"/>
      <c r="BZ59" s="14"/>
      <c r="CA59" s="14"/>
      <c r="CB59" s="14"/>
      <c r="CC59" s="14"/>
      <c r="CD59" s="14"/>
      <c r="CE59" s="14"/>
      <c r="CF59" s="12"/>
      <c r="CG59" s="12"/>
      <c r="CH59" s="12"/>
      <c r="CI59" s="12"/>
      <c r="CJ59" s="12"/>
      <c r="CK59" s="12"/>
      <c r="CL59" s="12"/>
      <c r="CM59" s="12"/>
      <c r="CN59" s="12"/>
      <c r="CO59" s="12"/>
    </row>
    <row r="60">
      <c r="A60" s="92">
        <v>3.0</v>
      </c>
      <c r="B60" s="93" t="s">
        <v>53</v>
      </c>
      <c r="C60" s="94" t="s">
        <v>181</v>
      </c>
      <c r="D60" s="95" t="str">
        <f t="shared" si="1"/>
        <v>3-4-4B</v>
      </c>
      <c r="E60" s="130"/>
      <c r="F60" s="131"/>
      <c r="G60" s="132"/>
      <c r="H60" s="133"/>
      <c r="I60" s="134"/>
      <c r="J60" s="135"/>
      <c r="K60" s="27" t="str">
        <f t="shared" si="2"/>
        <v>DISPONIBLE</v>
      </c>
      <c r="L60" s="28">
        <f t="shared" si="3"/>
        <v>59</v>
      </c>
      <c r="M60" s="28" t="s">
        <v>23</v>
      </c>
      <c r="N60" s="70"/>
      <c r="O60" s="140"/>
      <c r="P60" s="12"/>
      <c r="Q60" s="12"/>
      <c r="R60" s="12"/>
      <c r="S60" s="12"/>
      <c r="T60" s="12"/>
      <c r="U60" s="12"/>
      <c r="V60" s="12"/>
      <c r="AB60" s="12"/>
      <c r="AC60" s="12" t="str">
        <f>IFERROR(__xludf.DUMMYFUNCTION("""COMPUTED_VALUE"""),"3-PRD-F2-1")</f>
        <v>3-PRD-F2-1</v>
      </c>
      <c r="AD60" s="12" t="str">
        <f>IFERROR(__xludf.DUMMYFUNCTION("""COMPUTED_VALUE"""),"692425")</f>
        <v>692425</v>
      </c>
      <c r="AE60" s="12" t="str">
        <f>IFERROR(__xludf.DUMMYFUNCTION("""COMPUTED_VALUE"""),"CAJA CARTON PISQUERA 31x23x31 CM")</f>
        <v>CAJA CARTON PISQUERA 31x23x31 CM</v>
      </c>
      <c r="AF60" s="30">
        <f>IFERROR(__xludf.DUMMYFUNCTION("""COMPUTED_VALUE"""),11.0)</f>
        <v>11</v>
      </c>
      <c r="AG60" s="12" t="str">
        <f>IFERROR(__xludf.DUMMYFUNCTION("""COMPUTED_VALUE"""),"PROVEEDOR")</f>
        <v>PROVEEDOR</v>
      </c>
      <c r="AH60" s="12">
        <f>IFERROR(__xludf.DUMMYFUNCTION("""COMPUTED_VALUE"""),3.0)</f>
        <v>3</v>
      </c>
      <c r="AI60" s="12" t="str">
        <f>IFERROR(__xludf.DUMMYFUNCTION("""COMPUTED_VALUE"""),"PRD-F2")</f>
        <v>PRD-F2</v>
      </c>
      <c r="AJ60" s="12" t="str">
        <f>IFERROR(__xludf.DUMMYFUNCTION("""COMPUTED_VALUE"""),"1")</f>
        <v>1</v>
      </c>
      <c r="AK60" s="12">
        <f>IFERROR(__xludf.DUMMYFUNCTION("""COMPUTED_VALUE"""),105.0)</f>
        <v>105</v>
      </c>
      <c r="AL60" s="12" t="str">
        <f>IFERROR(__xludf.DUMMYFUNCTION("""COMPUTED_VALUE"""),"SUMMIT")</f>
        <v>SUMMIT</v>
      </c>
      <c r="AM60" s="12"/>
      <c r="AN60" s="12"/>
      <c r="AO60" s="12"/>
      <c r="AP60" s="12"/>
      <c r="AQ60" s="12"/>
      <c r="BC60" s="12"/>
      <c r="BH60" s="12" t="str">
        <f>IFERROR(__xludf.DUMMYFUNCTION("IFERROR(INDEX(QUERY(IMPORTRANGE(""1T7HG8KEs-Ob7f3M5atEVN9Yn7IeORGp0QGvggB62ELw"",""Maestro!A:I""),""SELECT Col8 WHERE Col3 = '""&amp;BE60&amp;""'"", 0), 1, 1),""NO ENCONTRADO"")"),"NO ENCONTRADO")</f>
        <v>NO ENCONTRADO</v>
      </c>
      <c r="BI60" s="16">
        <v>1.0</v>
      </c>
      <c r="BJ60" s="16">
        <f t="shared" si="4"/>
        <v>666</v>
      </c>
      <c r="BK60" s="12"/>
      <c r="BR60" s="12"/>
      <c r="BY60" s="14"/>
      <c r="BZ60" s="14"/>
      <c r="CA60" s="14"/>
      <c r="CB60" s="14"/>
      <c r="CC60" s="14"/>
      <c r="CD60" s="14"/>
      <c r="CE60" s="14"/>
      <c r="CF60" s="12"/>
      <c r="CG60" s="12"/>
      <c r="CH60" s="12"/>
      <c r="CI60" s="12"/>
      <c r="CJ60" s="12"/>
      <c r="CK60" s="12"/>
      <c r="CL60" s="12"/>
      <c r="CM60" s="12"/>
      <c r="CN60" s="12"/>
      <c r="CO60" s="12"/>
    </row>
    <row r="61">
      <c r="A61" s="123">
        <v>3.0</v>
      </c>
      <c r="B61" s="94" t="s">
        <v>53</v>
      </c>
      <c r="C61" s="94" t="s">
        <v>188</v>
      </c>
      <c r="D61" s="95" t="str">
        <f t="shared" si="1"/>
        <v>3-4-5A</v>
      </c>
      <c r="E61" s="96">
        <v>45763.0</v>
      </c>
      <c r="F61" s="97" t="s">
        <v>258</v>
      </c>
      <c r="G61" s="98" t="s">
        <v>143</v>
      </c>
      <c r="H61" s="99" t="s">
        <v>144</v>
      </c>
      <c r="I61" s="100">
        <v>488.0</v>
      </c>
      <c r="J61" s="101" t="s">
        <v>22</v>
      </c>
      <c r="K61" s="32" t="str">
        <f t="shared" si="2"/>
        <v>OCUPADO</v>
      </c>
      <c r="L61" s="33">
        <f t="shared" si="3"/>
        <v>60</v>
      </c>
      <c r="M61" s="33" t="s">
        <v>23</v>
      </c>
      <c r="N61" s="53"/>
      <c r="O61" s="34" t="s">
        <v>24</v>
      </c>
      <c r="P61" s="12"/>
      <c r="Q61" s="12"/>
      <c r="R61" s="12"/>
      <c r="S61" s="12"/>
      <c r="T61" s="12"/>
      <c r="U61" s="12"/>
      <c r="V61" s="12"/>
      <c r="AB61" s="12"/>
      <c r="AC61" s="12" t="str">
        <f>IFERROR(__xludf.DUMMYFUNCTION("""COMPUTED_VALUE"""),"3-PRD-F4-1")</f>
        <v>3-PRD-F4-1</v>
      </c>
      <c r="AD61" s="12" t="str">
        <f>IFERROR(__xludf.DUMMYFUNCTION("""COMPUTED_VALUE"""),"690155")</f>
        <v>690155</v>
      </c>
      <c r="AE61" s="12" t="str">
        <f>IFERROR(__xludf.DUMMYFUNCTION("""COMPUTED_VALUE"""),"ROLLO CARTON CORRUGADO 0.80X10 MT")</f>
        <v>ROLLO CARTON CORRUGADO 0.80X10 MT</v>
      </c>
      <c r="AF61" s="30">
        <f>IFERROR(__xludf.DUMMYFUNCTION("""COMPUTED_VALUE"""),19.0)</f>
        <v>19</v>
      </c>
      <c r="AG61" s="12" t="str">
        <f>IFERROR(__xludf.DUMMYFUNCTION("""COMPUTED_VALUE"""),"PRODUCTO TERMINADO")</f>
        <v>PRODUCTO TERMINADO</v>
      </c>
      <c r="AH61" s="12">
        <f>IFERROR(__xludf.DUMMYFUNCTION("""COMPUTED_VALUE"""),3.0)</f>
        <v>3</v>
      </c>
      <c r="AI61" s="12" t="str">
        <f>IFERROR(__xludf.DUMMYFUNCTION("""COMPUTED_VALUE"""),"PRD-F4")</f>
        <v>PRD-F4</v>
      </c>
      <c r="AJ61" s="12" t="str">
        <f>IFERROR(__xludf.DUMMYFUNCTION("""COMPUTED_VALUE"""),"1")</f>
        <v>1</v>
      </c>
      <c r="AK61" s="12">
        <f>IFERROR(__xludf.DUMMYFUNCTION("""COMPUTED_VALUE"""),115.0)</f>
        <v>115</v>
      </c>
      <c r="AL61" s="12" t="str">
        <f>IFERROR(__xludf.DUMMYFUNCTION("""COMPUTED_VALUE"""),"SUMMIT")</f>
        <v>SUMMIT</v>
      </c>
      <c r="AM61" s="12"/>
      <c r="AN61" s="12"/>
      <c r="AO61" s="12"/>
      <c r="AP61" s="12"/>
      <c r="AQ61" s="12"/>
      <c r="BC61" s="12"/>
      <c r="BH61" s="12" t="str">
        <f>IFERROR(__xludf.DUMMYFUNCTION("IFERROR(INDEX(QUERY(IMPORTRANGE(""1T7HG8KEs-Ob7f3M5atEVN9Yn7IeORGp0QGvggB62ELw"",""Maestro!A:I""),""SELECT Col8 WHERE Col3 = '""&amp;BE61&amp;""'"", 0), 1, 1),""NO ENCONTRADO"")"),"D")</f>
        <v>D</v>
      </c>
      <c r="BI61" s="16">
        <v>1.0</v>
      </c>
      <c r="BJ61" s="16">
        <f t="shared" si="4"/>
        <v>10</v>
      </c>
      <c r="BK61" s="12"/>
      <c r="BR61" s="12"/>
      <c r="BY61" s="14"/>
      <c r="BZ61" s="14"/>
      <c r="CA61" s="14"/>
      <c r="CB61" s="14"/>
      <c r="CC61" s="14"/>
      <c r="CD61" s="14"/>
      <c r="CE61" s="14"/>
      <c r="CF61" s="12"/>
      <c r="CG61" s="12"/>
      <c r="CH61" s="12"/>
      <c r="CI61" s="12"/>
      <c r="CJ61" s="12"/>
      <c r="CK61" s="12"/>
      <c r="CL61" s="12"/>
      <c r="CM61" s="12"/>
      <c r="CN61" s="12"/>
      <c r="CO61" s="12"/>
    </row>
    <row r="62">
      <c r="A62" s="123">
        <v>3.0</v>
      </c>
      <c r="B62" s="94" t="s">
        <v>53</v>
      </c>
      <c r="C62" s="94" t="s">
        <v>192</v>
      </c>
      <c r="D62" s="95" t="str">
        <f t="shared" si="1"/>
        <v>3-4-5B</v>
      </c>
      <c r="E62" s="50"/>
      <c r="F62" s="51"/>
      <c r="G62" s="46"/>
      <c r="H62" s="47"/>
      <c r="I62" s="48"/>
      <c r="J62" s="52"/>
      <c r="K62" s="27" t="str">
        <f t="shared" si="2"/>
        <v>DISPONIBLE</v>
      </c>
      <c r="L62" s="28">
        <f t="shared" si="3"/>
        <v>61</v>
      </c>
      <c r="M62" s="28" t="s">
        <v>23</v>
      </c>
      <c r="N62" s="70"/>
      <c r="O62" s="140"/>
      <c r="P62" s="12"/>
      <c r="Q62" s="12"/>
      <c r="R62" s="12"/>
      <c r="S62" s="12"/>
      <c r="T62" s="12"/>
      <c r="U62" s="12"/>
      <c r="V62" s="12"/>
      <c r="AB62" s="12"/>
      <c r="AC62" s="12" t="str">
        <f>IFERROR(__xludf.DUMMYFUNCTION("""COMPUTED_VALUE"""),"3-PRD-F4-2")</f>
        <v>3-PRD-F4-2</v>
      </c>
      <c r="AD62" s="12" t="str">
        <f>IFERROR(__xludf.DUMMYFUNCTION("""COMPUTED_VALUE"""),"682778")</f>
        <v>682778</v>
      </c>
      <c r="AE62" s="12" t="str">
        <f>IFERROR(__xludf.DUMMYFUNCTION("""COMPUTED_VALUE"""),"ROLLO CARTON CORRUGADO 1.20X25 MT")</f>
        <v>ROLLO CARTON CORRUGADO 1.20X25 MT</v>
      </c>
      <c r="AF62" s="30">
        <f>IFERROR(__xludf.DUMMYFUNCTION("""COMPUTED_VALUE"""),3.0)</f>
        <v>3</v>
      </c>
      <c r="AG62" s="12" t="str">
        <f>IFERROR(__xludf.DUMMYFUNCTION("""COMPUTED_VALUE"""),"PRODUCTO TERMINADO")</f>
        <v>PRODUCTO TERMINADO</v>
      </c>
      <c r="AH62" s="12">
        <f>IFERROR(__xludf.DUMMYFUNCTION("""COMPUTED_VALUE"""),3.0)</f>
        <v>3</v>
      </c>
      <c r="AI62" s="12" t="str">
        <f>IFERROR(__xludf.DUMMYFUNCTION("""COMPUTED_VALUE"""),"PRD-F4")</f>
        <v>PRD-F4</v>
      </c>
      <c r="AJ62" s="12" t="str">
        <f>IFERROR(__xludf.DUMMYFUNCTION("""COMPUTED_VALUE"""),"2")</f>
        <v>2</v>
      </c>
      <c r="AK62" s="12">
        <f>IFERROR(__xludf.DUMMYFUNCTION("""COMPUTED_VALUE"""),116.0)</f>
        <v>116</v>
      </c>
      <c r="AL62" s="12" t="str">
        <f>IFERROR(__xludf.DUMMYFUNCTION("""COMPUTED_VALUE"""),"SUMMIT")</f>
        <v>SUMMIT</v>
      </c>
      <c r="AM62" s="12"/>
      <c r="AN62" s="12"/>
      <c r="AO62" s="12"/>
      <c r="AP62" s="12"/>
      <c r="AQ62" s="12"/>
      <c r="BC62" s="12"/>
      <c r="BH62" s="12" t="str">
        <f>IFERROR(__xludf.DUMMYFUNCTION("IFERROR(INDEX(QUERY(IMPORTRANGE(""1T7HG8KEs-Ob7f3M5atEVN9Yn7IeORGp0QGvggB62ELw"",""Maestro!A:I""),""SELECT Col8 WHERE Col3 = '""&amp;BE62&amp;""'"", 0), 1, 1),""NO ENCONTRADO"")"),"D")</f>
        <v>D</v>
      </c>
      <c r="BI62" s="16">
        <v>1.0</v>
      </c>
      <c r="BJ62" s="16">
        <f t="shared" si="4"/>
        <v>400</v>
      </c>
      <c r="BK62" s="12"/>
      <c r="BR62" s="12"/>
      <c r="BY62" s="14"/>
      <c r="BZ62" s="14"/>
      <c r="CA62" s="14"/>
      <c r="CB62" s="14"/>
      <c r="CC62" s="14"/>
      <c r="CD62" s="14"/>
      <c r="CE62" s="14"/>
      <c r="CF62" s="12"/>
      <c r="CG62" s="12"/>
      <c r="CH62" s="12"/>
      <c r="CI62" s="12"/>
      <c r="CJ62" s="12"/>
      <c r="CK62" s="12"/>
      <c r="CL62" s="12"/>
      <c r="CM62" s="12"/>
      <c r="CN62" s="12"/>
      <c r="CO62" s="12"/>
    </row>
    <row r="63">
      <c r="A63" s="92">
        <v>3.0</v>
      </c>
      <c r="B63" s="93" t="s">
        <v>25</v>
      </c>
      <c r="C63" s="94" t="s">
        <v>119</v>
      </c>
      <c r="D63" s="95" t="str">
        <f t="shared" si="1"/>
        <v>3-5-1A</v>
      </c>
      <c r="E63" s="96">
        <v>45747.0</v>
      </c>
      <c r="F63" s="97" t="s">
        <v>154</v>
      </c>
      <c r="G63" s="98" t="s">
        <v>74</v>
      </c>
      <c r="H63" s="99" t="s">
        <v>75</v>
      </c>
      <c r="I63" s="100">
        <v>268.0</v>
      </c>
      <c r="J63" s="101" t="s">
        <v>22</v>
      </c>
      <c r="K63" s="32" t="str">
        <f t="shared" si="2"/>
        <v>OCUPADO</v>
      </c>
      <c r="L63" s="33">
        <f t="shared" si="3"/>
        <v>62</v>
      </c>
      <c r="M63" s="33" t="s">
        <v>23</v>
      </c>
      <c r="N63" s="53"/>
      <c r="O63" s="34" t="s">
        <v>24</v>
      </c>
      <c r="P63" s="12"/>
      <c r="Q63" s="12"/>
      <c r="R63" s="12"/>
      <c r="S63" s="12"/>
      <c r="T63" s="12"/>
      <c r="U63" s="12"/>
      <c r="V63" s="12"/>
      <c r="AB63" s="12"/>
      <c r="AC63" s="12" t="str">
        <f>IFERROR(__xludf.DUMMYFUNCTION("""COMPUTED_VALUE"""),"4-1-A")</f>
        <v>4-1-A</v>
      </c>
      <c r="AD63" s="12" t="str">
        <f>IFERROR(__xludf.DUMMYFUNCTION("""COMPUTED_VALUE"""),"LSS1200")</f>
        <v>LSS1200</v>
      </c>
      <c r="AE63" s="12" t="str">
        <f>IFERROR(__xludf.DUMMYFUNCTION("""COMPUTED_VALUE"""),"Licuadora Smart System 1200W")</f>
        <v>Licuadora Smart System 1200W</v>
      </c>
      <c r="AF63" s="30">
        <f>IFERROR(__xludf.DUMMYFUNCTION("""COMPUTED_VALUE"""),36.0)</f>
        <v>36</v>
      </c>
      <c r="AG63" s="12" t="str">
        <f>IFERROR(__xludf.DUMMYFUNCTION("""COMPUTED_VALUE"""),"Contenedor")</f>
        <v>Contenedor</v>
      </c>
      <c r="AH63" s="12">
        <f>IFERROR(__xludf.DUMMYFUNCTION("""COMPUTED_VALUE"""),4.0)</f>
        <v>4</v>
      </c>
      <c r="AI63" s="12" t="str">
        <f>IFERROR(__xludf.DUMMYFUNCTION("""COMPUTED_VALUE"""),"1")</f>
        <v>1</v>
      </c>
      <c r="AJ63" s="12" t="str">
        <f>IFERROR(__xludf.DUMMYFUNCTION("""COMPUTED_VALUE"""),"A")</f>
        <v>A</v>
      </c>
      <c r="AK63" s="12">
        <f>IFERROR(__xludf.DUMMYFUNCTION("""COMPUTED_VALUE"""),120.0)</f>
        <v>120</v>
      </c>
      <c r="AL63" s="12" t="str">
        <f>IFERROR(__xludf.DUMMYFUNCTION("""COMPUTED_VALUE"""),"KITCHEN-IT")</f>
        <v>KITCHEN-IT</v>
      </c>
      <c r="AM63" s="12"/>
      <c r="AN63" s="12"/>
      <c r="AO63" s="12"/>
      <c r="AP63" s="12"/>
      <c r="AQ63" s="12"/>
      <c r="BC63" s="12"/>
      <c r="BH63" s="12" t="str">
        <f>IFERROR(__xludf.DUMMYFUNCTION("IFERROR(INDEX(QUERY(IMPORTRANGE(""1T7HG8KEs-Ob7f3M5atEVN9Yn7IeORGp0QGvggB62ELw"",""Maestro!A:I""),""SELECT Col8 WHERE Col3 = '""&amp;BE63&amp;""'"", 0), 1, 1),""NO ENCONTRADO"")"),"D")</f>
        <v>D</v>
      </c>
      <c r="BI63" s="16">
        <v>1.0</v>
      </c>
      <c r="BJ63" s="16">
        <f t="shared" si="4"/>
        <v>549</v>
      </c>
      <c r="BK63" s="12"/>
      <c r="BR63" s="12"/>
      <c r="BY63" s="14"/>
      <c r="BZ63" s="14"/>
      <c r="CA63" s="14"/>
      <c r="CB63" s="14"/>
      <c r="CC63" s="14"/>
      <c r="CD63" s="14"/>
      <c r="CE63" s="14"/>
      <c r="CF63" s="12"/>
      <c r="CG63" s="12"/>
      <c r="CH63" s="12"/>
      <c r="CI63" s="12"/>
      <c r="CJ63" s="12"/>
      <c r="CK63" s="12"/>
      <c r="CL63" s="12"/>
      <c r="CM63" s="12"/>
      <c r="CN63" s="12"/>
      <c r="CO63" s="12"/>
    </row>
    <row r="64">
      <c r="A64" s="92">
        <v>3.0</v>
      </c>
      <c r="B64" s="93" t="s">
        <v>25</v>
      </c>
      <c r="C64" s="94" t="s">
        <v>132</v>
      </c>
      <c r="D64" s="95" t="str">
        <f t="shared" si="1"/>
        <v>3-5-1B</v>
      </c>
      <c r="E64" s="50"/>
      <c r="F64" s="51"/>
      <c r="G64" s="46"/>
      <c r="H64" s="47"/>
      <c r="I64" s="48"/>
      <c r="J64" s="52"/>
      <c r="K64" s="27" t="str">
        <f t="shared" si="2"/>
        <v>DISPONIBLE</v>
      </c>
      <c r="L64" s="28">
        <f t="shared" si="3"/>
        <v>63</v>
      </c>
      <c r="M64" s="28" t="s">
        <v>23</v>
      </c>
      <c r="N64" s="70"/>
      <c r="O64" s="29"/>
      <c r="P64" s="12"/>
      <c r="Q64" s="12"/>
      <c r="R64" s="12"/>
      <c r="S64" s="12"/>
      <c r="T64" s="12"/>
      <c r="U64" s="12"/>
      <c r="V64" s="12"/>
      <c r="AB64" s="12"/>
      <c r="AC64" s="12" t="str">
        <f>IFERROR(__xludf.DUMMYFUNCTION("""COMPUTED_VALUE"""),"4-1-B")</f>
        <v>4-1-B</v>
      </c>
      <c r="AD64" s="12" t="str">
        <f>IFERROR(__xludf.DUMMYFUNCTION("""COMPUTED_VALUE"""),"PPPMXL")</f>
        <v>PPPMXL</v>
      </c>
      <c r="AE64" s="12" t="str">
        <f>IFERROR(__xludf.DUMMYFUNCTION("""COMPUTED_VALUE"""),"Plancha Panini Pro Max XL")</f>
        <v>Plancha Panini Pro Max XL</v>
      </c>
      <c r="AF64" s="30">
        <f>IFERROR(__xludf.DUMMYFUNCTION("""COMPUTED_VALUE"""),140.0)</f>
        <v>140</v>
      </c>
      <c r="AG64" s="12" t="str">
        <f>IFERROR(__xludf.DUMMYFUNCTION("""COMPUTED_VALUE"""),"Contenedor")</f>
        <v>Contenedor</v>
      </c>
      <c r="AH64" s="12">
        <f>IFERROR(__xludf.DUMMYFUNCTION("""COMPUTED_VALUE"""),4.0)</f>
        <v>4</v>
      </c>
      <c r="AI64" s="12" t="str">
        <f>IFERROR(__xludf.DUMMYFUNCTION("""COMPUTED_VALUE"""),"1")</f>
        <v>1</v>
      </c>
      <c r="AJ64" s="12" t="str">
        <f>IFERROR(__xludf.DUMMYFUNCTION("""COMPUTED_VALUE"""),"B")</f>
        <v>B</v>
      </c>
      <c r="AK64" s="12">
        <f>IFERROR(__xludf.DUMMYFUNCTION("""COMPUTED_VALUE"""),121.0)</f>
        <v>121</v>
      </c>
      <c r="AL64" s="12" t="str">
        <f>IFERROR(__xludf.DUMMYFUNCTION("""COMPUTED_VALUE"""),"KITCHEN-IT")</f>
        <v>KITCHEN-IT</v>
      </c>
      <c r="AM64" s="12"/>
      <c r="AN64" s="12"/>
      <c r="AO64" s="12"/>
      <c r="AP64" s="12"/>
      <c r="AQ64" s="12"/>
      <c r="BC64" s="12"/>
      <c r="BH64" s="12" t="str">
        <f>IFERROR(__xludf.DUMMYFUNCTION("IFERROR(INDEX(QUERY(IMPORTRANGE(""1T7HG8KEs-Ob7f3M5atEVN9Yn7IeORGp0QGvggB62ELw"",""Maestro!A:I""),""SELECT Col8 WHERE Col3 = '""&amp;BE64&amp;""'"", 0), 1, 1),""NO ENCONTRADO"")"),"NO ENCONTRADO")</f>
        <v>NO ENCONTRADO</v>
      </c>
      <c r="BI64" s="16">
        <v>1.0</v>
      </c>
      <c r="BJ64" s="16">
        <f t="shared" si="4"/>
        <v>667</v>
      </c>
      <c r="BK64" s="12"/>
      <c r="BR64" s="12"/>
      <c r="BY64" s="14"/>
      <c r="BZ64" s="14"/>
      <c r="CA64" s="14"/>
      <c r="CB64" s="14"/>
      <c r="CC64" s="14"/>
      <c r="CD64" s="14"/>
      <c r="CE64" s="14"/>
      <c r="CF64" s="12"/>
      <c r="CG64" s="12"/>
      <c r="CH64" s="12"/>
      <c r="CI64" s="12"/>
      <c r="CJ64" s="12"/>
      <c r="CK64" s="12"/>
      <c r="CL64" s="12"/>
      <c r="CM64" s="12"/>
      <c r="CN64" s="12"/>
      <c r="CO64" s="12"/>
    </row>
    <row r="65">
      <c r="A65" s="92">
        <v>3.0</v>
      </c>
      <c r="B65" s="93" t="s">
        <v>25</v>
      </c>
      <c r="C65" s="94" t="s">
        <v>124</v>
      </c>
      <c r="D65" s="95" t="str">
        <f t="shared" si="1"/>
        <v>3-5-2A</v>
      </c>
      <c r="E65" s="50"/>
      <c r="F65" s="51"/>
      <c r="G65" s="46"/>
      <c r="H65" s="47"/>
      <c r="I65" s="48"/>
      <c r="J65" s="52"/>
      <c r="K65" s="32" t="str">
        <f t="shared" si="2"/>
        <v>DISPONIBLE</v>
      </c>
      <c r="L65" s="33">
        <f t="shared" si="3"/>
        <v>64</v>
      </c>
      <c r="M65" s="33" t="s">
        <v>23</v>
      </c>
      <c r="N65" s="53"/>
      <c r="O65" s="34"/>
      <c r="P65" s="12"/>
      <c r="Q65" s="12"/>
      <c r="R65" s="12"/>
      <c r="S65" s="12"/>
      <c r="T65" s="12"/>
      <c r="U65" s="12"/>
      <c r="V65" s="12"/>
      <c r="AB65" s="12"/>
      <c r="AC65" s="12" t="str">
        <f>IFERROR(__xludf.DUMMYFUNCTION("""COMPUTED_VALUE"""),"4-1-C")</f>
        <v>4-1-C</v>
      </c>
      <c r="AD65" s="12" t="str">
        <f>IFERROR(__xludf.DUMMYFUNCTION("""COMPUTED_VALUE"""),"PPPMXL")</f>
        <v>PPPMXL</v>
      </c>
      <c r="AE65" s="12" t="str">
        <f>IFERROR(__xludf.DUMMYFUNCTION("""COMPUTED_VALUE"""),"Plancha Panini Pro Max XL")</f>
        <v>Plancha Panini Pro Max XL</v>
      </c>
      <c r="AF65" s="30">
        <f>IFERROR(__xludf.DUMMYFUNCTION("""COMPUTED_VALUE"""),140.0)</f>
        <v>140</v>
      </c>
      <c r="AG65" s="12" t="str">
        <f>IFERROR(__xludf.DUMMYFUNCTION("""COMPUTED_VALUE"""),"Contenedor")</f>
        <v>Contenedor</v>
      </c>
      <c r="AH65" s="12">
        <f>IFERROR(__xludf.DUMMYFUNCTION("""COMPUTED_VALUE"""),4.0)</f>
        <v>4</v>
      </c>
      <c r="AI65" s="12" t="str">
        <f>IFERROR(__xludf.DUMMYFUNCTION("""COMPUTED_VALUE"""),"1")</f>
        <v>1</v>
      </c>
      <c r="AJ65" s="12" t="str">
        <f>IFERROR(__xludf.DUMMYFUNCTION("""COMPUTED_VALUE"""),"C")</f>
        <v>C</v>
      </c>
      <c r="AK65" s="12">
        <f>IFERROR(__xludf.DUMMYFUNCTION("""COMPUTED_VALUE"""),122.0)</f>
        <v>122</v>
      </c>
      <c r="AL65" s="12" t="str">
        <f>IFERROR(__xludf.DUMMYFUNCTION("""COMPUTED_VALUE"""),"KITCHEN-IT")</f>
        <v>KITCHEN-IT</v>
      </c>
      <c r="AM65" s="12"/>
      <c r="AN65" s="12"/>
      <c r="AO65" s="12"/>
      <c r="AP65" s="12"/>
      <c r="AQ65" s="12"/>
      <c r="BC65" s="12"/>
      <c r="BH65" s="12" t="str">
        <f>IFERROR(__xludf.DUMMYFUNCTION("IFERROR(INDEX(QUERY(IMPORTRANGE(""1T7HG8KEs-Ob7f3M5atEVN9Yn7IeORGp0QGvggB62ELw"",""Maestro!A:I""),""SELECT Col8 WHERE Col3 = '""&amp;BE65&amp;""'"", 0), 1, 1),""NO ENCONTRADO"")"),"D")</f>
        <v>D</v>
      </c>
      <c r="BI65" s="16">
        <v>1.0</v>
      </c>
      <c r="BJ65" s="16">
        <f t="shared" si="4"/>
        <v>166</v>
      </c>
      <c r="BK65" s="12"/>
      <c r="BR65" s="12"/>
      <c r="BY65" s="14"/>
      <c r="BZ65" s="14"/>
      <c r="CA65" s="14"/>
      <c r="CB65" s="14"/>
      <c r="CC65" s="14"/>
      <c r="CD65" s="14"/>
      <c r="CE65" s="14"/>
      <c r="CF65" s="12"/>
      <c r="CG65" s="12"/>
      <c r="CH65" s="12"/>
      <c r="CI65" s="12"/>
      <c r="CJ65" s="12"/>
      <c r="CK65" s="12"/>
      <c r="CL65" s="12"/>
      <c r="CM65" s="12"/>
      <c r="CN65" s="12"/>
      <c r="CO65" s="12"/>
    </row>
    <row r="66">
      <c r="A66" s="92">
        <v>3.0</v>
      </c>
      <c r="B66" s="93" t="s">
        <v>25</v>
      </c>
      <c r="C66" s="94" t="s">
        <v>140</v>
      </c>
      <c r="D66" s="95" t="str">
        <f t="shared" si="1"/>
        <v>3-5-2B</v>
      </c>
      <c r="E66" s="50"/>
      <c r="F66" s="51"/>
      <c r="G66" s="46"/>
      <c r="H66" s="47"/>
      <c r="I66" s="48"/>
      <c r="J66" s="52"/>
      <c r="K66" s="27" t="str">
        <f t="shared" si="2"/>
        <v>DISPONIBLE</v>
      </c>
      <c r="L66" s="28">
        <f t="shared" si="3"/>
        <v>65</v>
      </c>
      <c r="M66" s="28" t="s">
        <v>23</v>
      </c>
      <c r="N66" s="70"/>
      <c r="O66" s="29"/>
      <c r="P66" s="12"/>
      <c r="Q66" s="12"/>
      <c r="R66" s="12"/>
      <c r="S66" s="12"/>
      <c r="T66" s="12"/>
      <c r="U66" s="12"/>
      <c r="V66" s="12"/>
      <c r="AB66" s="12"/>
      <c r="AC66" s="12" t="str">
        <f>IFERROR(__xludf.DUMMYFUNCTION("""COMPUTED_VALUE"""),"4-1-D")</f>
        <v>4-1-D</v>
      </c>
      <c r="AD66" s="12" t="str">
        <f>IFERROR(__xludf.DUMMYFUNCTION("""COMPUTED_VALUE"""),"PPPMXL")</f>
        <v>PPPMXL</v>
      </c>
      <c r="AE66" s="12" t="str">
        <f>IFERROR(__xludf.DUMMYFUNCTION("""COMPUTED_VALUE"""),"Plancha Panini Pro Max XL")</f>
        <v>Plancha Panini Pro Max XL</v>
      </c>
      <c r="AF66" s="30">
        <f>IFERROR(__xludf.DUMMYFUNCTION("""COMPUTED_VALUE"""),117.0)</f>
        <v>117</v>
      </c>
      <c r="AG66" s="12" t="str">
        <f>IFERROR(__xludf.DUMMYFUNCTION("""COMPUTED_VALUE"""),"Contenedor")</f>
        <v>Contenedor</v>
      </c>
      <c r="AH66" s="12">
        <f>IFERROR(__xludf.DUMMYFUNCTION("""COMPUTED_VALUE"""),4.0)</f>
        <v>4</v>
      </c>
      <c r="AI66" s="12" t="str">
        <f>IFERROR(__xludf.DUMMYFUNCTION("""COMPUTED_VALUE"""),"1")</f>
        <v>1</v>
      </c>
      <c r="AJ66" s="12" t="str">
        <f>IFERROR(__xludf.DUMMYFUNCTION("""COMPUTED_VALUE"""),"D")</f>
        <v>D</v>
      </c>
      <c r="AK66" s="12">
        <f>IFERROR(__xludf.DUMMYFUNCTION("""COMPUTED_VALUE"""),123.0)</f>
        <v>123</v>
      </c>
      <c r="AL66" s="12" t="str">
        <f>IFERROR(__xludf.DUMMYFUNCTION("""COMPUTED_VALUE"""),"KITCHEN-IT")</f>
        <v>KITCHEN-IT</v>
      </c>
      <c r="AM66" s="12"/>
      <c r="AN66" s="12"/>
      <c r="AO66" s="12"/>
      <c r="AP66" s="12"/>
      <c r="AQ66" s="12"/>
      <c r="BC66" s="12"/>
      <c r="BH66" s="12" t="str">
        <f>IFERROR(__xludf.DUMMYFUNCTION("IFERROR(INDEX(QUERY(IMPORTRANGE(""1T7HG8KEs-Ob7f3M5atEVN9Yn7IeORGp0QGvggB62ELw"",""Maestro!A:I""),""SELECT Col8 WHERE Col3 = '""&amp;BE66&amp;""'"", 0), 1, 1),""NO ENCONTRADO"")"),"D")</f>
        <v>D</v>
      </c>
      <c r="BI66" s="16">
        <v>1.0</v>
      </c>
      <c r="BJ66" s="16">
        <f t="shared" si="4"/>
        <v>700</v>
      </c>
      <c r="BK66" s="12"/>
      <c r="BR66" s="12"/>
      <c r="BY66" s="14"/>
      <c r="BZ66" s="14"/>
      <c r="CA66" s="14"/>
      <c r="CB66" s="14"/>
      <c r="CC66" s="14"/>
      <c r="CD66" s="14"/>
      <c r="CE66" s="14"/>
      <c r="CF66" s="12"/>
      <c r="CG66" s="12"/>
      <c r="CH66" s="12"/>
      <c r="CI66" s="12"/>
      <c r="CJ66" s="12"/>
      <c r="CK66" s="12"/>
      <c r="CL66" s="12"/>
      <c r="CM66" s="12"/>
      <c r="CN66" s="12"/>
      <c r="CO66" s="12"/>
    </row>
    <row r="67">
      <c r="A67" s="92">
        <v>3.0</v>
      </c>
      <c r="B67" s="93" t="s">
        <v>25</v>
      </c>
      <c r="C67" s="94" t="s">
        <v>130</v>
      </c>
      <c r="D67" s="95" t="str">
        <f t="shared" si="1"/>
        <v>3-5-3A</v>
      </c>
      <c r="E67" s="96">
        <v>45751.0</v>
      </c>
      <c r="F67" s="97" t="s">
        <v>19</v>
      </c>
      <c r="G67" s="98" t="s">
        <v>77</v>
      </c>
      <c r="H67" s="99" t="s">
        <v>78</v>
      </c>
      <c r="I67" s="100">
        <v>640.0</v>
      </c>
      <c r="J67" s="101" t="s">
        <v>22</v>
      </c>
      <c r="K67" s="32" t="str">
        <f t="shared" si="2"/>
        <v>OCUPADO</v>
      </c>
      <c r="L67" s="33">
        <f t="shared" si="3"/>
        <v>66</v>
      </c>
      <c r="M67" s="33" t="s">
        <v>23</v>
      </c>
      <c r="N67" s="53"/>
      <c r="O67" s="34" t="s">
        <v>24</v>
      </c>
      <c r="P67" s="12"/>
      <c r="Q67" s="12"/>
      <c r="R67" s="12"/>
      <c r="S67" s="12"/>
      <c r="T67" s="12"/>
      <c r="U67" s="12"/>
      <c r="V67" s="12"/>
      <c r="AB67" s="12"/>
      <c r="AC67" s="12" t="str">
        <f>IFERROR(__xludf.DUMMYFUNCTION("""COMPUTED_VALUE"""),"4-2-A")</f>
        <v>4-2-A</v>
      </c>
      <c r="AD67" s="12" t="str">
        <f>IFERROR(__xludf.DUMMYFUNCTION("""COMPUTED_VALUE"""),"PPPMXL")</f>
        <v>PPPMXL</v>
      </c>
      <c r="AE67" s="12" t="str">
        <f>IFERROR(__xludf.DUMMYFUNCTION("""COMPUTED_VALUE"""),"Plancha Panini Pro Max XL")</f>
        <v>Plancha Panini Pro Max XL</v>
      </c>
      <c r="AF67" s="30">
        <f>IFERROR(__xludf.DUMMYFUNCTION("""COMPUTED_VALUE"""),120.0)</f>
        <v>120</v>
      </c>
      <c r="AG67" s="12" t="str">
        <f>IFERROR(__xludf.DUMMYFUNCTION("""COMPUTED_VALUE"""),"Contenedor")</f>
        <v>Contenedor</v>
      </c>
      <c r="AH67" s="12">
        <f>IFERROR(__xludf.DUMMYFUNCTION("""COMPUTED_VALUE"""),4.0)</f>
        <v>4</v>
      </c>
      <c r="AI67" s="12" t="str">
        <f>IFERROR(__xludf.DUMMYFUNCTION("""COMPUTED_VALUE"""),"2")</f>
        <v>2</v>
      </c>
      <c r="AJ67" s="12" t="str">
        <f>IFERROR(__xludf.DUMMYFUNCTION("""COMPUTED_VALUE"""),"A")</f>
        <v>A</v>
      </c>
      <c r="AK67" s="12">
        <f>IFERROR(__xludf.DUMMYFUNCTION("""COMPUTED_VALUE"""),125.0)</f>
        <v>125</v>
      </c>
      <c r="AL67" s="12" t="str">
        <f>IFERROR(__xludf.DUMMYFUNCTION("""COMPUTED_VALUE"""),"KITCHEN-IT")</f>
        <v>KITCHEN-IT</v>
      </c>
      <c r="AM67" s="12"/>
      <c r="AN67" s="12"/>
      <c r="AO67" s="12"/>
      <c r="AP67" s="12"/>
      <c r="AQ67" s="12"/>
      <c r="BC67" s="12"/>
      <c r="BH67" s="12" t="str">
        <f>IFERROR(__xludf.DUMMYFUNCTION("IFERROR(INDEX(QUERY(IMPORTRANGE(""1T7HG8KEs-Ob7f3M5atEVN9Yn7IeORGp0QGvggB62ELw"",""Maestro!A:I""),""SELECT Col8 WHERE Col3 = '""&amp;BE67&amp;""'"", 0), 1, 1),""NO ENCONTRADO"")"),"D")</f>
        <v>D</v>
      </c>
      <c r="BI67" s="16">
        <v>1.0</v>
      </c>
      <c r="BJ67" s="16">
        <f t="shared" si="4"/>
        <v>510</v>
      </c>
      <c r="BK67" s="12"/>
      <c r="BR67" s="12"/>
      <c r="BY67" s="14"/>
      <c r="BZ67" s="14"/>
      <c r="CA67" s="14"/>
      <c r="CB67" s="14"/>
      <c r="CC67" s="14"/>
      <c r="CD67" s="14"/>
      <c r="CE67" s="14"/>
      <c r="CF67" s="12"/>
      <c r="CG67" s="12"/>
      <c r="CH67" s="12"/>
      <c r="CI67" s="12"/>
      <c r="CJ67" s="12"/>
      <c r="CK67" s="12"/>
      <c r="CL67" s="12"/>
      <c r="CM67" s="12"/>
      <c r="CN67" s="12"/>
      <c r="CO67" s="12"/>
    </row>
    <row r="68">
      <c r="A68" s="92">
        <v>3.0</v>
      </c>
      <c r="B68" s="93" t="s">
        <v>25</v>
      </c>
      <c r="C68" s="94" t="s">
        <v>148</v>
      </c>
      <c r="D68" s="95" t="str">
        <f t="shared" si="1"/>
        <v>3-5-3B</v>
      </c>
      <c r="E68" s="50"/>
      <c r="F68" s="51"/>
      <c r="G68" s="46"/>
      <c r="H68" s="47"/>
      <c r="I68" s="48"/>
      <c r="J68" s="52"/>
      <c r="K68" s="27" t="str">
        <f t="shared" si="2"/>
        <v>DISPONIBLE</v>
      </c>
      <c r="L68" s="28">
        <f t="shared" si="3"/>
        <v>67</v>
      </c>
      <c r="M68" s="28" t="s">
        <v>23</v>
      </c>
      <c r="N68" s="70"/>
      <c r="O68" s="29"/>
      <c r="P68" s="12"/>
      <c r="Q68" s="12"/>
      <c r="R68" s="12"/>
      <c r="S68" s="12"/>
      <c r="T68" s="12"/>
      <c r="U68" s="12"/>
      <c r="V68" s="12"/>
      <c r="AB68" s="12"/>
      <c r="AC68" s="12" t="str">
        <f>IFERROR(__xludf.DUMMYFUNCTION("""COMPUTED_VALUE"""),"4-2-B")</f>
        <v>4-2-B</v>
      </c>
      <c r="AD68" s="12" t="str">
        <f>IFERROR(__xludf.DUMMYFUNCTION("""COMPUTED_VALUE"""),"PPPMXL")</f>
        <v>PPPMXL</v>
      </c>
      <c r="AE68" s="12" t="str">
        <f>IFERROR(__xludf.DUMMYFUNCTION("""COMPUTED_VALUE"""),"Plancha Panini Pro Max XL")</f>
        <v>Plancha Panini Pro Max XL</v>
      </c>
      <c r="AF68" s="30">
        <f>IFERROR(__xludf.DUMMYFUNCTION("""COMPUTED_VALUE"""),120.0)</f>
        <v>120</v>
      </c>
      <c r="AG68" s="12" t="str">
        <f>IFERROR(__xludf.DUMMYFUNCTION("""COMPUTED_VALUE"""),"Contenedor")</f>
        <v>Contenedor</v>
      </c>
      <c r="AH68" s="12">
        <f>IFERROR(__xludf.DUMMYFUNCTION("""COMPUTED_VALUE"""),4.0)</f>
        <v>4</v>
      </c>
      <c r="AI68" s="12" t="str">
        <f>IFERROR(__xludf.DUMMYFUNCTION("""COMPUTED_VALUE"""),"2")</f>
        <v>2</v>
      </c>
      <c r="AJ68" s="12" t="str">
        <f>IFERROR(__xludf.DUMMYFUNCTION("""COMPUTED_VALUE"""),"B")</f>
        <v>B</v>
      </c>
      <c r="AK68" s="12">
        <f>IFERROR(__xludf.DUMMYFUNCTION("""COMPUTED_VALUE"""),126.0)</f>
        <v>126</v>
      </c>
      <c r="AL68" s="12" t="str">
        <f>IFERROR(__xludf.DUMMYFUNCTION("""COMPUTED_VALUE"""),"KITCHEN-IT")</f>
        <v>KITCHEN-IT</v>
      </c>
      <c r="AM68" s="12"/>
      <c r="AN68" s="12"/>
      <c r="AO68" s="12"/>
      <c r="AP68" s="12"/>
      <c r="AQ68" s="12"/>
      <c r="BC68" s="12"/>
      <c r="BH68" s="12" t="str">
        <f>IFERROR(__xludf.DUMMYFUNCTION("IFERROR(INDEX(QUERY(IMPORTRANGE(""1T7HG8KEs-Ob7f3M5atEVN9Yn7IeORGp0QGvggB62ELw"",""Maestro!A:I""),""SELECT Col8 WHERE Col3 = '""&amp;BE68&amp;""'"", 0), 1, 1),""NO ENCONTRADO"")"),"D")</f>
        <v>D</v>
      </c>
      <c r="BI68" s="16">
        <v>1.0</v>
      </c>
      <c r="BJ68" s="16">
        <f t="shared" si="4"/>
        <v>600</v>
      </c>
      <c r="BK68" s="12"/>
      <c r="BR68" s="12"/>
      <c r="BY68" s="14"/>
      <c r="BZ68" s="14"/>
      <c r="CA68" s="14"/>
      <c r="CB68" s="14"/>
      <c r="CC68" s="14"/>
      <c r="CD68" s="14"/>
      <c r="CE68" s="14"/>
      <c r="CF68" s="12"/>
      <c r="CG68" s="12"/>
      <c r="CH68" s="12"/>
      <c r="CI68" s="12"/>
      <c r="CJ68" s="12"/>
      <c r="CK68" s="12"/>
      <c r="CL68" s="12"/>
      <c r="CM68" s="12"/>
      <c r="CN68" s="12"/>
      <c r="CO68" s="12"/>
    </row>
    <row r="69">
      <c r="A69" s="92">
        <v>3.0</v>
      </c>
      <c r="B69" s="93" t="s">
        <v>25</v>
      </c>
      <c r="C69" s="94" t="s">
        <v>145</v>
      </c>
      <c r="D69" s="95" t="str">
        <f t="shared" si="1"/>
        <v>3-5-4A</v>
      </c>
      <c r="E69" s="96">
        <v>45751.0</v>
      </c>
      <c r="F69" s="97" t="s">
        <v>19</v>
      </c>
      <c r="G69" s="98" t="s">
        <v>54</v>
      </c>
      <c r="H69" s="99" t="s">
        <v>55</v>
      </c>
      <c r="I69" s="100">
        <v>600.0</v>
      </c>
      <c r="J69" s="101" t="s">
        <v>22</v>
      </c>
      <c r="K69" s="32" t="str">
        <f t="shared" si="2"/>
        <v>OCUPADO</v>
      </c>
      <c r="L69" s="33">
        <f t="shared" si="3"/>
        <v>68</v>
      </c>
      <c r="M69" s="33" t="s">
        <v>23</v>
      </c>
      <c r="N69" s="53"/>
      <c r="O69" s="34" t="s">
        <v>24</v>
      </c>
      <c r="P69" s="12"/>
      <c r="Q69" s="12"/>
      <c r="R69" s="12"/>
      <c r="S69" s="12"/>
      <c r="T69" s="12"/>
      <c r="U69" s="12"/>
      <c r="V69" s="12"/>
      <c r="AB69" s="12"/>
      <c r="AC69" s="12" t="str">
        <f>IFERROR(__xludf.DUMMYFUNCTION("""COMPUTED_VALUE"""),"4-2-C")</f>
        <v>4-2-C</v>
      </c>
      <c r="AD69" s="12" t="str">
        <f>IFERROR(__xludf.DUMMYFUNCTION("""COMPUTED_VALUE"""),"PPPMXL")</f>
        <v>PPPMXL</v>
      </c>
      <c r="AE69" s="12" t="str">
        <f>IFERROR(__xludf.DUMMYFUNCTION("""COMPUTED_VALUE"""),"Plancha Panini Pro Max XL")</f>
        <v>Plancha Panini Pro Max XL</v>
      </c>
      <c r="AF69" s="30">
        <f>IFERROR(__xludf.DUMMYFUNCTION("""COMPUTED_VALUE"""),120.0)</f>
        <v>120</v>
      </c>
      <c r="AG69" s="12" t="str">
        <f>IFERROR(__xludf.DUMMYFUNCTION("""COMPUTED_VALUE"""),"Contenedor")</f>
        <v>Contenedor</v>
      </c>
      <c r="AH69" s="12">
        <f>IFERROR(__xludf.DUMMYFUNCTION("""COMPUTED_VALUE"""),4.0)</f>
        <v>4</v>
      </c>
      <c r="AI69" s="12" t="str">
        <f>IFERROR(__xludf.DUMMYFUNCTION("""COMPUTED_VALUE"""),"2")</f>
        <v>2</v>
      </c>
      <c r="AJ69" s="12" t="str">
        <f>IFERROR(__xludf.DUMMYFUNCTION("""COMPUTED_VALUE"""),"C")</f>
        <v>C</v>
      </c>
      <c r="AK69" s="12">
        <f>IFERROR(__xludf.DUMMYFUNCTION("""COMPUTED_VALUE"""),127.0)</f>
        <v>127</v>
      </c>
      <c r="AL69" s="12" t="str">
        <f>IFERROR(__xludf.DUMMYFUNCTION("""COMPUTED_VALUE"""),"KITCHEN-IT")</f>
        <v>KITCHEN-IT</v>
      </c>
      <c r="AM69" s="12"/>
      <c r="AN69" s="12"/>
      <c r="AO69" s="12"/>
      <c r="AP69" s="12"/>
      <c r="AQ69" s="12"/>
      <c r="BC69" s="12"/>
      <c r="BH69" s="12" t="str">
        <f>IFERROR(__xludf.DUMMYFUNCTION("IFERROR(INDEX(QUERY(IMPORTRANGE(""1T7HG8KEs-Ob7f3M5atEVN9Yn7IeORGp0QGvggB62ELw"",""Maestro!A:I""),""SELECT Col8 WHERE Col3 = '""&amp;BE69&amp;""'"", 0), 1, 1),""NO ENCONTRADO"")"),"D")</f>
        <v>D</v>
      </c>
      <c r="BI69" s="16">
        <v>1.0</v>
      </c>
      <c r="BJ69" s="16">
        <f t="shared" si="4"/>
        <v>996</v>
      </c>
      <c r="BK69" s="12"/>
      <c r="BR69" s="12"/>
      <c r="BY69" s="14"/>
      <c r="BZ69" s="14"/>
      <c r="CA69" s="14"/>
      <c r="CB69" s="14"/>
      <c r="CC69" s="14"/>
      <c r="CD69" s="14"/>
      <c r="CE69" s="14"/>
      <c r="CF69" s="12"/>
      <c r="CG69" s="12"/>
      <c r="CH69" s="12"/>
      <c r="CI69" s="12"/>
      <c r="CJ69" s="12"/>
      <c r="CK69" s="12"/>
      <c r="CL69" s="12"/>
      <c r="CM69" s="12"/>
      <c r="CN69" s="12"/>
      <c r="CO69" s="12"/>
    </row>
    <row r="70">
      <c r="A70" s="92">
        <v>3.0</v>
      </c>
      <c r="B70" s="93" t="s">
        <v>25</v>
      </c>
      <c r="C70" s="94" t="s">
        <v>181</v>
      </c>
      <c r="D70" s="95" t="str">
        <f t="shared" si="1"/>
        <v>3-5-4B</v>
      </c>
      <c r="E70" s="50"/>
      <c r="F70" s="51"/>
      <c r="G70" s="46"/>
      <c r="H70" s="47"/>
      <c r="I70" s="48"/>
      <c r="J70" s="52"/>
      <c r="K70" s="27" t="str">
        <f t="shared" si="2"/>
        <v>DISPONIBLE</v>
      </c>
      <c r="L70" s="28">
        <f t="shared" si="3"/>
        <v>69</v>
      </c>
      <c r="M70" s="28" t="s">
        <v>23</v>
      </c>
      <c r="N70" s="70"/>
      <c r="O70" s="29"/>
      <c r="P70" s="12"/>
      <c r="Q70" s="12"/>
      <c r="R70" s="12"/>
      <c r="S70" s="12"/>
      <c r="T70" s="12"/>
      <c r="U70" s="12"/>
      <c r="V70" s="12"/>
      <c r="AB70" s="12"/>
      <c r="AC70" s="12" t="str">
        <f>IFERROR(__xludf.DUMMYFUNCTION("""COMPUTED_VALUE"""),"4-2-D")</f>
        <v>4-2-D</v>
      </c>
      <c r="AD70" s="12" t="str">
        <f>IFERROR(__xludf.DUMMYFUNCTION("""COMPUTED_VALUE"""),"HF25L")</f>
        <v>HF25L</v>
      </c>
      <c r="AE70" s="12" t="str">
        <f>IFERROR(__xludf.DUMMYFUNCTION("""COMPUTED_VALUE"""),"Horno Freidora Smart Edition 25L")</f>
        <v>Horno Freidora Smart Edition 25L</v>
      </c>
      <c r="AF70" s="30">
        <f>IFERROR(__xludf.DUMMYFUNCTION("""COMPUTED_VALUE"""),8.0)</f>
        <v>8</v>
      </c>
      <c r="AG70" s="12" t="str">
        <f>IFERROR(__xludf.DUMMYFUNCTION("""COMPUTED_VALUE"""),"Contenedor")</f>
        <v>Contenedor</v>
      </c>
      <c r="AH70" s="12">
        <f>IFERROR(__xludf.DUMMYFUNCTION("""COMPUTED_VALUE"""),4.0)</f>
        <v>4</v>
      </c>
      <c r="AI70" s="12" t="str">
        <f>IFERROR(__xludf.DUMMYFUNCTION("""COMPUTED_VALUE"""),"2")</f>
        <v>2</v>
      </c>
      <c r="AJ70" s="12" t="str">
        <f>IFERROR(__xludf.DUMMYFUNCTION("""COMPUTED_VALUE"""),"D")</f>
        <v>D</v>
      </c>
      <c r="AK70" s="12">
        <f>IFERROR(__xludf.DUMMYFUNCTION("""COMPUTED_VALUE"""),128.0)</f>
        <v>128</v>
      </c>
      <c r="AL70" s="12" t="str">
        <f>IFERROR(__xludf.DUMMYFUNCTION("""COMPUTED_VALUE"""),"KITCHEN-IT")</f>
        <v>KITCHEN-IT</v>
      </c>
      <c r="AM70" s="12"/>
      <c r="AN70" s="12"/>
      <c r="AO70" s="12"/>
      <c r="AP70" s="12"/>
      <c r="AQ70" s="12"/>
      <c r="BC70" s="12"/>
      <c r="BH70" s="12" t="str">
        <f>IFERROR(__xludf.DUMMYFUNCTION("IFERROR(INDEX(QUERY(IMPORTRANGE(""1T7HG8KEs-Ob7f3M5atEVN9Yn7IeORGp0QGvggB62ELw"",""Maestro!A:I""),""SELECT Col8 WHERE Col3 = '""&amp;BE70&amp;""'"", 0), 1, 1),""NO ENCONTRADO"")"),"D")</f>
        <v>D</v>
      </c>
      <c r="BI70" s="16">
        <v>1.0</v>
      </c>
      <c r="BJ70" s="16">
        <f t="shared" si="4"/>
        <v>790</v>
      </c>
      <c r="BK70" s="12"/>
      <c r="BR70" s="12"/>
      <c r="BY70" s="14"/>
      <c r="BZ70" s="14"/>
      <c r="CA70" s="14"/>
      <c r="CB70" s="14"/>
      <c r="CC70" s="14"/>
      <c r="CD70" s="14"/>
      <c r="CE70" s="14"/>
      <c r="CF70" s="12"/>
      <c r="CG70" s="12"/>
      <c r="CH70" s="12"/>
      <c r="CI70" s="12"/>
      <c r="CJ70" s="12"/>
      <c r="CK70" s="12"/>
      <c r="CL70" s="12"/>
      <c r="CM70" s="12"/>
      <c r="CN70" s="12"/>
      <c r="CO70" s="12"/>
    </row>
    <row r="71">
      <c r="A71" s="123">
        <v>3.0</v>
      </c>
      <c r="B71" s="94" t="s">
        <v>25</v>
      </c>
      <c r="C71" s="94" t="s">
        <v>188</v>
      </c>
      <c r="D71" s="95" t="str">
        <f t="shared" si="1"/>
        <v>3-5-5A</v>
      </c>
      <c r="E71" s="72"/>
      <c r="F71" s="77"/>
      <c r="G71" s="75"/>
      <c r="H71" s="75"/>
      <c r="I71" s="76"/>
      <c r="J71" s="75"/>
      <c r="K71" s="32" t="str">
        <f t="shared" si="2"/>
        <v>DISPONIBLE</v>
      </c>
      <c r="L71" s="33">
        <f t="shared" si="3"/>
        <v>70</v>
      </c>
      <c r="M71" s="33" t="s">
        <v>23</v>
      </c>
      <c r="N71" s="53"/>
      <c r="O71" s="34"/>
      <c r="P71" s="12"/>
      <c r="Q71" s="12"/>
      <c r="R71" s="12"/>
      <c r="S71" s="12"/>
      <c r="T71" s="12"/>
      <c r="U71" s="12"/>
      <c r="V71" s="12"/>
      <c r="AB71" s="12"/>
      <c r="AC71" s="12" t="str">
        <f>IFERROR(__xludf.DUMMYFUNCTION("""COMPUTED_VALUE"""),"4-3-C")</f>
        <v>4-3-C</v>
      </c>
      <c r="AD71" s="12" t="str">
        <f>IFERROR(__xludf.DUMMYFUNCTION("""COMPUTED_VALUE"""),"FAME12L")</f>
        <v>FAME12L</v>
      </c>
      <c r="AE71" s="12" t="str">
        <f>IFERROR(__xludf.DUMMYFUNCTION("""COMPUTED_VALUE"""),"Freidora de Aire Max Edition 12L")</f>
        <v>Freidora de Aire Max Edition 12L</v>
      </c>
      <c r="AF71" s="30">
        <f>IFERROR(__xludf.DUMMYFUNCTION("""COMPUTED_VALUE"""),8.0)</f>
        <v>8</v>
      </c>
      <c r="AG71" s="12" t="str">
        <f>IFERROR(__xludf.DUMMYFUNCTION("""COMPUTED_VALUE"""),"Contenedor")</f>
        <v>Contenedor</v>
      </c>
      <c r="AH71" s="12">
        <f>IFERROR(__xludf.DUMMYFUNCTION("""COMPUTED_VALUE"""),4.0)</f>
        <v>4</v>
      </c>
      <c r="AI71" s="12" t="str">
        <f>IFERROR(__xludf.DUMMYFUNCTION("""COMPUTED_VALUE"""),"3")</f>
        <v>3</v>
      </c>
      <c r="AJ71" s="12" t="str">
        <f>IFERROR(__xludf.DUMMYFUNCTION("""COMPUTED_VALUE"""),"C")</f>
        <v>C</v>
      </c>
      <c r="AK71" s="12">
        <f>IFERROR(__xludf.DUMMYFUNCTION("""COMPUTED_VALUE"""),131.0)</f>
        <v>131</v>
      </c>
      <c r="AL71" s="12" t="str">
        <f>IFERROR(__xludf.DUMMYFUNCTION("""COMPUTED_VALUE"""),"KITCHEN-IT")</f>
        <v>KITCHEN-IT</v>
      </c>
      <c r="AM71" s="12"/>
      <c r="AN71" s="12"/>
      <c r="AO71" s="12"/>
      <c r="AP71" s="12"/>
      <c r="AQ71" s="12"/>
      <c r="BC71" s="12"/>
      <c r="BH71" s="12" t="str">
        <f>IFERROR(__xludf.DUMMYFUNCTION("IFERROR(INDEX(QUERY(IMPORTRANGE(""1T7HG8KEs-Ob7f3M5atEVN9Yn7IeORGp0QGvggB62ELw"",""Maestro!A:I""),""SELECT Col8 WHERE Col3 = '""&amp;BE71&amp;""'"", 0), 1, 1),""NO ENCONTRADO"")"),"D")</f>
        <v>D</v>
      </c>
      <c r="BI71" s="16">
        <v>1.0</v>
      </c>
      <c r="BJ71" s="16">
        <f t="shared" si="4"/>
        <v>600</v>
      </c>
      <c r="BK71" s="12"/>
      <c r="BR71" s="12"/>
      <c r="BY71" s="14"/>
      <c r="BZ71" s="14"/>
      <c r="CA71" s="14"/>
      <c r="CB71" s="14"/>
      <c r="CC71" s="14"/>
      <c r="CD71" s="14"/>
      <c r="CE71" s="14"/>
      <c r="CF71" s="12"/>
      <c r="CG71" s="12"/>
      <c r="CH71" s="12"/>
      <c r="CI71" s="12"/>
      <c r="CJ71" s="12"/>
      <c r="CK71" s="12"/>
      <c r="CL71" s="12"/>
      <c r="CM71" s="12"/>
      <c r="CN71" s="12"/>
      <c r="CO71" s="12"/>
    </row>
    <row r="72">
      <c r="A72" s="123">
        <v>3.0</v>
      </c>
      <c r="B72" s="94" t="s">
        <v>25</v>
      </c>
      <c r="C72" s="94" t="s">
        <v>192</v>
      </c>
      <c r="D72" s="95" t="str">
        <f t="shared" si="1"/>
        <v>3-5-5B</v>
      </c>
      <c r="E72" s="50"/>
      <c r="F72" s="51"/>
      <c r="G72" s="46"/>
      <c r="H72" s="47"/>
      <c r="I72" s="48"/>
      <c r="J72" s="52"/>
      <c r="K72" s="27" t="str">
        <f t="shared" si="2"/>
        <v>DISPONIBLE</v>
      </c>
      <c r="L72" s="28">
        <f t="shared" si="3"/>
        <v>71</v>
      </c>
      <c r="M72" s="28" t="s">
        <v>23</v>
      </c>
      <c r="N72" s="70"/>
      <c r="O72" s="29"/>
      <c r="P72" s="12"/>
      <c r="Q72" s="12"/>
      <c r="R72" s="12"/>
      <c r="S72" s="12"/>
      <c r="T72" s="12"/>
      <c r="U72" s="12"/>
      <c r="V72" s="12"/>
      <c r="AB72" s="12"/>
      <c r="AC72" s="12" t="str">
        <f>IFERROR(__xludf.DUMMYFUNCTION("""COMPUTED_VALUE"""),"4-3-D")</f>
        <v>4-3-D</v>
      </c>
      <c r="AD72" s="12" t="str">
        <f>IFERROR(__xludf.DUMMYFUNCTION("""COMPUTED_VALUE"""),"FAME12L")</f>
        <v>FAME12L</v>
      </c>
      <c r="AE72" s="12" t="str">
        <f>IFERROR(__xludf.DUMMYFUNCTION("""COMPUTED_VALUE"""),"Freidora de Aire Max Edition 12L")</f>
        <v>Freidora de Aire Max Edition 12L</v>
      </c>
      <c r="AF72" s="30">
        <f>IFERROR(__xludf.DUMMYFUNCTION("""COMPUTED_VALUE"""),3.0)</f>
        <v>3</v>
      </c>
      <c r="AG72" s="12" t="str">
        <f>IFERROR(__xludf.DUMMYFUNCTION("""COMPUTED_VALUE"""),"Contenedor")</f>
        <v>Contenedor</v>
      </c>
      <c r="AH72" s="12">
        <f>IFERROR(__xludf.DUMMYFUNCTION("""COMPUTED_VALUE"""),4.0)</f>
        <v>4</v>
      </c>
      <c r="AI72" s="12" t="str">
        <f>IFERROR(__xludf.DUMMYFUNCTION("""COMPUTED_VALUE"""),"3")</f>
        <v>3</v>
      </c>
      <c r="AJ72" s="12" t="str">
        <f>IFERROR(__xludf.DUMMYFUNCTION("""COMPUTED_VALUE"""),"D")</f>
        <v>D</v>
      </c>
      <c r="AK72" s="12">
        <f>IFERROR(__xludf.DUMMYFUNCTION("""COMPUTED_VALUE"""),132.0)</f>
        <v>132</v>
      </c>
      <c r="AL72" s="12" t="str">
        <f>IFERROR(__xludf.DUMMYFUNCTION("""COMPUTED_VALUE"""),"KITCHEN-IT")</f>
        <v>KITCHEN-IT</v>
      </c>
      <c r="AM72" s="12"/>
      <c r="AN72" s="12"/>
      <c r="AO72" s="12"/>
      <c r="AP72" s="12"/>
      <c r="AQ72" s="12"/>
      <c r="BC72" s="12"/>
      <c r="BH72" s="12" t="str">
        <f>IFERROR(__xludf.DUMMYFUNCTION("IFERROR(INDEX(QUERY(IMPORTRANGE(""1T7HG8KEs-Ob7f3M5atEVN9Yn7IeORGp0QGvggB62ELw"",""Maestro!A:I""),""SELECT Col8 WHERE Col3 = '""&amp;BE72&amp;""'"", 0), 1, 1),""NO ENCONTRADO"")"),"D")</f>
        <v>D</v>
      </c>
      <c r="BI72" s="16">
        <v>1.0</v>
      </c>
      <c r="BJ72" s="16">
        <f t="shared" si="4"/>
        <v>600</v>
      </c>
      <c r="BK72" s="12"/>
      <c r="BR72" s="12"/>
      <c r="BY72" s="14"/>
      <c r="BZ72" s="14"/>
      <c r="CA72" s="14"/>
      <c r="CB72" s="14"/>
      <c r="CC72" s="14"/>
      <c r="CD72" s="14"/>
      <c r="CE72" s="14"/>
      <c r="CF72" s="12"/>
      <c r="CG72" s="12"/>
      <c r="CH72" s="12"/>
      <c r="CI72" s="12"/>
      <c r="CJ72" s="12"/>
      <c r="CK72" s="12"/>
      <c r="CL72" s="12"/>
      <c r="CM72" s="12"/>
      <c r="CN72" s="12"/>
      <c r="CO72" s="12"/>
    </row>
    <row r="73">
      <c r="A73" s="92">
        <v>3.0</v>
      </c>
      <c r="B73" s="93" t="s">
        <v>36</v>
      </c>
      <c r="C73" s="94" t="s">
        <v>119</v>
      </c>
      <c r="D73" s="95" t="str">
        <f t="shared" si="1"/>
        <v>3-6-1A</v>
      </c>
      <c r="E73" s="96">
        <v>45733.0</v>
      </c>
      <c r="F73" s="97" t="s">
        <v>19</v>
      </c>
      <c r="G73" s="98" t="s">
        <v>67</v>
      </c>
      <c r="H73" s="99" t="s">
        <v>68</v>
      </c>
      <c r="I73" s="100">
        <v>775.0</v>
      </c>
      <c r="J73" s="101" t="s">
        <v>22</v>
      </c>
      <c r="K73" s="32" t="str">
        <f t="shared" si="2"/>
        <v>OCUPADO</v>
      </c>
      <c r="L73" s="33">
        <f t="shared" si="3"/>
        <v>72</v>
      </c>
      <c r="M73" s="33" t="s">
        <v>23</v>
      </c>
      <c r="N73" s="53"/>
      <c r="O73" s="34" t="s">
        <v>24</v>
      </c>
      <c r="P73" s="12"/>
      <c r="Q73" s="12"/>
      <c r="R73" s="12"/>
      <c r="S73" s="12"/>
      <c r="T73" s="12"/>
      <c r="U73" s="12"/>
      <c r="V73" s="12"/>
      <c r="AB73" s="12"/>
      <c r="AC73" s="12" t="str">
        <f>IFERROR(__xludf.DUMMYFUNCTION("""COMPUTED_VALUE"""),"4-6-A")</f>
        <v>4-6-A</v>
      </c>
      <c r="AD73" s="12" t="str">
        <f>IFERROR(__xludf.DUMMYFUNCTION("""COMPUTED_VALUE"""),"HSC17L")</f>
        <v>HSC17L</v>
      </c>
      <c r="AE73" s="12" t="str">
        <f>IFERROR(__xludf.DUMMYFUNCTION("""COMPUTED_VALUE"""),"Hervidor Smart Control 1,7L")</f>
        <v>Hervidor Smart Control 1,7L</v>
      </c>
      <c r="AF73" s="30">
        <f>IFERROR(__xludf.DUMMYFUNCTION("""COMPUTED_VALUE"""),300.0)</f>
        <v>300</v>
      </c>
      <c r="AG73" s="12" t="str">
        <f>IFERROR(__xludf.DUMMYFUNCTION("""COMPUTED_VALUE"""),"Contenedor")</f>
        <v>Contenedor</v>
      </c>
      <c r="AH73" s="12">
        <f>IFERROR(__xludf.DUMMYFUNCTION("""COMPUTED_VALUE"""),4.0)</f>
        <v>4</v>
      </c>
      <c r="AI73" s="12" t="str">
        <f>IFERROR(__xludf.DUMMYFUNCTION("""COMPUTED_VALUE"""),"6")</f>
        <v>6</v>
      </c>
      <c r="AJ73" s="12" t="str">
        <f>IFERROR(__xludf.DUMMYFUNCTION("""COMPUTED_VALUE"""),"A")</f>
        <v>A</v>
      </c>
      <c r="AK73" s="12">
        <f>IFERROR(__xludf.DUMMYFUNCTION("""COMPUTED_VALUE"""),141.0)</f>
        <v>141</v>
      </c>
      <c r="AL73" s="12" t="str">
        <f>IFERROR(__xludf.DUMMYFUNCTION("""COMPUTED_VALUE"""),"KITCHEN-IT")</f>
        <v>KITCHEN-IT</v>
      </c>
      <c r="AM73" s="12"/>
      <c r="AN73" s="12"/>
      <c r="AO73" s="12"/>
      <c r="AP73" s="12"/>
      <c r="AQ73" s="12"/>
      <c r="BC73" s="12"/>
      <c r="BH73" s="12" t="str">
        <f>IFERROR(__xludf.DUMMYFUNCTION("IFERROR(INDEX(QUERY(IMPORTRANGE(""1T7HG8KEs-Ob7f3M5atEVN9Yn7IeORGp0QGvggB62ELw"",""Maestro!A:I""),""SELECT Col8 WHERE Col3 = '""&amp;BE73&amp;""'"", 0), 1, 1),""NO ENCONTRADO"")"),"D")</f>
        <v>D</v>
      </c>
      <c r="BI73" s="16">
        <v>1.0</v>
      </c>
      <c r="BJ73" s="16">
        <f t="shared" si="4"/>
        <v>600</v>
      </c>
      <c r="BK73" s="12"/>
      <c r="BR73" s="12"/>
      <c r="BY73" s="14"/>
      <c r="BZ73" s="14"/>
      <c r="CA73" s="14"/>
      <c r="CB73" s="14"/>
      <c r="CC73" s="14"/>
      <c r="CD73" s="14"/>
      <c r="CE73" s="14"/>
      <c r="CF73" s="12"/>
      <c r="CG73" s="12"/>
      <c r="CH73" s="12"/>
      <c r="CI73" s="12"/>
      <c r="CJ73" s="12"/>
      <c r="CK73" s="12"/>
      <c r="CL73" s="12"/>
      <c r="CM73" s="12"/>
      <c r="CN73" s="12"/>
      <c r="CO73" s="12"/>
    </row>
    <row r="74">
      <c r="A74" s="92">
        <v>3.0</v>
      </c>
      <c r="B74" s="93" t="s">
        <v>36</v>
      </c>
      <c r="C74" s="94" t="s">
        <v>132</v>
      </c>
      <c r="D74" s="95" t="str">
        <f t="shared" si="1"/>
        <v>3-6-1B</v>
      </c>
      <c r="E74" s="50"/>
      <c r="F74" s="51"/>
      <c r="G74" s="74"/>
      <c r="H74" s="47"/>
      <c r="I74" s="48"/>
      <c r="J74" s="52"/>
      <c r="K74" s="27" t="str">
        <f t="shared" si="2"/>
        <v>DISPONIBLE</v>
      </c>
      <c r="L74" s="28">
        <f t="shared" si="3"/>
        <v>73</v>
      </c>
      <c r="M74" s="28" t="s">
        <v>23</v>
      </c>
      <c r="N74" s="70"/>
      <c r="O74" s="29"/>
      <c r="P74" s="12"/>
      <c r="Q74" s="12"/>
      <c r="R74" s="12"/>
      <c r="S74" s="12"/>
      <c r="T74" s="12"/>
      <c r="U74" s="12"/>
      <c r="V74" s="12"/>
      <c r="AB74" s="12"/>
      <c r="AC74" s="12" t="str">
        <f>IFERROR(__xludf.DUMMYFUNCTION("""COMPUTED_VALUE"""),"4-6-B")</f>
        <v>4-6-B</v>
      </c>
      <c r="AD74" s="12" t="str">
        <f>IFERROR(__xludf.DUMMYFUNCTION("""COMPUTED_VALUE"""),"HSC17L")</f>
        <v>HSC17L</v>
      </c>
      <c r="AE74" s="12" t="str">
        <f>IFERROR(__xludf.DUMMYFUNCTION("""COMPUTED_VALUE"""),"Hervidor Smart Control 1,7L")</f>
        <v>Hervidor Smart Control 1,7L</v>
      </c>
      <c r="AF74" s="30">
        <f>IFERROR(__xludf.DUMMYFUNCTION("""COMPUTED_VALUE"""),163.0)</f>
        <v>163</v>
      </c>
      <c r="AG74" s="12" t="str">
        <f>IFERROR(__xludf.DUMMYFUNCTION("""COMPUTED_VALUE"""),"Contenedor")</f>
        <v>Contenedor</v>
      </c>
      <c r="AH74" s="12">
        <f>IFERROR(__xludf.DUMMYFUNCTION("""COMPUTED_VALUE"""),4.0)</f>
        <v>4</v>
      </c>
      <c r="AI74" s="12" t="str">
        <f>IFERROR(__xludf.DUMMYFUNCTION("""COMPUTED_VALUE"""),"6")</f>
        <v>6</v>
      </c>
      <c r="AJ74" s="12" t="str">
        <f>IFERROR(__xludf.DUMMYFUNCTION("""COMPUTED_VALUE"""),"B")</f>
        <v>B</v>
      </c>
      <c r="AK74" s="12">
        <f>IFERROR(__xludf.DUMMYFUNCTION("""COMPUTED_VALUE"""),142.0)</f>
        <v>142</v>
      </c>
      <c r="AL74" s="12" t="str">
        <f>IFERROR(__xludf.DUMMYFUNCTION("""COMPUTED_VALUE"""),"KITCHEN-IT")</f>
        <v>KITCHEN-IT</v>
      </c>
      <c r="AM74" s="12"/>
      <c r="AN74" s="12"/>
      <c r="AO74" s="12"/>
      <c r="AP74" s="12"/>
      <c r="AQ74" s="12"/>
      <c r="BC74" s="12"/>
      <c r="BH74" s="12" t="str">
        <f>IFERROR(__xludf.DUMMYFUNCTION("IFERROR(INDEX(QUERY(IMPORTRANGE(""1T7HG8KEs-Ob7f3M5atEVN9Yn7IeORGp0QGvggB62ELw"",""Maestro!A:I""),""SELECT Col8 WHERE Col3 = '""&amp;BE74&amp;""'"", 0), 1, 1),""NO ENCONTRADO"")"),"D")</f>
        <v>D</v>
      </c>
      <c r="BI74" s="16">
        <v>1.0</v>
      </c>
      <c r="BJ74" s="16">
        <f t="shared" si="4"/>
        <v>795</v>
      </c>
      <c r="BK74" s="12"/>
      <c r="BR74" s="12"/>
      <c r="BY74" s="14"/>
      <c r="BZ74" s="14"/>
      <c r="CA74" s="14"/>
      <c r="CB74" s="14"/>
      <c r="CC74" s="14"/>
      <c r="CD74" s="14"/>
      <c r="CE74" s="14"/>
      <c r="CF74" s="12"/>
      <c r="CG74" s="12"/>
      <c r="CH74" s="12"/>
      <c r="CI74" s="12"/>
      <c r="CJ74" s="12"/>
      <c r="CK74" s="12"/>
      <c r="CL74" s="12"/>
      <c r="CM74" s="12"/>
      <c r="CN74" s="12"/>
      <c r="CO74" s="12"/>
    </row>
    <row r="75">
      <c r="A75" s="92">
        <v>3.0</v>
      </c>
      <c r="B75" s="93" t="s">
        <v>36</v>
      </c>
      <c r="C75" s="94" t="s">
        <v>124</v>
      </c>
      <c r="D75" s="95" t="str">
        <f t="shared" si="1"/>
        <v>3-6-2A</v>
      </c>
      <c r="E75" s="96">
        <v>45733.0</v>
      </c>
      <c r="F75" s="97" t="s">
        <v>19</v>
      </c>
      <c r="G75" s="98" t="s">
        <v>83</v>
      </c>
      <c r="H75" s="99" t="s">
        <v>84</v>
      </c>
      <c r="I75" s="100">
        <v>300.0</v>
      </c>
      <c r="J75" s="101" t="s">
        <v>22</v>
      </c>
      <c r="K75" s="32" t="str">
        <f t="shared" si="2"/>
        <v>OCUPADO</v>
      </c>
      <c r="L75" s="33">
        <f t="shared" si="3"/>
        <v>74</v>
      </c>
      <c r="M75" s="33" t="s">
        <v>23</v>
      </c>
      <c r="N75" s="53"/>
      <c r="O75" s="34" t="s">
        <v>24</v>
      </c>
      <c r="P75" s="12"/>
      <c r="Q75" s="12"/>
      <c r="R75" s="12"/>
      <c r="S75" s="12"/>
      <c r="T75" s="12"/>
      <c r="U75" s="12"/>
      <c r="V75" s="12"/>
      <c r="AB75" s="12"/>
      <c r="AC75" s="12" t="str">
        <f>IFERROR(__xludf.DUMMYFUNCTION("""COMPUTED_VALUE"""),"4-7-A")</f>
        <v>4-7-A</v>
      </c>
      <c r="AD75" s="12" t="str">
        <f>IFERROR(__xludf.DUMMYFUNCTION("""COMPUTED_VALUE"""),"FAPE5L")</f>
        <v>FAPE5L</v>
      </c>
      <c r="AE75" s="12" t="str">
        <f>IFERROR(__xludf.DUMMYFUNCTION("""COMPUTED_VALUE"""),"Freidora de Aire Plus Edition 5L")</f>
        <v>Freidora de Aire Plus Edition 5L</v>
      </c>
      <c r="AF75" s="30">
        <f>IFERROR(__xludf.DUMMYFUNCTION("""COMPUTED_VALUE"""),72.0)</f>
        <v>72</v>
      </c>
      <c r="AG75" s="12" t="str">
        <f>IFERROR(__xludf.DUMMYFUNCTION("""COMPUTED_VALUE"""),"Contenedor")</f>
        <v>Contenedor</v>
      </c>
      <c r="AH75" s="12">
        <f>IFERROR(__xludf.DUMMYFUNCTION("""COMPUTED_VALUE"""),4.0)</f>
        <v>4</v>
      </c>
      <c r="AI75" s="12" t="str">
        <f>IFERROR(__xludf.DUMMYFUNCTION("""COMPUTED_VALUE"""),"7")</f>
        <v>7</v>
      </c>
      <c r="AJ75" s="12" t="str">
        <f>IFERROR(__xludf.DUMMYFUNCTION("""COMPUTED_VALUE"""),"A")</f>
        <v>A</v>
      </c>
      <c r="AK75" s="12">
        <f>IFERROR(__xludf.DUMMYFUNCTION("""COMPUTED_VALUE"""),145.0)</f>
        <v>145</v>
      </c>
      <c r="AL75" s="12" t="str">
        <f>IFERROR(__xludf.DUMMYFUNCTION("""COMPUTED_VALUE"""),"KITCHEN-IT")</f>
        <v>KITCHEN-IT</v>
      </c>
      <c r="AM75" s="12"/>
      <c r="AN75" s="12"/>
      <c r="AO75" s="12"/>
      <c r="AP75" s="12"/>
      <c r="AQ75" s="12"/>
      <c r="BC75" s="12"/>
      <c r="BH75" s="12" t="str">
        <f>IFERROR(__xludf.DUMMYFUNCTION("IFERROR(INDEX(QUERY(IMPORTRANGE(""1T7HG8KEs-Ob7f3M5atEVN9Yn7IeORGp0QGvggB62ELw"",""Maestro!A:I""),""SELECT Col8 WHERE Col3 = '""&amp;BE75&amp;""'"", 0), 1, 1),""NO ENCONTRADO"")"),"D")</f>
        <v>D</v>
      </c>
      <c r="BI75" s="16">
        <v>1.0</v>
      </c>
      <c r="BJ75" s="16">
        <f t="shared" si="4"/>
        <v>225</v>
      </c>
      <c r="BK75" s="12"/>
      <c r="BR75" s="12"/>
      <c r="BY75" s="14"/>
      <c r="BZ75" s="14"/>
      <c r="CA75" s="14"/>
      <c r="CB75" s="14"/>
      <c r="CC75" s="14"/>
      <c r="CD75" s="14"/>
      <c r="CE75" s="14"/>
      <c r="CF75" s="12"/>
      <c r="CG75" s="12"/>
      <c r="CH75" s="12"/>
      <c r="CI75" s="12"/>
      <c r="CJ75" s="12"/>
      <c r="CK75" s="12"/>
      <c r="CL75" s="12"/>
      <c r="CM75" s="12"/>
      <c r="CN75" s="12"/>
      <c r="CO75" s="12"/>
    </row>
    <row r="76">
      <c r="A76" s="92">
        <v>3.0</v>
      </c>
      <c r="B76" s="93" t="s">
        <v>36</v>
      </c>
      <c r="C76" s="94" t="s">
        <v>140</v>
      </c>
      <c r="D76" s="95" t="str">
        <f t="shared" si="1"/>
        <v>3-6-2B</v>
      </c>
      <c r="E76" s="96">
        <v>45733.0</v>
      </c>
      <c r="F76" s="97" t="s">
        <v>19</v>
      </c>
      <c r="G76" s="98" t="s">
        <v>83</v>
      </c>
      <c r="H76" s="99" t="s">
        <v>84</v>
      </c>
      <c r="I76" s="100">
        <v>400.0</v>
      </c>
      <c r="J76" s="101" t="s">
        <v>22</v>
      </c>
      <c r="K76" s="27" t="str">
        <f t="shared" si="2"/>
        <v>OCUPADO</v>
      </c>
      <c r="L76" s="28">
        <f t="shared" si="3"/>
        <v>75</v>
      </c>
      <c r="M76" s="28" t="s">
        <v>23</v>
      </c>
      <c r="N76" s="70"/>
      <c r="O76" s="29" t="s">
        <v>24</v>
      </c>
      <c r="P76" s="12"/>
      <c r="Q76" s="12"/>
      <c r="R76" s="12"/>
      <c r="S76" s="12"/>
      <c r="T76" s="12"/>
      <c r="U76" s="12"/>
      <c r="V76" s="12"/>
      <c r="AB76" s="12"/>
      <c r="AC76" s="12" t="str">
        <f>IFERROR(__xludf.DUMMYFUNCTION("""COMPUTED_VALUE"""),"4-7-B")</f>
        <v>4-7-B</v>
      </c>
      <c r="AD76" s="12" t="str">
        <f>IFERROR(__xludf.DUMMYFUNCTION("""COMPUTED_VALUE"""),"FAPE5L")</f>
        <v>FAPE5L</v>
      </c>
      <c r="AE76" s="12" t="str">
        <f>IFERROR(__xludf.DUMMYFUNCTION("""COMPUTED_VALUE"""),"Freidora de Aire Plus Edition 5L")</f>
        <v>Freidora de Aire Plus Edition 5L</v>
      </c>
      <c r="AF76" s="30">
        <f>IFERROR(__xludf.DUMMYFUNCTION("""COMPUTED_VALUE"""),72.0)</f>
        <v>72</v>
      </c>
      <c r="AG76" s="12" t="str">
        <f>IFERROR(__xludf.DUMMYFUNCTION("""COMPUTED_VALUE"""),"Contenedor")</f>
        <v>Contenedor</v>
      </c>
      <c r="AH76" s="12">
        <f>IFERROR(__xludf.DUMMYFUNCTION("""COMPUTED_VALUE"""),4.0)</f>
        <v>4</v>
      </c>
      <c r="AI76" s="12" t="str">
        <f>IFERROR(__xludf.DUMMYFUNCTION("""COMPUTED_VALUE"""),"7")</f>
        <v>7</v>
      </c>
      <c r="AJ76" s="12" t="str">
        <f>IFERROR(__xludf.DUMMYFUNCTION("""COMPUTED_VALUE"""),"B")</f>
        <v>B</v>
      </c>
      <c r="AK76" s="12">
        <f>IFERROR(__xludf.DUMMYFUNCTION("""COMPUTED_VALUE"""),146.0)</f>
        <v>146</v>
      </c>
      <c r="AL76" s="12" t="str">
        <f>IFERROR(__xludf.DUMMYFUNCTION("""COMPUTED_VALUE"""),"KITCHEN-IT")</f>
        <v>KITCHEN-IT</v>
      </c>
      <c r="AM76" s="12"/>
      <c r="AN76" s="12"/>
      <c r="AO76" s="12"/>
      <c r="AP76" s="12"/>
      <c r="AQ76" s="12"/>
      <c r="BC76" s="12"/>
      <c r="BH76" s="12" t="str">
        <f>IFERROR(__xludf.DUMMYFUNCTION("IFERROR(INDEX(QUERY(IMPORTRANGE(""1T7HG8KEs-Ob7f3M5atEVN9Yn7IeORGp0QGvggB62ELw"",""Maestro!A:I""),""SELECT Col8 WHERE Col3 = '""&amp;BE76&amp;""'"", 0), 1, 1),""NO ENCONTRADO"")"),"D")</f>
        <v>D</v>
      </c>
      <c r="BI76" s="16">
        <v>1.0</v>
      </c>
      <c r="BJ76" s="16">
        <f t="shared" si="4"/>
        <v>718</v>
      </c>
      <c r="BK76" s="12"/>
      <c r="BR76" s="12"/>
      <c r="BY76" s="14"/>
      <c r="BZ76" s="14"/>
      <c r="CA76" s="14"/>
      <c r="CB76" s="14"/>
      <c r="CC76" s="14"/>
      <c r="CD76" s="14"/>
      <c r="CE76" s="14"/>
      <c r="CF76" s="12"/>
      <c r="CG76" s="12"/>
      <c r="CH76" s="12"/>
      <c r="CI76" s="12"/>
      <c r="CJ76" s="12"/>
      <c r="CK76" s="12"/>
      <c r="CL76" s="12"/>
      <c r="CM76" s="12"/>
      <c r="CN76" s="12"/>
      <c r="CO76" s="12"/>
    </row>
    <row r="77">
      <c r="A77" s="92">
        <v>3.0</v>
      </c>
      <c r="B77" s="93" t="s">
        <v>36</v>
      </c>
      <c r="C77" s="94" t="s">
        <v>130</v>
      </c>
      <c r="D77" s="95" t="str">
        <f t="shared" si="1"/>
        <v>3-6-3A</v>
      </c>
      <c r="E77" s="96">
        <v>45733.0</v>
      </c>
      <c r="F77" s="97" t="s">
        <v>19</v>
      </c>
      <c r="G77" s="98" t="s">
        <v>93</v>
      </c>
      <c r="H77" s="99" t="s">
        <v>760</v>
      </c>
      <c r="I77" s="100">
        <v>250.0</v>
      </c>
      <c r="J77" s="101" t="s">
        <v>22</v>
      </c>
      <c r="K77" s="32" t="str">
        <f t="shared" si="2"/>
        <v>OCUPADO</v>
      </c>
      <c r="L77" s="33">
        <f t="shared" si="3"/>
        <v>76</v>
      </c>
      <c r="M77" s="33" t="s">
        <v>23</v>
      </c>
      <c r="N77" s="53"/>
      <c r="O77" s="34" t="s">
        <v>24</v>
      </c>
      <c r="P77" s="12"/>
      <c r="Q77" s="12"/>
      <c r="R77" s="12"/>
      <c r="S77" s="12"/>
      <c r="T77" s="12"/>
      <c r="U77" s="12"/>
      <c r="V77" s="12"/>
      <c r="AB77" s="12"/>
      <c r="AC77" s="12" t="str">
        <f>IFERROR(__xludf.DUMMYFUNCTION("""COMPUTED_VALUE"""),"4-7-C")</f>
        <v>4-7-C</v>
      </c>
      <c r="AD77" s="12" t="str">
        <f>IFERROR(__xludf.DUMMYFUNCTION("""COMPUTED_VALUE"""),"FAPE5L")</f>
        <v>FAPE5L</v>
      </c>
      <c r="AE77" s="12" t="str">
        <f>IFERROR(__xludf.DUMMYFUNCTION("""COMPUTED_VALUE"""),"Freidora de Aire Plus Edition 5L")</f>
        <v>Freidora de Aire Plus Edition 5L</v>
      </c>
      <c r="AF77" s="30">
        <f>IFERROR(__xludf.DUMMYFUNCTION("""COMPUTED_VALUE"""),72.0)</f>
        <v>72</v>
      </c>
      <c r="AG77" s="12" t="str">
        <f>IFERROR(__xludf.DUMMYFUNCTION("""COMPUTED_VALUE"""),"Contenedor")</f>
        <v>Contenedor</v>
      </c>
      <c r="AH77" s="12">
        <f>IFERROR(__xludf.DUMMYFUNCTION("""COMPUTED_VALUE"""),4.0)</f>
        <v>4</v>
      </c>
      <c r="AI77" s="12" t="str">
        <f>IFERROR(__xludf.DUMMYFUNCTION("""COMPUTED_VALUE"""),"7")</f>
        <v>7</v>
      </c>
      <c r="AJ77" s="12" t="str">
        <f>IFERROR(__xludf.DUMMYFUNCTION("""COMPUTED_VALUE"""),"C")</f>
        <v>C</v>
      </c>
      <c r="AK77" s="12">
        <f>IFERROR(__xludf.DUMMYFUNCTION("""COMPUTED_VALUE"""),147.0)</f>
        <v>147</v>
      </c>
      <c r="AL77" s="12" t="str">
        <f>IFERROR(__xludf.DUMMYFUNCTION("""COMPUTED_VALUE"""),"KITCHEN-IT")</f>
        <v>KITCHEN-IT</v>
      </c>
      <c r="AM77" s="12"/>
      <c r="AN77" s="12"/>
      <c r="AO77" s="12"/>
      <c r="AP77" s="12"/>
      <c r="AQ77" s="12"/>
      <c r="BC77" s="12"/>
      <c r="BH77" s="12" t="str">
        <f>IFERROR(__xludf.DUMMYFUNCTION("IFERROR(INDEX(QUERY(IMPORTRANGE(""1T7HG8KEs-Ob7f3M5atEVN9Yn7IeORGp0QGvggB62ELw"",""Maestro!A:I""),""SELECT Col8 WHERE Col3 = '""&amp;BE77&amp;""'"", 0), 1, 1),""NO ENCONTRADO"")"),"D")</f>
        <v>D</v>
      </c>
      <c r="BI77" s="16">
        <v>1.0</v>
      </c>
      <c r="BJ77" s="16">
        <f t="shared" si="4"/>
        <v>716</v>
      </c>
      <c r="BK77" s="12"/>
      <c r="BR77" s="12"/>
      <c r="BY77" s="14"/>
      <c r="BZ77" s="14"/>
      <c r="CA77" s="14"/>
      <c r="CB77" s="14"/>
      <c r="CC77" s="14"/>
      <c r="CD77" s="14"/>
      <c r="CE77" s="14"/>
      <c r="CF77" s="12"/>
      <c r="CG77" s="12"/>
      <c r="CH77" s="12"/>
      <c r="CI77" s="12"/>
      <c r="CJ77" s="12"/>
      <c r="CK77" s="12"/>
      <c r="CL77" s="12"/>
      <c r="CM77" s="12"/>
      <c r="CN77" s="12"/>
      <c r="CO77" s="12"/>
    </row>
    <row r="78">
      <c r="A78" s="92">
        <v>3.0</v>
      </c>
      <c r="B78" s="93" t="s">
        <v>36</v>
      </c>
      <c r="C78" s="94" t="s">
        <v>148</v>
      </c>
      <c r="D78" s="95" t="str">
        <f t="shared" si="1"/>
        <v>3-6-3B</v>
      </c>
      <c r="E78" s="50"/>
      <c r="F78" s="51"/>
      <c r="G78" s="46"/>
      <c r="H78" s="47"/>
      <c r="I78" s="48"/>
      <c r="J78" s="52"/>
      <c r="K78" s="27" t="str">
        <f t="shared" si="2"/>
        <v>DISPONIBLE</v>
      </c>
      <c r="L78" s="28">
        <f t="shared" si="3"/>
        <v>77</v>
      </c>
      <c r="M78" s="28" t="s">
        <v>23</v>
      </c>
      <c r="N78" s="70"/>
      <c r="O78" s="140"/>
      <c r="P78" s="12"/>
      <c r="Q78" s="12"/>
      <c r="R78" s="12"/>
      <c r="S78" s="12"/>
      <c r="T78" s="12"/>
      <c r="U78" s="12"/>
      <c r="V78" s="12"/>
      <c r="AB78" s="12"/>
      <c r="AC78" s="12" t="str">
        <f>IFERROR(__xludf.DUMMYFUNCTION("""COMPUTED_VALUE"""),"4-7-D")</f>
        <v>4-7-D</v>
      </c>
      <c r="AD78" s="12" t="str">
        <f>IFERROR(__xludf.DUMMYFUNCTION("""COMPUTED_VALUE"""),"FAPE5L")</f>
        <v>FAPE5L</v>
      </c>
      <c r="AE78" s="12" t="str">
        <f>IFERROR(__xludf.DUMMYFUNCTION("""COMPUTED_VALUE"""),"Freidora de Aire Plus Edition 5L")</f>
        <v>Freidora de Aire Plus Edition 5L</v>
      </c>
      <c r="AF78" s="30">
        <f>IFERROR(__xludf.DUMMYFUNCTION("""COMPUTED_VALUE"""),72.0)</f>
        <v>72</v>
      </c>
      <c r="AG78" s="12" t="str">
        <f>IFERROR(__xludf.DUMMYFUNCTION("""COMPUTED_VALUE"""),"Contenedor")</f>
        <v>Contenedor</v>
      </c>
      <c r="AH78" s="12">
        <f>IFERROR(__xludf.DUMMYFUNCTION("""COMPUTED_VALUE"""),4.0)</f>
        <v>4</v>
      </c>
      <c r="AI78" s="12" t="str">
        <f>IFERROR(__xludf.DUMMYFUNCTION("""COMPUTED_VALUE"""),"7")</f>
        <v>7</v>
      </c>
      <c r="AJ78" s="12" t="str">
        <f>IFERROR(__xludf.DUMMYFUNCTION("""COMPUTED_VALUE"""),"D")</f>
        <v>D</v>
      </c>
      <c r="AK78" s="12">
        <f>IFERROR(__xludf.DUMMYFUNCTION("""COMPUTED_VALUE"""),148.0)</f>
        <v>148</v>
      </c>
      <c r="AL78" s="12" t="str">
        <f>IFERROR(__xludf.DUMMYFUNCTION("""COMPUTED_VALUE"""),"KITCHEN-IT")</f>
        <v>KITCHEN-IT</v>
      </c>
      <c r="AM78" s="12"/>
      <c r="AN78" s="12"/>
      <c r="AO78" s="12"/>
      <c r="AP78" s="12"/>
      <c r="AQ78" s="12"/>
      <c r="BC78" s="12"/>
      <c r="BH78" s="12" t="str">
        <f>IFERROR(__xludf.DUMMYFUNCTION("IFERROR(INDEX(QUERY(IMPORTRANGE(""1T7HG8KEs-Ob7f3M5atEVN9Yn7IeORGp0QGvggB62ELw"",""Maestro!A:I""),""SELECT Col8 WHERE Col3 = '""&amp;BE78&amp;""'"", 0), 1, 1),""NO ENCONTRADO"")"),"D")</f>
        <v>D</v>
      </c>
      <c r="BI78" s="16">
        <v>1.0</v>
      </c>
      <c r="BJ78" s="16">
        <f t="shared" si="4"/>
        <v>716</v>
      </c>
      <c r="BK78" s="12"/>
      <c r="BR78" s="12"/>
      <c r="BY78" s="14"/>
      <c r="BZ78" s="14"/>
      <c r="CA78" s="14"/>
      <c r="CB78" s="14"/>
      <c r="CC78" s="14"/>
      <c r="CD78" s="14"/>
      <c r="CE78" s="14"/>
      <c r="CF78" s="12"/>
      <c r="CG78" s="12"/>
      <c r="CH78" s="12"/>
      <c r="CI78" s="12"/>
      <c r="CJ78" s="12"/>
      <c r="CK78" s="12"/>
      <c r="CL78" s="12"/>
      <c r="CM78" s="12"/>
      <c r="CN78" s="12"/>
      <c r="CO78" s="12"/>
    </row>
    <row r="79">
      <c r="A79" s="92">
        <v>3.0</v>
      </c>
      <c r="B79" s="93" t="s">
        <v>36</v>
      </c>
      <c r="C79" s="94" t="s">
        <v>145</v>
      </c>
      <c r="D79" s="95" t="str">
        <f t="shared" si="1"/>
        <v>3-6-4A</v>
      </c>
      <c r="E79" s="96">
        <v>45733.0</v>
      </c>
      <c r="F79" s="97" t="s">
        <v>19</v>
      </c>
      <c r="G79" s="98" t="s">
        <v>156</v>
      </c>
      <c r="H79" s="99" t="s">
        <v>157</v>
      </c>
      <c r="I79" s="100">
        <v>30.0</v>
      </c>
      <c r="J79" s="101" t="s">
        <v>22</v>
      </c>
      <c r="K79" s="32" t="str">
        <f t="shared" si="2"/>
        <v>OCUPADO</v>
      </c>
      <c r="L79" s="33">
        <f t="shared" si="3"/>
        <v>78</v>
      </c>
      <c r="M79" s="33" t="s">
        <v>23</v>
      </c>
      <c r="N79" s="53"/>
      <c r="O79" s="34" t="s">
        <v>24</v>
      </c>
      <c r="P79" s="12"/>
      <c r="Q79" s="12"/>
      <c r="R79" s="12"/>
      <c r="S79" s="12"/>
      <c r="T79" s="12"/>
      <c r="U79" s="12"/>
      <c r="V79" s="12"/>
      <c r="AB79" s="12"/>
      <c r="AC79" s="12" t="str">
        <f>IFERROR(__xludf.DUMMYFUNCTION("""COMPUTED_VALUE"""),"4-8-A")</f>
        <v>4-8-A</v>
      </c>
      <c r="AD79" s="12" t="str">
        <f>IFERROR(__xludf.DUMMYFUNCTION("""COMPUTED_VALUE"""),"FAPE5L")</f>
        <v>FAPE5L</v>
      </c>
      <c r="AE79" s="12" t="str">
        <f>IFERROR(__xludf.DUMMYFUNCTION("""COMPUTED_VALUE"""),"Freidora de Aire Plus Edition 5L")</f>
        <v>Freidora de Aire Plus Edition 5L</v>
      </c>
      <c r="AF79" s="30">
        <f>IFERROR(__xludf.DUMMYFUNCTION("""COMPUTED_VALUE"""),72.0)</f>
        <v>72</v>
      </c>
      <c r="AG79" s="12" t="str">
        <f>IFERROR(__xludf.DUMMYFUNCTION("""COMPUTED_VALUE"""),"Contenedor")</f>
        <v>Contenedor</v>
      </c>
      <c r="AH79" s="12">
        <f>IFERROR(__xludf.DUMMYFUNCTION("""COMPUTED_VALUE"""),4.0)</f>
        <v>4</v>
      </c>
      <c r="AI79" s="12" t="str">
        <f>IFERROR(__xludf.DUMMYFUNCTION("""COMPUTED_VALUE"""),"8")</f>
        <v>8</v>
      </c>
      <c r="AJ79" s="12" t="str">
        <f>IFERROR(__xludf.DUMMYFUNCTION("""COMPUTED_VALUE"""),"A")</f>
        <v>A</v>
      </c>
      <c r="AK79" s="12">
        <f>IFERROR(__xludf.DUMMYFUNCTION("""COMPUTED_VALUE"""),149.0)</f>
        <v>149</v>
      </c>
      <c r="AL79" s="12" t="str">
        <f>IFERROR(__xludf.DUMMYFUNCTION("""COMPUTED_VALUE"""),"KITCHEN-IT")</f>
        <v>KITCHEN-IT</v>
      </c>
      <c r="AM79" s="12"/>
      <c r="AN79" s="12"/>
      <c r="AO79" s="12"/>
      <c r="AP79" s="12"/>
      <c r="AQ79" s="12"/>
      <c r="BC79" s="12"/>
      <c r="BH79" s="12" t="str">
        <f>IFERROR(__xludf.DUMMYFUNCTION("IFERROR(INDEX(QUERY(IMPORTRANGE(""1T7HG8KEs-Ob7f3M5atEVN9Yn7IeORGp0QGvggB62ELw"",""Maestro!A:I""),""SELECT Col8 WHERE Col3 = '""&amp;BE79&amp;""'"", 0), 1, 1),""NO ENCONTRADO"")"),"D")</f>
        <v>D</v>
      </c>
      <c r="BI79" s="16">
        <v>1.0</v>
      </c>
      <c r="BJ79" s="16">
        <f t="shared" si="4"/>
        <v>225</v>
      </c>
      <c r="BK79" s="12"/>
      <c r="BR79" s="12"/>
      <c r="BY79" s="14"/>
      <c r="BZ79" s="14"/>
      <c r="CA79" s="14"/>
      <c r="CB79" s="14"/>
      <c r="CC79" s="14"/>
      <c r="CD79" s="14"/>
      <c r="CE79" s="14"/>
      <c r="CF79" s="12"/>
      <c r="CG79" s="12"/>
      <c r="CH79" s="12"/>
      <c r="CI79" s="12"/>
      <c r="CJ79" s="12"/>
      <c r="CK79" s="12"/>
      <c r="CL79" s="12"/>
      <c r="CM79" s="12"/>
      <c r="CN79" s="12"/>
      <c r="CO79" s="12"/>
    </row>
    <row r="80">
      <c r="A80" s="92">
        <v>3.0</v>
      </c>
      <c r="B80" s="93" t="s">
        <v>36</v>
      </c>
      <c r="C80" s="94" t="s">
        <v>181</v>
      </c>
      <c r="D80" s="95" t="str">
        <f t="shared" si="1"/>
        <v>3-6-4B</v>
      </c>
      <c r="E80" s="50"/>
      <c r="F80" s="51"/>
      <c r="G80" s="46"/>
      <c r="H80" s="47"/>
      <c r="I80" s="48"/>
      <c r="J80" s="52"/>
      <c r="K80" s="27" t="str">
        <f t="shared" si="2"/>
        <v>DISPONIBLE</v>
      </c>
      <c r="L80" s="28">
        <f t="shared" si="3"/>
        <v>79</v>
      </c>
      <c r="M80" s="28" t="s">
        <v>23</v>
      </c>
      <c r="N80" s="70"/>
      <c r="O80" s="140"/>
      <c r="P80" s="12"/>
      <c r="Q80" s="12"/>
      <c r="R80" s="12"/>
      <c r="S80" s="12"/>
      <c r="T80" s="12"/>
      <c r="U80" s="12"/>
      <c r="V80" s="12"/>
      <c r="AB80" s="12"/>
      <c r="AC80" s="12" t="str">
        <f>IFERROR(__xludf.DUMMYFUNCTION("""COMPUTED_VALUE"""),"4-8-B")</f>
        <v>4-8-B</v>
      </c>
      <c r="AD80" s="12" t="str">
        <f>IFERROR(__xludf.DUMMYFUNCTION("""COMPUTED_VALUE"""),"FAPE5L")</f>
        <v>FAPE5L</v>
      </c>
      <c r="AE80" s="12" t="str">
        <f>IFERROR(__xludf.DUMMYFUNCTION("""COMPUTED_VALUE"""),"Freidora de Aire Plus Edition 5L")</f>
        <v>Freidora de Aire Plus Edition 5L</v>
      </c>
      <c r="AF80" s="30">
        <f>IFERROR(__xludf.DUMMYFUNCTION("""COMPUTED_VALUE"""),72.0)</f>
        <v>72</v>
      </c>
      <c r="AG80" s="12" t="str">
        <f>IFERROR(__xludf.DUMMYFUNCTION("""COMPUTED_VALUE"""),"Contenedor")</f>
        <v>Contenedor</v>
      </c>
      <c r="AH80" s="12">
        <f>IFERROR(__xludf.DUMMYFUNCTION("""COMPUTED_VALUE"""),4.0)</f>
        <v>4</v>
      </c>
      <c r="AI80" s="12" t="str">
        <f>IFERROR(__xludf.DUMMYFUNCTION("""COMPUTED_VALUE"""),"8")</f>
        <v>8</v>
      </c>
      <c r="AJ80" s="12" t="str">
        <f>IFERROR(__xludf.DUMMYFUNCTION("""COMPUTED_VALUE"""),"B")</f>
        <v>B</v>
      </c>
      <c r="AK80" s="12">
        <f>IFERROR(__xludf.DUMMYFUNCTION("""COMPUTED_VALUE"""),150.0)</f>
        <v>150</v>
      </c>
      <c r="AL80" s="12" t="str">
        <f>IFERROR(__xludf.DUMMYFUNCTION("""COMPUTED_VALUE"""),"KITCHEN-IT")</f>
        <v>KITCHEN-IT</v>
      </c>
      <c r="AM80" s="12"/>
      <c r="AN80" s="12"/>
      <c r="AO80" s="12"/>
      <c r="AP80" s="12"/>
      <c r="AQ80" s="12"/>
      <c r="BC80" s="12"/>
      <c r="BH80" s="12" t="str">
        <f>IFERROR(__xludf.DUMMYFUNCTION("IFERROR(INDEX(QUERY(IMPORTRANGE(""1T7HG8KEs-Ob7f3M5atEVN9Yn7IeORGp0QGvggB62ELw"",""Maestro!A:I""),""SELECT Col8 WHERE Col3 = '""&amp;BE80&amp;""'"", 0), 1, 1),""NO ENCONTRADO"")"),"D")</f>
        <v>D</v>
      </c>
      <c r="BI80" s="16">
        <v>1.0</v>
      </c>
      <c r="BJ80" s="16">
        <f t="shared" si="4"/>
        <v>225</v>
      </c>
      <c r="BK80" s="12"/>
      <c r="BR80" s="12"/>
      <c r="BY80" s="14"/>
      <c r="BZ80" s="14"/>
      <c r="CA80" s="14"/>
      <c r="CB80" s="14"/>
      <c r="CC80" s="14"/>
      <c r="CD80" s="14"/>
      <c r="CE80" s="14"/>
      <c r="CF80" s="12"/>
      <c r="CG80" s="12"/>
      <c r="CH80" s="12"/>
      <c r="CI80" s="12"/>
      <c r="CJ80" s="12"/>
      <c r="CK80" s="12"/>
      <c r="CL80" s="12"/>
      <c r="CM80" s="12"/>
      <c r="CN80" s="12"/>
      <c r="CO80" s="12"/>
    </row>
    <row r="81">
      <c r="A81" s="92">
        <v>3.0</v>
      </c>
      <c r="B81" s="93" t="s">
        <v>36</v>
      </c>
      <c r="C81" s="94" t="s">
        <v>188</v>
      </c>
      <c r="D81" s="95" t="str">
        <f t="shared" si="1"/>
        <v>3-6-5A</v>
      </c>
      <c r="E81" s="72"/>
      <c r="F81" s="137"/>
      <c r="G81" s="138"/>
      <c r="H81" s="138"/>
      <c r="I81" s="76"/>
      <c r="J81" s="138"/>
      <c r="K81" s="32" t="str">
        <f t="shared" si="2"/>
        <v>DISPONIBLE</v>
      </c>
      <c r="L81" s="33">
        <f t="shared" si="3"/>
        <v>80</v>
      </c>
      <c r="M81" s="33" t="s">
        <v>23</v>
      </c>
      <c r="N81" s="53"/>
      <c r="O81" s="313"/>
      <c r="P81" s="12"/>
      <c r="Q81" s="12"/>
      <c r="R81" s="12"/>
      <c r="S81" s="12"/>
      <c r="T81" s="12"/>
      <c r="U81" s="12"/>
      <c r="V81" s="12"/>
      <c r="AB81" s="12"/>
      <c r="AC81" s="12" t="str">
        <f>IFERROR(__xludf.DUMMYFUNCTION("""COMPUTED_VALUE"""),"4-8-C")</f>
        <v>4-8-C</v>
      </c>
      <c r="AD81" s="12" t="str">
        <f>IFERROR(__xludf.DUMMYFUNCTION("""COMPUTED_VALUE"""),"FAPE5L")</f>
        <v>FAPE5L</v>
      </c>
      <c r="AE81" s="12" t="str">
        <f>IFERROR(__xludf.DUMMYFUNCTION("""COMPUTED_VALUE"""),"Freidora de Aire Plus Edition 5L")</f>
        <v>Freidora de Aire Plus Edition 5L</v>
      </c>
      <c r="AF81" s="30">
        <f>IFERROR(__xludf.DUMMYFUNCTION("""COMPUTED_VALUE"""),72.0)</f>
        <v>72</v>
      </c>
      <c r="AG81" s="12" t="str">
        <f>IFERROR(__xludf.DUMMYFUNCTION("""COMPUTED_VALUE"""),"Contenedor")</f>
        <v>Contenedor</v>
      </c>
      <c r="AH81" s="12">
        <f>IFERROR(__xludf.DUMMYFUNCTION("""COMPUTED_VALUE"""),4.0)</f>
        <v>4</v>
      </c>
      <c r="AI81" s="12" t="str">
        <f>IFERROR(__xludf.DUMMYFUNCTION("""COMPUTED_VALUE"""),"8")</f>
        <v>8</v>
      </c>
      <c r="AJ81" s="12" t="str">
        <f>IFERROR(__xludf.DUMMYFUNCTION("""COMPUTED_VALUE"""),"C")</f>
        <v>C</v>
      </c>
      <c r="AK81" s="12">
        <f>IFERROR(__xludf.DUMMYFUNCTION("""COMPUTED_VALUE"""),151.0)</f>
        <v>151</v>
      </c>
      <c r="AL81" s="12" t="str">
        <f>IFERROR(__xludf.DUMMYFUNCTION("""COMPUTED_VALUE"""),"KITCHEN-IT")</f>
        <v>KITCHEN-IT</v>
      </c>
      <c r="AM81" s="12"/>
      <c r="AN81" s="12"/>
      <c r="AO81" s="12"/>
      <c r="AP81" s="12"/>
      <c r="AQ81" s="12"/>
      <c r="BC81" s="12"/>
      <c r="BH81" s="12" t="str">
        <f>IFERROR(__xludf.DUMMYFUNCTION("IFERROR(INDEX(QUERY(IMPORTRANGE(""1T7HG8KEs-Ob7f3M5atEVN9Yn7IeORGp0QGvggB62ELw"",""Maestro!A:I""),""SELECT Col8 WHERE Col3 = '""&amp;BE81&amp;""'"", 0), 1, 1),""NO ENCONTRADO"")"),"NO ENCONTRADO")</f>
        <v>NO ENCONTRADO</v>
      </c>
      <c r="BI81" s="16">
        <v>1.0</v>
      </c>
      <c r="BJ81" s="16">
        <f t="shared" si="4"/>
        <v>325</v>
      </c>
      <c r="BK81" s="12"/>
      <c r="BR81" s="12"/>
      <c r="BY81" s="14"/>
      <c r="BZ81" s="14"/>
      <c r="CA81" s="14"/>
      <c r="CB81" s="14"/>
      <c r="CC81" s="14"/>
      <c r="CD81" s="14"/>
      <c r="CE81" s="14"/>
      <c r="CF81" s="12"/>
      <c r="CG81" s="12"/>
      <c r="CH81" s="12"/>
      <c r="CI81" s="12"/>
      <c r="CJ81" s="12"/>
      <c r="CK81" s="12"/>
      <c r="CL81" s="12"/>
      <c r="CM81" s="12"/>
      <c r="CN81" s="12"/>
      <c r="CO81" s="12"/>
    </row>
    <row r="82">
      <c r="A82" s="92">
        <v>3.0</v>
      </c>
      <c r="B82" s="93" t="s">
        <v>36</v>
      </c>
      <c r="C82" s="94" t="s">
        <v>192</v>
      </c>
      <c r="D82" s="95" t="str">
        <f t="shared" si="1"/>
        <v>3-6-5B</v>
      </c>
      <c r="E82" s="50"/>
      <c r="F82" s="51"/>
      <c r="G82" s="46"/>
      <c r="H82" s="47"/>
      <c r="I82" s="48"/>
      <c r="J82" s="52"/>
      <c r="K82" s="27" t="str">
        <f t="shared" si="2"/>
        <v>DISPONIBLE</v>
      </c>
      <c r="L82" s="28">
        <f t="shared" si="3"/>
        <v>81</v>
      </c>
      <c r="M82" s="28" t="s">
        <v>23</v>
      </c>
      <c r="N82" s="70"/>
      <c r="O82" s="140"/>
      <c r="P82" s="12"/>
      <c r="Q82" s="12"/>
      <c r="R82" s="12"/>
      <c r="S82" s="12"/>
      <c r="T82" s="12"/>
      <c r="U82" s="12"/>
      <c r="V82" s="12"/>
      <c r="AB82" s="12"/>
      <c r="AC82" s="12" t="str">
        <f>IFERROR(__xludf.DUMMYFUNCTION("""COMPUTED_VALUE"""),"4-8-D")</f>
        <v>4-8-D</v>
      </c>
      <c r="AD82" s="12" t="str">
        <f>IFERROR(__xludf.DUMMYFUNCTION("""COMPUTED_VALUE"""),"FAPE5L")</f>
        <v>FAPE5L</v>
      </c>
      <c r="AE82" s="12" t="str">
        <f>IFERROR(__xludf.DUMMYFUNCTION("""COMPUTED_VALUE"""),"Freidora de Aire Plus Edition 5L")</f>
        <v>Freidora de Aire Plus Edition 5L</v>
      </c>
      <c r="AF82" s="30">
        <f>IFERROR(__xludf.DUMMYFUNCTION("""COMPUTED_VALUE"""),72.0)</f>
        <v>72</v>
      </c>
      <c r="AG82" s="12" t="str">
        <f>IFERROR(__xludf.DUMMYFUNCTION("""COMPUTED_VALUE"""),"Contenedor")</f>
        <v>Contenedor</v>
      </c>
      <c r="AH82" s="12">
        <f>IFERROR(__xludf.DUMMYFUNCTION("""COMPUTED_VALUE"""),4.0)</f>
        <v>4</v>
      </c>
      <c r="AI82" s="12" t="str">
        <f>IFERROR(__xludf.DUMMYFUNCTION("""COMPUTED_VALUE"""),"8")</f>
        <v>8</v>
      </c>
      <c r="AJ82" s="12" t="str">
        <f>IFERROR(__xludf.DUMMYFUNCTION("""COMPUTED_VALUE"""),"D")</f>
        <v>D</v>
      </c>
      <c r="AK82" s="12">
        <f>IFERROR(__xludf.DUMMYFUNCTION("""COMPUTED_VALUE"""),152.0)</f>
        <v>152</v>
      </c>
      <c r="AL82" s="12" t="str">
        <f>IFERROR(__xludf.DUMMYFUNCTION("""COMPUTED_VALUE"""),"KITCHEN-IT")</f>
        <v>KITCHEN-IT</v>
      </c>
      <c r="AM82" s="12"/>
      <c r="AN82" s="12"/>
      <c r="AO82" s="12"/>
      <c r="AP82" s="12"/>
      <c r="AQ82" s="12"/>
      <c r="BC82" s="12"/>
      <c r="BH82" s="12" t="str">
        <f>IFERROR(__xludf.DUMMYFUNCTION("IFERROR(INDEX(QUERY(IMPORTRANGE(""1T7HG8KEs-Ob7f3M5atEVN9Yn7IeORGp0QGvggB62ELw"",""Maestro!A:I""),""SELECT Col8 WHERE Col3 = '""&amp;BE82&amp;""'"", 0), 1, 1),""NO ENCONTRADO"")"),"NO ENCONTRADO")</f>
        <v>NO ENCONTRADO</v>
      </c>
      <c r="BI82" s="16">
        <v>1.0</v>
      </c>
      <c r="BJ82" s="16">
        <f t="shared" si="4"/>
        <v>325</v>
      </c>
      <c r="BK82" s="12"/>
      <c r="BR82" s="12"/>
      <c r="BY82" s="14"/>
      <c r="BZ82" s="14"/>
      <c r="CA82" s="14"/>
      <c r="CB82" s="14"/>
      <c r="CC82" s="14"/>
      <c r="CD82" s="14"/>
      <c r="CE82" s="14"/>
      <c r="CF82" s="12"/>
      <c r="CG82" s="12"/>
      <c r="CH82" s="12"/>
      <c r="CI82" s="12"/>
      <c r="CJ82" s="12"/>
      <c r="CK82" s="12"/>
      <c r="CL82" s="12"/>
      <c r="CM82" s="12"/>
      <c r="CN82" s="12"/>
      <c r="CO82" s="12"/>
    </row>
    <row r="83">
      <c r="A83" s="92">
        <v>3.0</v>
      </c>
      <c r="B83" s="93" t="s">
        <v>48</v>
      </c>
      <c r="C83" s="94" t="s">
        <v>119</v>
      </c>
      <c r="D83" s="95" t="str">
        <f t="shared" si="1"/>
        <v>3-7-1A</v>
      </c>
      <c r="E83" s="50"/>
      <c r="F83" s="51"/>
      <c r="G83" s="46"/>
      <c r="H83" s="47"/>
      <c r="I83" s="48"/>
      <c r="J83" s="52"/>
      <c r="K83" s="32" t="str">
        <f t="shared" si="2"/>
        <v>DISPONIBLE</v>
      </c>
      <c r="L83" s="33">
        <f t="shared" si="3"/>
        <v>82</v>
      </c>
      <c r="M83" s="33" t="s">
        <v>442</v>
      </c>
      <c r="N83" s="53"/>
      <c r="O83" s="34"/>
      <c r="P83" s="12"/>
      <c r="Q83" s="12"/>
      <c r="R83" s="12"/>
      <c r="S83" s="12"/>
      <c r="T83" s="12"/>
      <c r="U83" s="12"/>
      <c r="V83" s="12"/>
      <c r="AB83" s="12"/>
      <c r="AC83" s="12" t="str">
        <f>IFERROR(__xludf.DUMMYFUNCTION("""COMPUTED_VALUE"""),"4-9-A")</f>
        <v>4-9-A</v>
      </c>
      <c r="AD83" s="12" t="str">
        <f>IFERROR(__xludf.DUMMYFUNCTION("""COMPUTED_VALUE"""),"FAFE7L")</f>
        <v>FAFE7L</v>
      </c>
      <c r="AE83" s="12" t="str">
        <f>IFERROR(__xludf.DUMMYFUNCTION("""COMPUTED_VALUE"""),"Freidora de Aire Family Edition 7L")</f>
        <v>Freidora de Aire Family Edition 7L</v>
      </c>
      <c r="AF83" s="30">
        <f>IFERROR(__xludf.DUMMYFUNCTION("""COMPUTED_VALUE"""),72.0)</f>
        <v>72</v>
      </c>
      <c r="AG83" s="12" t="str">
        <f>IFERROR(__xludf.DUMMYFUNCTION("""COMPUTED_VALUE"""),"Contenedor")</f>
        <v>Contenedor</v>
      </c>
      <c r="AH83" s="12">
        <f>IFERROR(__xludf.DUMMYFUNCTION("""COMPUTED_VALUE"""),4.0)</f>
        <v>4</v>
      </c>
      <c r="AI83" s="12" t="str">
        <f>IFERROR(__xludf.DUMMYFUNCTION("""COMPUTED_VALUE"""),"9")</f>
        <v>9</v>
      </c>
      <c r="AJ83" s="12" t="str">
        <f>IFERROR(__xludf.DUMMYFUNCTION("""COMPUTED_VALUE"""),"A")</f>
        <v>A</v>
      </c>
      <c r="AK83" s="12">
        <f>IFERROR(__xludf.DUMMYFUNCTION("""COMPUTED_VALUE"""),153.0)</f>
        <v>153</v>
      </c>
      <c r="AL83" s="12" t="str">
        <f>IFERROR(__xludf.DUMMYFUNCTION("""COMPUTED_VALUE"""),"KITCHEN-IT")</f>
        <v>KITCHEN-IT</v>
      </c>
      <c r="AM83" s="12"/>
      <c r="AN83" s="12"/>
      <c r="AO83" s="12"/>
      <c r="AP83" s="12"/>
      <c r="AQ83" s="12"/>
      <c r="BC83" s="12"/>
      <c r="BH83" s="12" t="str">
        <f>IFERROR(__xludf.DUMMYFUNCTION("IFERROR(INDEX(QUERY(IMPORTRANGE(""1T7HG8KEs-Ob7f3M5atEVN9Yn7IeORGp0QGvggB62ELw"",""Maestro!A:I""),""SELECT Col8 WHERE Col3 = '""&amp;BE83&amp;""'"", 0), 1, 1),""NO ENCONTRADO"")"),"NO ENCONTRADO")</f>
        <v>NO ENCONTRADO</v>
      </c>
      <c r="BI83" s="16">
        <v>1.0</v>
      </c>
      <c r="BJ83" s="16">
        <f t="shared" si="4"/>
        <v>275</v>
      </c>
      <c r="BK83" s="12"/>
      <c r="BR83" s="12"/>
      <c r="BY83" s="14"/>
      <c r="BZ83" s="14"/>
      <c r="CA83" s="14"/>
      <c r="CB83" s="14"/>
      <c r="CC83" s="14"/>
      <c r="CD83" s="14"/>
      <c r="CE83" s="14"/>
      <c r="CF83" s="12"/>
      <c r="CG83" s="12"/>
      <c r="CH83" s="12"/>
      <c r="CI83" s="12"/>
      <c r="CJ83" s="12"/>
      <c r="CK83" s="12"/>
      <c r="CL83" s="12"/>
      <c r="CM83" s="12"/>
      <c r="CN83" s="12"/>
      <c r="CO83" s="12"/>
    </row>
    <row r="84">
      <c r="A84" s="92">
        <v>3.0</v>
      </c>
      <c r="B84" s="93" t="s">
        <v>48</v>
      </c>
      <c r="C84" s="94" t="s">
        <v>132</v>
      </c>
      <c r="D84" s="95" t="str">
        <f t="shared" si="1"/>
        <v>3-7-1B</v>
      </c>
      <c r="E84" s="50"/>
      <c r="F84" s="51"/>
      <c r="G84" s="46"/>
      <c r="H84" s="47"/>
      <c r="I84" s="48"/>
      <c r="J84" s="52"/>
      <c r="K84" s="27" t="str">
        <f t="shared" si="2"/>
        <v>DISPONIBLE</v>
      </c>
      <c r="L84" s="28">
        <f t="shared" si="3"/>
        <v>83</v>
      </c>
      <c r="M84" s="28" t="s">
        <v>442</v>
      </c>
      <c r="N84" s="70"/>
      <c r="O84" s="29"/>
      <c r="P84" s="12"/>
      <c r="Q84" s="12"/>
      <c r="R84" s="12"/>
      <c r="S84" s="12"/>
      <c r="T84" s="12"/>
      <c r="U84" s="12"/>
      <c r="V84" s="12"/>
      <c r="AB84" s="12"/>
      <c r="AC84" s="12" t="str">
        <f>IFERROR(__xludf.DUMMYFUNCTION("""COMPUTED_VALUE"""),"4-9-B")</f>
        <v>4-9-B</v>
      </c>
      <c r="AD84" s="12" t="str">
        <f>IFERROR(__xludf.DUMMYFUNCTION("""COMPUTED_VALUE"""),"FAFE7L")</f>
        <v>FAFE7L</v>
      </c>
      <c r="AE84" s="12" t="str">
        <f>IFERROR(__xludf.DUMMYFUNCTION("""COMPUTED_VALUE"""),"Freidora de Aire Family Edition 7L")</f>
        <v>Freidora de Aire Family Edition 7L</v>
      </c>
      <c r="AF84" s="30">
        <f>IFERROR(__xludf.DUMMYFUNCTION("""COMPUTED_VALUE"""),72.0)</f>
        <v>72</v>
      </c>
      <c r="AG84" s="12" t="str">
        <f>IFERROR(__xludf.DUMMYFUNCTION("""COMPUTED_VALUE"""),"Contenedor")</f>
        <v>Contenedor</v>
      </c>
      <c r="AH84" s="12">
        <f>IFERROR(__xludf.DUMMYFUNCTION("""COMPUTED_VALUE"""),4.0)</f>
        <v>4</v>
      </c>
      <c r="AI84" s="12" t="str">
        <f>IFERROR(__xludf.DUMMYFUNCTION("""COMPUTED_VALUE"""),"9")</f>
        <v>9</v>
      </c>
      <c r="AJ84" s="12" t="str">
        <f>IFERROR(__xludf.DUMMYFUNCTION("""COMPUTED_VALUE"""),"B")</f>
        <v>B</v>
      </c>
      <c r="AK84" s="12">
        <f>IFERROR(__xludf.DUMMYFUNCTION("""COMPUTED_VALUE"""),154.0)</f>
        <v>154</v>
      </c>
      <c r="AL84" s="12" t="str">
        <f>IFERROR(__xludf.DUMMYFUNCTION("""COMPUTED_VALUE"""),"KITCHEN-IT")</f>
        <v>KITCHEN-IT</v>
      </c>
      <c r="AM84" s="12"/>
      <c r="AN84" s="12"/>
      <c r="AO84" s="12"/>
      <c r="AP84" s="12"/>
      <c r="AQ84" s="12"/>
      <c r="BC84" s="12"/>
      <c r="BH84" s="12" t="str">
        <f>IFERROR(__xludf.DUMMYFUNCTION("IFERROR(INDEX(QUERY(IMPORTRANGE(""1T7HG8KEs-Ob7f3M5atEVN9Yn7IeORGp0QGvggB62ELw"",""Maestro!A:I""),""SELECT Col8 WHERE Col3 = '""&amp;BE84&amp;""'"", 0), 1, 1),""NO ENCONTRADO"")"),"NO ENCONTRADO")</f>
        <v>NO ENCONTRADO</v>
      </c>
      <c r="BI84" s="16">
        <v>1.0</v>
      </c>
      <c r="BJ84" s="16">
        <f t="shared" si="4"/>
        <v>325</v>
      </c>
      <c r="BK84" s="12"/>
      <c r="BR84" s="12"/>
      <c r="BY84" s="14"/>
      <c r="BZ84" s="14"/>
      <c r="CA84" s="14"/>
      <c r="CB84" s="14"/>
      <c r="CC84" s="14"/>
      <c r="CD84" s="14"/>
      <c r="CE84" s="14"/>
      <c r="CF84" s="12"/>
      <c r="CG84" s="12"/>
      <c r="CH84" s="12"/>
      <c r="CI84" s="12"/>
      <c r="CJ84" s="12"/>
      <c r="CK84" s="12"/>
      <c r="CL84" s="12"/>
      <c r="CM84" s="12"/>
      <c r="CN84" s="12"/>
      <c r="CO84" s="12"/>
    </row>
    <row r="85">
      <c r="A85" s="92">
        <v>3.0</v>
      </c>
      <c r="B85" s="93" t="s">
        <v>48</v>
      </c>
      <c r="C85" s="94" t="s">
        <v>124</v>
      </c>
      <c r="D85" s="95" t="str">
        <f t="shared" si="1"/>
        <v>3-7-2A</v>
      </c>
      <c r="E85" s="96">
        <v>45733.0</v>
      </c>
      <c r="F85" s="97" t="s">
        <v>19</v>
      </c>
      <c r="G85" s="98" t="s">
        <v>758</v>
      </c>
      <c r="H85" s="99" t="s">
        <v>91</v>
      </c>
      <c r="I85" s="100">
        <v>9.0</v>
      </c>
      <c r="J85" s="101" t="s">
        <v>35</v>
      </c>
      <c r="K85" s="32" t="str">
        <f t="shared" si="2"/>
        <v>OCUPADO</v>
      </c>
      <c r="L85" s="33">
        <f t="shared" si="3"/>
        <v>84</v>
      </c>
      <c r="M85" s="33" t="s">
        <v>442</v>
      </c>
      <c r="N85" s="53"/>
      <c r="O85" s="34" t="s">
        <v>24</v>
      </c>
      <c r="P85" s="12"/>
      <c r="Q85" s="12"/>
      <c r="R85" s="12"/>
      <c r="S85" s="12"/>
      <c r="T85" s="12"/>
      <c r="U85" s="12"/>
      <c r="V85" s="12"/>
      <c r="AB85" s="12"/>
      <c r="AC85" s="12" t="str">
        <f>IFERROR(__xludf.DUMMYFUNCTION("""COMPUTED_VALUE"""),"4-9-C")</f>
        <v>4-9-C</v>
      </c>
      <c r="AD85" s="12" t="str">
        <f>IFERROR(__xludf.DUMMYFUNCTION("""COMPUTED_VALUE"""),"FAFE7L")</f>
        <v>FAFE7L</v>
      </c>
      <c r="AE85" s="12" t="str">
        <f>IFERROR(__xludf.DUMMYFUNCTION("""COMPUTED_VALUE"""),"Freidora de Aire Family Edition 7L")</f>
        <v>Freidora de Aire Family Edition 7L</v>
      </c>
      <c r="AF85" s="30">
        <f>IFERROR(__xludf.DUMMYFUNCTION("""COMPUTED_VALUE"""),72.0)</f>
        <v>72</v>
      </c>
      <c r="AG85" s="12" t="str">
        <f>IFERROR(__xludf.DUMMYFUNCTION("""COMPUTED_VALUE"""),"Contenedor")</f>
        <v>Contenedor</v>
      </c>
      <c r="AH85" s="12">
        <f>IFERROR(__xludf.DUMMYFUNCTION("""COMPUTED_VALUE"""),4.0)</f>
        <v>4</v>
      </c>
      <c r="AI85" s="12" t="str">
        <f>IFERROR(__xludf.DUMMYFUNCTION("""COMPUTED_VALUE"""),"9")</f>
        <v>9</v>
      </c>
      <c r="AJ85" s="12" t="str">
        <f>IFERROR(__xludf.DUMMYFUNCTION("""COMPUTED_VALUE"""),"C")</f>
        <v>C</v>
      </c>
      <c r="AK85" s="12">
        <f>IFERROR(__xludf.DUMMYFUNCTION("""COMPUTED_VALUE"""),155.0)</f>
        <v>155</v>
      </c>
      <c r="AL85" s="12" t="str">
        <f>IFERROR(__xludf.DUMMYFUNCTION("""COMPUTED_VALUE"""),"KITCHEN-IT")</f>
        <v>KITCHEN-IT</v>
      </c>
      <c r="AM85" s="12"/>
      <c r="AN85" s="12"/>
      <c r="AO85" s="12"/>
      <c r="AP85" s="12"/>
      <c r="AQ85" s="12"/>
      <c r="BC85" s="12"/>
      <c r="BH85" s="12" t="str">
        <f>IFERROR(__xludf.DUMMYFUNCTION("IFERROR(INDEX(QUERY(IMPORTRANGE(""1T7HG8KEs-Ob7f3M5atEVN9Yn7IeORGp0QGvggB62ELw"",""Maestro!A:I""),""SELECT Col8 WHERE Col3 = '""&amp;BE85&amp;""'"", 0), 1, 1),""NO ENCONTRADO"")"),"D")</f>
        <v>D</v>
      </c>
      <c r="BI85" s="16">
        <v>1.0</v>
      </c>
      <c r="BJ85" s="16">
        <f t="shared" si="4"/>
        <v>150</v>
      </c>
      <c r="BK85" s="12"/>
      <c r="BR85" s="12"/>
      <c r="BY85" s="14"/>
      <c r="BZ85" s="14"/>
      <c r="CA85" s="14"/>
      <c r="CB85" s="14"/>
      <c r="CC85" s="14"/>
      <c r="CD85" s="14"/>
      <c r="CE85" s="14"/>
      <c r="CF85" s="12"/>
      <c r="CG85" s="12"/>
      <c r="CH85" s="12"/>
      <c r="CI85" s="12"/>
      <c r="CJ85" s="12"/>
      <c r="CK85" s="12"/>
      <c r="CL85" s="12"/>
      <c r="CM85" s="12"/>
      <c r="CN85" s="12"/>
      <c r="CO85" s="12"/>
    </row>
    <row r="86">
      <c r="A86" s="92">
        <v>3.0</v>
      </c>
      <c r="B86" s="93" t="s">
        <v>48</v>
      </c>
      <c r="C86" s="94" t="s">
        <v>140</v>
      </c>
      <c r="D86" s="95" t="str">
        <f t="shared" si="1"/>
        <v>3-7-2B</v>
      </c>
      <c r="E86" s="96">
        <v>45763.0</v>
      </c>
      <c r="F86" s="97" t="s">
        <v>19</v>
      </c>
      <c r="G86" s="98" t="s">
        <v>757</v>
      </c>
      <c r="H86" s="99" t="s">
        <v>38</v>
      </c>
      <c r="I86" s="100">
        <v>18.0</v>
      </c>
      <c r="J86" s="101" t="s">
        <v>35</v>
      </c>
      <c r="K86" s="27" t="str">
        <f t="shared" si="2"/>
        <v>OCUPADO</v>
      </c>
      <c r="L86" s="28">
        <f t="shared" si="3"/>
        <v>85</v>
      </c>
      <c r="M86" s="28" t="s">
        <v>442</v>
      </c>
      <c r="N86" s="70"/>
      <c r="O86" s="29"/>
      <c r="P86" s="12"/>
      <c r="Q86" s="12"/>
      <c r="R86" s="12"/>
      <c r="S86" s="12"/>
      <c r="T86" s="12"/>
      <c r="U86" s="12"/>
      <c r="V86" s="12"/>
      <c r="AB86" s="12"/>
      <c r="AC86" s="12" t="str">
        <f>IFERROR(__xludf.DUMMYFUNCTION("""COMPUTED_VALUE"""),"4-9-D")</f>
        <v>4-9-D</v>
      </c>
      <c r="AD86" s="12" t="str">
        <f>IFERROR(__xludf.DUMMYFUNCTION("""COMPUTED_VALUE"""),"FAPE5L")</f>
        <v>FAPE5L</v>
      </c>
      <c r="AE86" s="12" t="str">
        <f>IFERROR(__xludf.DUMMYFUNCTION("""COMPUTED_VALUE"""),"Freidora de Aire Plus Edition 5L")</f>
        <v>Freidora de Aire Plus Edition 5L</v>
      </c>
      <c r="AF86" s="30">
        <f>IFERROR(__xludf.DUMMYFUNCTION("""COMPUTED_VALUE"""),72.0)</f>
        <v>72</v>
      </c>
      <c r="AG86" s="12" t="str">
        <f>IFERROR(__xludf.DUMMYFUNCTION("""COMPUTED_VALUE"""),"Contenedor")</f>
        <v>Contenedor</v>
      </c>
      <c r="AH86" s="12">
        <f>IFERROR(__xludf.DUMMYFUNCTION("""COMPUTED_VALUE"""),4.0)</f>
        <v>4</v>
      </c>
      <c r="AI86" s="12" t="str">
        <f>IFERROR(__xludf.DUMMYFUNCTION("""COMPUTED_VALUE"""),"9")</f>
        <v>9</v>
      </c>
      <c r="AJ86" s="12" t="str">
        <f>IFERROR(__xludf.DUMMYFUNCTION("""COMPUTED_VALUE"""),"D")</f>
        <v>D</v>
      </c>
      <c r="AK86" s="12">
        <f>IFERROR(__xludf.DUMMYFUNCTION("""COMPUTED_VALUE"""),156.0)</f>
        <v>156</v>
      </c>
      <c r="AL86" s="12" t="str">
        <f>IFERROR(__xludf.DUMMYFUNCTION("""COMPUTED_VALUE"""),"KITCHEN-IT")</f>
        <v>KITCHEN-IT</v>
      </c>
      <c r="AM86" s="12"/>
      <c r="AN86" s="12"/>
      <c r="AO86" s="12"/>
      <c r="AP86" s="12"/>
      <c r="AQ86" s="12"/>
      <c r="BC86" s="12"/>
      <c r="BH86" s="12" t="str">
        <f>IFERROR(__xludf.DUMMYFUNCTION("IFERROR(INDEX(QUERY(IMPORTRANGE(""1T7HG8KEs-Ob7f3M5atEVN9Yn7IeORGp0QGvggB62ELw"",""Maestro!A:I""),""SELECT Col8 WHERE Col3 = '""&amp;BE86&amp;""'"", 0), 1, 1),""NO ENCONTRADO"")"),"D")</f>
        <v>D</v>
      </c>
      <c r="BI86" s="16">
        <v>1.0</v>
      </c>
      <c r="BJ86" s="16">
        <f t="shared" si="4"/>
        <v>150</v>
      </c>
      <c r="BK86" s="12"/>
      <c r="BR86" s="12"/>
      <c r="BY86" s="14"/>
      <c r="BZ86" s="14"/>
      <c r="CA86" s="14"/>
      <c r="CB86" s="14"/>
      <c r="CC86" s="14"/>
      <c r="CD86" s="14"/>
      <c r="CE86" s="14"/>
      <c r="CF86" s="12"/>
      <c r="CG86" s="12"/>
      <c r="CH86" s="12"/>
      <c r="CI86" s="12"/>
      <c r="CJ86" s="12"/>
      <c r="CK86" s="12"/>
      <c r="CL86" s="12"/>
      <c r="CM86" s="12"/>
      <c r="CN86" s="12"/>
      <c r="CO86" s="12"/>
    </row>
    <row r="87">
      <c r="A87" s="92">
        <v>3.0</v>
      </c>
      <c r="B87" s="93" t="s">
        <v>48</v>
      </c>
      <c r="C87" s="94" t="s">
        <v>130</v>
      </c>
      <c r="D87" s="95" t="str">
        <f t="shared" si="1"/>
        <v>3-7-3A</v>
      </c>
      <c r="E87" s="96">
        <v>45733.0</v>
      </c>
      <c r="F87" s="97" t="s">
        <v>19</v>
      </c>
      <c r="G87" s="98" t="s">
        <v>90</v>
      </c>
      <c r="H87" s="99" t="s">
        <v>753</v>
      </c>
      <c r="I87" s="100">
        <v>7.0</v>
      </c>
      <c r="J87" s="101" t="s">
        <v>35</v>
      </c>
      <c r="K87" s="32" t="str">
        <f t="shared" si="2"/>
        <v>OCUPADO</v>
      </c>
      <c r="L87" s="33">
        <f t="shared" si="3"/>
        <v>86</v>
      </c>
      <c r="M87" s="33" t="s">
        <v>442</v>
      </c>
      <c r="N87" s="53"/>
      <c r="O87" s="34" t="s">
        <v>24</v>
      </c>
      <c r="P87" s="12"/>
      <c r="Q87" s="12"/>
      <c r="R87" s="12"/>
      <c r="S87" s="12"/>
      <c r="T87" s="12"/>
      <c r="U87" s="12"/>
      <c r="V87" s="12"/>
      <c r="AB87" s="12"/>
      <c r="AC87" s="12" t="str">
        <f>IFERROR(__xludf.DUMMYFUNCTION("""COMPUTED_VALUE"""),"4-10-A")</f>
        <v>4-10-A</v>
      </c>
      <c r="AD87" s="12" t="str">
        <f>IFERROR(__xludf.DUMMYFUNCTION("""COMPUTED_VALUE"""),"FAFE7L")</f>
        <v>FAFE7L</v>
      </c>
      <c r="AE87" s="12" t="str">
        <f>IFERROR(__xludf.DUMMYFUNCTION("""COMPUTED_VALUE"""),"Freidora de Aire Family Edition 7L")</f>
        <v>Freidora de Aire Family Edition 7L</v>
      </c>
      <c r="AF87" s="30">
        <f>IFERROR(__xludf.DUMMYFUNCTION("""COMPUTED_VALUE"""),42.0)</f>
        <v>42</v>
      </c>
      <c r="AG87" s="12" t="str">
        <f>IFERROR(__xludf.DUMMYFUNCTION("""COMPUTED_VALUE"""),"Contenedor")</f>
        <v>Contenedor</v>
      </c>
      <c r="AH87" s="12">
        <f>IFERROR(__xludf.DUMMYFUNCTION("""COMPUTED_VALUE"""),4.0)</f>
        <v>4</v>
      </c>
      <c r="AI87" s="12" t="str">
        <f>IFERROR(__xludf.DUMMYFUNCTION("""COMPUTED_VALUE"""),"10")</f>
        <v>10</v>
      </c>
      <c r="AJ87" s="12" t="str">
        <f>IFERROR(__xludf.DUMMYFUNCTION("""COMPUTED_VALUE"""),"A")</f>
        <v>A</v>
      </c>
      <c r="AK87" s="12">
        <f>IFERROR(__xludf.DUMMYFUNCTION("""COMPUTED_VALUE"""),157.0)</f>
        <v>157</v>
      </c>
      <c r="AL87" s="12" t="str">
        <f>IFERROR(__xludf.DUMMYFUNCTION("""COMPUTED_VALUE"""),"KITCHEN-IT")</f>
        <v>KITCHEN-IT</v>
      </c>
      <c r="AM87" s="12"/>
      <c r="AN87" s="12"/>
      <c r="AO87" s="12"/>
      <c r="AP87" s="12"/>
      <c r="AQ87" s="12"/>
      <c r="BC87" s="12"/>
      <c r="BH87" s="12" t="str">
        <f>IFERROR(__xludf.DUMMYFUNCTION("IFERROR(INDEX(QUERY(IMPORTRANGE(""1T7HG8KEs-Ob7f3M5atEVN9Yn7IeORGp0QGvggB62ELw"",""Maestro!A:I""),""SELECT Col8 WHERE Col3 = '""&amp;BE87&amp;""'"", 0), 1, 1),""NO ENCONTRADO"")"),"D")</f>
        <v>D</v>
      </c>
      <c r="BI87" s="16">
        <v>1.0</v>
      </c>
      <c r="BJ87" s="16">
        <f t="shared" si="4"/>
        <v>150</v>
      </c>
      <c r="BK87" s="12"/>
      <c r="BR87" s="12"/>
      <c r="BY87" s="14"/>
      <c r="BZ87" s="14"/>
      <c r="CA87" s="14"/>
      <c r="CB87" s="14"/>
      <c r="CC87" s="14"/>
      <c r="CD87" s="14"/>
      <c r="CE87" s="14"/>
      <c r="CF87" s="12"/>
      <c r="CG87" s="12"/>
      <c r="CH87" s="12"/>
      <c r="CI87" s="12"/>
      <c r="CJ87" s="12"/>
      <c r="CK87" s="12"/>
      <c r="CL87" s="12"/>
      <c r="CM87" s="12"/>
      <c r="CN87" s="12"/>
      <c r="CO87" s="12"/>
    </row>
    <row r="88">
      <c r="A88" s="92">
        <v>3.0</v>
      </c>
      <c r="B88" s="93" t="s">
        <v>48</v>
      </c>
      <c r="C88" s="94" t="s">
        <v>148</v>
      </c>
      <c r="D88" s="95" t="str">
        <f t="shared" si="1"/>
        <v>3-7-3B</v>
      </c>
      <c r="E88" s="96">
        <v>45763.0</v>
      </c>
      <c r="F88" s="97" t="s">
        <v>768</v>
      </c>
      <c r="G88" s="98" t="s">
        <v>757</v>
      </c>
      <c r="H88" s="99" t="s">
        <v>38</v>
      </c>
      <c r="I88" s="100">
        <v>71.0</v>
      </c>
      <c r="J88" s="101" t="s">
        <v>35</v>
      </c>
      <c r="K88" s="27" t="str">
        <f t="shared" si="2"/>
        <v>OCUPADO</v>
      </c>
      <c r="L88" s="28">
        <f t="shared" si="3"/>
        <v>87</v>
      </c>
      <c r="M88" s="28" t="s">
        <v>442</v>
      </c>
      <c r="N88" s="70"/>
      <c r="O88" s="29"/>
      <c r="P88" s="12"/>
      <c r="Q88" s="12"/>
      <c r="R88" s="12"/>
      <c r="S88" s="12"/>
      <c r="T88" s="12"/>
      <c r="U88" s="12"/>
      <c r="V88" s="12"/>
      <c r="AB88" s="12"/>
      <c r="AC88" s="12" t="str">
        <f>IFERROR(__xludf.DUMMYFUNCTION("""COMPUTED_VALUE"""),"4-10-B")</f>
        <v>4-10-B</v>
      </c>
      <c r="AD88" s="12" t="str">
        <f>IFERROR(__xludf.DUMMYFUNCTION("""COMPUTED_VALUE"""),"FAFE7L")</f>
        <v>FAFE7L</v>
      </c>
      <c r="AE88" s="12" t="str">
        <f>IFERROR(__xludf.DUMMYFUNCTION("""COMPUTED_VALUE"""),"Freidora de Aire Family Edition 7L")</f>
        <v>Freidora de Aire Family Edition 7L</v>
      </c>
      <c r="AF88" s="30">
        <f>IFERROR(__xludf.DUMMYFUNCTION("""COMPUTED_VALUE"""),14.0)</f>
        <v>14</v>
      </c>
      <c r="AG88" s="12" t="str">
        <f>IFERROR(__xludf.DUMMYFUNCTION("""COMPUTED_VALUE"""),"Contenedor")</f>
        <v>Contenedor</v>
      </c>
      <c r="AH88" s="12">
        <f>IFERROR(__xludf.DUMMYFUNCTION("""COMPUTED_VALUE"""),4.0)</f>
        <v>4</v>
      </c>
      <c r="AI88" s="12" t="str">
        <f>IFERROR(__xludf.DUMMYFUNCTION("""COMPUTED_VALUE"""),"10")</f>
        <v>10</v>
      </c>
      <c r="AJ88" s="12" t="str">
        <f>IFERROR(__xludf.DUMMYFUNCTION("""COMPUTED_VALUE"""),"B")</f>
        <v>B</v>
      </c>
      <c r="AK88" s="12">
        <f>IFERROR(__xludf.DUMMYFUNCTION("""COMPUTED_VALUE"""),158.0)</f>
        <v>158</v>
      </c>
      <c r="AL88" s="12" t="str">
        <f>IFERROR(__xludf.DUMMYFUNCTION("""COMPUTED_VALUE"""),"KITCHEN-IT")</f>
        <v>KITCHEN-IT</v>
      </c>
      <c r="AM88" s="12"/>
      <c r="AN88" s="12"/>
      <c r="AO88" s="12"/>
      <c r="AP88" s="12"/>
      <c r="AQ88" s="12"/>
      <c r="BC88" s="12"/>
      <c r="BH88" s="12" t="str">
        <f>IFERROR(__xludf.DUMMYFUNCTION("IFERROR(INDEX(QUERY(IMPORTRANGE(""1T7HG8KEs-Ob7f3M5atEVN9Yn7IeORGp0QGvggB62ELw"",""Maestro!A:I""),""SELECT Col8 WHERE Col3 = '""&amp;BE88&amp;""'"", 0), 1, 1),""NO ENCONTRADO"")"),"D")</f>
        <v>D</v>
      </c>
      <c r="BI88" s="16">
        <v>1.0</v>
      </c>
      <c r="BJ88" s="16">
        <f t="shared" si="4"/>
        <v>150</v>
      </c>
      <c r="BK88" s="12"/>
      <c r="BR88" s="12"/>
      <c r="BY88" s="14"/>
      <c r="BZ88" s="14"/>
      <c r="CA88" s="14"/>
      <c r="CB88" s="14"/>
      <c r="CC88" s="14"/>
      <c r="CD88" s="14"/>
      <c r="CE88" s="14"/>
      <c r="CF88" s="12"/>
      <c r="CG88" s="12"/>
      <c r="CH88" s="12"/>
      <c r="CI88" s="12"/>
      <c r="CJ88" s="12"/>
      <c r="CK88" s="12"/>
      <c r="CL88" s="12"/>
      <c r="CM88" s="12"/>
      <c r="CN88" s="12"/>
      <c r="CO88" s="12"/>
    </row>
    <row r="89">
      <c r="A89" s="92">
        <v>3.0</v>
      </c>
      <c r="B89" s="93" t="s">
        <v>48</v>
      </c>
      <c r="C89" s="94" t="s">
        <v>145</v>
      </c>
      <c r="D89" s="95" t="str">
        <f t="shared" si="1"/>
        <v>3-7-4A</v>
      </c>
      <c r="E89" s="50"/>
      <c r="F89" s="51"/>
      <c r="G89" s="46"/>
      <c r="H89" s="47"/>
      <c r="I89" s="48"/>
      <c r="J89" s="52"/>
      <c r="K89" s="32" t="str">
        <f t="shared" si="2"/>
        <v>DISPONIBLE</v>
      </c>
      <c r="L89" s="33">
        <f t="shared" si="3"/>
        <v>88</v>
      </c>
      <c r="M89" s="33" t="s">
        <v>23</v>
      </c>
      <c r="N89" s="53"/>
      <c r="O89" s="34"/>
      <c r="P89" s="12"/>
      <c r="Q89" s="12"/>
      <c r="R89" s="12"/>
      <c r="S89" s="12"/>
      <c r="T89" s="12"/>
      <c r="U89" s="12"/>
      <c r="V89" s="12"/>
      <c r="AB89" s="12"/>
      <c r="AC89" s="12" t="str">
        <f>IFERROR(__xludf.DUMMYFUNCTION("""COMPUTED_VALUE"""),"4-11-A")</f>
        <v>4-11-A</v>
      </c>
      <c r="AD89" s="12" t="str">
        <f>IFERROR(__xludf.DUMMYFUNCTION("""COMPUTED_VALUE"""),"FAFE7L")</f>
        <v>FAFE7L</v>
      </c>
      <c r="AE89" s="12" t="str">
        <f>IFERROR(__xludf.DUMMYFUNCTION("""COMPUTED_VALUE"""),"Freidora de Aire Family Edition 7L")</f>
        <v>Freidora de Aire Family Edition 7L</v>
      </c>
      <c r="AF89" s="30">
        <f>IFERROR(__xludf.DUMMYFUNCTION("""COMPUTED_VALUE"""),72.0)</f>
        <v>72</v>
      </c>
      <c r="AG89" s="12" t="str">
        <f>IFERROR(__xludf.DUMMYFUNCTION("""COMPUTED_VALUE"""),"Contenedor")</f>
        <v>Contenedor</v>
      </c>
      <c r="AH89" s="12">
        <f>IFERROR(__xludf.DUMMYFUNCTION("""COMPUTED_VALUE"""),4.0)</f>
        <v>4</v>
      </c>
      <c r="AI89" s="12" t="str">
        <f>IFERROR(__xludf.DUMMYFUNCTION("""COMPUTED_VALUE"""),"11")</f>
        <v>11</v>
      </c>
      <c r="AJ89" s="12" t="str">
        <f>IFERROR(__xludf.DUMMYFUNCTION("""COMPUTED_VALUE"""),"A")</f>
        <v>A</v>
      </c>
      <c r="AK89" s="12">
        <f>IFERROR(__xludf.DUMMYFUNCTION("""COMPUTED_VALUE"""),161.0)</f>
        <v>161</v>
      </c>
      <c r="AL89" s="12" t="str">
        <f>IFERROR(__xludf.DUMMYFUNCTION("""COMPUTED_VALUE"""),"KITCHEN-IT")</f>
        <v>KITCHEN-IT</v>
      </c>
      <c r="AM89" s="12"/>
      <c r="AN89" s="12"/>
      <c r="AO89" s="12"/>
      <c r="AP89" s="12"/>
      <c r="AQ89" s="12"/>
      <c r="BC89" s="12"/>
      <c r="BH89" s="12" t="str">
        <f>IFERROR(__xludf.DUMMYFUNCTION("IFERROR(INDEX(QUERY(IMPORTRANGE(""1T7HG8KEs-Ob7f3M5atEVN9Yn7IeORGp0QGvggB62ELw"",""Maestro!A:I""),""SELECT Col8 WHERE Col3 = '""&amp;BE89&amp;""'"", 0), 1, 1),""NO ENCONTRADO"")"),"D")</f>
        <v>D</v>
      </c>
      <c r="BI89" s="16">
        <v>1.0</v>
      </c>
      <c r="BJ89" s="16">
        <f t="shared" si="4"/>
        <v>150</v>
      </c>
      <c r="BK89" s="12"/>
      <c r="BR89" s="12"/>
      <c r="BY89" s="14"/>
      <c r="BZ89" s="14"/>
      <c r="CA89" s="14"/>
      <c r="CB89" s="14"/>
      <c r="CC89" s="14"/>
      <c r="CD89" s="14"/>
      <c r="CE89" s="14"/>
      <c r="CF89" s="12"/>
      <c r="CG89" s="12"/>
      <c r="CH89" s="12"/>
      <c r="CI89" s="12"/>
      <c r="CJ89" s="12"/>
      <c r="CK89" s="12"/>
      <c r="CL89" s="12"/>
      <c r="CM89" s="12"/>
      <c r="CN89" s="12"/>
      <c r="CO89" s="12"/>
    </row>
    <row r="90">
      <c r="A90" s="92">
        <v>3.0</v>
      </c>
      <c r="B90" s="93" t="s">
        <v>48</v>
      </c>
      <c r="C90" s="94" t="s">
        <v>181</v>
      </c>
      <c r="D90" s="95" t="str">
        <f t="shared" si="1"/>
        <v>3-7-4B</v>
      </c>
      <c r="E90" s="96">
        <v>45733.0</v>
      </c>
      <c r="F90" s="97" t="s">
        <v>19</v>
      </c>
      <c r="G90" s="98" t="s">
        <v>751</v>
      </c>
      <c r="H90" s="99" t="s">
        <v>752</v>
      </c>
      <c r="I90" s="100">
        <v>55.0</v>
      </c>
      <c r="J90" s="101" t="s">
        <v>22</v>
      </c>
      <c r="K90" s="27" t="str">
        <f t="shared" si="2"/>
        <v>OCUPADO</v>
      </c>
      <c r="L90" s="28">
        <f t="shared" si="3"/>
        <v>89</v>
      </c>
      <c r="M90" s="28" t="s">
        <v>23</v>
      </c>
      <c r="N90" s="70"/>
      <c r="O90" s="29" t="s">
        <v>24</v>
      </c>
      <c r="P90" s="12"/>
      <c r="Q90" s="12"/>
      <c r="R90" s="12"/>
      <c r="S90" s="12"/>
      <c r="T90" s="12"/>
      <c r="U90" s="12"/>
      <c r="V90" s="12"/>
      <c r="AB90" s="12"/>
      <c r="AC90" s="12" t="str">
        <f>IFERROR(__xludf.DUMMYFUNCTION("""COMPUTED_VALUE"""),"4-11-B")</f>
        <v>4-11-B</v>
      </c>
      <c r="AD90" s="12" t="str">
        <f>IFERROR(__xludf.DUMMYFUNCTION("""COMPUTED_VALUE"""),"FAFE7L")</f>
        <v>FAFE7L</v>
      </c>
      <c r="AE90" s="12" t="str">
        <f>IFERROR(__xludf.DUMMYFUNCTION("""COMPUTED_VALUE"""),"Freidora de Aire Family Edition 7L")</f>
        <v>Freidora de Aire Family Edition 7L</v>
      </c>
      <c r="AF90" s="30">
        <f>IFERROR(__xludf.DUMMYFUNCTION("""COMPUTED_VALUE"""),72.0)</f>
        <v>72</v>
      </c>
      <c r="AG90" s="12" t="str">
        <f>IFERROR(__xludf.DUMMYFUNCTION("""COMPUTED_VALUE"""),"Contenedor")</f>
        <v>Contenedor</v>
      </c>
      <c r="AH90" s="12">
        <f>IFERROR(__xludf.DUMMYFUNCTION("""COMPUTED_VALUE"""),4.0)</f>
        <v>4</v>
      </c>
      <c r="AI90" s="12" t="str">
        <f>IFERROR(__xludf.DUMMYFUNCTION("""COMPUTED_VALUE"""),"11")</f>
        <v>11</v>
      </c>
      <c r="AJ90" s="12" t="str">
        <f>IFERROR(__xludf.DUMMYFUNCTION("""COMPUTED_VALUE"""),"B")</f>
        <v>B</v>
      </c>
      <c r="AK90" s="12">
        <f>IFERROR(__xludf.DUMMYFUNCTION("""COMPUTED_VALUE"""),162.0)</f>
        <v>162</v>
      </c>
      <c r="AL90" s="12" t="str">
        <f>IFERROR(__xludf.DUMMYFUNCTION("""COMPUTED_VALUE"""),"KITCHEN-IT")</f>
        <v>KITCHEN-IT</v>
      </c>
      <c r="AM90" s="12"/>
      <c r="AN90" s="12"/>
      <c r="AO90" s="12"/>
      <c r="AP90" s="12"/>
      <c r="AQ90" s="12"/>
      <c r="BC90" s="12"/>
      <c r="BH90" s="12" t="str">
        <f>IFERROR(__xludf.DUMMYFUNCTION("IFERROR(INDEX(QUERY(IMPORTRANGE(""1T7HG8KEs-Ob7f3M5atEVN9Yn7IeORGp0QGvggB62ELw"",""Maestro!A:I""),""SELECT Col8 WHERE Col3 = '""&amp;BE90&amp;""'"", 0), 1, 1),""NO ENCONTRADO"")"),"D")</f>
        <v>D</v>
      </c>
      <c r="BI90" s="16">
        <v>1.0</v>
      </c>
      <c r="BJ90" s="16">
        <f t="shared" si="4"/>
        <v>150</v>
      </c>
      <c r="BK90" s="12"/>
      <c r="BR90" s="12"/>
      <c r="BY90" s="14"/>
      <c r="BZ90" s="14"/>
      <c r="CA90" s="14"/>
      <c r="CB90" s="14"/>
      <c r="CC90" s="14"/>
      <c r="CD90" s="14"/>
      <c r="CE90" s="14"/>
      <c r="CF90" s="12"/>
      <c r="CG90" s="12"/>
      <c r="CH90" s="12"/>
      <c r="CI90" s="12"/>
      <c r="CJ90" s="12"/>
      <c r="CK90" s="12"/>
      <c r="CL90" s="12"/>
      <c r="CM90" s="12"/>
      <c r="CN90" s="12"/>
      <c r="CO90" s="12"/>
    </row>
    <row r="91">
      <c r="A91" s="92">
        <v>3.0</v>
      </c>
      <c r="B91" s="93" t="s">
        <v>48</v>
      </c>
      <c r="C91" s="94" t="s">
        <v>192</v>
      </c>
      <c r="D91" s="95" t="str">
        <f t="shared" si="1"/>
        <v>3-7-5B</v>
      </c>
      <c r="E91" s="50"/>
      <c r="F91" s="51"/>
      <c r="G91" s="46"/>
      <c r="H91" s="47"/>
      <c r="I91" s="48"/>
      <c r="J91" s="52"/>
      <c r="K91" s="32" t="str">
        <f t="shared" si="2"/>
        <v>DISPONIBLE</v>
      </c>
      <c r="L91" s="33">
        <f t="shared" si="3"/>
        <v>90</v>
      </c>
      <c r="M91" s="33" t="s">
        <v>23</v>
      </c>
      <c r="N91" s="53"/>
      <c r="O91" s="129"/>
      <c r="P91" s="12"/>
      <c r="Q91" s="12"/>
      <c r="R91" s="12"/>
      <c r="S91" s="12"/>
      <c r="T91" s="12"/>
      <c r="U91" s="12"/>
      <c r="V91" s="12"/>
      <c r="AB91" s="12"/>
      <c r="AC91" s="12" t="str">
        <f>IFERROR(__xludf.DUMMYFUNCTION("""COMPUTED_VALUE"""),"4-11-C")</f>
        <v>4-11-C</v>
      </c>
      <c r="AD91" s="12" t="str">
        <f>IFERROR(__xludf.DUMMYFUNCTION("""COMPUTED_VALUE"""),"FAFE7L")</f>
        <v>FAFE7L</v>
      </c>
      <c r="AE91" s="12" t="str">
        <f>IFERROR(__xludf.DUMMYFUNCTION("""COMPUTED_VALUE"""),"Freidora de Aire Family Edition 7L")</f>
        <v>Freidora de Aire Family Edition 7L</v>
      </c>
      <c r="AF91" s="30">
        <f>IFERROR(__xludf.DUMMYFUNCTION("""COMPUTED_VALUE"""),72.0)</f>
        <v>72</v>
      </c>
      <c r="AG91" s="12" t="str">
        <f>IFERROR(__xludf.DUMMYFUNCTION("""COMPUTED_VALUE"""),"Contenedor")</f>
        <v>Contenedor</v>
      </c>
      <c r="AH91" s="12">
        <f>IFERROR(__xludf.DUMMYFUNCTION("""COMPUTED_VALUE"""),4.0)</f>
        <v>4</v>
      </c>
      <c r="AI91" s="12" t="str">
        <f>IFERROR(__xludf.DUMMYFUNCTION("""COMPUTED_VALUE"""),"11")</f>
        <v>11</v>
      </c>
      <c r="AJ91" s="12" t="str">
        <f>IFERROR(__xludf.DUMMYFUNCTION("""COMPUTED_VALUE"""),"C")</f>
        <v>C</v>
      </c>
      <c r="AK91" s="12">
        <f>IFERROR(__xludf.DUMMYFUNCTION("""COMPUTED_VALUE"""),163.0)</f>
        <v>163</v>
      </c>
      <c r="AL91" s="12" t="str">
        <f>IFERROR(__xludf.DUMMYFUNCTION("""COMPUTED_VALUE"""),"KITCHEN-IT")</f>
        <v>KITCHEN-IT</v>
      </c>
      <c r="AM91" s="12"/>
      <c r="AN91" s="12"/>
      <c r="AO91" s="12"/>
      <c r="AP91" s="12"/>
      <c r="AQ91" s="12"/>
      <c r="BC91" s="12"/>
      <c r="BH91" s="12" t="str">
        <f>IFERROR(__xludf.DUMMYFUNCTION("IFERROR(INDEX(QUERY(IMPORTRANGE(""1T7HG8KEs-Ob7f3M5atEVN9Yn7IeORGp0QGvggB62ELw"",""Maestro!A:I""),""SELECT Col8 WHERE Col3 = '""&amp;BE91&amp;""'"", 0), 1, 1),""NO ENCONTRADO"")"),"D")</f>
        <v>D</v>
      </c>
      <c r="BI91" s="16">
        <v>1.0</v>
      </c>
      <c r="BJ91" s="16">
        <f t="shared" si="4"/>
        <v>150</v>
      </c>
      <c r="BK91" s="12"/>
      <c r="BR91" s="12"/>
      <c r="BY91" s="14"/>
      <c r="BZ91" s="14"/>
      <c r="CA91" s="14"/>
      <c r="CB91" s="14"/>
      <c r="CC91" s="14"/>
      <c r="CD91" s="14"/>
      <c r="CE91" s="14"/>
      <c r="CF91" s="12"/>
      <c r="CG91" s="12"/>
      <c r="CH91" s="12"/>
      <c r="CI91" s="12"/>
      <c r="CJ91" s="12"/>
      <c r="CK91" s="12"/>
      <c r="CL91" s="12"/>
      <c r="CM91" s="12"/>
      <c r="CN91" s="12"/>
      <c r="CO91" s="12"/>
    </row>
    <row r="92">
      <c r="A92" s="123">
        <v>3.0</v>
      </c>
      <c r="B92" s="94" t="s">
        <v>48</v>
      </c>
      <c r="C92" s="94" t="s">
        <v>188</v>
      </c>
      <c r="D92" s="95" t="str">
        <f t="shared" si="1"/>
        <v>3-7-5A</v>
      </c>
      <c r="E92" s="141"/>
      <c r="F92" s="137"/>
      <c r="G92" s="138"/>
      <c r="H92" s="138"/>
      <c r="I92" s="142"/>
      <c r="J92" s="138"/>
      <c r="K92" s="27" t="str">
        <f t="shared" si="2"/>
        <v>DISPONIBLE</v>
      </c>
      <c r="L92" s="28">
        <f t="shared" si="3"/>
        <v>91</v>
      </c>
      <c r="M92" s="28" t="s">
        <v>23</v>
      </c>
      <c r="N92" s="314"/>
      <c r="O92" s="29"/>
      <c r="P92" s="12"/>
      <c r="Q92" s="12"/>
      <c r="R92" s="12"/>
      <c r="S92" s="12"/>
      <c r="T92" s="12"/>
      <c r="U92" s="12"/>
      <c r="V92" s="12"/>
      <c r="AB92" s="12"/>
      <c r="AC92" s="12" t="str">
        <f>IFERROR(__xludf.DUMMYFUNCTION("""COMPUTED_VALUE"""),"4-11-D")</f>
        <v>4-11-D</v>
      </c>
      <c r="AD92" s="12" t="str">
        <f>IFERROR(__xludf.DUMMYFUNCTION("""COMPUTED_VALUE"""),"FAPE5L")</f>
        <v>FAPE5L</v>
      </c>
      <c r="AE92" s="12" t="str">
        <f>IFERROR(__xludf.DUMMYFUNCTION("""COMPUTED_VALUE"""),"Freidora de Aire Plus Edition 5L")</f>
        <v>Freidora de Aire Plus Edition 5L</v>
      </c>
      <c r="AF92" s="30">
        <f>IFERROR(__xludf.DUMMYFUNCTION("""COMPUTED_VALUE"""),72.0)</f>
        <v>72</v>
      </c>
      <c r="AG92" s="12" t="str">
        <f>IFERROR(__xludf.DUMMYFUNCTION("""COMPUTED_VALUE"""),"Contenedor")</f>
        <v>Contenedor</v>
      </c>
      <c r="AH92" s="12">
        <f>IFERROR(__xludf.DUMMYFUNCTION("""COMPUTED_VALUE"""),4.0)</f>
        <v>4</v>
      </c>
      <c r="AI92" s="12" t="str">
        <f>IFERROR(__xludf.DUMMYFUNCTION("""COMPUTED_VALUE"""),"11")</f>
        <v>11</v>
      </c>
      <c r="AJ92" s="12" t="str">
        <f>IFERROR(__xludf.DUMMYFUNCTION("""COMPUTED_VALUE"""),"D")</f>
        <v>D</v>
      </c>
      <c r="AK92" s="12">
        <f>IFERROR(__xludf.DUMMYFUNCTION("""COMPUTED_VALUE"""),164.0)</f>
        <v>164</v>
      </c>
      <c r="AL92" s="12" t="str">
        <f>IFERROR(__xludf.DUMMYFUNCTION("""COMPUTED_VALUE"""),"KITCHEN-IT")</f>
        <v>KITCHEN-IT</v>
      </c>
      <c r="AM92" s="12"/>
      <c r="AN92" s="12"/>
      <c r="AO92" s="12"/>
      <c r="AP92" s="12"/>
      <c r="AQ92" s="12"/>
      <c r="BC92" s="12"/>
      <c r="BH92" s="12" t="str">
        <f>IFERROR(__xludf.DUMMYFUNCTION("IFERROR(INDEX(QUERY(IMPORTRANGE(""1T7HG8KEs-Ob7f3M5atEVN9Yn7IeORGp0QGvggB62ELw"",""Maestro!A:I""),""SELECT Col8 WHERE Col3 = '""&amp;BE92&amp;""'"", 0), 1, 1),""NO ENCONTRADO"")"),"D")</f>
        <v>D</v>
      </c>
      <c r="BI92" s="16">
        <v>1.0</v>
      </c>
      <c r="BJ92" s="16">
        <f t="shared" si="4"/>
        <v>150</v>
      </c>
      <c r="BK92" s="12"/>
      <c r="BR92" s="12"/>
      <c r="BY92" s="14"/>
      <c r="BZ92" s="14"/>
      <c r="CA92" s="14"/>
      <c r="CB92" s="14"/>
      <c r="CC92" s="14"/>
      <c r="CD92" s="14"/>
      <c r="CE92" s="14"/>
      <c r="CF92" s="12"/>
      <c r="CG92" s="12"/>
      <c r="CH92" s="12"/>
      <c r="CI92" s="12"/>
      <c r="CJ92" s="12"/>
      <c r="CK92" s="12"/>
      <c r="CL92" s="12"/>
      <c r="CM92" s="12"/>
      <c r="CN92" s="12"/>
      <c r="CO92" s="12"/>
    </row>
    <row r="93">
      <c r="A93" s="92">
        <v>3.0</v>
      </c>
      <c r="B93" s="93" t="s">
        <v>216</v>
      </c>
      <c r="C93" s="94" t="s">
        <v>18</v>
      </c>
      <c r="D93" s="95" t="str">
        <f t="shared" si="1"/>
        <v>3-NV-1</v>
      </c>
      <c r="E93" s="96">
        <v>45733.0</v>
      </c>
      <c r="F93" s="97" t="s">
        <v>19</v>
      </c>
      <c r="G93" s="98" t="s">
        <v>167</v>
      </c>
      <c r="H93" s="99" t="s">
        <v>761</v>
      </c>
      <c r="I93" s="100">
        <v>23.0</v>
      </c>
      <c r="J93" s="101" t="s">
        <v>22</v>
      </c>
      <c r="K93" s="32" t="str">
        <f t="shared" si="2"/>
        <v>OCUPADO</v>
      </c>
      <c r="L93" s="33">
        <f t="shared" si="3"/>
        <v>92</v>
      </c>
      <c r="M93" s="33" t="s">
        <v>485</v>
      </c>
      <c r="N93" s="53"/>
      <c r="O93" s="34" t="s">
        <v>24</v>
      </c>
      <c r="P93" s="12"/>
      <c r="Q93" s="12"/>
      <c r="R93" s="12"/>
      <c r="S93" s="12"/>
      <c r="T93" s="12"/>
      <c r="U93" s="12"/>
      <c r="V93" s="12"/>
      <c r="AB93" s="12"/>
      <c r="AC93" s="12" t="str">
        <f>IFERROR(__xludf.DUMMYFUNCTION("""COMPUTED_VALUE"""),"4-12-A")</f>
        <v>4-12-A</v>
      </c>
      <c r="AD93" s="12" t="str">
        <f>IFERROR(__xludf.DUMMYFUNCTION("""COMPUTED_VALUE"""),"FAPE5L")</f>
        <v>FAPE5L</v>
      </c>
      <c r="AE93" s="12" t="str">
        <f>IFERROR(__xludf.DUMMYFUNCTION("""COMPUTED_VALUE"""),"Freidora de Aire Plus Edition 5L")</f>
        <v>Freidora de Aire Plus Edition 5L</v>
      </c>
      <c r="AF93" s="30">
        <f>IFERROR(__xludf.DUMMYFUNCTION("""COMPUTED_VALUE"""),72.0)</f>
        <v>72</v>
      </c>
      <c r="AG93" s="12" t="str">
        <f>IFERROR(__xludf.DUMMYFUNCTION("""COMPUTED_VALUE"""),"Contenedor")</f>
        <v>Contenedor</v>
      </c>
      <c r="AH93" s="12">
        <f>IFERROR(__xludf.DUMMYFUNCTION("""COMPUTED_VALUE"""),4.0)</f>
        <v>4</v>
      </c>
      <c r="AI93" s="12" t="str">
        <f>IFERROR(__xludf.DUMMYFUNCTION("""COMPUTED_VALUE"""),"12")</f>
        <v>12</v>
      </c>
      <c r="AJ93" s="12" t="str">
        <f>IFERROR(__xludf.DUMMYFUNCTION("""COMPUTED_VALUE"""),"A")</f>
        <v>A</v>
      </c>
      <c r="AK93" s="12">
        <f>IFERROR(__xludf.DUMMYFUNCTION("""COMPUTED_VALUE"""),165.0)</f>
        <v>165</v>
      </c>
      <c r="AL93" s="12" t="str">
        <f>IFERROR(__xludf.DUMMYFUNCTION("""COMPUTED_VALUE"""),"KITCHEN-IT")</f>
        <v>KITCHEN-IT</v>
      </c>
      <c r="AM93" s="12"/>
      <c r="AN93" s="12"/>
      <c r="AO93" s="12"/>
      <c r="AP93" s="12"/>
      <c r="AQ93" s="12"/>
      <c r="BC93" s="12"/>
      <c r="BH93" s="12" t="str">
        <f>IFERROR(__xludf.DUMMYFUNCTION("IFERROR(INDEX(QUERY(IMPORTRANGE(""1T7HG8KEs-Ob7f3M5atEVN9Yn7IeORGp0QGvggB62ELw"",""Maestro!A:I""),""SELECT Col8 WHERE Col3 = '""&amp;BE93&amp;""'"", 0), 1, 1),""NO ENCONTRADO"")"),"D")</f>
        <v>D</v>
      </c>
      <c r="BI93" s="16">
        <v>1.0</v>
      </c>
      <c r="BJ93" s="16">
        <f t="shared" si="4"/>
        <v>205</v>
      </c>
      <c r="BK93" s="12"/>
      <c r="BR93" s="12"/>
      <c r="BY93" s="14"/>
      <c r="BZ93" s="14"/>
      <c r="CA93" s="14"/>
      <c r="CB93" s="14"/>
      <c r="CC93" s="14"/>
      <c r="CD93" s="14"/>
      <c r="CE93" s="14"/>
      <c r="CF93" s="12"/>
      <c r="CG93" s="12"/>
      <c r="CH93" s="12"/>
      <c r="CI93" s="12"/>
      <c r="CJ93" s="12"/>
      <c r="CK93" s="12"/>
      <c r="CL93" s="12"/>
      <c r="CM93" s="12"/>
      <c r="CN93" s="12"/>
      <c r="CO93" s="12"/>
    </row>
    <row r="94">
      <c r="A94" s="92">
        <v>3.0</v>
      </c>
      <c r="B94" s="93" t="s">
        <v>216</v>
      </c>
      <c r="C94" s="94" t="s">
        <v>32</v>
      </c>
      <c r="D94" s="95" t="str">
        <f t="shared" si="1"/>
        <v>3-NV-2</v>
      </c>
      <c r="E94" s="110"/>
      <c r="F94" s="124"/>
      <c r="G94" s="112"/>
      <c r="H94" s="113"/>
      <c r="I94" s="114"/>
      <c r="J94" s="115"/>
      <c r="K94" s="27" t="str">
        <f t="shared" si="2"/>
        <v>DISPONIBLE</v>
      </c>
      <c r="L94" s="28">
        <f t="shared" si="3"/>
        <v>93</v>
      </c>
      <c r="M94" s="28" t="s">
        <v>485</v>
      </c>
      <c r="N94" s="70"/>
      <c r="O94" s="29"/>
      <c r="P94" s="12"/>
      <c r="Q94" s="12"/>
      <c r="R94" s="12"/>
      <c r="S94" s="12"/>
      <c r="T94" s="12"/>
      <c r="U94" s="12"/>
      <c r="V94" s="12"/>
      <c r="AB94" s="12"/>
      <c r="AC94" s="12" t="str">
        <f>IFERROR(__xludf.DUMMYFUNCTION("""COMPUTED_VALUE"""),"4-12-B")</f>
        <v>4-12-B</v>
      </c>
      <c r="AD94" s="12" t="str">
        <f>IFERROR(__xludf.DUMMYFUNCTION("""COMPUTED_VALUE"""),"FAPE5L")</f>
        <v>FAPE5L</v>
      </c>
      <c r="AE94" s="12" t="str">
        <f>IFERROR(__xludf.DUMMYFUNCTION("""COMPUTED_VALUE"""),"Freidora de Aire Plus Edition 5L")</f>
        <v>Freidora de Aire Plus Edition 5L</v>
      </c>
      <c r="AF94" s="30">
        <f>IFERROR(__xludf.DUMMYFUNCTION("""COMPUTED_VALUE"""),72.0)</f>
        <v>72</v>
      </c>
      <c r="AG94" s="12" t="str">
        <f>IFERROR(__xludf.DUMMYFUNCTION("""COMPUTED_VALUE"""),"Contenedor")</f>
        <v>Contenedor</v>
      </c>
      <c r="AH94" s="12">
        <f>IFERROR(__xludf.DUMMYFUNCTION("""COMPUTED_VALUE"""),4.0)</f>
        <v>4</v>
      </c>
      <c r="AI94" s="12" t="str">
        <f>IFERROR(__xludf.DUMMYFUNCTION("""COMPUTED_VALUE"""),"12")</f>
        <v>12</v>
      </c>
      <c r="AJ94" s="12" t="str">
        <f>IFERROR(__xludf.DUMMYFUNCTION("""COMPUTED_VALUE"""),"B")</f>
        <v>B</v>
      </c>
      <c r="AK94" s="12">
        <f>IFERROR(__xludf.DUMMYFUNCTION("""COMPUTED_VALUE"""),166.0)</f>
        <v>166</v>
      </c>
      <c r="AL94" s="12" t="str">
        <f>IFERROR(__xludf.DUMMYFUNCTION("""COMPUTED_VALUE"""),"KITCHEN-IT")</f>
        <v>KITCHEN-IT</v>
      </c>
      <c r="AM94" s="12"/>
      <c r="AN94" s="12"/>
      <c r="AO94" s="12"/>
      <c r="AP94" s="12"/>
      <c r="AQ94" s="12"/>
      <c r="BC94" s="12"/>
      <c r="BH94" s="12" t="str">
        <f>IFERROR(__xludf.DUMMYFUNCTION("IFERROR(INDEX(QUERY(IMPORTRANGE(""1T7HG8KEs-Ob7f3M5atEVN9Yn7IeORGp0QGvggB62ELw"",""Maestro!A:I""),""SELECT Col8 WHERE Col3 = '""&amp;BE94&amp;""'"", 0), 1, 1),""NO ENCONTRADO"")"),"D")</f>
        <v>D</v>
      </c>
      <c r="BI94" s="16">
        <v>1.0</v>
      </c>
      <c r="BJ94" s="16">
        <f t="shared" si="4"/>
        <v>150</v>
      </c>
      <c r="BK94" s="12"/>
      <c r="BR94" s="12"/>
      <c r="BY94" s="14"/>
      <c r="BZ94" s="14"/>
      <c r="CA94" s="14"/>
      <c r="CB94" s="14"/>
      <c r="CC94" s="14"/>
      <c r="CD94" s="14"/>
      <c r="CE94" s="14"/>
      <c r="CF94" s="12"/>
      <c r="CG94" s="12"/>
      <c r="CH94" s="12"/>
      <c r="CI94" s="12"/>
      <c r="CJ94" s="12"/>
      <c r="CK94" s="12"/>
      <c r="CL94" s="12"/>
      <c r="CM94" s="12"/>
      <c r="CN94" s="12"/>
      <c r="CO94" s="12"/>
    </row>
    <row r="95">
      <c r="A95" s="92">
        <v>3.0</v>
      </c>
      <c r="B95" s="94" t="s">
        <v>216</v>
      </c>
      <c r="C95" s="94" t="s">
        <v>44</v>
      </c>
      <c r="D95" s="95" t="str">
        <f t="shared" si="1"/>
        <v>3-NV-3</v>
      </c>
      <c r="E95" s="96">
        <v>45762.0</v>
      </c>
      <c r="F95" s="97" t="s">
        <v>769</v>
      </c>
      <c r="G95" s="98" t="s">
        <v>172</v>
      </c>
      <c r="H95" s="99" t="s">
        <v>50</v>
      </c>
      <c r="I95" s="100">
        <v>6.0</v>
      </c>
      <c r="J95" s="101" t="s">
        <v>22</v>
      </c>
      <c r="K95" s="32" t="str">
        <f t="shared" si="2"/>
        <v>OCUPADO</v>
      </c>
      <c r="L95" s="33">
        <f t="shared" si="3"/>
        <v>94</v>
      </c>
      <c r="M95" s="33" t="s">
        <v>485</v>
      </c>
      <c r="N95" s="53"/>
      <c r="O95" s="34" t="s">
        <v>24</v>
      </c>
      <c r="P95" s="12"/>
      <c r="Q95" s="12"/>
      <c r="R95" s="12"/>
      <c r="S95" s="12"/>
      <c r="T95" s="12"/>
      <c r="U95" s="12"/>
      <c r="V95" s="12"/>
      <c r="AB95" s="12"/>
      <c r="AC95" s="12" t="str">
        <f>IFERROR(__xludf.DUMMYFUNCTION("""COMPUTED_VALUE"""),"4-12-C")</f>
        <v>4-12-C</v>
      </c>
      <c r="AD95" s="12" t="str">
        <f>IFERROR(__xludf.DUMMYFUNCTION("""COMPUTED_VALUE"""),"FAPE5L")</f>
        <v>FAPE5L</v>
      </c>
      <c r="AE95" s="12" t="str">
        <f>IFERROR(__xludf.DUMMYFUNCTION("""COMPUTED_VALUE"""),"Freidora de Aire Plus Edition 5L")</f>
        <v>Freidora de Aire Plus Edition 5L</v>
      </c>
      <c r="AF95" s="30">
        <f>IFERROR(__xludf.DUMMYFUNCTION("""COMPUTED_VALUE"""),72.0)</f>
        <v>72</v>
      </c>
      <c r="AG95" s="12" t="str">
        <f>IFERROR(__xludf.DUMMYFUNCTION("""COMPUTED_VALUE"""),"Contenedor")</f>
        <v>Contenedor</v>
      </c>
      <c r="AH95" s="12">
        <f>IFERROR(__xludf.DUMMYFUNCTION("""COMPUTED_VALUE"""),4.0)</f>
        <v>4</v>
      </c>
      <c r="AI95" s="12" t="str">
        <f>IFERROR(__xludf.DUMMYFUNCTION("""COMPUTED_VALUE"""),"12")</f>
        <v>12</v>
      </c>
      <c r="AJ95" s="12" t="str">
        <f>IFERROR(__xludf.DUMMYFUNCTION("""COMPUTED_VALUE"""),"C")</f>
        <v>C</v>
      </c>
      <c r="AK95" s="12">
        <f>IFERROR(__xludf.DUMMYFUNCTION("""COMPUTED_VALUE"""),167.0)</f>
        <v>167</v>
      </c>
      <c r="AL95" s="12" t="str">
        <f>IFERROR(__xludf.DUMMYFUNCTION("""COMPUTED_VALUE"""),"KITCHEN-IT")</f>
        <v>KITCHEN-IT</v>
      </c>
      <c r="AM95" s="12"/>
      <c r="AN95" s="12"/>
      <c r="AO95" s="12"/>
      <c r="AP95" s="12"/>
      <c r="AQ95" s="12"/>
      <c r="BC95" s="12"/>
      <c r="BH95" s="12" t="str">
        <f>IFERROR(__xludf.DUMMYFUNCTION("IFERROR(INDEX(QUERY(IMPORTRANGE(""1T7HG8KEs-Ob7f3M5atEVN9Yn7IeORGp0QGvggB62ELw"",""Maestro!A:I""),""SELECT Col8 WHERE Col3 = '""&amp;BE95&amp;""'"", 0), 1, 1),""NO ENCONTRADO"")"),"D")</f>
        <v>D</v>
      </c>
      <c r="BI95" s="16">
        <v>1.0</v>
      </c>
      <c r="BJ95" s="16">
        <f t="shared" si="4"/>
        <v>5</v>
      </c>
      <c r="BK95" s="12"/>
      <c r="BR95" s="12"/>
      <c r="BY95" s="14"/>
      <c r="BZ95" s="14"/>
      <c r="CA95" s="14"/>
      <c r="CB95" s="14"/>
      <c r="CC95" s="14"/>
      <c r="CD95" s="14"/>
      <c r="CE95" s="14"/>
      <c r="CF95" s="12"/>
      <c r="CG95" s="12"/>
      <c r="CH95" s="12"/>
      <c r="CI95" s="12"/>
      <c r="CJ95" s="12"/>
      <c r="CK95" s="12"/>
      <c r="CL95" s="12"/>
      <c r="CM95" s="12"/>
      <c r="CN95" s="12"/>
      <c r="CO95" s="12"/>
    </row>
    <row r="96">
      <c r="A96" s="92">
        <v>3.0</v>
      </c>
      <c r="B96" s="94" t="s">
        <v>216</v>
      </c>
      <c r="C96" s="94" t="s">
        <v>53</v>
      </c>
      <c r="D96" s="95" t="str">
        <f t="shared" si="1"/>
        <v>3-NV-4</v>
      </c>
      <c r="E96" s="110"/>
      <c r="F96" s="124"/>
      <c r="G96" s="112"/>
      <c r="H96" s="113"/>
      <c r="I96" s="48"/>
      <c r="J96" s="115"/>
      <c r="K96" s="27" t="str">
        <f t="shared" si="2"/>
        <v>DISPONIBLE</v>
      </c>
      <c r="L96" s="28">
        <f t="shared" si="3"/>
        <v>95</v>
      </c>
      <c r="M96" s="28" t="s">
        <v>485</v>
      </c>
      <c r="N96" s="70"/>
      <c r="O96" s="29"/>
      <c r="P96" s="12"/>
      <c r="Q96" s="12"/>
      <c r="R96" s="12"/>
      <c r="S96" s="12"/>
      <c r="T96" s="12"/>
      <c r="U96" s="12"/>
      <c r="V96" s="12"/>
      <c r="AB96" s="12"/>
      <c r="AC96" s="12" t="str">
        <f>IFERROR(__xludf.DUMMYFUNCTION("""COMPUTED_VALUE"""),"4-12-D")</f>
        <v>4-12-D</v>
      </c>
      <c r="AD96" s="12" t="str">
        <f>IFERROR(__xludf.DUMMYFUNCTION("""COMPUTED_VALUE"""),"FAPE5L")</f>
        <v>FAPE5L</v>
      </c>
      <c r="AE96" s="12" t="str">
        <f>IFERROR(__xludf.DUMMYFUNCTION("""COMPUTED_VALUE"""),"Freidora de Aire Plus Edition 5L")</f>
        <v>Freidora de Aire Plus Edition 5L</v>
      </c>
      <c r="AF96" s="30">
        <f>IFERROR(__xludf.DUMMYFUNCTION("""COMPUTED_VALUE"""),72.0)</f>
        <v>72</v>
      </c>
      <c r="AG96" s="12" t="str">
        <f>IFERROR(__xludf.DUMMYFUNCTION("""COMPUTED_VALUE"""),"Contenedor")</f>
        <v>Contenedor</v>
      </c>
      <c r="AH96" s="12">
        <f>IFERROR(__xludf.DUMMYFUNCTION("""COMPUTED_VALUE"""),4.0)</f>
        <v>4</v>
      </c>
      <c r="AI96" s="12" t="str">
        <f>IFERROR(__xludf.DUMMYFUNCTION("""COMPUTED_VALUE"""),"12")</f>
        <v>12</v>
      </c>
      <c r="AJ96" s="12" t="str">
        <f>IFERROR(__xludf.DUMMYFUNCTION("""COMPUTED_VALUE"""),"D")</f>
        <v>D</v>
      </c>
      <c r="AK96" s="12">
        <f>IFERROR(__xludf.DUMMYFUNCTION("""COMPUTED_VALUE"""),168.0)</f>
        <v>168</v>
      </c>
      <c r="AL96" s="12" t="str">
        <f>IFERROR(__xludf.DUMMYFUNCTION("""COMPUTED_VALUE"""),"KITCHEN-IT")</f>
        <v>KITCHEN-IT</v>
      </c>
      <c r="AM96" s="12"/>
      <c r="AN96" s="12"/>
      <c r="AO96" s="12"/>
      <c r="AP96" s="12"/>
      <c r="AQ96" s="12"/>
      <c r="BC96" s="12"/>
      <c r="BH96" s="12" t="str">
        <f>IFERROR(__xludf.DUMMYFUNCTION("IFERROR(INDEX(QUERY(IMPORTRANGE(""1T7HG8KEs-Ob7f3M5atEVN9Yn7IeORGp0QGvggB62ELw"",""Maestro!A:I""),""SELECT Col8 WHERE Col3 = '""&amp;BE96&amp;""'"", 0), 1, 1),""NO ENCONTRADO"")"),"D")</f>
        <v>D</v>
      </c>
      <c r="BI96" s="16">
        <v>1.0</v>
      </c>
      <c r="BJ96" s="16">
        <f t="shared" si="4"/>
        <v>150</v>
      </c>
      <c r="BK96" s="12"/>
      <c r="BR96" s="12"/>
      <c r="BY96" s="14"/>
      <c r="BZ96" s="14"/>
      <c r="CA96" s="14"/>
      <c r="CB96" s="14"/>
      <c r="CC96" s="14"/>
      <c r="CD96" s="14"/>
      <c r="CE96" s="14"/>
      <c r="CF96" s="12"/>
      <c r="CG96" s="12"/>
      <c r="CH96" s="12"/>
      <c r="CI96" s="12"/>
      <c r="CJ96" s="12"/>
      <c r="CK96" s="12"/>
      <c r="CL96" s="12"/>
      <c r="CM96" s="12"/>
      <c r="CN96" s="12"/>
      <c r="CO96" s="12"/>
    </row>
    <row r="97">
      <c r="A97" s="92">
        <v>3.0</v>
      </c>
      <c r="B97" s="93" t="s">
        <v>254</v>
      </c>
      <c r="C97" s="94" t="s">
        <v>119</v>
      </c>
      <c r="D97" s="95" t="str">
        <f t="shared" si="1"/>
        <v>3-R-1A</v>
      </c>
      <c r="E97" s="96">
        <v>45733.0</v>
      </c>
      <c r="F97" s="97" t="s">
        <v>19</v>
      </c>
      <c r="G97" s="98" t="s">
        <v>167</v>
      </c>
      <c r="H97" s="99" t="s">
        <v>761</v>
      </c>
      <c r="I97" s="100">
        <v>10.0</v>
      </c>
      <c r="J97" s="101" t="s">
        <v>22</v>
      </c>
      <c r="K97" s="32" t="str">
        <f t="shared" si="2"/>
        <v>OCUPADO</v>
      </c>
      <c r="L97" s="33">
        <f t="shared" si="3"/>
        <v>96</v>
      </c>
      <c r="M97" s="33" t="s">
        <v>501</v>
      </c>
      <c r="N97" s="53"/>
      <c r="O97" s="34" t="s">
        <v>24</v>
      </c>
      <c r="P97" s="12"/>
      <c r="Q97" s="12"/>
      <c r="R97" s="12"/>
      <c r="S97" s="12"/>
      <c r="T97" s="12"/>
      <c r="U97" s="12"/>
      <c r="V97" s="12"/>
      <c r="AB97" s="12"/>
      <c r="AC97" s="12" t="str">
        <f>IFERROR(__xludf.DUMMYFUNCTION("""COMPUTED_VALUE"""),"4-13-A")</f>
        <v>4-13-A</v>
      </c>
      <c r="AD97" s="12" t="str">
        <f>IFERROR(__xludf.DUMMYFUNCTION("""COMPUTED_VALUE"""),"FAPE5L")</f>
        <v>FAPE5L</v>
      </c>
      <c r="AE97" s="12" t="str">
        <f>IFERROR(__xludf.DUMMYFUNCTION("""COMPUTED_VALUE"""),"Freidora de Aire Plus Edition 5L")</f>
        <v>Freidora de Aire Plus Edition 5L</v>
      </c>
      <c r="AF97" s="30">
        <f>IFERROR(__xludf.DUMMYFUNCTION("""COMPUTED_VALUE"""),72.0)</f>
        <v>72</v>
      </c>
      <c r="AG97" s="12" t="str">
        <f>IFERROR(__xludf.DUMMYFUNCTION("""COMPUTED_VALUE"""),"Contenedor")</f>
        <v>Contenedor</v>
      </c>
      <c r="AH97" s="12">
        <f>IFERROR(__xludf.DUMMYFUNCTION("""COMPUTED_VALUE"""),4.0)</f>
        <v>4</v>
      </c>
      <c r="AI97" s="12" t="str">
        <f>IFERROR(__xludf.DUMMYFUNCTION("""COMPUTED_VALUE"""),"13")</f>
        <v>13</v>
      </c>
      <c r="AJ97" s="12" t="str">
        <f>IFERROR(__xludf.DUMMYFUNCTION("""COMPUTED_VALUE"""),"A")</f>
        <v>A</v>
      </c>
      <c r="AK97" s="12">
        <f>IFERROR(__xludf.DUMMYFUNCTION("""COMPUTED_VALUE"""),169.0)</f>
        <v>169</v>
      </c>
      <c r="AL97" s="12" t="str">
        <f>IFERROR(__xludf.DUMMYFUNCTION("""COMPUTED_VALUE"""),"KITCHEN-IT")</f>
        <v>KITCHEN-IT</v>
      </c>
      <c r="AM97" s="12"/>
      <c r="AN97" s="12"/>
      <c r="AO97" s="12"/>
      <c r="AP97" s="12"/>
      <c r="AQ97" s="12"/>
      <c r="BC97" s="12"/>
      <c r="BH97" s="12" t="str">
        <f>IFERROR(__xludf.DUMMYFUNCTION("IFERROR(INDEX(QUERY(IMPORTRANGE(""1T7HG8KEs-Ob7f3M5atEVN9Yn7IeORGp0QGvggB62ELw"",""Maestro!A:I""),""SELECT Col8 WHERE Col3 = '""&amp;BE97&amp;""'"", 0), 1, 1),""NO ENCONTRADO"")"),"D")</f>
        <v>D</v>
      </c>
      <c r="BI97" s="16">
        <v>1.0</v>
      </c>
      <c r="BJ97" s="16">
        <f t="shared" si="4"/>
        <v>93</v>
      </c>
      <c r="BK97" s="12"/>
      <c r="BR97" s="12"/>
      <c r="BY97" s="14"/>
      <c r="BZ97" s="14"/>
      <c r="CA97" s="14"/>
      <c r="CB97" s="14"/>
      <c r="CC97" s="14"/>
      <c r="CD97" s="14"/>
      <c r="CE97" s="14"/>
      <c r="CF97" s="12"/>
      <c r="CG97" s="12"/>
      <c r="CH97" s="12"/>
      <c r="CI97" s="12"/>
      <c r="CJ97" s="12"/>
      <c r="CK97" s="12"/>
      <c r="CL97" s="12"/>
      <c r="CM97" s="12"/>
      <c r="CN97" s="12"/>
      <c r="CO97" s="12"/>
    </row>
    <row r="98">
      <c r="A98" s="92">
        <v>3.0</v>
      </c>
      <c r="B98" s="93" t="s">
        <v>254</v>
      </c>
      <c r="C98" s="94" t="s">
        <v>255</v>
      </c>
      <c r="D98" s="95" t="str">
        <f t="shared" si="1"/>
        <v>3-R-2A1</v>
      </c>
      <c r="E98" s="116">
        <v>45733.0</v>
      </c>
      <c r="F98" s="117" t="s">
        <v>19</v>
      </c>
      <c r="G98" s="118" t="s">
        <v>128</v>
      </c>
      <c r="H98" s="119" t="s">
        <v>242</v>
      </c>
      <c r="I98" s="145">
        <v>666.0</v>
      </c>
      <c r="J98" s="121" t="s">
        <v>22</v>
      </c>
      <c r="K98" s="27" t="str">
        <f t="shared" si="2"/>
        <v>OCUPADO</v>
      </c>
      <c r="L98" s="28">
        <f t="shared" si="3"/>
        <v>97</v>
      </c>
      <c r="M98" s="28" t="s">
        <v>501</v>
      </c>
      <c r="N98" s="70"/>
      <c r="O98" s="29" t="s">
        <v>24</v>
      </c>
      <c r="P98" s="12"/>
      <c r="Q98" s="12"/>
      <c r="R98" s="12"/>
      <c r="S98" s="12"/>
      <c r="T98" s="12"/>
      <c r="U98" s="12"/>
      <c r="V98" s="12"/>
      <c r="AB98" s="12"/>
      <c r="AC98" s="12" t="str">
        <f>IFERROR(__xludf.DUMMYFUNCTION("""COMPUTED_VALUE"""),"4-13-B")</f>
        <v>4-13-B</v>
      </c>
      <c r="AD98" s="12" t="str">
        <f>IFERROR(__xludf.DUMMYFUNCTION("""COMPUTED_VALUE"""),"FAPE5L")</f>
        <v>FAPE5L</v>
      </c>
      <c r="AE98" s="12" t="str">
        <f>IFERROR(__xludf.DUMMYFUNCTION("""COMPUTED_VALUE"""),"Freidora de Aire Plus Edition 5L")</f>
        <v>Freidora de Aire Plus Edition 5L</v>
      </c>
      <c r="AF98" s="30">
        <f>IFERROR(__xludf.DUMMYFUNCTION("""COMPUTED_VALUE"""),72.0)</f>
        <v>72</v>
      </c>
      <c r="AG98" s="12" t="str">
        <f>IFERROR(__xludf.DUMMYFUNCTION("""COMPUTED_VALUE"""),"Devoluciones")</f>
        <v>Devoluciones</v>
      </c>
      <c r="AH98" s="12">
        <f>IFERROR(__xludf.DUMMYFUNCTION("""COMPUTED_VALUE"""),4.0)</f>
        <v>4</v>
      </c>
      <c r="AI98" s="12" t="str">
        <f>IFERROR(__xludf.DUMMYFUNCTION("""COMPUTED_VALUE"""),"13")</f>
        <v>13</v>
      </c>
      <c r="AJ98" s="12" t="str">
        <f>IFERROR(__xludf.DUMMYFUNCTION("""COMPUTED_VALUE"""),"B")</f>
        <v>B</v>
      </c>
      <c r="AK98" s="12">
        <f>IFERROR(__xludf.DUMMYFUNCTION("""COMPUTED_VALUE"""),170.0)</f>
        <v>170</v>
      </c>
      <c r="AL98" s="12" t="str">
        <f>IFERROR(__xludf.DUMMYFUNCTION("""COMPUTED_VALUE"""),"KITCHEN-IT")</f>
        <v>KITCHEN-IT</v>
      </c>
      <c r="AM98" s="12"/>
      <c r="AN98" s="12"/>
      <c r="AO98" s="12"/>
      <c r="AP98" s="12"/>
      <c r="AQ98" s="12"/>
      <c r="BC98" s="12"/>
      <c r="BH98" s="12" t="str">
        <f>IFERROR(__xludf.DUMMYFUNCTION("IFERROR(INDEX(QUERY(IMPORTRANGE(""1T7HG8KEs-Ob7f3M5atEVN9Yn7IeORGp0QGvggB62ELw"",""Maestro!A:I""),""SELECT Col8 WHERE Col3 = '""&amp;BE98&amp;""'"", 0), 1, 1),""NO ENCONTRADO"")"),"D")</f>
        <v>D</v>
      </c>
      <c r="BI98" s="16">
        <v>1.0</v>
      </c>
      <c r="BJ98" s="16">
        <f t="shared" si="4"/>
        <v>150</v>
      </c>
      <c r="BK98" s="12"/>
      <c r="BL98" s="12"/>
      <c r="BM98" s="12"/>
      <c r="BN98" s="12"/>
      <c r="BO98" s="12"/>
      <c r="BP98" s="12"/>
      <c r="BQ98" s="12"/>
      <c r="BR98" s="12"/>
      <c r="BY98" s="14"/>
      <c r="BZ98" s="14"/>
      <c r="CA98" s="14"/>
      <c r="CB98" s="14"/>
      <c r="CC98" s="14"/>
      <c r="CD98" s="14"/>
      <c r="CE98" s="14"/>
      <c r="CF98" s="12"/>
      <c r="CG98" s="12"/>
      <c r="CH98" s="12"/>
      <c r="CI98" s="12"/>
      <c r="CJ98" s="12"/>
      <c r="CK98" s="12"/>
      <c r="CL98" s="12"/>
      <c r="CM98" s="12"/>
      <c r="CN98" s="12"/>
      <c r="CO98" s="12"/>
    </row>
    <row r="99">
      <c r="A99" s="92">
        <v>3.0</v>
      </c>
      <c r="B99" s="93" t="s">
        <v>254</v>
      </c>
      <c r="C99" s="94" t="s">
        <v>262</v>
      </c>
      <c r="D99" s="95" t="str">
        <f t="shared" si="1"/>
        <v>3-R-2A2</v>
      </c>
      <c r="E99" s="116">
        <v>45733.0</v>
      </c>
      <c r="F99" s="117" t="s">
        <v>19</v>
      </c>
      <c r="G99" s="118" t="s">
        <v>128</v>
      </c>
      <c r="H99" s="119" t="s">
        <v>242</v>
      </c>
      <c r="I99" s="145">
        <v>666.0</v>
      </c>
      <c r="J99" s="121" t="s">
        <v>22</v>
      </c>
      <c r="K99" s="32" t="str">
        <f t="shared" si="2"/>
        <v>OCUPADO</v>
      </c>
      <c r="L99" s="33">
        <f t="shared" si="3"/>
        <v>98</v>
      </c>
      <c r="M99" s="33" t="s">
        <v>501</v>
      </c>
      <c r="N99" s="53"/>
      <c r="O99" s="34" t="s">
        <v>24</v>
      </c>
      <c r="P99" s="12"/>
      <c r="Q99" s="12"/>
      <c r="R99" s="12"/>
      <c r="S99" s="12"/>
      <c r="T99" s="12"/>
      <c r="U99" s="12"/>
      <c r="V99" s="12"/>
      <c r="AB99" s="12"/>
      <c r="AC99" s="12" t="str">
        <f>IFERROR(__xludf.DUMMYFUNCTION("""COMPUTED_VALUE"""),"4-13-C")</f>
        <v>4-13-C</v>
      </c>
      <c r="AD99" s="12" t="str">
        <f>IFERROR(__xludf.DUMMYFUNCTION("""COMPUTED_VALUE"""),"FAPE5L")</f>
        <v>FAPE5L</v>
      </c>
      <c r="AE99" s="12" t="str">
        <f>IFERROR(__xludf.DUMMYFUNCTION("""COMPUTED_VALUE"""),"Freidora de Aire Plus Edition 5L")</f>
        <v>Freidora de Aire Plus Edition 5L</v>
      </c>
      <c r="AF99" s="30">
        <f>IFERROR(__xludf.DUMMYFUNCTION("""COMPUTED_VALUE"""),72.0)</f>
        <v>72</v>
      </c>
      <c r="AG99" s="12" t="str">
        <f>IFERROR(__xludf.DUMMYFUNCTION("""COMPUTED_VALUE"""),"Contenedor")</f>
        <v>Contenedor</v>
      </c>
      <c r="AH99" s="12">
        <f>IFERROR(__xludf.DUMMYFUNCTION("""COMPUTED_VALUE"""),4.0)</f>
        <v>4</v>
      </c>
      <c r="AI99" s="12" t="str">
        <f>IFERROR(__xludf.DUMMYFUNCTION("""COMPUTED_VALUE"""),"13")</f>
        <v>13</v>
      </c>
      <c r="AJ99" s="12" t="str">
        <f>IFERROR(__xludf.DUMMYFUNCTION("""COMPUTED_VALUE"""),"C")</f>
        <v>C</v>
      </c>
      <c r="AK99" s="12">
        <f>IFERROR(__xludf.DUMMYFUNCTION("""COMPUTED_VALUE"""),171.0)</f>
        <v>171</v>
      </c>
      <c r="AL99" s="12" t="str">
        <f>IFERROR(__xludf.DUMMYFUNCTION("""COMPUTED_VALUE"""),"KITCHEN-IT")</f>
        <v>KITCHEN-IT</v>
      </c>
      <c r="AM99" s="12"/>
      <c r="AN99" s="12"/>
      <c r="AO99" s="12"/>
      <c r="AP99" s="12"/>
      <c r="AQ99" s="12"/>
      <c r="BC99" s="12"/>
      <c r="BH99" s="12"/>
      <c r="BI99" s="16"/>
      <c r="BJ99" s="16"/>
      <c r="BK99" s="12"/>
      <c r="BL99" s="12"/>
      <c r="BM99" s="12"/>
      <c r="BN99" s="12"/>
      <c r="BO99" s="12"/>
      <c r="BP99" s="12"/>
      <c r="BQ99" s="12"/>
      <c r="BR99" s="12"/>
      <c r="BY99" s="14"/>
      <c r="BZ99" s="14"/>
      <c r="CA99" s="14"/>
      <c r="CB99" s="14"/>
      <c r="CC99" s="14"/>
      <c r="CD99" s="14"/>
      <c r="CE99" s="14"/>
      <c r="CF99" s="12"/>
      <c r="CG99" s="12"/>
      <c r="CH99" s="12"/>
      <c r="CI99" s="12"/>
      <c r="CJ99" s="12"/>
      <c r="CK99" s="12"/>
      <c r="CL99" s="12"/>
      <c r="CM99" s="12"/>
      <c r="CN99" s="12"/>
      <c r="CO99" s="12"/>
    </row>
    <row r="100">
      <c r="A100" s="92">
        <v>3.0</v>
      </c>
      <c r="B100" s="93" t="s">
        <v>254</v>
      </c>
      <c r="C100" s="94" t="s">
        <v>140</v>
      </c>
      <c r="D100" s="95" t="str">
        <f t="shared" si="1"/>
        <v>3-R-2B</v>
      </c>
      <c r="E100" s="96">
        <v>45733.0</v>
      </c>
      <c r="F100" s="97" t="s">
        <v>19</v>
      </c>
      <c r="G100" s="98" t="s">
        <v>167</v>
      </c>
      <c r="H100" s="99" t="s">
        <v>761</v>
      </c>
      <c r="I100" s="100">
        <v>10.0</v>
      </c>
      <c r="J100" s="101" t="s">
        <v>22</v>
      </c>
      <c r="K100" s="27" t="str">
        <f t="shared" si="2"/>
        <v>OCUPADO</v>
      </c>
      <c r="L100" s="28">
        <f>IF(B98&lt;&gt;"", ROW(A98), "")
</f>
        <v>98</v>
      </c>
      <c r="M100" s="28" t="s">
        <v>501</v>
      </c>
      <c r="N100" s="70"/>
      <c r="O100" s="29" t="s">
        <v>24</v>
      </c>
      <c r="P100" s="12"/>
      <c r="Q100" s="12"/>
      <c r="R100" s="12"/>
      <c r="S100" s="12"/>
      <c r="T100" s="12"/>
      <c r="U100" s="12"/>
      <c r="V100" s="12"/>
      <c r="AB100" s="12"/>
      <c r="AC100" s="12" t="str">
        <f>IFERROR(__xludf.DUMMYFUNCTION("""COMPUTED_VALUE"""),"4-13-D")</f>
        <v>4-13-D</v>
      </c>
      <c r="AD100" s="12" t="str">
        <f>IFERROR(__xludf.DUMMYFUNCTION("""COMPUTED_VALUE"""),"FAPE5L")</f>
        <v>FAPE5L</v>
      </c>
      <c r="AE100" s="12" t="str">
        <f>IFERROR(__xludf.DUMMYFUNCTION("""COMPUTED_VALUE"""),"Freidora de Aire Plus Edition 5L")</f>
        <v>Freidora de Aire Plus Edition 5L</v>
      </c>
      <c r="AF100" s="30">
        <f>IFERROR(__xludf.DUMMYFUNCTION("""COMPUTED_VALUE"""),38.0)</f>
        <v>38</v>
      </c>
      <c r="AG100" s="12" t="str">
        <f>IFERROR(__xludf.DUMMYFUNCTION("""COMPUTED_VALUE"""),"Contenedor")</f>
        <v>Contenedor</v>
      </c>
      <c r="AH100" s="12">
        <f>IFERROR(__xludf.DUMMYFUNCTION("""COMPUTED_VALUE"""),4.0)</f>
        <v>4</v>
      </c>
      <c r="AI100" s="12" t="str">
        <f>IFERROR(__xludf.DUMMYFUNCTION("""COMPUTED_VALUE"""),"13")</f>
        <v>13</v>
      </c>
      <c r="AJ100" s="12" t="str">
        <f>IFERROR(__xludf.DUMMYFUNCTION("""COMPUTED_VALUE"""),"D")</f>
        <v>D</v>
      </c>
      <c r="AK100" s="12">
        <f>IFERROR(__xludf.DUMMYFUNCTION("""COMPUTED_VALUE"""),172.0)</f>
        <v>172</v>
      </c>
      <c r="AL100" s="12" t="str">
        <f>IFERROR(__xludf.DUMMYFUNCTION("""COMPUTED_VALUE"""),"KITCHEN-IT")</f>
        <v>KITCHEN-IT</v>
      </c>
      <c r="AM100" s="12"/>
      <c r="AN100" s="12"/>
      <c r="AO100" s="12"/>
      <c r="AP100" s="12"/>
      <c r="AQ100" s="12"/>
      <c r="BC100" s="12"/>
      <c r="BH100" s="12" t="str">
        <f>IFERROR(__xludf.DUMMYFUNCTION("IFERROR(INDEX(QUERY(IMPORTRANGE(""1T7HG8KEs-Ob7f3M5atEVN9Yn7IeORGp0QGvggB62ELw"",""Maestro!A:I""),""SELECT Col8 WHERE Col3 = '""&amp;BE100&amp;""'"", 0), 1, 1),""NO ENCONTRADO"")"),"D")</f>
        <v>D</v>
      </c>
      <c r="BI100" s="16">
        <v>1.0</v>
      </c>
      <c r="BJ100" s="16">
        <f t="shared" ref="BJ100:BJ103" si="5">IFERROR(ROUND(IF(BH100="D",BG100/BI100,BG100*BI100),0),1)</f>
        <v>150</v>
      </c>
      <c r="BK100" s="12"/>
      <c r="BL100" s="12"/>
      <c r="BM100" s="12"/>
      <c r="BN100" s="12"/>
      <c r="BO100" s="12"/>
      <c r="BP100" s="12"/>
      <c r="BQ100" s="12"/>
      <c r="BR100" s="12"/>
      <c r="BY100" s="14"/>
      <c r="BZ100" s="14"/>
      <c r="CA100" s="14"/>
      <c r="CB100" s="14"/>
      <c r="CC100" s="14"/>
      <c r="CD100" s="14"/>
      <c r="CE100" s="14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</row>
    <row r="101">
      <c r="A101" s="92">
        <v>3.0</v>
      </c>
      <c r="B101" s="94" t="s">
        <v>234</v>
      </c>
      <c r="C101" s="94" t="s">
        <v>18</v>
      </c>
      <c r="D101" s="95" t="str">
        <f t="shared" si="1"/>
        <v>3-PRD-F1-1</v>
      </c>
      <c r="E101" s="96">
        <v>45763.0</v>
      </c>
      <c r="F101" s="97" t="s">
        <v>523</v>
      </c>
      <c r="G101" s="98" t="s">
        <v>74</v>
      </c>
      <c r="H101" s="99" t="s">
        <v>75</v>
      </c>
      <c r="I101" s="100">
        <v>20.0</v>
      </c>
      <c r="J101" s="101" t="s">
        <v>22</v>
      </c>
      <c r="K101" s="32" t="str">
        <f t="shared" si="2"/>
        <v>OCUPADO</v>
      </c>
      <c r="L101" s="33">
        <f t="shared" ref="L101:L197" si="6">IF(B100&lt;&gt;"", ROW(A100), "")
</f>
        <v>100</v>
      </c>
      <c r="M101" s="33" t="s">
        <v>515</v>
      </c>
      <c r="N101" s="33"/>
      <c r="O101" s="34" t="s">
        <v>24</v>
      </c>
      <c r="P101" s="12"/>
      <c r="Q101" s="12"/>
      <c r="R101" s="12"/>
      <c r="S101" s="12"/>
      <c r="T101" s="12"/>
      <c r="U101" s="12"/>
      <c r="V101" s="12"/>
      <c r="AB101" s="12"/>
      <c r="AC101" s="12" t="str">
        <f>IFERROR(__xludf.DUMMYFUNCTION("""COMPUTED_VALUE"""),"4-14-A")</f>
        <v>4-14-A</v>
      </c>
      <c r="AD101" s="12" t="str">
        <f>IFERROR(__xludf.DUMMYFUNCTION("""COMPUTED_VALUE"""),"FACE4L")</f>
        <v>FACE4L</v>
      </c>
      <c r="AE101" s="12" t="str">
        <f>IFERROR(__xludf.DUMMYFUNCTION("""COMPUTED_VALUE"""),"Freidora de Aire Chef Edition 4L")</f>
        <v>Freidora de Aire Chef Edition 4L</v>
      </c>
      <c r="AF101" s="30">
        <f>IFERROR(__xludf.DUMMYFUNCTION("""COMPUTED_VALUE"""),30.0)</f>
        <v>30</v>
      </c>
      <c r="AG101" s="12" t="str">
        <f>IFERROR(__xludf.DUMMYFUNCTION("""COMPUTED_VALUE"""),"Contenedor")</f>
        <v>Contenedor</v>
      </c>
      <c r="AH101" s="12">
        <f>IFERROR(__xludf.DUMMYFUNCTION("""COMPUTED_VALUE"""),4.0)</f>
        <v>4</v>
      </c>
      <c r="AI101" s="12" t="str">
        <f>IFERROR(__xludf.DUMMYFUNCTION("""COMPUTED_VALUE"""),"14")</f>
        <v>14</v>
      </c>
      <c r="AJ101" s="12" t="str">
        <f>IFERROR(__xludf.DUMMYFUNCTION("""COMPUTED_VALUE"""),"A")</f>
        <v>A</v>
      </c>
      <c r="AK101" s="12">
        <f>IFERROR(__xludf.DUMMYFUNCTION("""COMPUTED_VALUE"""),173.0)</f>
        <v>173</v>
      </c>
      <c r="AL101" s="12" t="str">
        <f>IFERROR(__xludf.DUMMYFUNCTION("""COMPUTED_VALUE"""),"KITCHEN-IT")</f>
        <v>KITCHEN-IT</v>
      </c>
      <c r="AM101" s="12"/>
      <c r="AN101" s="12"/>
      <c r="AO101" s="12"/>
      <c r="AP101" s="12"/>
      <c r="AQ101" s="12"/>
      <c r="BC101" s="12"/>
      <c r="BH101" s="12" t="str">
        <f>IFERROR(__xludf.DUMMYFUNCTION("IFERROR(INDEX(QUERY(IMPORTRANGE(""1T7HG8KEs-Ob7f3M5atEVN9Yn7IeORGp0QGvggB62ELw"",""Maestro!A:I""),""SELECT Col8 WHERE Col3 = '""&amp;BE101&amp;""'"", 0), 1, 1),""NO ENCONTRADO"")"),"D")</f>
        <v>D</v>
      </c>
      <c r="BI101" s="16">
        <v>1.0</v>
      </c>
      <c r="BJ101" s="16">
        <f t="shared" si="5"/>
        <v>150</v>
      </c>
      <c r="BK101" s="12"/>
      <c r="BL101" s="12"/>
      <c r="BM101" s="12"/>
      <c r="BN101" s="12"/>
      <c r="BO101" s="12"/>
      <c r="BP101" s="12"/>
      <c r="BQ101" s="12"/>
      <c r="BR101" s="12"/>
      <c r="BY101" s="14"/>
      <c r="BZ101" s="14"/>
      <c r="CA101" s="14"/>
      <c r="CB101" s="14"/>
      <c r="CC101" s="14"/>
      <c r="CD101" s="14"/>
      <c r="CE101" s="14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</row>
    <row r="102">
      <c r="A102" s="92">
        <v>3.0</v>
      </c>
      <c r="B102" s="94" t="s">
        <v>234</v>
      </c>
      <c r="C102" s="94" t="s">
        <v>32</v>
      </c>
      <c r="D102" s="95" t="str">
        <f t="shared" si="1"/>
        <v>3-PRD-F1-2</v>
      </c>
      <c r="E102" s="96">
        <v>45763.0</v>
      </c>
      <c r="F102" s="97" t="s">
        <v>523</v>
      </c>
      <c r="G102" s="98" t="s">
        <v>67</v>
      </c>
      <c r="H102" s="99" t="s">
        <v>68</v>
      </c>
      <c r="I102" s="100">
        <v>35.0</v>
      </c>
      <c r="J102" s="101" t="s">
        <v>22</v>
      </c>
      <c r="K102" s="27" t="str">
        <f t="shared" si="2"/>
        <v>OCUPADO</v>
      </c>
      <c r="L102" s="28">
        <f t="shared" si="6"/>
        <v>101</v>
      </c>
      <c r="M102" s="28" t="s">
        <v>515</v>
      </c>
      <c r="N102" s="70"/>
      <c r="O102" s="29" t="s">
        <v>24</v>
      </c>
      <c r="P102" s="12"/>
      <c r="Q102" s="12"/>
      <c r="R102" s="12"/>
      <c r="S102" s="12"/>
      <c r="T102" s="12"/>
      <c r="U102" s="12"/>
      <c r="V102" s="12"/>
      <c r="AB102" s="12"/>
      <c r="AC102" s="12" t="str">
        <f>IFERROR(__xludf.DUMMYFUNCTION("""COMPUTED_VALUE"""),"4-15-A")</f>
        <v>4-15-A</v>
      </c>
      <c r="AD102" s="12" t="str">
        <f>IFERROR(__xludf.DUMMYFUNCTION("""COMPUTED_VALUE"""),"FACE4L")</f>
        <v>FACE4L</v>
      </c>
      <c r="AE102" s="12" t="str">
        <f>IFERROR(__xludf.DUMMYFUNCTION("""COMPUTED_VALUE"""),"Freidora de Aire Chef Edition 4L")</f>
        <v>Freidora de Aire Chef Edition 4L</v>
      </c>
      <c r="AF102" s="30">
        <f>IFERROR(__xludf.DUMMYFUNCTION("""COMPUTED_VALUE"""),80.0)</f>
        <v>80</v>
      </c>
      <c r="AG102" s="12" t="str">
        <f>IFERROR(__xludf.DUMMYFUNCTION("""COMPUTED_VALUE"""),"Contenedor")</f>
        <v>Contenedor</v>
      </c>
      <c r="AH102" s="12">
        <f>IFERROR(__xludf.DUMMYFUNCTION("""COMPUTED_VALUE"""),4.0)</f>
        <v>4</v>
      </c>
      <c r="AI102" s="12" t="str">
        <f>IFERROR(__xludf.DUMMYFUNCTION("""COMPUTED_VALUE"""),"15")</f>
        <v>15</v>
      </c>
      <c r="AJ102" s="12" t="str">
        <f>IFERROR(__xludf.DUMMYFUNCTION("""COMPUTED_VALUE"""),"A")</f>
        <v>A</v>
      </c>
      <c r="AK102" s="12">
        <f>IFERROR(__xludf.DUMMYFUNCTION("""COMPUTED_VALUE"""),177.0)</f>
        <v>177</v>
      </c>
      <c r="AL102" s="12" t="str">
        <f>IFERROR(__xludf.DUMMYFUNCTION("""COMPUTED_VALUE"""),"KITCHEN-IT")</f>
        <v>KITCHEN-IT</v>
      </c>
      <c r="AM102" s="12"/>
      <c r="AN102" s="12"/>
      <c r="AO102" s="12"/>
      <c r="AP102" s="12"/>
      <c r="AQ102" s="12"/>
      <c r="BC102" s="12"/>
      <c r="BH102" s="12" t="str">
        <f>IFERROR(__xludf.DUMMYFUNCTION("IFERROR(INDEX(QUERY(IMPORTRANGE(""1T7HG8KEs-Ob7f3M5atEVN9Yn7IeORGp0QGvggB62ELw"",""Maestro!A:I""),""SELECT Col8 WHERE Col3 = '""&amp;BE102&amp;""'"", 0), 1, 1),""NO ENCONTRADO"")"),"D")</f>
        <v>D</v>
      </c>
      <c r="BI102" s="16">
        <v>1.0</v>
      </c>
      <c r="BJ102" s="16">
        <f t="shared" si="5"/>
        <v>150</v>
      </c>
      <c r="BK102" s="12"/>
      <c r="BL102" s="12"/>
      <c r="BM102" s="12"/>
      <c r="BN102" s="12"/>
      <c r="BO102" s="12"/>
      <c r="BP102" s="12"/>
      <c r="BQ102" s="12"/>
      <c r="BR102" s="12"/>
      <c r="BY102" s="14"/>
      <c r="BZ102" s="14"/>
      <c r="CA102" s="14"/>
      <c r="CB102" s="14"/>
      <c r="CC102" s="14"/>
      <c r="CD102" s="14"/>
      <c r="CE102" s="14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</row>
    <row r="103">
      <c r="A103" s="92">
        <v>3.0</v>
      </c>
      <c r="B103" s="94" t="s">
        <v>234</v>
      </c>
      <c r="C103" s="94" t="s">
        <v>44</v>
      </c>
      <c r="D103" s="95" t="str">
        <f t="shared" si="1"/>
        <v>3-PRD-F1-3</v>
      </c>
      <c r="E103" s="96">
        <v>45763.0</v>
      </c>
      <c r="F103" s="97" t="s">
        <v>523</v>
      </c>
      <c r="G103" s="98" t="s">
        <v>151</v>
      </c>
      <c r="H103" s="99" t="s">
        <v>207</v>
      </c>
      <c r="I103" s="100">
        <v>21.0</v>
      </c>
      <c r="J103" s="101" t="s">
        <v>22</v>
      </c>
      <c r="K103" s="32" t="str">
        <f t="shared" si="2"/>
        <v>OCUPADO</v>
      </c>
      <c r="L103" s="33">
        <f t="shared" si="6"/>
        <v>102</v>
      </c>
      <c r="M103" s="33" t="s">
        <v>515</v>
      </c>
      <c r="N103" s="53"/>
      <c r="O103" s="34" t="s">
        <v>24</v>
      </c>
      <c r="P103" s="12"/>
      <c r="Q103" s="12"/>
      <c r="R103" s="12"/>
      <c r="S103" s="12"/>
      <c r="T103" s="12"/>
      <c r="U103" s="12"/>
      <c r="V103" s="12"/>
      <c r="AB103" s="12"/>
      <c r="AC103" s="12" t="str">
        <f>IFERROR(__xludf.DUMMYFUNCTION("""COMPUTED_VALUE"""),"4-15-B")</f>
        <v>4-15-B</v>
      </c>
      <c r="AD103" s="12" t="str">
        <f>IFERROR(__xludf.DUMMYFUNCTION("""COMPUTED_VALUE"""),"FACE4L")</f>
        <v>FACE4L</v>
      </c>
      <c r="AE103" s="12" t="str">
        <f>IFERROR(__xludf.DUMMYFUNCTION("""COMPUTED_VALUE"""),"Freidora de Aire Chef Edition 4L")</f>
        <v>Freidora de Aire Chef Edition 4L</v>
      </c>
      <c r="AF103" s="30">
        <f>IFERROR(__xludf.DUMMYFUNCTION("""COMPUTED_VALUE"""),80.0)</f>
        <v>80</v>
      </c>
      <c r="AG103" s="12" t="str">
        <f>IFERROR(__xludf.DUMMYFUNCTION("""COMPUTED_VALUE"""),"Contenedor")</f>
        <v>Contenedor</v>
      </c>
      <c r="AH103" s="12">
        <f>IFERROR(__xludf.DUMMYFUNCTION("""COMPUTED_VALUE"""),4.0)</f>
        <v>4</v>
      </c>
      <c r="AI103" s="12" t="str">
        <f>IFERROR(__xludf.DUMMYFUNCTION("""COMPUTED_VALUE"""),"15")</f>
        <v>15</v>
      </c>
      <c r="AJ103" s="12" t="str">
        <f>IFERROR(__xludf.DUMMYFUNCTION("""COMPUTED_VALUE"""),"B")</f>
        <v>B</v>
      </c>
      <c r="AK103" s="12">
        <f>IFERROR(__xludf.DUMMYFUNCTION("""COMPUTED_VALUE"""),178.0)</f>
        <v>178</v>
      </c>
      <c r="AL103" s="12" t="str">
        <f>IFERROR(__xludf.DUMMYFUNCTION("""COMPUTED_VALUE"""),"KITCHEN-IT")</f>
        <v>KITCHEN-IT</v>
      </c>
      <c r="AM103" s="12"/>
      <c r="AN103" s="12"/>
      <c r="AO103" s="12"/>
      <c r="AP103" s="12"/>
      <c r="AQ103" s="12"/>
      <c r="BC103" s="12"/>
      <c r="BH103" s="12" t="str">
        <f>IFERROR(__xludf.DUMMYFUNCTION("IFERROR(INDEX(QUERY(IMPORTRANGE(""1T7HG8KEs-Ob7f3M5atEVN9Yn7IeORGp0QGvggB62ELw"",""Maestro!A:I""),""SELECT Col8 WHERE Col3 = '""&amp;BE103&amp;""'"", 0), 1, 1),""NO ENCONTRADO"")"),"D")</f>
        <v>D</v>
      </c>
      <c r="BI103" s="16">
        <v>1.0</v>
      </c>
      <c r="BJ103" s="16">
        <f t="shared" si="5"/>
        <v>150</v>
      </c>
      <c r="BK103" s="12"/>
      <c r="BL103" s="12"/>
      <c r="BM103" s="12"/>
      <c r="BN103" s="12"/>
      <c r="BO103" s="12"/>
      <c r="BP103" s="12"/>
      <c r="BQ103" s="12"/>
      <c r="BR103" s="12"/>
      <c r="BY103" s="14"/>
      <c r="BZ103" s="14"/>
      <c r="CA103" s="14"/>
      <c r="CB103" s="14"/>
      <c r="CC103" s="14"/>
      <c r="CD103" s="14"/>
      <c r="CE103" s="14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</row>
    <row r="104">
      <c r="A104" s="92">
        <v>3.0</v>
      </c>
      <c r="B104" s="94" t="s">
        <v>234</v>
      </c>
      <c r="C104" s="94" t="s">
        <v>53</v>
      </c>
      <c r="D104" s="95" t="str">
        <f t="shared" si="1"/>
        <v>3-PRD-F1-4</v>
      </c>
      <c r="E104" s="96">
        <v>45763.0</v>
      </c>
      <c r="F104" s="144" t="s">
        <v>523</v>
      </c>
      <c r="G104" s="98">
        <v>692043.0</v>
      </c>
      <c r="H104" s="99" t="s">
        <v>61</v>
      </c>
      <c r="I104" s="100">
        <v>10.0</v>
      </c>
      <c r="J104" s="101" t="s">
        <v>22</v>
      </c>
      <c r="K104" s="27" t="str">
        <f t="shared" si="2"/>
        <v>OCUPADO</v>
      </c>
      <c r="L104" s="28">
        <f t="shared" si="6"/>
        <v>103</v>
      </c>
      <c r="M104" s="28" t="s">
        <v>515</v>
      </c>
      <c r="N104" s="70"/>
      <c r="O104" s="29" t="s">
        <v>24</v>
      </c>
      <c r="P104" s="12"/>
      <c r="Q104" s="12"/>
      <c r="R104" s="12"/>
      <c r="S104" s="12"/>
      <c r="T104" s="12"/>
      <c r="U104" s="12"/>
      <c r="V104" s="12"/>
      <c r="AB104" s="12"/>
      <c r="AC104" s="12" t="str">
        <f>IFERROR(__xludf.DUMMYFUNCTION("""COMPUTED_VALUE"""),"4-15-C")</f>
        <v>4-15-C</v>
      </c>
      <c r="AD104" s="12" t="str">
        <f>IFERROR(__xludf.DUMMYFUNCTION("""COMPUTED_VALUE"""),"FACE4L")</f>
        <v>FACE4L</v>
      </c>
      <c r="AE104" s="12" t="str">
        <f>IFERROR(__xludf.DUMMYFUNCTION("""COMPUTED_VALUE"""),"Freidora de Aire Chef Edition 4L")</f>
        <v>Freidora de Aire Chef Edition 4L</v>
      </c>
      <c r="AF104" s="30">
        <f>IFERROR(__xludf.DUMMYFUNCTION("""COMPUTED_VALUE"""),3.0)</f>
        <v>3</v>
      </c>
      <c r="AG104" s="12" t="str">
        <f>IFERROR(__xludf.DUMMYFUNCTION("""COMPUTED_VALUE"""),"Contenedor")</f>
        <v>Contenedor</v>
      </c>
      <c r="AH104" s="12">
        <f>IFERROR(__xludf.DUMMYFUNCTION("""COMPUTED_VALUE"""),4.0)</f>
        <v>4</v>
      </c>
      <c r="AI104" s="12" t="str">
        <f>IFERROR(__xludf.DUMMYFUNCTION("""COMPUTED_VALUE"""),"15")</f>
        <v>15</v>
      </c>
      <c r="AJ104" s="12" t="str">
        <f>IFERROR(__xludf.DUMMYFUNCTION("""COMPUTED_VALUE"""),"C")</f>
        <v>C</v>
      </c>
      <c r="AK104" s="12">
        <f>IFERROR(__xludf.DUMMYFUNCTION("""COMPUTED_VALUE"""),179.0)</f>
        <v>179</v>
      </c>
      <c r="AL104" s="12" t="str">
        <f>IFERROR(__xludf.DUMMYFUNCTION("""COMPUTED_VALUE"""),"KITCHEN-IT")</f>
        <v>KITCHEN-IT</v>
      </c>
      <c r="AM104" s="12"/>
      <c r="AN104" s="12"/>
      <c r="AO104" s="12"/>
      <c r="AP104" s="12"/>
      <c r="AQ104" s="12"/>
      <c r="BC104" s="12"/>
      <c r="BH104" s="12" t="str">
        <f>IFERROR(__xludf.DUMMYFUNCTION("IFERROR(INDEX(QUERY(IMPORTRANGE(""1T7HG8KEs-Ob7f3M5atEVN9Yn7IeORGp0QGvggB62ELw"",""Maestro!A:I""),""SELECT Col8 WHERE Col3 = '""&amp;BE104&amp;""'"", 0), 1, 1),""NO ENCONTRADO"")"),"D")</f>
        <v>D</v>
      </c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Y104" s="14"/>
      <c r="BZ104" s="14"/>
      <c r="CA104" s="14"/>
      <c r="CB104" s="14"/>
      <c r="CC104" s="14"/>
      <c r="CD104" s="14"/>
      <c r="CE104" s="14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</row>
    <row r="105">
      <c r="A105" s="92">
        <v>3.0</v>
      </c>
      <c r="B105" s="94" t="s">
        <v>234</v>
      </c>
      <c r="C105" s="94" t="s">
        <v>25</v>
      </c>
      <c r="D105" s="95" t="str">
        <f t="shared" si="1"/>
        <v>3-PRD-F1-5</v>
      </c>
      <c r="E105" s="146"/>
      <c r="F105" s="147"/>
      <c r="G105" s="148"/>
      <c r="H105" s="148"/>
      <c r="I105" s="149"/>
      <c r="J105" s="148"/>
      <c r="K105" s="32" t="str">
        <f t="shared" si="2"/>
        <v>DISPONIBLE</v>
      </c>
      <c r="L105" s="33">
        <f t="shared" si="6"/>
        <v>104</v>
      </c>
      <c r="M105" s="33" t="s">
        <v>515</v>
      </c>
      <c r="N105" s="53"/>
      <c r="O105" s="34"/>
      <c r="P105" s="12"/>
      <c r="Q105" s="12"/>
      <c r="R105" s="12"/>
      <c r="S105" s="12"/>
      <c r="T105" s="12"/>
      <c r="U105" s="12"/>
      <c r="V105" s="12"/>
      <c r="AB105" s="12"/>
      <c r="AC105" s="12" t="str">
        <f>IFERROR(__xludf.DUMMYFUNCTION("""COMPUTED_VALUE"""),"4-16-A")</f>
        <v>4-16-A</v>
      </c>
      <c r="AD105" s="12" t="str">
        <f>IFERROR(__xludf.DUMMYFUNCTION("""COMPUTED_VALUE"""),"FACE4L")</f>
        <v>FACE4L</v>
      </c>
      <c r="AE105" s="12" t="str">
        <f>IFERROR(__xludf.DUMMYFUNCTION("""COMPUTED_VALUE"""),"Freidora de Aire Chef Edition 4L")</f>
        <v>Freidora de Aire Chef Edition 4L</v>
      </c>
      <c r="AF105" s="30">
        <f>IFERROR(__xludf.DUMMYFUNCTION("""COMPUTED_VALUE"""),80.0)</f>
        <v>80</v>
      </c>
      <c r="AG105" s="12" t="str">
        <f>IFERROR(__xludf.DUMMYFUNCTION("""COMPUTED_VALUE"""),"Contenedor")</f>
        <v>Contenedor</v>
      </c>
      <c r="AH105" s="12">
        <f>IFERROR(__xludf.DUMMYFUNCTION("""COMPUTED_VALUE"""),4.0)</f>
        <v>4</v>
      </c>
      <c r="AI105" s="12" t="str">
        <f>IFERROR(__xludf.DUMMYFUNCTION("""COMPUTED_VALUE"""),"16")</f>
        <v>16</v>
      </c>
      <c r="AJ105" s="12" t="str">
        <f>IFERROR(__xludf.DUMMYFUNCTION("""COMPUTED_VALUE"""),"A")</f>
        <v>A</v>
      </c>
      <c r="AK105" s="12">
        <f>IFERROR(__xludf.DUMMYFUNCTION("""COMPUTED_VALUE"""),181.0)</f>
        <v>181</v>
      </c>
      <c r="AL105" s="12" t="str">
        <f>IFERROR(__xludf.DUMMYFUNCTION("""COMPUTED_VALUE"""),"KITCHEN-IT")</f>
        <v>KITCHEN-IT</v>
      </c>
      <c r="AM105" s="12"/>
      <c r="AN105" s="12"/>
      <c r="AO105" s="12"/>
      <c r="AP105" s="12"/>
      <c r="AQ105" s="12"/>
      <c r="BC105" s="12"/>
      <c r="BH105" s="12" t="str">
        <f>IFERROR(__xludf.DUMMYFUNCTION("IFERROR(INDEX(QUERY(IMPORTRANGE(""1T7HG8KEs-Ob7f3M5atEVN9Yn7IeORGp0QGvggB62ELw"",""Maestro!A:I""),""SELECT Col8 WHERE Col3 = '""&amp;BE105&amp;""'"", 0), 1, 1),""NO ENCONTRADO"")"),"D")</f>
        <v>D</v>
      </c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Y105" s="14"/>
      <c r="BZ105" s="14"/>
      <c r="CA105" s="14"/>
      <c r="CB105" s="14"/>
      <c r="CC105" s="14"/>
      <c r="CD105" s="14"/>
      <c r="CE105" s="14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</row>
    <row r="106">
      <c r="A106" s="92">
        <v>3.0</v>
      </c>
      <c r="B106" s="94" t="s">
        <v>246</v>
      </c>
      <c r="C106" s="94" t="s">
        <v>18</v>
      </c>
      <c r="D106" s="95" t="str">
        <f t="shared" si="1"/>
        <v>3-PRD-F2-1</v>
      </c>
      <c r="E106" s="96">
        <v>45763.0</v>
      </c>
      <c r="F106" s="144" t="s">
        <v>523</v>
      </c>
      <c r="G106" s="98" t="s">
        <v>54</v>
      </c>
      <c r="H106" s="99" t="s">
        <v>55</v>
      </c>
      <c r="I106" s="100">
        <v>11.0</v>
      </c>
      <c r="J106" s="101" t="s">
        <v>22</v>
      </c>
      <c r="K106" s="27" t="str">
        <f t="shared" si="2"/>
        <v>OCUPADO</v>
      </c>
      <c r="L106" s="28">
        <f t="shared" si="6"/>
        <v>105</v>
      </c>
      <c r="M106" s="28" t="s">
        <v>515</v>
      </c>
      <c r="N106" s="70"/>
      <c r="O106" s="29" t="s">
        <v>24</v>
      </c>
      <c r="P106" s="12"/>
      <c r="Q106" s="12"/>
      <c r="R106" s="12"/>
      <c r="S106" s="12"/>
      <c r="T106" s="12"/>
      <c r="U106" s="12"/>
      <c r="V106" s="12"/>
      <c r="AB106" s="12"/>
      <c r="AC106" s="12" t="str">
        <f>IFERROR(__xludf.DUMMYFUNCTION("""COMPUTED_VALUE"""),"4-16-B")</f>
        <v>4-16-B</v>
      </c>
      <c r="AD106" s="12" t="str">
        <f>IFERROR(__xludf.DUMMYFUNCTION("""COMPUTED_VALUE"""),"FACE4L")</f>
        <v>FACE4L</v>
      </c>
      <c r="AE106" s="12" t="str">
        <f>IFERROR(__xludf.DUMMYFUNCTION("""COMPUTED_VALUE"""),"Freidora de Aire Chef Edition 4L")</f>
        <v>Freidora de Aire Chef Edition 4L</v>
      </c>
      <c r="AF106" s="30">
        <f>IFERROR(__xludf.DUMMYFUNCTION("""COMPUTED_VALUE"""),80.0)</f>
        <v>80</v>
      </c>
      <c r="AG106" s="12" t="str">
        <f>IFERROR(__xludf.DUMMYFUNCTION("""COMPUTED_VALUE"""),"Contenedor")</f>
        <v>Contenedor</v>
      </c>
      <c r="AH106" s="12">
        <f>IFERROR(__xludf.DUMMYFUNCTION("""COMPUTED_VALUE"""),4.0)</f>
        <v>4</v>
      </c>
      <c r="AI106" s="12" t="str">
        <f>IFERROR(__xludf.DUMMYFUNCTION("""COMPUTED_VALUE"""),"16")</f>
        <v>16</v>
      </c>
      <c r="AJ106" s="12" t="str">
        <f>IFERROR(__xludf.DUMMYFUNCTION("""COMPUTED_VALUE"""),"B")</f>
        <v>B</v>
      </c>
      <c r="AK106" s="12">
        <f>IFERROR(__xludf.DUMMYFUNCTION("""COMPUTED_VALUE"""),182.0)</f>
        <v>182</v>
      </c>
      <c r="AL106" s="12" t="str">
        <f>IFERROR(__xludf.DUMMYFUNCTION("""COMPUTED_VALUE"""),"KITCHEN-IT")</f>
        <v>KITCHEN-IT</v>
      </c>
      <c r="AM106" s="12"/>
      <c r="AN106" s="12"/>
      <c r="AO106" s="12"/>
      <c r="AP106" s="12"/>
      <c r="AQ106" s="12"/>
      <c r="BC106" s="12"/>
      <c r="BH106" s="12" t="str">
        <f>IFERROR(__xludf.DUMMYFUNCTION("IFERROR(INDEX(QUERY(IMPORTRANGE(""1T7HG8KEs-Ob7f3M5atEVN9Yn7IeORGp0QGvggB62ELw"",""Maestro!A:I""),""SELECT Col8 WHERE Col3 = '""&amp;BE106&amp;""'"", 0), 1, 1),""NO ENCONTRADO"")"),"D")</f>
        <v>D</v>
      </c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Y106" s="14"/>
      <c r="BZ106" s="14"/>
      <c r="CA106" s="14"/>
      <c r="CB106" s="14"/>
      <c r="CC106" s="14"/>
      <c r="CD106" s="14"/>
      <c r="CE106" s="14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</row>
    <row r="107">
      <c r="A107" s="92">
        <v>3.0</v>
      </c>
      <c r="B107" s="94" t="s">
        <v>246</v>
      </c>
      <c r="C107" s="94" t="s">
        <v>32</v>
      </c>
      <c r="D107" s="95" t="str">
        <f t="shared" si="1"/>
        <v>3-PRD-F2-2</v>
      </c>
      <c r="E107" s="83"/>
      <c r="F107" s="150"/>
      <c r="G107" s="85"/>
      <c r="H107" s="49"/>
      <c r="I107" s="86"/>
      <c r="J107" s="87"/>
      <c r="K107" s="32" t="str">
        <f t="shared" si="2"/>
        <v>DISPONIBLE</v>
      </c>
      <c r="L107" s="33">
        <f t="shared" si="6"/>
        <v>106</v>
      </c>
      <c r="M107" s="33" t="s">
        <v>515</v>
      </c>
      <c r="N107" s="53"/>
      <c r="O107" s="34"/>
      <c r="P107" s="12"/>
      <c r="Q107" s="12"/>
      <c r="R107" s="12"/>
      <c r="S107" s="12"/>
      <c r="T107" s="12"/>
      <c r="U107" s="12"/>
      <c r="V107" s="12"/>
      <c r="AB107" s="12"/>
      <c r="AC107" s="12" t="str">
        <f>IFERROR(__xludf.DUMMYFUNCTION("""COMPUTED_VALUE"""),"4-16-C")</f>
        <v>4-16-C</v>
      </c>
      <c r="AD107" s="12" t="str">
        <f>IFERROR(__xludf.DUMMYFUNCTION("""COMPUTED_VALUE"""),"FAPE5L")</f>
        <v>FAPE5L</v>
      </c>
      <c r="AE107" s="12" t="str">
        <f>IFERROR(__xludf.DUMMYFUNCTION("""COMPUTED_VALUE"""),"Freidora de Aire Plus Edition 5L")</f>
        <v>Freidora de Aire Plus Edition 5L</v>
      </c>
      <c r="AF107" s="30">
        <f>IFERROR(__xludf.DUMMYFUNCTION("""COMPUTED_VALUE"""),2.0)</f>
        <v>2</v>
      </c>
      <c r="AG107" s="12" t="str">
        <f>IFERROR(__xludf.DUMMYFUNCTION("""COMPUTED_VALUE"""),"Contenedor")</f>
        <v>Contenedor</v>
      </c>
      <c r="AH107" s="12">
        <f>IFERROR(__xludf.DUMMYFUNCTION("""COMPUTED_VALUE"""),4.0)</f>
        <v>4</v>
      </c>
      <c r="AI107" s="12" t="str">
        <f>IFERROR(__xludf.DUMMYFUNCTION("""COMPUTED_VALUE"""),"16")</f>
        <v>16</v>
      </c>
      <c r="AJ107" s="12" t="str">
        <f>IFERROR(__xludf.DUMMYFUNCTION("""COMPUTED_VALUE"""),"C")</f>
        <v>C</v>
      </c>
      <c r="AK107" s="12">
        <f>IFERROR(__xludf.DUMMYFUNCTION("""COMPUTED_VALUE"""),183.0)</f>
        <v>183</v>
      </c>
      <c r="AL107" s="12" t="str">
        <f>IFERROR(__xludf.DUMMYFUNCTION("""COMPUTED_VALUE"""),"KITCHEN-IT")</f>
        <v>KITCHEN-IT</v>
      </c>
      <c r="AM107" s="12"/>
      <c r="AN107" s="12"/>
      <c r="AO107" s="12"/>
      <c r="AP107" s="12"/>
      <c r="AQ107" s="12"/>
      <c r="BC107" s="12"/>
      <c r="BH107" s="12"/>
      <c r="BI107" s="16"/>
      <c r="BJ107" s="16"/>
      <c r="BK107" s="12"/>
      <c r="BL107" s="12"/>
      <c r="BM107" s="12"/>
      <c r="BN107" s="12"/>
      <c r="BO107" s="12"/>
      <c r="BP107" s="12"/>
      <c r="BQ107" s="12"/>
      <c r="BR107" s="12"/>
      <c r="BY107" s="14"/>
      <c r="BZ107" s="14"/>
      <c r="CA107" s="14"/>
      <c r="CB107" s="14"/>
      <c r="CC107" s="14"/>
      <c r="CD107" s="14"/>
      <c r="CE107" s="14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</row>
    <row r="108">
      <c r="A108" s="92">
        <v>3.0</v>
      </c>
      <c r="B108" s="94" t="s">
        <v>246</v>
      </c>
      <c r="C108" s="94" t="s">
        <v>44</v>
      </c>
      <c r="D108" s="95" t="str">
        <f t="shared" si="1"/>
        <v>3-PRD-F2-3</v>
      </c>
      <c r="E108" s="83"/>
      <c r="F108" s="150"/>
      <c r="G108" s="85"/>
      <c r="H108" s="49"/>
      <c r="I108" s="86"/>
      <c r="J108" s="87"/>
      <c r="K108" s="27" t="str">
        <f t="shared" si="2"/>
        <v>DISPONIBLE</v>
      </c>
      <c r="L108" s="28">
        <f t="shared" si="6"/>
        <v>107</v>
      </c>
      <c r="M108" s="28" t="s">
        <v>515</v>
      </c>
      <c r="N108" s="70"/>
      <c r="O108" s="29"/>
      <c r="P108" s="12"/>
      <c r="Q108" s="12"/>
      <c r="R108" s="12"/>
      <c r="S108" s="12"/>
      <c r="T108" s="12"/>
      <c r="U108" s="12"/>
      <c r="V108" s="12"/>
      <c r="AB108" s="12"/>
      <c r="AC108" s="12" t="str">
        <f>IFERROR(__xludf.DUMMYFUNCTION("""COMPUTED_VALUE"""),"4-17-A")</f>
        <v>4-17-A</v>
      </c>
      <c r="AD108" s="12" t="str">
        <f>IFERROR(__xludf.DUMMYFUNCTION("""COMPUTED_VALUE"""),"LPP800W")</f>
        <v>LPP800W</v>
      </c>
      <c r="AE108" s="12" t="str">
        <f>IFERROR(__xludf.DUMMYFUNCTION("""COMPUTED_VALUE"""),"Licuadora Power Pro 800W")</f>
        <v>Licuadora Power Pro 800W</v>
      </c>
      <c r="AF108" s="30">
        <f>IFERROR(__xludf.DUMMYFUNCTION("""COMPUTED_VALUE"""),144.0)</f>
        <v>144</v>
      </c>
      <c r="AG108" s="12" t="str">
        <f>IFERROR(__xludf.DUMMYFUNCTION("""COMPUTED_VALUE"""),"Contenedor")</f>
        <v>Contenedor</v>
      </c>
      <c r="AH108" s="12">
        <f>IFERROR(__xludf.DUMMYFUNCTION("""COMPUTED_VALUE"""),4.0)</f>
        <v>4</v>
      </c>
      <c r="AI108" s="12" t="str">
        <f>IFERROR(__xludf.DUMMYFUNCTION("""COMPUTED_VALUE"""),"17")</f>
        <v>17</v>
      </c>
      <c r="AJ108" s="12" t="str">
        <f>IFERROR(__xludf.DUMMYFUNCTION("""COMPUTED_VALUE"""),"A")</f>
        <v>A</v>
      </c>
      <c r="AK108" s="12">
        <f>IFERROR(__xludf.DUMMYFUNCTION("""COMPUTED_VALUE"""),185.0)</f>
        <v>185</v>
      </c>
      <c r="AL108" s="12" t="str">
        <f>IFERROR(__xludf.DUMMYFUNCTION("""COMPUTED_VALUE"""),"KITCHEN-IT")</f>
        <v>KITCHEN-IT</v>
      </c>
      <c r="AM108" s="12"/>
      <c r="AN108" s="12"/>
      <c r="AO108" s="12"/>
      <c r="AP108" s="12"/>
      <c r="AQ108" s="12"/>
      <c r="BC108" s="12"/>
      <c r="BH108" s="12"/>
      <c r="BI108" s="16"/>
      <c r="BJ108" s="16"/>
      <c r="BK108" s="12"/>
      <c r="BL108" s="12"/>
      <c r="BM108" s="12"/>
      <c r="BN108" s="12"/>
      <c r="BO108" s="12"/>
      <c r="BP108" s="12"/>
      <c r="BQ108" s="12"/>
      <c r="BR108" s="12"/>
      <c r="BY108" s="14"/>
      <c r="BZ108" s="14"/>
      <c r="CA108" s="14"/>
      <c r="CB108" s="14"/>
      <c r="CC108" s="14"/>
      <c r="CD108" s="14"/>
      <c r="CE108" s="14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</row>
    <row r="109">
      <c r="A109" s="92">
        <v>3.0</v>
      </c>
      <c r="B109" s="94" t="s">
        <v>246</v>
      </c>
      <c r="C109" s="94" t="s">
        <v>53</v>
      </c>
      <c r="D109" s="95" t="str">
        <f t="shared" si="1"/>
        <v>3-PRD-F2-4</v>
      </c>
      <c r="E109" s="83"/>
      <c r="F109" s="150"/>
      <c r="G109" s="85"/>
      <c r="H109" s="49"/>
      <c r="I109" s="86"/>
      <c r="J109" s="87"/>
      <c r="K109" s="32" t="str">
        <f t="shared" si="2"/>
        <v>DISPONIBLE</v>
      </c>
      <c r="L109" s="33">
        <f t="shared" si="6"/>
        <v>108</v>
      </c>
      <c r="M109" s="33" t="s">
        <v>515</v>
      </c>
      <c r="N109" s="53"/>
      <c r="O109" s="34"/>
      <c r="P109" s="12"/>
      <c r="Q109" s="12"/>
      <c r="R109" s="12"/>
      <c r="S109" s="12"/>
      <c r="T109" s="12"/>
      <c r="U109" s="12"/>
      <c r="V109" s="12"/>
      <c r="AB109" s="12"/>
      <c r="AC109" s="12" t="str">
        <f>IFERROR(__xludf.DUMMYFUNCTION("""COMPUTED_VALUE"""),"4-17-B")</f>
        <v>4-17-B</v>
      </c>
      <c r="AD109" s="12" t="str">
        <f>IFERROR(__xludf.DUMMYFUNCTION("""COMPUTED_VALUE"""),"LPP800W")</f>
        <v>LPP800W</v>
      </c>
      <c r="AE109" s="12" t="str">
        <f>IFERROR(__xludf.DUMMYFUNCTION("""COMPUTED_VALUE"""),"Licuadora Power Pro 800W")</f>
        <v>Licuadora Power Pro 800W</v>
      </c>
      <c r="AF109" s="30">
        <f>IFERROR(__xludf.DUMMYFUNCTION("""COMPUTED_VALUE"""),144.0)</f>
        <v>144</v>
      </c>
      <c r="AG109" s="12" t="str">
        <f>IFERROR(__xludf.DUMMYFUNCTION("""COMPUTED_VALUE"""),"Contenedor")</f>
        <v>Contenedor</v>
      </c>
      <c r="AH109" s="12">
        <f>IFERROR(__xludf.DUMMYFUNCTION("""COMPUTED_VALUE"""),4.0)</f>
        <v>4</v>
      </c>
      <c r="AI109" s="12" t="str">
        <f>IFERROR(__xludf.DUMMYFUNCTION("""COMPUTED_VALUE"""),"17")</f>
        <v>17</v>
      </c>
      <c r="AJ109" s="12" t="str">
        <f>IFERROR(__xludf.DUMMYFUNCTION("""COMPUTED_VALUE"""),"B")</f>
        <v>B</v>
      </c>
      <c r="AK109" s="12">
        <f>IFERROR(__xludf.DUMMYFUNCTION("""COMPUTED_VALUE"""),186.0)</f>
        <v>186</v>
      </c>
      <c r="AL109" s="12" t="str">
        <f>IFERROR(__xludf.DUMMYFUNCTION("""COMPUTED_VALUE"""),"KITCHEN-IT")</f>
        <v>KITCHEN-IT</v>
      </c>
      <c r="AM109" s="12"/>
      <c r="AN109" s="12"/>
      <c r="AO109" s="12"/>
      <c r="AP109" s="12"/>
      <c r="AQ109" s="12"/>
      <c r="BC109" s="12"/>
      <c r="BH109" s="12"/>
      <c r="BI109" s="16"/>
      <c r="BJ109" s="16"/>
      <c r="BK109" s="12"/>
      <c r="BL109" s="12"/>
      <c r="BM109" s="12"/>
      <c r="BN109" s="12"/>
      <c r="BO109" s="12"/>
      <c r="BP109" s="12"/>
      <c r="BQ109" s="12"/>
      <c r="BR109" s="12"/>
      <c r="BY109" s="14"/>
      <c r="BZ109" s="14"/>
      <c r="CA109" s="14"/>
      <c r="CB109" s="14"/>
      <c r="CC109" s="14"/>
      <c r="CD109" s="14"/>
      <c r="CE109" s="14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</row>
    <row r="110">
      <c r="A110" s="92">
        <v>3.0</v>
      </c>
      <c r="B110" s="94" t="s">
        <v>246</v>
      </c>
      <c r="C110" s="94" t="s">
        <v>25</v>
      </c>
      <c r="D110" s="95" t="str">
        <f t="shared" si="1"/>
        <v>3-PRD-F2-5</v>
      </c>
      <c r="E110" s="83"/>
      <c r="F110" s="150"/>
      <c r="G110" s="85"/>
      <c r="H110" s="49"/>
      <c r="I110" s="86"/>
      <c r="J110" s="87"/>
      <c r="K110" s="27" t="str">
        <f t="shared" si="2"/>
        <v>DISPONIBLE</v>
      </c>
      <c r="L110" s="28">
        <f t="shared" si="6"/>
        <v>109</v>
      </c>
      <c r="M110" s="28" t="s">
        <v>515</v>
      </c>
      <c r="N110" s="70"/>
      <c r="O110" s="29"/>
      <c r="P110" s="12"/>
      <c r="Q110" s="12"/>
      <c r="R110" s="12"/>
      <c r="S110" s="12"/>
      <c r="T110" s="12"/>
      <c r="U110" s="12"/>
      <c r="V110" s="12"/>
      <c r="AB110" s="12"/>
      <c r="AC110" s="12" t="str">
        <f>IFERROR(__xludf.DUMMYFUNCTION("""COMPUTED_VALUE"""),"4-17-C")</f>
        <v>4-17-C</v>
      </c>
      <c r="AD110" s="12" t="str">
        <f>IFERROR(__xludf.DUMMYFUNCTION("""COMPUTED_VALUE"""),"LPP800W")</f>
        <v>LPP800W</v>
      </c>
      <c r="AE110" s="12" t="str">
        <f>IFERROR(__xludf.DUMMYFUNCTION("""COMPUTED_VALUE"""),"Licuadora Power Pro 800W")</f>
        <v>Licuadora Power Pro 800W</v>
      </c>
      <c r="AF110" s="30">
        <f>IFERROR(__xludf.DUMMYFUNCTION("""COMPUTED_VALUE"""),144.0)</f>
        <v>144</v>
      </c>
      <c r="AG110" s="12" t="str">
        <f>IFERROR(__xludf.DUMMYFUNCTION("""COMPUTED_VALUE"""),"Contenedor")</f>
        <v>Contenedor</v>
      </c>
      <c r="AH110" s="12">
        <f>IFERROR(__xludf.DUMMYFUNCTION("""COMPUTED_VALUE"""),4.0)</f>
        <v>4</v>
      </c>
      <c r="AI110" s="12" t="str">
        <f>IFERROR(__xludf.DUMMYFUNCTION("""COMPUTED_VALUE"""),"17")</f>
        <v>17</v>
      </c>
      <c r="AJ110" s="12" t="str">
        <f>IFERROR(__xludf.DUMMYFUNCTION("""COMPUTED_VALUE"""),"C")</f>
        <v>C</v>
      </c>
      <c r="AK110" s="12">
        <f>IFERROR(__xludf.DUMMYFUNCTION("""COMPUTED_VALUE"""),187.0)</f>
        <v>187</v>
      </c>
      <c r="AL110" s="12" t="str">
        <f>IFERROR(__xludf.DUMMYFUNCTION("""COMPUTED_VALUE"""),"KITCHEN-IT")</f>
        <v>KITCHEN-IT</v>
      </c>
      <c r="AM110" s="12"/>
      <c r="AN110" s="12"/>
      <c r="AO110" s="12"/>
      <c r="AP110" s="12"/>
      <c r="AQ110" s="12"/>
      <c r="BC110" s="12"/>
      <c r="BH110" s="12"/>
      <c r="BI110" s="16"/>
      <c r="BJ110" s="16"/>
      <c r="BK110" s="12"/>
      <c r="BL110" s="12"/>
      <c r="BM110" s="12"/>
      <c r="BN110" s="12"/>
      <c r="BO110" s="12"/>
      <c r="BP110" s="12"/>
      <c r="BQ110" s="12"/>
      <c r="BR110" s="12"/>
      <c r="BY110" s="14"/>
      <c r="BZ110" s="14"/>
      <c r="CA110" s="14"/>
      <c r="CB110" s="14"/>
      <c r="CC110" s="14"/>
      <c r="CD110" s="14"/>
      <c r="CE110" s="14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</row>
    <row r="111">
      <c r="A111" s="92">
        <v>3.0</v>
      </c>
      <c r="B111" s="94" t="s">
        <v>394</v>
      </c>
      <c r="C111" s="94" t="s">
        <v>18</v>
      </c>
      <c r="D111" s="95" t="str">
        <f t="shared" si="1"/>
        <v>3-PRD-F3-1</v>
      </c>
      <c r="E111" s="83"/>
      <c r="F111" s="150"/>
      <c r="G111" s="85"/>
      <c r="H111" s="49"/>
      <c r="I111" s="86"/>
      <c r="J111" s="87"/>
      <c r="K111" s="32" t="str">
        <f t="shared" si="2"/>
        <v>DISPONIBLE</v>
      </c>
      <c r="L111" s="33">
        <f t="shared" si="6"/>
        <v>110</v>
      </c>
      <c r="M111" s="33" t="s">
        <v>515</v>
      </c>
      <c r="N111" s="53"/>
      <c r="O111" s="34"/>
      <c r="P111" s="12"/>
      <c r="Q111" s="12"/>
      <c r="R111" s="12"/>
      <c r="S111" s="12"/>
      <c r="T111" s="12"/>
      <c r="U111" s="12"/>
      <c r="V111" s="12"/>
      <c r="AB111" s="12"/>
      <c r="AC111" s="12" t="str">
        <f>IFERROR(__xludf.DUMMYFUNCTION("""COMPUTED_VALUE"""),"4-17-D")</f>
        <v>4-17-D</v>
      </c>
      <c r="AD111" s="12" t="str">
        <f>IFERROR(__xludf.DUMMYFUNCTION("""COMPUTED_VALUE"""),"LPP800W")</f>
        <v>LPP800W</v>
      </c>
      <c r="AE111" s="12" t="str">
        <f>IFERROR(__xludf.DUMMYFUNCTION("""COMPUTED_VALUE"""),"Licuadora Power Pro 800W")</f>
        <v>Licuadora Power Pro 800W</v>
      </c>
      <c r="AF111" s="30">
        <f>IFERROR(__xludf.DUMMYFUNCTION("""COMPUTED_VALUE"""),84.0)</f>
        <v>84</v>
      </c>
      <c r="AG111" s="12" t="str">
        <f>IFERROR(__xludf.DUMMYFUNCTION("""COMPUTED_VALUE"""),"Contenedor")</f>
        <v>Contenedor</v>
      </c>
      <c r="AH111" s="12">
        <f>IFERROR(__xludf.DUMMYFUNCTION("""COMPUTED_VALUE"""),4.0)</f>
        <v>4</v>
      </c>
      <c r="AI111" s="12" t="str">
        <f>IFERROR(__xludf.DUMMYFUNCTION("""COMPUTED_VALUE"""),"17")</f>
        <v>17</v>
      </c>
      <c r="AJ111" s="12" t="str">
        <f>IFERROR(__xludf.DUMMYFUNCTION("""COMPUTED_VALUE"""),"D")</f>
        <v>D</v>
      </c>
      <c r="AK111" s="12">
        <f>IFERROR(__xludf.DUMMYFUNCTION("""COMPUTED_VALUE"""),188.0)</f>
        <v>188</v>
      </c>
      <c r="AL111" s="12" t="str">
        <f>IFERROR(__xludf.DUMMYFUNCTION("""COMPUTED_VALUE"""),"KITCHEN-IT")</f>
        <v>KITCHEN-IT</v>
      </c>
      <c r="AM111" s="12"/>
      <c r="AN111" s="12"/>
      <c r="AO111" s="12"/>
      <c r="AP111" s="12"/>
      <c r="AQ111" s="12"/>
      <c r="BC111" s="12"/>
      <c r="BH111" s="12"/>
      <c r="BI111" s="16"/>
      <c r="BJ111" s="16"/>
      <c r="BK111" s="12"/>
      <c r="BL111" s="12"/>
      <c r="BM111" s="12"/>
      <c r="BN111" s="12"/>
      <c r="BO111" s="12"/>
      <c r="BP111" s="12"/>
      <c r="BQ111" s="12"/>
      <c r="BR111" s="12"/>
      <c r="BY111" s="14"/>
      <c r="BZ111" s="14"/>
      <c r="CA111" s="14"/>
      <c r="CB111" s="14"/>
      <c r="CC111" s="14"/>
      <c r="CD111" s="14"/>
      <c r="CE111" s="14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</row>
    <row r="112">
      <c r="A112" s="92">
        <v>3.0</v>
      </c>
      <c r="B112" s="94" t="s">
        <v>394</v>
      </c>
      <c r="C112" s="94" t="s">
        <v>32</v>
      </c>
      <c r="D112" s="95" t="str">
        <f t="shared" si="1"/>
        <v>3-PRD-F3-2</v>
      </c>
      <c r="E112" s="83"/>
      <c r="F112" s="150"/>
      <c r="G112" s="85"/>
      <c r="H112" s="49"/>
      <c r="I112" s="86"/>
      <c r="J112" s="87"/>
      <c r="K112" s="27" t="str">
        <f t="shared" si="2"/>
        <v>DISPONIBLE</v>
      </c>
      <c r="L112" s="28">
        <f t="shared" si="6"/>
        <v>111</v>
      </c>
      <c r="M112" s="28" t="s">
        <v>515</v>
      </c>
      <c r="N112" s="70"/>
      <c r="O112" s="29"/>
      <c r="P112" s="12"/>
      <c r="Q112" s="12"/>
      <c r="R112" s="12"/>
      <c r="S112" s="12"/>
      <c r="T112" s="12"/>
      <c r="U112" s="12"/>
      <c r="V112" s="12"/>
      <c r="AB112" s="12"/>
      <c r="AC112" s="12" t="str">
        <f>IFERROR(__xludf.DUMMYFUNCTION("""COMPUTED_VALUE"""),"4-18-A")</f>
        <v>4-18-A</v>
      </c>
      <c r="AD112" s="12" t="str">
        <f>IFERROR(__xludf.DUMMYFUNCTION("""COMPUTED_VALUE"""),"HEBE25L")</f>
        <v>HEBE25L</v>
      </c>
      <c r="AE112" s="12" t="str">
        <f>IFERROR(__xludf.DUMMYFUNCTION("""COMPUTED_VALUE"""),"Hervidor Big Edition 2.5L")</f>
        <v>Hervidor Big Edition 2.5L</v>
      </c>
      <c r="AF112" s="30">
        <f>IFERROR(__xludf.DUMMYFUNCTION("""COMPUTED_VALUE"""),330.0)</f>
        <v>330</v>
      </c>
      <c r="AG112" s="12" t="str">
        <f>IFERROR(__xludf.DUMMYFUNCTION("""COMPUTED_VALUE"""),"Movimiento Interno")</f>
        <v>Movimiento Interno</v>
      </c>
      <c r="AH112" s="12">
        <f>IFERROR(__xludf.DUMMYFUNCTION("""COMPUTED_VALUE"""),4.0)</f>
        <v>4</v>
      </c>
      <c r="AI112" s="12" t="str">
        <f>IFERROR(__xludf.DUMMYFUNCTION("""COMPUTED_VALUE"""),"18")</f>
        <v>18</v>
      </c>
      <c r="AJ112" s="12" t="str">
        <f>IFERROR(__xludf.DUMMYFUNCTION("""COMPUTED_VALUE"""),"A")</f>
        <v>A</v>
      </c>
      <c r="AK112" s="12">
        <f>IFERROR(__xludf.DUMMYFUNCTION("""COMPUTED_VALUE"""),189.0)</f>
        <v>189</v>
      </c>
      <c r="AL112" s="12" t="str">
        <f>IFERROR(__xludf.DUMMYFUNCTION("""COMPUTED_VALUE"""),"KITCHEN-IT")</f>
        <v>KITCHEN-IT</v>
      </c>
      <c r="AM112" s="12"/>
      <c r="AN112" s="12"/>
      <c r="AO112" s="12"/>
      <c r="AP112" s="12"/>
      <c r="AQ112" s="12"/>
      <c r="BC112" s="12"/>
      <c r="BH112" s="12"/>
      <c r="BI112" s="16"/>
      <c r="BJ112" s="16"/>
      <c r="BK112" s="12"/>
      <c r="BL112" s="12"/>
      <c r="BM112" s="12"/>
      <c r="BN112" s="12"/>
      <c r="BO112" s="12"/>
      <c r="BP112" s="12"/>
      <c r="BQ112" s="12"/>
      <c r="BR112" s="12"/>
      <c r="BY112" s="14"/>
      <c r="BZ112" s="14"/>
      <c r="CA112" s="14"/>
      <c r="CB112" s="14"/>
      <c r="CC112" s="14"/>
      <c r="CD112" s="14"/>
      <c r="CE112" s="14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</row>
    <row r="113">
      <c r="A113" s="92">
        <v>3.0</v>
      </c>
      <c r="B113" s="94" t="s">
        <v>394</v>
      </c>
      <c r="C113" s="94" t="s">
        <v>44</v>
      </c>
      <c r="D113" s="95" t="str">
        <f t="shared" si="1"/>
        <v>3-PRD-F3-3</v>
      </c>
      <c r="E113" s="83"/>
      <c r="F113" s="150"/>
      <c r="G113" s="85"/>
      <c r="H113" s="49"/>
      <c r="I113" s="86"/>
      <c r="J113" s="87"/>
      <c r="K113" s="32" t="str">
        <f t="shared" si="2"/>
        <v>DISPONIBLE</v>
      </c>
      <c r="L113" s="33">
        <f t="shared" si="6"/>
        <v>112</v>
      </c>
      <c r="M113" s="33" t="s">
        <v>515</v>
      </c>
      <c r="N113" s="53"/>
      <c r="O113" s="34"/>
      <c r="P113" s="12"/>
      <c r="Q113" s="12"/>
      <c r="R113" s="12"/>
      <c r="S113" s="12"/>
      <c r="T113" s="12"/>
      <c r="U113" s="12"/>
      <c r="V113" s="12"/>
      <c r="AB113" s="12"/>
      <c r="AC113" s="12" t="str">
        <f>IFERROR(__xludf.DUMMYFUNCTION("""COMPUTED_VALUE"""),"4-18-B")</f>
        <v>4-18-B</v>
      </c>
      <c r="AD113" s="12" t="str">
        <f>IFERROR(__xludf.DUMMYFUNCTION("""COMPUTED_VALUE"""),"HEBE25L")</f>
        <v>HEBE25L</v>
      </c>
      <c r="AE113" s="12" t="str">
        <f>IFERROR(__xludf.DUMMYFUNCTION("""COMPUTED_VALUE"""),"Hervidor Big Edition 2.5L")</f>
        <v>Hervidor Big Edition 2.5L</v>
      </c>
      <c r="AF113" s="30">
        <f>IFERROR(__xludf.DUMMYFUNCTION("""COMPUTED_VALUE"""),148.0)</f>
        <v>148</v>
      </c>
      <c r="AG113" s="12" t="str">
        <f>IFERROR(__xludf.DUMMYFUNCTION("""COMPUTED_VALUE"""),"Movimiento Interno")</f>
        <v>Movimiento Interno</v>
      </c>
      <c r="AH113" s="12">
        <f>IFERROR(__xludf.DUMMYFUNCTION("""COMPUTED_VALUE"""),4.0)</f>
        <v>4</v>
      </c>
      <c r="AI113" s="12" t="str">
        <f>IFERROR(__xludf.DUMMYFUNCTION("""COMPUTED_VALUE"""),"18")</f>
        <v>18</v>
      </c>
      <c r="AJ113" s="12" t="str">
        <f>IFERROR(__xludf.DUMMYFUNCTION("""COMPUTED_VALUE"""),"B")</f>
        <v>B</v>
      </c>
      <c r="AK113" s="12">
        <f>IFERROR(__xludf.DUMMYFUNCTION("""COMPUTED_VALUE"""),190.0)</f>
        <v>190</v>
      </c>
      <c r="AL113" s="12" t="str">
        <f>IFERROR(__xludf.DUMMYFUNCTION("""COMPUTED_VALUE"""),"KITCHEN-IT")</f>
        <v>KITCHEN-IT</v>
      </c>
      <c r="AM113" s="12"/>
      <c r="AN113" s="12"/>
      <c r="AO113" s="12"/>
      <c r="AP113" s="12"/>
      <c r="AQ113" s="12"/>
      <c r="BC113" s="12"/>
      <c r="BH113" s="12"/>
      <c r="BI113" s="16"/>
      <c r="BJ113" s="16"/>
      <c r="BK113" s="12"/>
      <c r="BL113" s="12"/>
      <c r="BM113" s="12"/>
      <c r="BN113" s="12"/>
      <c r="BO113" s="12"/>
      <c r="BP113" s="12"/>
      <c r="BQ113" s="12"/>
      <c r="BR113" s="12"/>
      <c r="BY113" s="14"/>
      <c r="BZ113" s="14"/>
      <c r="CA113" s="14"/>
      <c r="CB113" s="14"/>
      <c r="CC113" s="14"/>
      <c r="CD113" s="14"/>
      <c r="CE113" s="14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</row>
    <row r="114">
      <c r="A114" s="92">
        <v>3.0</v>
      </c>
      <c r="B114" s="94" t="s">
        <v>394</v>
      </c>
      <c r="C114" s="94" t="s">
        <v>53</v>
      </c>
      <c r="D114" s="95" t="str">
        <f t="shared" si="1"/>
        <v>3-PRD-F3-4</v>
      </c>
      <c r="E114" s="83"/>
      <c r="F114" s="150"/>
      <c r="G114" s="85"/>
      <c r="H114" s="49"/>
      <c r="I114" s="86"/>
      <c r="J114" s="87"/>
      <c r="K114" s="27" t="str">
        <f t="shared" si="2"/>
        <v>DISPONIBLE</v>
      </c>
      <c r="L114" s="28">
        <f t="shared" si="6"/>
        <v>113</v>
      </c>
      <c r="M114" s="28" t="s">
        <v>515</v>
      </c>
      <c r="N114" s="70"/>
      <c r="O114" s="29"/>
      <c r="P114" s="12"/>
      <c r="Q114" s="12"/>
      <c r="R114" s="12"/>
      <c r="S114" s="12"/>
      <c r="T114" s="12"/>
      <c r="U114" s="12"/>
      <c r="V114" s="12"/>
      <c r="AB114" s="12"/>
      <c r="AC114" s="12" t="str">
        <f>IFERROR(__xludf.DUMMYFUNCTION("""COMPUTED_VALUE"""),"4-19-A")</f>
        <v>4-19-A</v>
      </c>
      <c r="AD114" s="12" t="str">
        <f>IFERROR(__xludf.DUMMYFUNCTION("""COMPUTED_VALUE"""),"HEGE18L")</f>
        <v>HEGE18L</v>
      </c>
      <c r="AE114" s="12" t="str">
        <f>IFERROR(__xludf.DUMMYFUNCTION("""COMPUTED_VALUE"""),"Hervidor Glass Edition 1.8L")</f>
        <v>Hervidor Glass Edition 1.8L</v>
      </c>
      <c r="AF114" s="30">
        <f>IFERROR(__xludf.DUMMYFUNCTION("""COMPUTED_VALUE"""),288.0)</f>
        <v>288</v>
      </c>
      <c r="AG114" s="12" t="str">
        <f>IFERROR(__xludf.DUMMYFUNCTION("""COMPUTED_VALUE"""),"Movimiento Interno")</f>
        <v>Movimiento Interno</v>
      </c>
      <c r="AH114" s="12">
        <f>IFERROR(__xludf.DUMMYFUNCTION("""COMPUTED_VALUE"""),4.0)</f>
        <v>4</v>
      </c>
      <c r="AI114" s="12" t="str">
        <f>IFERROR(__xludf.DUMMYFUNCTION("""COMPUTED_VALUE"""),"19")</f>
        <v>19</v>
      </c>
      <c r="AJ114" s="12" t="str">
        <f>IFERROR(__xludf.DUMMYFUNCTION("""COMPUTED_VALUE"""),"A")</f>
        <v>A</v>
      </c>
      <c r="AK114" s="12">
        <f>IFERROR(__xludf.DUMMYFUNCTION("""COMPUTED_VALUE"""),193.0)</f>
        <v>193</v>
      </c>
      <c r="AL114" s="12" t="str">
        <f>IFERROR(__xludf.DUMMYFUNCTION("""COMPUTED_VALUE"""),"KITCHEN-IT")</f>
        <v>KITCHEN-IT</v>
      </c>
      <c r="AM114" s="12"/>
      <c r="AN114" s="12"/>
      <c r="AO114" s="12"/>
      <c r="AP114" s="12"/>
      <c r="AQ114" s="12"/>
      <c r="BC114" s="12"/>
      <c r="BH114" s="12"/>
      <c r="BI114" s="16"/>
      <c r="BJ114" s="16"/>
      <c r="BK114" s="12"/>
      <c r="BL114" s="12"/>
      <c r="BM114" s="12"/>
      <c r="BN114" s="12"/>
      <c r="BO114" s="12"/>
      <c r="BP114" s="12"/>
      <c r="BQ114" s="12"/>
      <c r="BR114" s="12"/>
      <c r="BY114" s="14"/>
      <c r="BZ114" s="14"/>
      <c r="CA114" s="14"/>
      <c r="CB114" s="14"/>
      <c r="CC114" s="14"/>
      <c r="CD114" s="14"/>
      <c r="CE114" s="14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</row>
    <row r="115">
      <c r="A115" s="92">
        <v>3.0</v>
      </c>
      <c r="B115" s="94" t="s">
        <v>394</v>
      </c>
      <c r="C115" s="94" t="s">
        <v>25</v>
      </c>
      <c r="D115" s="95" t="str">
        <f t="shared" si="1"/>
        <v>3-PRD-F3-5</v>
      </c>
      <c r="E115" s="83"/>
      <c r="F115" s="150"/>
      <c r="G115" s="85"/>
      <c r="H115" s="49"/>
      <c r="I115" s="86"/>
      <c r="J115" s="87"/>
      <c r="K115" s="32" t="str">
        <f t="shared" si="2"/>
        <v>DISPONIBLE</v>
      </c>
      <c r="L115" s="33">
        <f t="shared" si="6"/>
        <v>114</v>
      </c>
      <c r="M115" s="33" t="s">
        <v>515</v>
      </c>
      <c r="N115" s="53"/>
      <c r="O115" s="34"/>
      <c r="P115" s="12"/>
      <c r="Q115" s="12"/>
      <c r="R115" s="12"/>
      <c r="S115" s="12"/>
      <c r="T115" s="12"/>
      <c r="U115" s="12"/>
      <c r="V115" s="12"/>
      <c r="AB115" s="12"/>
      <c r="AC115" s="12" t="str">
        <f>IFERROR(__xludf.DUMMYFUNCTION("""COMPUTED_VALUE"""),"4-19-B")</f>
        <v>4-19-B</v>
      </c>
      <c r="AD115" s="12" t="str">
        <f>IFERROR(__xludf.DUMMYFUNCTION("""COMPUTED_VALUE"""),"HEGE18L")</f>
        <v>HEGE18L</v>
      </c>
      <c r="AE115" s="12" t="str">
        <f>IFERROR(__xludf.DUMMYFUNCTION("""COMPUTED_VALUE"""),"Hervidor Glass Edition 1.8L")</f>
        <v>Hervidor Glass Edition 1.8L</v>
      </c>
      <c r="AF115" s="30">
        <f>IFERROR(__xludf.DUMMYFUNCTION("""COMPUTED_VALUE"""),288.0)</f>
        <v>288</v>
      </c>
      <c r="AG115" s="12" t="str">
        <f>IFERROR(__xludf.DUMMYFUNCTION("""COMPUTED_VALUE"""),"Contenedor")</f>
        <v>Contenedor</v>
      </c>
      <c r="AH115" s="12">
        <f>IFERROR(__xludf.DUMMYFUNCTION("""COMPUTED_VALUE"""),4.0)</f>
        <v>4</v>
      </c>
      <c r="AI115" s="12" t="str">
        <f>IFERROR(__xludf.DUMMYFUNCTION("""COMPUTED_VALUE"""),"19")</f>
        <v>19</v>
      </c>
      <c r="AJ115" s="12" t="str">
        <f>IFERROR(__xludf.DUMMYFUNCTION("""COMPUTED_VALUE"""),"B")</f>
        <v>B</v>
      </c>
      <c r="AK115" s="12">
        <f>IFERROR(__xludf.DUMMYFUNCTION("""COMPUTED_VALUE"""),194.0)</f>
        <v>194</v>
      </c>
      <c r="AL115" s="12" t="str">
        <f>IFERROR(__xludf.DUMMYFUNCTION("""COMPUTED_VALUE"""),"KITCHEN-IT")</f>
        <v>KITCHEN-IT</v>
      </c>
      <c r="AM115" s="12"/>
      <c r="AN115" s="12"/>
      <c r="AO115" s="12"/>
      <c r="AP115" s="12"/>
      <c r="AQ115" s="12"/>
      <c r="BC115" s="12"/>
      <c r="BH115" s="12"/>
      <c r="BI115" s="16"/>
      <c r="BJ115" s="16"/>
      <c r="BK115" s="12"/>
      <c r="BL115" s="12"/>
      <c r="BM115" s="12"/>
      <c r="BN115" s="12"/>
      <c r="BO115" s="12"/>
      <c r="BP115" s="12"/>
      <c r="BQ115" s="12"/>
      <c r="BR115" s="12"/>
      <c r="BY115" s="14"/>
      <c r="BZ115" s="14"/>
      <c r="CA115" s="14"/>
      <c r="CB115" s="14"/>
      <c r="CC115" s="14"/>
      <c r="CD115" s="14"/>
      <c r="CE115" s="14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</row>
    <row r="116">
      <c r="A116" s="92">
        <v>3.0</v>
      </c>
      <c r="B116" s="94" t="s">
        <v>415</v>
      </c>
      <c r="C116" s="94" t="s">
        <v>18</v>
      </c>
      <c r="D116" s="95" t="str">
        <f t="shared" si="1"/>
        <v>3-PRD-F4-1</v>
      </c>
      <c r="E116" s="96">
        <v>45749.0</v>
      </c>
      <c r="F116" s="97" t="s">
        <v>19</v>
      </c>
      <c r="G116" s="98" t="s">
        <v>762</v>
      </c>
      <c r="H116" s="99" t="s">
        <v>763</v>
      </c>
      <c r="I116" s="100">
        <v>19.0</v>
      </c>
      <c r="J116" s="101" t="s">
        <v>35</v>
      </c>
      <c r="K116" s="27" t="str">
        <f t="shared" si="2"/>
        <v>OCUPADO</v>
      </c>
      <c r="L116" s="28">
        <f t="shared" si="6"/>
        <v>115</v>
      </c>
      <c r="M116" s="28" t="s">
        <v>515</v>
      </c>
      <c r="N116" s="70"/>
      <c r="O116" s="29" t="s">
        <v>24</v>
      </c>
      <c r="P116" s="12"/>
      <c r="Q116" s="12"/>
      <c r="R116" s="12"/>
      <c r="S116" s="12"/>
      <c r="T116" s="12"/>
      <c r="U116" s="12"/>
      <c r="V116" s="12"/>
      <c r="AB116" s="12"/>
      <c r="AC116" s="12" t="str">
        <f>IFERROR(__xludf.DUMMYFUNCTION("""COMPUTED_VALUE"""),"4-19-C")</f>
        <v>4-19-C</v>
      </c>
      <c r="AD116" s="12" t="str">
        <f>IFERROR(__xludf.DUMMYFUNCTION("""COMPUTED_VALUE"""),"HEGE18L")</f>
        <v>HEGE18L</v>
      </c>
      <c r="AE116" s="12" t="str">
        <f>IFERROR(__xludf.DUMMYFUNCTION("""COMPUTED_VALUE"""),"Hervidor Glass Edition 1.8L")</f>
        <v>Hervidor Glass Edition 1.8L</v>
      </c>
      <c r="AF116" s="30">
        <f>IFERROR(__xludf.DUMMYFUNCTION("""COMPUTED_VALUE"""),360.0)</f>
        <v>360</v>
      </c>
      <c r="AG116" s="12" t="str">
        <f>IFERROR(__xludf.DUMMYFUNCTION("""COMPUTED_VALUE"""),"Contenedor")</f>
        <v>Contenedor</v>
      </c>
      <c r="AH116" s="12">
        <f>IFERROR(__xludf.DUMMYFUNCTION("""COMPUTED_VALUE"""),4.0)</f>
        <v>4</v>
      </c>
      <c r="AI116" s="12" t="str">
        <f>IFERROR(__xludf.DUMMYFUNCTION("""COMPUTED_VALUE"""),"19")</f>
        <v>19</v>
      </c>
      <c r="AJ116" s="12" t="str">
        <f>IFERROR(__xludf.DUMMYFUNCTION("""COMPUTED_VALUE"""),"C")</f>
        <v>C</v>
      </c>
      <c r="AK116" s="12">
        <f>IFERROR(__xludf.DUMMYFUNCTION("""COMPUTED_VALUE"""),195.0)</f>
        <v>195</v>
      </c>
      <c r="AL116" s="12" t="str">
        <f>IFERROR(__xludf.DUMMYFUNCTION("""COMPUTED_VALUE"""),"KITCHEN-IT")</f>
        <v>KITCHEN-IT</v>
      </c>
      <c r="AM116" s="12"/>
      <c r="AN116" s="12"/>
      <c r="AO116" s="12"/>
      <c r="AP116" s="12"/>
      <c r="AQ116" s="12"/>
      <c r="BC116" s="12"/>
      <c r="BH116" s="12"/>
      <c r="BI116" s="16"/>
      <c r="BJ116" s="16"/>
      <c r="BK116" s="12"/>
      <c r="BL116" s="12"/>
      <c r="BM116" s="12"/>
      <c r="BN116" s="12"/>
      <c r="BO116" s="12"/>
      <c r="BP116" s="12"/>
      <c r="BQ116" s="12"/>
      <c r="BR116" s="12"/>
      <c r="BY116" s="14"/>
      <c r="BZ116" s="14"/>
      <c r="CA116" s="14"/>
      <c r="CB116" s="14"/>
      <c r="CC116" s="14"/>
      <c r="CD116" s="14"/>
      <c r="CE116" s="14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</row>
    <row r="117">
      <c r="A117" s="92">
        <v>3.0</v>
      </c>
      <c r="B117" s="94" t="s">
        <v>415</v>
      </c>
      <c r="C117" s="94" t="s">
        <v>32</v>
      </c>
      <c r="D117" s="95" t="str">
        <f t="shared" si="1"/>
        <v>3-PRD-F4-2</v>
      </c>
      <c r="E117" s="96">
        <v>45749.0</v>
      </c>
      <c r="F117" s="97" t="s">
        <v>19</v>
      </c>
      <c r="G117" s="98" t="s">
        <v>183</v>
      </c>
      <c r="H117" s="99" t="s">
        <v>184</v>
      </c>
      <c r="I117" s="100">
        <v>3.0</v>
      </c>
      <c r="J117" s="101" t="s">
        <v>35</v>
      </c>
      <c r="K117" s="32" t="str">
        <f t="shared" si="2"/>
        <v>OCUPADO</v>
      </c>
      <c r="L117" s="33">
        <f t="shared" si="6"/>
        <v>116</v>
      </c>
      <c r="M117" s="33" t="s">
        <v>515</v>
      </c>
      <c r="N117" s="53"/>
      <c r="O117" s="34" t="s">
        <v>24</v>
      </c>
      <c r="P117" s="12"/>
      <c r="Q117" s="12"/>
      <c r="R117" s="12"/>
      <c r="S117" s="12"/>
      <c r="T117" s="12"/>
      <c r="U117" s="12"/>
      <c r="V117" s="12"/>
      <c r="AB117" s="12"/>
      <c r="AC117" s="12" t="str">
        <f>IFERROR(__xludf.DUMMYFUNCTION("""COMPUTED_VALUE"""),"4-19-D")</f>
        <v>4-19-D</v>
      </c>
      <c r="AD117" s="12" t="str">
        <f>IFERROR(__xludf.DUMMYFUNCTION("""COMPUTED_VALUE"""),"HEGE18L")</f>
        <v>HEGE18L</v>
      </c>
      <c r="AE117" s="12" t="str">
        <f>IFERROR(__xludf.DUMMYFUNCTION("""COMPUTED_VALUE"""),"Hervidor Glass Edition 1.8L")</f>
        <v>Hervidor Glass Edition 1.8L</v>
      </c>
      <c r="AF117" s="30">
        <f>IFERROR(__xludf.DUMMYFUNCTION("""COMPUTED_VALUE"""),360.0)</f>
        <v>360</v>
      </c>
      <c r="AG117" s="12" t="str">
        <f>IFERROR(__xludf.DUMMYFUNCTION("""COMPUTED_VALUE"""),"Contenedor")</f>
        <v>Contenedor</v>
      </c>
      <c r="AH117" s="12">
        <f>IFERROR(__xludf.DUMMYFUNCTION("""COMPUTED_VALUE"""),4.0)</f>
        <v>4</v>
      </c>
      <c r="AI117" s="12" t="str">
        <f>IFERROR(__xludf.DUMMYFUNCTION("""COMPUTED_VALUE"""),"19")</f>
        <v>19</v>
      </c>
      <c r="AJ117" s="12" t="str">
        <f>IFERROR(__xludf.DUMMYFUNCTION("""COMPUTED_VALUE"""),"D")</f>
        <v>D</v>
      </c>
      <c r="AK117" s="12">
        <f>IFERROR(__xludf.DUMMYFUNCTION("""COMPUTED_VALUE"""),196.0)</f>
        <v>196</v>
      </c>
      <c r="AL117" s="12" t="str">
        <f>IFERROR(__xludf.DUMMYFUNCTION("""COMPUTED_VALUE"""),"KITCHEN-IT")</f>
        <v>KITCHEN-IT</v>
      </c>
      <c r="AM117" s="12"/>
      <c r="AN117" s="12"/>
      <c r="AO117" s="12"/>
      <c r="AP117" s="12"/>
      <c r="AQ117" s="12"/>
      <c r="BC117" s="12"/>
      <c r="BH117" s="12"/>
      <c r="BI117" s="16"/>
      <c r="BJ117" s="16"/>
      <c r="BK117" s="12"/>
      <c r="BL117" s="12"/>
      <c r="BM117" s="12"/>
      <c r="BN117" s="12"/>
      <c r="BO117" s="12"/>
      <c r="BP117" s="12"/>
      <c r="BQ117" s="12"/>
      <c r="BR117" s="12"/>
      <c r="BY117" s="14"/>
      <c r="BZ117" s="14"/>
      <c r="CA117" s="14"/>
      <c r="CB117" s="14"/>
      <c r="CC117" s="14"/>
      <c r="CD117" s="14"/>
      <c r="CE117" s="14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</row>
    <row r="118">
      <c r="A118" s="92">
        <v>3.0</v>
      </c>
      <c r="B118" s="94" t="s">
        <v>415</v>
      </c>
      <c r="C118" s="94" t="s">
        <v>44</v>
      </c>
      <c r="D118" s="95" t="str">
        <f t="shared" si="1"/>
        <v>3-PRD-F4-3</v>
      </c>
      <c r="E118" s="83"/>
      <c r="F118" s="150"/>
      <c r="G118" s="85"/>
      <c r="H118" s="49"/>
      <c r="I118" s="86"/>
      <c r="J118" s="87"/>
      <c r="K118" s="27" t="str">
        <f t="shared" si="2"/>
        <v>DISPONIBLE</v>
      </c>
      <c r="L118" s="28">
        <f t="shared" si="6"/>
        <v>117</v>
      </c>
      <c r="M118" s="28" t="s">
        <v>515</v>
      </c>
      <c r="N118" s="70"/>
      <c r="O118" s="29"/>
      <c r="P118" s="12"/>
      <c r="Q118" s="12"/>
      <c r="R118" s="12"/>
      <c r="S118" s="12"/>
      <c r="T118" s="12"/>
      <c r="U118" s="12"/>
      <c r="V118" s="12"/>
      <c r="AB118" s="12"/>
      <c r="AC118" s="12" t="str">
        <f>IFERROR(__xludf.DUMMYFUNCTION("""COMPUTED_VALUE"""),"4-R-1A")</f>
        <v>4-R-1A</v>
      </c>
      <c r="AD118" s="12" t="str">
        <f>IFERROR(__xludf.DUMMYFUNCTION("""COMPUTED_VALUE"""),"PPME")</f>
        <v>PPME</v>
      </c>
      <c r="AE118" s="12" t="str">
        <f>IFERROR(__xludf.DUMMYFUNCTION("""COMPUTED_VALUE"""),"Sandwichera Panini Master Edition")</f>
        <v>Sandwichera Panini Master Edition</v>
      </c>
      <c r="AF118" s="30">
        <f>IFERROR(__xludf.DUMMYFUNCTION("""COMPUTED_VALUE"""),13.0)</f>
        <v>13</v>
      </c>
      <c r="AG118" s="12" t="str">
        <f>IFERROR(__xludf.DUMMYFUNCTION("""COMPUTED_VALUE"""),"MERCADO  LIBRE")</f>
        <v>MERCADO  LIBRE</v>
      </c>
      <c r="AH118" s="12">
        <f>IFERROR(__xludf.DUMMYFUNCTION("""COMPUTED_VALUE"""),4.0)</f>
        <v>4</v>
      </c>
      <c r="AI118" s="12" t="str">
        <f>IFERROR(__xludf.DUMMYFUNCTION("""COMPUTED_VALUE"""),"R")</f>
        <v>R</v>
      </c>
      <c r="AJ118" s="12" t="str">
        <f>IFERROR(__xludf.DUMMYFUNCTION("""COMPUTED_VALUE"""),"1A")</f>
        <v>1A</v>
      </c>
      <c r="AK118" s="12">
        <f>IFERROR(__xludf.DUMMYFUNCTION("""COMPUTED_VALUE"""),197.0)</f>
        <v>197</v>
      </c>
      <c r="AL118" s="12" t="str">
        <f>IFERROR(__xludf.DUMMYFUNCTION("""COMPUTED_VALUE"""),"KITCHEN-IT")</f>
        <v>KITCHEN-IT</v>
      </c>
      <c r="AM118" s="12"/>
      <c r="AN118" s="12"/>
      <c r="AO118" s="12"/>
      <c r="AP118" s="12"/>
      <c r="AQ118" s="12"/>
      <c r="BC118" s="12"/>
      <c r="BH118" s="12"/>
      <c r="BI118" s="16"/>
      <c r="BJ118" s="16"/>
      <c r="BK118" s="12"/>
      <c r="BL118" s="12"/>
      <c r="BM118" s="12"/>
      <c r="BN118" s="12"/>
      <c r="BO118" s="12"/>
      <c r="BP118" s="12"/>
      <c r="BQ118" s="12"/>
      <c r="BR118" s="12"/>
      <c r="BY118" s="14"/>
      <c r="BZ118" s="14"/>
      <c r="CA118" s="14"/>
      <c r="CB118" s="14"/>
      <c r="CC118" s="14"/>
      <c r="CD118" s="14"/>
      <c r="CE118" s="14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</row>
    <row r="119">
      <c r="A119" s="92">
        <v>3.0</v>
      </c>
      <c r="B119" s="94" t="s">
        <v>415</v>
      </c>
      <c r="C119" s="94" t="s">
        <v>53</v>
      </c>
      <c r="D119" s="95" t="str">
        <f t="shared" si="1"/>
        <v>3-PRD-F4-4</v>
      </c>
      <c r="E119" s="83"/>
      <c r="F119" s="150"/>
      <c r="G119" s="85"/>
      <c r="H119" s="49"/>
      <c r="I119" s="86"/>
      <c r="J119" s="87"/>
      <c r="K119" s="32" t="str">
        <f t="shared" si="2"/>
        <v>DISPONIBLE</v>
      </c>
      <c r="L119" s="33">
        <f t="shared" si="6"/>
        <v>118</v>
      </c>
      <c r="M119" s="33" t="s">
        <v>515</v>
      </c>
      <c r="N119" s="53"/>
      <c r="O119" s="34"/>
      <c r="P119" s="12"/>
      <c r="Q119" s="12"/>
      <c r="R119" s="12"/>
      <c r="S119" s="12"/>
      <c r="T119" s="12"/>
      <c r="U119" s="12"/>
      <c r="V119" s="12"/>
      <c r="AB119" s="12"/>
      <c r="AC119" s="12" t="str">
        <f>IFERROR(__xludf.DUMMYFUNCTION("""COMPUTED_VALUE"""),"4-21-A")</f>
        <v>4-21-A</v>
      </c>
      <c r="AD119" s="12" t="str">
        <f>IFERROR(__xludf.DUMMYFUNCTION("""COMPUTED_VALUE"""),"692425")</f>
        <v>692425</v>
      </c>
      <c r="AE119" s="12" t="str">
        <f>IFERROR(__xludf.DUMMYFUNCTION("""COMPUTED_VALUE"""),"CAJA CARTON PISQUERA 31x23x31 CM")</f>
        <v>CAJA CARTON PISQUERA 31x23x31 CM</v>
      </c>
      <c r="AF119" s="30">
        <f>IFERROR(__xludf.DUMMYFUNCTION("""COMPUTED_VALUE"""),400.0)</f>
        <v>400</v>
      </c>
      <c r="AG119" s="12" t="str">
        <f>IFERROR(__xludf.DUMMYFUNCTION("""COMPUTED_VALUE"""),"PROVEEDOR")</f>
        <v>PROVEEDOR</v>
      </c>
      <c r="AH119" s="12">
        <f>IFERROR(__xludf.DUMMYFUNCTION("""COMPUTED_VALUE"""),4.0)</f>
        <v>4</v>
      </c>
      <c r="AI119" s="12" t="str">
        <f>IFERROR(__xludf.DUMMYFUNCTION("""COMPUTED_VALUE"""),"21")</f>
        <v>21</v>
      </c>
      <c r="AJ119" s="12" t="str">
        <f>IFERROR(__xludf.DUMMYFUNCTION("""COMPUTED_VALUE"""),"A")</f>
        <v>A</v>
      </c>
      <c r="AK119" s="12">
        <f>IFERROR(__xludf.DUMMYFUNCTION("""COMPUTED_VALUE"""),198.0)</f>
        <v>198</v>
      </c>
      <c r="AL119" s="12" t="str">
        <f>IFERROR(__xludf.DUMMYFUNCTION("""COMPUTED_VALUE"""),"SUMMIT")</f>
        <v>SUMMIT</v>
      </c>
      <c r="AM119" s="12"/>
      <c r="AN119" s="12"/>
      <c r="AO119" s="12"/>
      <c r="AP119" s="12"/>
      <c r="AQ119" s="12"/>
      <c r="BC119" s="12"/>
      <c r="BH119" s="12"/>
      <c r="BI119" s="16"/>
      <c r="BJ119" s="16"/>
      <c r="BK119" s="12"/>
      <c r="BL119" s="12"/>
      <c r="BM119" s="12"/>
      <c r="BN119" s="12"/>
      <c r="BO119" s="12"/>
      <c r="BP119" s="12"/>
      <c r="BQ119" s="12"/>
      <c r="BR119" s="12"/>
      <c r="BY119" s="14"/>
      <c r="BZ119" s="14"/>
      <c r="CA119" s="14"/>
      <c r="CB119" s="14"/>
      <c r="CC119" s="14"/>
      <c r="CD119" s="14"/>
      <c r="CE119" s="14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</row>
    <row r="120">
      <c r="A120" s="151">
        <v>3.0</v>
      </c>
      <c r="B120" s="152" t="s">
        <v>415</v>
      </c>
      <c r="C120" s="152" t="s">
        <v>25</v>
      </c>
      <c r="D120" s="153" t="str">
        <f t="shared" si="1"/>
        <v>3-PRD-F4-5</v>
      </c>
      <c r="E120" s="57"/>
      <c r="F120" s="58"/>
      <c r="G120" s="59"/>
      <c r="H120" s="60"/>
      <c r="I120" s="61"/>
      <c r="J120" s="62"/>
      <c r="K120" s="63" t="str">
        <f t="shared" si="2"/>
        <v>DISPONIBLE</v>
      </c>
      <c r="L120" s="64">
        <f t="shared" si="6"/>
        <v>119</v>
      </c>
      <c r="M120" s="64" t="s">
        <v>515</v>
      </c>
      <c r="N120" s="65"/>
      <c r="O120" s="66"/>
      <c r="P120" s="12"/>
      <c r="Q120" s="12"/>
      <c r="R120" s="12"/>
      <c r="S120" s="12"/>
      <c r="T120" s="12"/>
      <c r="U120" s="12"/>
      <c r="V120" s="12"/>
      <c r="AB120" s="12"/>
      <c r="AC120" s="12" t="str">
        <f>IFERROR(__xludf.DUMMYFUNCTION("""COMPUTED_VALUE"""),"4-21-B")</f>
        <v>4-21-B</v>
      </c>
      <c r="AD120" s="12" t="str">
        <f>IFERROR(__xludf.DUMMYFUNCTION("""COMPUTED_VALUE"""),"692425")</f>
        <v>692425</v>
      </c>
      <c r="AE120" s="12" t="str">
        <f>IFERROR(__xludf.DUMMYFUNCTION("""COMPUTED_VALUE"""),"CAJA CARTON PISQUERA 31x23x31 CM")</f>
        <v>CAJA CARTON PISQUERA 31x23x31 CM</v>
      </c>
      <c r="AF120" s="30">
        <f>IFERROR(__xludf.DUMMYFUNCTION("""COMPUTED_VALUE"""),549.0)</f>
        <v>549</v>
      </c>
      <c r="AG120" s="12" t="str">
        <f>IFERROR(__xludf.DUMMYFUNCTION("""COMPUTED_VALUE"""),"PROVEEDOR")</f>
        <v>PROVEEDOR</v>
      </c>
      <c r="AH120" s="12">
        <f>IFERROR(__xludf.DUMMYFUNCTION("""COMPUTED_VALUE"""),4.0)</f>
        <v>4</v>
      </c>
      <c r="AI120" s="12" t="str">
        <f>IFERROR(__xludf.DUMMYFUNCTION("""COMPUTED_VALUE"""),"21")</f>
        <v>21</v>
      </c>
      <c r="AJ120" s="12" t="str">
        <f>IFERROR(__xludf.DUMMYFUNCTION("""COMPUTED_VALUE"""),"B")</f>
        <v>B</v>
      </c>
      <c r="AK120" s="12">
        <f>IFERROR(__xludf.DUMMYFUNCTION("""COMPUTED_VALUE"""),199.0)</f>
        <v>199</v>
      </c>
      <c r="AL120" s="12" t="str">
        <f>IFERROR(__xludf.DUMMYFUNCTION("""COMPUTED_VALUE"""),"SUMMIT")</f>
        <v>SUMMIT</v>
      </c>
      <c r="AM120" s="12"/>
      <c r="AN120" s="12"/>
      <c r="AO120" s="12"/>
      <c r="AP120" s="12"/>
      <c r="AQ120" s="12"/>
      <c r="BC120" s="12"/>
      <c r="BH120" s="12"/>
      <c r="BI120" s="16"/>
      <c r="BJ120" s="16"/>
      <c r="BK120" s="12"/>
      <c r="BL120" s="12"/>
      <c r="BM120" s="12"/>
      <c r="BN120" s="12"/>
      <c r="BO120" s="12"/>
      <c r="BP120" s="12"/>
      <c r="BQ120" s="12"/>
      <c r="BR120" s="12"/>
      <c r="BY120" s="14"/>
      <c r="BZ120" s="14"/>
      <c r="CA120" s="14"/>
      <c r="CB120" s="14"/>
      <c r="CC120" s="14"/>
      <c r="CD120" s="14"/>
      <c r="CE120" s="14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</row>
    <row r="121">
      <c r="A121" s="158">
        <v>4.0</v>
      </c>
      <c r="B121" s="159" t="s">
        <v>18</v>
      </c>
      <c r="C121" s="160" t="s">
        <v>269</v>
      </c>
      <c r="D121" s="161" t="str">
        <f t="shared" si="1"/>
        <v>4-1-A</v>
      </c>
      <c r="E121" s="162">
        <v>45708.0</v>
      </c>
      <c r="F121" s="163" t="s">
        <v>702</v>
      </c>
      <c r="G121" s="164" t="s">
        <v>330</v>
      </c>
      <c r="H121" s="165" t="s">
        <v>331</v>
      </c>
      <c r="I121" s="166">
        <v>36.0</v>
      </c>
      <c r="J121" s="167" t="s">
        <v>43</v>
      </c>
      <c r="K121" s="32" t="str">
        <f t="shared" si="2"/>
        <v>OCUPADO</v>
      </c>
      <c r="L121" s="33">
        <f t="shared" si="6"/>
        <v>120</v>
      </c>
      <c r="M121" s="33" t="s">
        <v>23</v>
      </c>
      <c r="N121" s="122"/>
      <c r="O121" s="169" t="s">
        <v>270</v>
      </c>
      <c r="P121" s="12"/>
      <c r="Q121" s="12"/>
      <c r="R121" s="12"/>
      <c r="S121" s="12"/>
      <c r="T121" s="12"/>
      <c r="U121" s="12"/>
      <c r="V121" s="12"/>
      <c r="AB121" s="12"/>
      <c r="AC121" s="12" t="str">
        <f>IFERROR(__xludf.DUMMYFUNCTION("""COMPUTED_VALUE"""),"4-21-C")</f>
        <v>4-21-C</v>
      </c>
      <c r="AD121" s="12" t="str">
        <f>IFERROR(__xludf.DUMMYFUNCTION("""COMPUTED_VALUE"""),"PENDIENTE")</f>
        <v>PENDIENTE</v>
      </c>
      <c r="AE121" s="12" t="str">
        <f>IFERROR(__xludf.DUMMYFUNCTION("""COMPUTED_VALUE"""),"SEPARADOR  VASOS 3 RANURAS")</f>
        <v>SEPARADOR  VASOS 3 RANURAS</v>
      </c>
      <c r="AF121" s="30">
        <f>IFERROR(__xludf.DUMMYFUNCTION("""COMPUTED_VALUE"""),667.0)</f>
        <v>667</v>
      </c>
      <c r="AG121" s="12" t="str">
        <f>IFERROR(__xludf.DUMMYFUNCTION("""COMPUTED_VALUE"""),"PROVEEDOR")</f>
        <v>PROVEEDOR</v>
      </c>
      <c r="AH121" s="12">
        <f>IFERROR(__xludf.DUMMYFUNCTION("""COMPUTED_VALUE"""),4.0)</f>
        <v>4</v>
      </c>
      <c r="AI121" s="12" t="str">
        <f>IFERROR(__xludf.DUMMYFUNCTION("""COMPUTED_VALUE"""),"21")</f>
        <v>21</v>
      </c>
      <c r="AJ121" s="12" t="str">
        <f>IFERROR(__xludf.DUMMYFUNCTION("""COMPUTED_VALUE"""),"C")</f>
        <v>C</v>
      </c>
      <c r="AK121" s="12">
        <f>IFERROR(__xludf.DUMMYFUNCTION("""COMPUTED_VALUE"""),200.0)</f>
        <v>200</v>
      </c>
      <c r="AL121" s="12" t="str">
        <f>IFERROR(__xludf.DUMMYFUNCTION("""COMPUTED_VALUE"""),"SUMMIT")</f>
        <v>SUMMIT</v>
      </c>
      <c r="AM121" s="12"/>
      <c r="AN121" s="12"/>
      <c r="AO121" s="12"/>
      <c r="AP121" s="12"/>
      <c r="AQ121" s="12"/>
      <c r="BC121" s="12"/>
      <c r="BH121" s="12" t="str">
        <f>IFERROR(__xludf.DUMMYFUNCTION("IFERROR(INDEX(QUERY(IMPORTRANGE(""1T7HG8KEs-Ob7f3M5atEVN9Yn7IeORGp0QGvggB62ELw"",""Maestro!A:I""),""SELECT Col8 WHERE Col3 = '""&amp;BE121&amp;""'"", 0), 1, 1),""NO ENCONTRADO"")"),"NO ENCONTRADO")</f>
        <v>NO ENCONTRADO</v>
      </c>
      <c r="BI121" s="16">
        <v>1.0</v>
      </c>
      <c r="BJ121" s="16">
        <f t="shared" ref="BJ121:BJ197" si="7">IFERROR(ROUND(IF(BH121="D",BG121/BI121,BG121*BI121),0),1)</f>
        <v>2</v>
      </c>
      <c r="BK121" s="12"/>
      <c r="BL121" s="12"/>
      <c r="BM121" s="12"/>
      <c r="BN121" s="12"/>
      <c r="BO121" s="12"/>
      <c r="BP121" s="12"/>
      <c r="BQ121" s="12"/>
      <c r="BR121" s="12"/>
      <c r="BY121" s="14"/>
      <c r="BZ121" s="14"/>
      <c r="CA121" s="14"/>
      <c r="CB121" s="14"/>
      <c r="CC121" s="14"/>
      <c r="CD121" s="14"/>
      <c r="CE121" s="14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</row>
    <row r="122">
      <c r="A122" s="158">
        <v>4.0</v>
      </c>
      <c r="B122" s="159" t="s">
        <v>18</v>
      </c>
      <c r="C122" s="160" t="s">
        <v>277</v>
      </c>
      <c r="D122" s="161" t="str">
        <f t="shared" si="1"/>
        <v>4-1-B</v>
      </c>
      <c r="E122" s="162">
        <v>45700.0</v>
      </c>
      <c r="F122" s="163" t="s">
        <v>567</v>
      </c>
      <c r="G122" s="164" t="s">
        <v>291</v>
      </c>
      <c r="H122" s="165" t="s">
        <v>292</v>
      </c>
      <c r="I122" s="166">
        <v>140.0</v>
      </c>
      <c r="J122" s="167" t="s">
        <v>43</v>
      </c>
      <c r="K122" s="27" t="str">
        <f t="shared" si="2"/>
        <v>OCUPADO</v>
      </c>
      <c r="L122" s="28">
        <f t="shared" si="6"/>
        <v>121</v>
      </c>
      <c r="M122" s="28" t="s">
        <v>23</v>
      </c>
      <c r="N122" s="109"/>
      <c r="O122" s="168" t="s">
        <v>270</v>
      </c>
      <c r="P122" s="12"/>
      <c r="Q122" s="12"/>
      <c r="R122" s="12"/>
      <c r="S122" s="12"/>
      <c r="T122" s="12"/>
      <c r="U122" s="12"/>
      <c r="V122" s="12"/>
      <c r="AB122" s="12"/>
      <c r="AC122" s="12" t="str">
        <f>IFERROR(__xludf.DUMMYFUNCTION("""COMPUTED_VALUE"""),"4-R-1B")</f>
        <v>4-R-1B</v>
      </c>
      <c r="AD122" s="12" t="str">
        <f>IFERROR(__xludf.DUMMYFUNCTION("""COMPUTED_VALUE"""),"PPME")</f>
        <v>PPME</v>
      </c>
      <c r="AE122" s="12" t="str">
        <f>IFERROR(__xludf.DUMMYFUNCTION("""COMPUTED_VALUE"""),"Sandwichera Panini Master Edition")</f>
        <v>Sandwichera Panini Master Edition</v>
      </c>
      <c r="AF122" s="30">
        <f>IFERROR(__xludf.DUMMYFUNCTION("""COMPUTED_VALUE"""),576.0)</f>
        <v>576</v>
      </c>
      <c r="AG122" s="12" t="str">
        <f>IFERROR(__xludf.DUMMYFUNCTION("""COMPUTED_VALUE"""),"Movimiento Interno")</f>
        <v>Movimiento Interno</v>
      </c>
      <c r="AH122" s="12">
        <f>IFERROR(__xludf.DUMMYFUNCTION("""COMPUTED_VALUE"""),4.0)</f>
        <v>4</v>
      </c>
      <c r="AI122" s="12" t="str">
        <f>IFERROR(__xludf.DUMMYFUNCTION("""COMPUTED_VALUE"""),"R")</f>
        <v>R</v>
      </c>
      <c r="AJ122" s="12" t="str">
        <f>IFERROR(__xludf.DUMMYFUNCTION("""COMPUTED_VALUE"""),"1B")</f>
        <v>1B</v>
      </c>
      <c r="AK122" s="12">
        <f>IFERROR(__xludf.DUMMYFUNCTION("""COMPUTED_VALUE"""),206.0)</f>
        <v>206</v>
      </c>
      <c r="AL122" s="12" t="str">
        <f>IFERROR(__xludf.DUMMYFUNCTION("""COMPUTED_VALUE"""),"KITCHEN-IT")</f>
        <v>KITCHEN-IT</v>
      </c>
      <c r="AM122" s="12"/>
      <c r="AN122" s="12"/>
      <c r="AO122" s="12"/>
      <c r="AP122" s="12"/>
      <c r="AQ122" s="12"/>
      <c r="BC122" s="12"/>
      <c r="BH122" s="12" t="str">
        <f>IFERROR(__xludf.DUMMYFUNCTION("IFERROR(INDEX(QUERY(IMPORTRANGE(""1T7HG8KEs-Ob7f3M5atEVN9Yn7IeORGp0QGvggB62ELw"",""Maestro!A:I""),""SELECT Col8 WHERE Col3 = '""&amp;BE122&amp;""'"", 0), 1, 1),""NO ENCONTRADO"")"),"NO ENCONTRADO")</f>
        <v>NO ENCONTRADO</v>
      </c>
      <c r="BI122" s="16">
        <v>1.0</v>
      </c>
      <c r="BJ122" s="16">
        <f t="shared" si="7"/>
        <v>8</v>
      </c>
      <c r="BK122" s="12"/>
      <c r="BL122" s="12"/>
      <c r="BM122" s="12"/>
      <c r="BN122" s="12"/>
      <c r="BO122" s="12"/>
      <c r="BP122" s="12"/>
      <c r="BQ122" s="12"/>
      <c r="BR122" s="12"/>
      <c r="BY122" s="14"/>
      <c r="BZ122" s="14"/>
      <c r="CA122" s="14"/>
      <c r="CB122" s="14"/>
      <c r="CC122" s="14"/>
      <c r="CD122" s="14"/>
      <c r="CE122" s="14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</row>
    <row r="123">
      <c r="A123" s="158">
        <v>4.0</v>
      </c>
      <c r="B123" s="159" t="s">
        <v>18</v>
      </c>
      <c r="C123" s="160" t="s">
        <v>282</v>
      </c>
      <c r="D123" s="161" t="str">
        <f t="shared" si="1"/>
        <v>4-1-C</v>
      </c>
      <c r="E123" s="162">
        <v>45758.0</v>
      </c>
      <c r="F123" s="163" t="s">
        <v>567</v>
      </c>
      <c r="G123" s="164" t="s">
        <v>291</v>
      </c>
      <c r="H123" s="165" t="s">
        <v>292</v>
      </c>
      <c r="I123" s="166">
        <v>140.0</v>
      </c>
      <c r="J123" s="167" t="s">
        <v>43</v>
      </c>
      <c r="K123" s="32" t="str">
        <f t="shared" si="2"/>
        <v>OCUPADO</v>
      </c>
      <c r="L123" s="33">
        <f t="shared" si="6"/>
        <v>122</v>
      </c>
      <c r="M123" s="33" t="s">
        <v>23</v>
      </c>
      <c r="N123" s="122"/>
      <c r="O123" s="169" t="s">
        <v>270</v>
      </c>
      <c r="P123" s="12"/>
      <c r="Q123" s="12"/>
      <c r="R123" s="12"/>
      <c r="S123" s="12"/>
      <c r="T123" s="12"/>
      <c r="U123" s="12"/>
      <c r="V123" s="12"/>
      <c r="AB123" s="12"/>
      <c r="AC123" s="12" t="str">
        <f>IFERROR(__xludf.DUMMYFUNCTION("""COMPUTED_VALUE"""),"4-R-1C")</f>
        <v>4-R-1C</v>
      </c>
      <c r="AD123" s="12" t="str">
        <f>IFERROR(__xludf.DUMMYFUNCTION("""COMPUTED_VALUE"""),"PPME")</f>
        <v>PPME</v>
      </c>
      <c r="AE123" s="12" t="str">
        <f>IFERROR(__xludf.DUMMYFUNCTION("""COMPUTED_VALUE"""),"Sandwichera Panini Master Edition")</f>
        <v>Sandwichera Panini Master Edition</v>
      </c>
      <c r="AF123" s="30">
        <f>IFERROR(__xludf.DUMMYFUNCTION("""COMPUTED_VALUE"""),840.0)</f>
        <v>840</v>
      </c>
      <c r="AG123" s="12" t="str">
        <f>IFERROR(__xludf.DUMMYFUNCTION("""COMPUTED_VALUE"""),"Movimiento Interno")</f>
        <v>Movimiento Interno</v>
      </c>
      <c r="AH123" s="12">
        <f>IFERROR(__xludf.DUMMYFUNCTION("""COMPUTED_VALUE"""),4.0)</f>
        <v>4</v>
      </c>
      <c r="AI123" s="12" t="str">
        <f>IFERROR(__xludf.DUMMYFUNCTION("""COMPUTED_VALUE"""),"R")</f>
        <v>R</v>
      </c>
      <c r="AJ123" s="12" t="str">
        <f>IFERROR(__xludf.DUMMYFUNCTION("""COMPUTED_VALUE"""),"1C")</f>
        <v>1C</v>
      </c>
      <c r="AK123" s="12">
        <f>IFERROR(__xludf.DUMMYFUNCTION("""COMPUTED_VALUE"""),207.0)</f>
        <v>207</v>
      </c>
      <c r="AL123" s="12" t="str">
        <f>IFERROR(__xludf.DUMMYFUNCTION("""COMPUTED_VALUE"""),"KITCHEN-IT")</f>
        <v>KITCHEN-IT</v>
      </c>
      <c r="AM123" s="12"/>
      <c r="AN123" s="12"/>
      <c r="AO123" s="12"/>
      <c r="AP123" s="12"/>
      <c r="AQ123" s="12"/>
      <c r="BC123" s="12"/>
      <c r="BH123" s="12" t="str">
        <f>IFERROR(__xludf.DUMMYFUNCTION("IFERROR(INDEX(QUERY(IMPORTRANGE(""1T7HG8KEs-Ob7f3M5atEVN9Yn7IeORGp0QGvggB62ELw"",""Maestro!A:I""),""SELECT Col8 WHERE Col3 = '""&amp;BE123&amp;""'"", 0), 1, 1),""NO ENCONTRADO"")"),"D")</f>
        <v>D</v>
      </c>
      <c r="BI123" s="16">
        <v>1.0</v>
      </c>
      <c r="BJ123" s="16">
        <f t="shared" si="7"/>
        <v>12</v>
      </c>
      <c r="BK123" s="12"/>
      <c r="BL123" s="12"/>
      <c r="BM123" s="12"/>
      <c r="BN123" s="12"/>
      <c r="BO123" s="12"/>
      <c r="BP123" s="12"/>
      <c r="BQ123" s="12"/>
      <c r="BR123" s="12"/>
      <c r="BY123" s="14"/>
      <c r="BZ123" s="14"/>
      <c r="CA123" s="14"/>
      <c r="CB123" s="14"/>
      <c r="CC123" s="14"/>
      <c r="CD123" s="14"/>
      <c r="CE123" s="14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</row>
    <row r="124">
      <c r="A124" s="158">
        <v>4.0</v>
      </c>
      <c r="B124" s="159" t="s">
        <v>18</v>
      </c>
      <c r="C124" s="160" t="s">
        <v>285</v>
      </c>
      <c r="D124" s="161" t="str">
        <f t="shared" si="1"/>
        <v>4-1-D</v>
      </c>
      <c r="E124" s="162">
        <v>45758.0</v>
      </c>
      <c r="F124" s="163" t="s">
        <v>567</v>
      </c>
      <c r="G124" s="164" t="s">
        <v>291</v>
      </c>
      <c r="H124" s="165" t="s">
        <v>292</v>
      </c>
      <c r="I124" s="166">
        <v>117.0</v>
      </c>
      <c r="J124" s="167" t="s">
        <v>43</v>
      </c>
      <c r="K124" s="27" t="str">
        <f t="shared" si="2"/>
        <v>OCUPADO</v>
      </c>
      <c r="L124" s="28">
        <f t="shared" si="6"/>
        <v>123</v>
      </c>
      <c r="M124" s="28" t="s">
        <v>23</v>
      </c>
      <c r="N124" s="109"/>
      <c r="O124" s="168" t="s">
        <v>270</v>
      </c>
      <c r="P124" s="12"/>
      <c r="Q124" s="12"/>
      <c r="R124" s="12"/>
      <c r="S124" s="12"/>
      <c r="T124" s="12"/>
      <c r="U124" s="12"/>
      <c r="V124" s="12"/>
      <c r="AB124" s="12"/>
      <c r="AC124" s="12" t="str">
        <f>IFERROR(__xludf.DUMMYFUNCTION("""COMPUTED_VALUE"""),"4-R-2A")</f>
        <v>4-R-2A</v>
      </c>
      <c r="AD124" s="12" t="str">
        <f>IFERROR(__xludf.DUMMYFUNCTION("""COMPUTED_VALUE"""),"LSS1200")</f>
        <v>LSS1200</v>
      </c>
      <c r="AE124" s="12" t="str">
        <f>IFERROR(__xludf.DUMMYFUNCTION("""COMPUTED_VALUE"""),"Licuadora Smart System 1200W")</f>
        <v>Licuadora Smart System 1200W</v>
      </c>
      <c r="AF124" s="30">
        <f>IFERROR(__xludf.DUMMYFUNCTION("""COMPUTED_VALUE"""),31.0)</f>
        <v>31</v>
      </c>
      <c r="AG124" s="12" t="str">
        <f>IFERROR(__xludf.DUMMYFUNCTION("""COMPUTED_VALUE"""),"Contenedor")</f>
        <v>Contenedor</v>
      </c>
      <c r="AH124" s="12">
        <f>IFERROR(__xludf.DUMMYFUNCTION("""COMPUTED_VALUE"""),4.0)</f>
        <v>4</v>
      </c>
      <c r="AI124" s="12" t="str">
        <f>IFERROR(__xludf.DUMMYFUNCTION("""COMPUTED_VALUE"""),"R")</f>
        <v>R</v>
      </c>
      <c r="AJ124" s="12" t="str">
        <f>IFERROR(__xludf.DUMMYFUNCTION("""COMPUTED_VALUE"""),"2A")</f>
        <v>2A</v>
      </c>
      <c r="AK124" s="12">
        <f>IFERROR(__xludf.DUMMYFUNCTION("""COMPUTED_VALUE"""),208.0)</f>
        <v>208</v>
      </c>
      <c r="AL124" s="12" t="str">
        <f>IFERROR(__xludf.DUMMYFUNCTION("""COMPUTED_VALUE"""),"KITCHEN-IT")</f>
        <v>KITCHEN-IT</v>
      </c>
      <c r="AM124" s="12"/>
      <c r="AN124" s="12"/>
      <c r="AO124" s="12"/>
      <c r="AP124" s="12"/>
      <c r="AQ124" s="12"/>
      <c r="BC124" s="12"/>
      <c r="BH124" s="12" t="str">
        <f>IFERROR(__xludf.DUMMYFUNCTION("IFERROR(INDEX(QUERY(IMPORTRANGE(""1T7HG8KEs-Ob7f3M5atEVN9Yn7IeORGp0QGvggB62ELw"",""Maestro!A:I""),""SELECT Col8 WHERE Col3 = '""&amp;BE124&amp;""'"", 0), 1, 1),""NO ENCONTRADO"")"),"D")</f>
        <v>D</v>
      </c>
      <c r="BI124" s="16">
        <v>1.0</v>
      </c>
      <c r="BJ124" s="16">
        <f t="shared" si="7"/>
        <v>1</v>
      </c>
      <c r="BK124" s="12"/>
      <c r="BL124" s="12"/>
      <c r="BM124" s="12"/>
      <c r="BN124" s="12"/>
      <c r="BO124" s="12"/>
      <c r="BP124" s="12"/>
      <c r="BQ124" s="12"/>
      <c r="BR124" s="12"/>
      <c r="BY124" s="14"/>
      <c r="BZ124" s="14"/>
      <c r="CA124" s="14"/>
      <c r="CB124" s="14"/>
      <c r="CC124" s="14"/>
      <c r="CD124" s="14"/>
      <c r="CE124" s="14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</row>
    <row r="125">
      <c r="A125" s="158">
        <v>4.0</v>
      </c>
      <c r="B125" s="159" t="s">
        <v>18</v>
      </c>
      <c r="C125" s="160" t="s">
        <v>289</v>
      </c>
      <c r="D125" s="161" t="str">
        <f t="shared" si="1"/>
        <v>4-1-E</v>
      </c>
      <c r="E125" s="103"/>
      <c r="F125" s="104"/>
      <c r="G125" s="105"/>
      <c r="H125" s="106"/>
      <c r="I125" s="107"/>
      <c r="J125" s="108"/>
      <c r="K125" s="32" t="str">
        <f t="shared" si="2"/>
        <v>DISPONIBLE</v>
      </c>
      <c r="L125" s="33">
        <f t="shared" si="6"/>
        <v>124</v>
      </c>
      <c r="M125" s="33" t="s">
        <v>23</v>
      </c>
      <c r="N125" s="122"/>
      <c r="O125" s="169"/>
      <c r="P125" s="12"/>
      <c r="Q125" s="12"/>
      <c r="R125" s="12"/>
      <c r="S125" s="12"/>
      <c r="T125" s="12"/>
      <c r="U125" s="12"/>
      <c r="V125" s="12"/>
      <c r="AB125" s="12"/>
      <c r="AC125" s="12" t="str">
        <f>IFERROR(__xludf.DUMMYFUNCTION("""COMPUTED_VALUE"""),"4-R-2B")</f>
        <v>4-R-2B</v>
      </c>
      <c r="AD125" s="12" t="str">
        <f>IFERROR(__xludf.DUMMYFUNCTION("""COMPUTED_VALUE"""),"LSS1200")</f>
        <v>LSS1200</v>
      </c>
      <c r="AE125" s="12" t="str">
        <f>IFERROR(__xludf.DUMMYFUNCTION("""COMPUTED_VALUE"""),"Licuadora Smart System 1200W")</f>
        <v>Licuadora Smart System 1200W</v>
      </c>
      <c r="AF125" s="30">
        <f>IFERROR(__xludf.DUMMYFUNCTION("""COMPUTED_VALUE"""),171.0)</f>
        <v>171</v>
      </c>
      <c r="AG125" s="12" t="str">
        <f>IFERROR(__xludf.DUMMYFUNCTION("""COMPUTED_VALUE"""),"Contenedor")</f>
        <v>Contenedor</v>
      </c>
      <c r="AH125" s="12">
        <f>IFERROR(__xludf.DUMMYFUNCTION("""COMPUTED_VALUE"""),4.0)</f>
        <v>4</v>
      </c>
      <c r="AI125" s="12" t="str">
        <f>IFERROR(__xludf.DUMMYFUNCTION("""COMPUTED_VALUE"""),"R")</f>
        <v>R</v>
      </c>
      <c r="AJ125" s="12" t="str">
        <f>IFERROR(__xludf.DUMMYFUNCTION("""COMPUTED_VALUE"""),"2B")</f>
        <v>2B</v>
      </c>
      <c r="AK125" s="12">
        <f>IFERROR(__xludf.DUMMYFUNCTION("""COMPUTED_VALUE"""),209.0)</f>
        <v>209</v>
      </c>
      <c r="AL125" s="12" t="str">
        <f>IFERROR(__xludf.DUMMYFUNCTION("""COMPUTED_VALUE"""),"KITCHEN-IT")</f>
        <v>KITCHEN-IT</v>
      </c>
      <c r="AM125" s="12"/>
      <c r="AN125" s="12"/>
      <c r="AO125" s="12"/>
      <c r="AP125" s="12"/>
      <c r="AQ125" s="12"/>
      <c r="BC125" s="12"/>
      <c r="BH125" s="12" t="str">
        <f>IFERROR(__xludf.DUMMYFUNCTION("IFERROR(INDEX(QUERY(IMPORTRANGE(""1T7HG8KEs-Ob7f3M5atEVN9Yn7IeORGp0QGvggB62ELw"",""Maestro!A:I""),""SELECT Col8 WHERE Col3 = '""&amp;BE125&amp;""'"", 0), 1, 1),""NO ENCONTRADO"")"),"D")</f>
        <v>D</v>
      </c>
      <c r="BI125" s="16">
        <v>1.0</v>
      </c>
      <c r="BJ125" s="16">
        <f t="shared" si="7"/>
        <v>50</v>
      </c>
      <c r="BK125" s="12"/>
      <c r="BL125" s="12"/>
      <c r="BM125" s="12"/>
      <c r="BN125" s="12"/>
      <c r="BO125" s="12"/>
      <c r="BP125" s="12"/>
      <c r="BQ125" s="12"/>
      <c r="BR125" s="12"/>
      <c r="BY125" s="14"/>
      <c r="BZ125" s="14"/>
      <c r="CA125" s="14"/>
      <c r="CB125" s="14"/>
      <c r="CC125" s="14"/>
      <c r="CD125" s="14"/>
      <c r="CE125" s="14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</row>
    <row r="126">
      <c r="A126" s="158">
        <v>4.0</v>
      </c>
      <c r="B126" s="159" t="s">
        <v>32</v>
      </c>
      <c r="C126" s="160" t="s">
        <v>269</v>
      </c>
      <c r="D126" s="161" t="str">
        <f t="shared" si="1"/>
        <v>4-2-A</v>
      </c>
      <c r="E126" s="162">
        <v>45721.0</v>
      </c>
      <c r="F126" s="163" t="s">
        <v>567</v>
      </c>
      <c r="G126" s="164" t="s">
        <v>291</v>
      </c>
      <c r="H126" s="165" t="s">
        <v>292</v>
      </c>
      <c r="I126" s="166">
        <v>120.0</v>
      </c>
      <c r="J126" s="167" t="s">
        <v>43</v>
      </c>
      <c r="K126" s="27" t="str">
        <f t="shared" si="2"/>
        <v>OCUPADO</v>
      </c>
      <c r="L126" s="28">
        <f t="shared" si="6"/>
        <v>125</v>
      </c>
      <c r="M126" s="28" t="s">
        <v>23</v>
      </c>
      <c r="N126" s="109"/>
      <c r="O126" s="168" t="s">
        <v>270</v>
      </c>
      <c r="P126" s="12"/>
      <c r="Q126" s="12"/>
      <c r="R126" s="12"/>
      <c r="S126" s="12"/>
      <c r="T126" s="12"/>
      <c r="U126" s="12"/>
      <c r="V126" s="12"/>
      <c r="AB126" s="12"/>
      <c r="AC126" s="12" t="str">
        <f>IFERROR(__xludf.DUMMYFUNCTION("""COMPUTED_VALUE"""),"4-R-3B")</f>
        <v>4-R-3B</v>
      </c>
      <c r="AD126" s="12" t="str">
        <f>IFERROR(__xludf.DUMMYFUNCTION("""COMPUTED_VALUE"""),"LSS1200")</f>
        <v>LSS1200</v>
      </c>
      <c r="AE126" s="12" t="str">
        <f>IFERROR(__xludf.DUMMYFUNCTION("""COMPUTED_VALUE"""),"Licuadora Smart System 1200W")</f>
        <v>Licuadora Smart System 1200W</v>
      </c>
      <c r="AF126" s="30">
        <f>IFERROR(__xludf.DUMMYFUNCTION("""COMPUTED_VALUE"""),163.0)</f>
        <v>163</v>
      </c>
      <c r="AG126" s="12" t="str">
        <f>IFERROR(__xludf.DUMMYFUNCTION("""COMPUTED_VALUE"""),"Contenedor")</f>
        <v>Contenedor</v>
      </c>
      <c r="AH126" s="12">
        <f>IFERROR(__xludf.DUMMYFUNCTION("""COMPUTED_VALUE"""),4.0)</f>
        <v>4</v>
      </c>
      <c r="AI126" s="12" t="str">
        <f>IFERROR(__xludf.DUMMYFUNCTION("""COMPUTED_VALUE"""),"R")</f>
        <v>R</v>
      </c>
      <c r="AJ126" s="12" t="str">
        <f>IFERROR(__xludf.DUMMYFUNCTION("""COMPUTED_VALUE"""),"3B")</f>
        <v>3B</v>
      </c>
      <c r="AK126" s="12">
        <f>IFERROR(__xludf.DUMMYFUNCTION("""COMPUTED_VALUE"""),211.0)</f>
        <v>211</v>
      </c>
      <c r="AL126" s="12" t="str">
        <f>IFERROR(__xludf.DUMMYFUNCTION("""COMPUTED_VALUE"""),"KITCHEN-IT")</f>
        <v>KITCHEN-IT</v>
      </c>
      <c r="AM126" s="12"/>
      <c r="AN126" s="12"/>
      <c r="AO126" s="12"/>
      <c r="AP126" s="12"/>
      <c r="AQ126" s="12"/>
      <c r="BC126" s="12"/>
      <c r="BD126" s="12"/>
      <c r="BE126" s="14"/>
      <c r="BF126" s="12"/>
      <c r="BG126" s="12"/>
      <c r="BH126" s="12" t="str">
        <f>IFERROR(__xludf.DUMMYFUNCTION("IFERROR(INDEX(QUERY(IMPORTRANGE(""1T7HG8KEs-Ob7f3M5atEVN9Yn7IeORGp0QGvggB62ELw"",""Maestro!A:I""),""SELECT Col8 WHERE Col3 = '""&amp;BE126&amp;""'"", 0), 1, 1),""NO ENCONTRADO"")"),"")</f>
        <v/>
      </c>
      <c r="BI126" s="16">
        <v>1.0</v>
      </c>
      <c r="BJ126" s="16">
        <f t="shared" si="7"/>
        <v>0</v>
      </c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4"/>
      <c r="BX126" s="14"/>
      <c r="BY126" s="14"/>
      <c r="BZ126" s="14"/>
      <c r="CA126" s="14"/>
      <c r="CB126" s="14"/>
      <c r="CC126" s="14"/>
      <c r="CD126" s="14"/>
      <c r="CE126" s="14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</row>
    <row r="127">
      <c r="A127" s="158">
        <v>4.0</v>
      </c>
      <c r="B127" s="159" t="s">
        <v>32</v>
      </c>
      <c r="C127" s="160" t="s">
        <v>277</v>
      </c>
      <c r="D127" s="161" t="str">
        <f t="shared" si="1"/>
        <v>4-2-B</v>
      </c>
      <c r="E127" s="162">
        <v>45721.0</v>
      </c>
      <c r="F127" s="163" t="s">
        <v>567</v>
      </c>
      <c r="G127" s="164" t="s">
        <v>291</v>
      </c>
      <c r="H127" s="165" t="s">
        <v>292</v>
      </c>
      <c r="I127" s="166">
        <v>120.0</v>
      </c>
      <c r="J127" s="167" t="s">
        <v>43</v>
      </c>
      <c r="K127" s="32" t="str">
        <f t="shared" si="2"/>
        <v>OCUPADO</v>
      </c>
      <c r="L127" s="33">
        <f t="shared" si="6"/>
        <v>126</v>
      </c>
      <c r="M127" s="33" t="s">
        <v>23</v>
      </c>
      <c r="N127" s="122"/>
      <c r="O127" s="169" t="s">
        <v>270</v>
      </c>
      <c r="P127" s="12"/>
      <c r="Q127" s="12"/>
      <c r="R127" s="12"/>
      <c r="S127" s="12"/>
      <c r="T127" s="12"/>
      <c r="U127" s="12"/>
      <c r="V127" s="12"/>
      <c r="AB127" s="12"/>
      <c r="AC127" s="12" t="str">
        <f>IFERROR(__xludf.DUMMYFUNCTION("""COMPUTED_VALUE"""),"4-R-4A")</f>
        <v>4-R-4A</v>
      </c>
      <c r="AD127" s="12" t="str">
        <f>IFERROR(__xludf.DUMMYFUNCTION("""COMPUTED_VALUE"""),"LSS1200")</f>
        <v>LSS1200</v>
      </c>
      <c r="AE127" s="12" t="str">
        <f>IFERROR(__xludf.DUMMYFUNCTION("""COMPUTED_VALUE"""),"Licuadora Smart System 1200W")</f>
        <v>Licuadora Smart System 1200W</v>
      </c>
      <c r="AF127" s="30">
        <f>IFERROR(__xludf.DUMMYFUNCTION("""COMPUTED_VALUE"""),6.0)</f>
        <v>6</v>
      </c>
      <c r="AG127" s="12" t="str">
        <f>IFERROR(__xludf.DUMMYFUNCTION("""COMPUTED_VALUE"""),"Contenedor")</f>
        <v>Contenedor</v>
      </c>
      <c r="AH127" s="12">
        <f>IFERROR(__xludf.DUMMYFUNCTION("""COMPUTED_VALUE"""),4.0)</f>
        <v>4</v>
      </c>
      <c r="AI127" s="12" t="str">
        <f>IFERROR(__xludf.DUMMYFUNCTION("""COMPUTED_VALUE"""),"R")</f>
        <v>R</v>
      </c>
      <c r="AJ127" s="12" t="str">
        <f>IFERROR(__xludf.DUMMYFUNCTION("""COMPUTED_VALUE"""),"4A")</f>
        <v>4A</v>
      </c>
      <c r="AK127" s="12">
        <f>IFERROR(__xludf.DUMMYFUNCTION("""COMPUTED_VALUE"""),212.0)</f>
        <v>212</v>
      </c>
      <c r="AL127" s="12" t="str">
        <f>IFERROR(__xludf.DUMMYFUNCTION("""COMPUTED_VALUE"""),"KITCHEN-IT")</f>
        <v>KITCHEN-IT</v>
      </c>
      <c r="AM127" s="12"/>
      <c r="AN127" s="12"/>
      <c r="AO127" s="12"/>
      <c r="AP127" s="12"/>
      <c r="AQ127" s="12"/>
      <c r="BC127" s="12"/>
      <c r="BD127" s="12"/>
      <c r="BE127" s="14"/>
      <c r="BF127" s="12"/>
      <c r="BG127" s="12"/>
      <c r="BH127" s="12" t="str">
        <f>IFERROR(__xludf.DUMMYFUNCTION("IFERROR(INDEX(QUERY(IMPORTRANGE(""1T7HG8KEs-Ob7f3M5atEVN9Yn7IeORGp0QGvggB62ELw"",""Maestro!A:I""),""SELECT Col8 WHERE Col3 = '""&amp;BE127&amp;""'"", 0), 1, 1),""NO ENCONTRADO"")"),"")</f>
        <v/>
      </c>
      <c r="BI127" s="16">
        <v>1.0</v>
      </c>
      <c r="BJ127" s="16">
        <f t="shared" si="7"/>
        <v>0</v>
      </c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4"/>
      <c r="BX127" s="14"/>
      <c r="BY127" s="14"/>
      <c r="BZ127" s="14"/>
      <c r="CA127" s="14"/>
      <c r="CB127" s="14"/>
      <c r="CC127" s="14"/>
      <c r="CD127" s="14"/>
      <c r="CE127" s="14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</row>
    <row r="128">
      <c r="A128" s="158">
        <v>4.0</v>
      </c>
      <c r="B128" s="159" t="s">
        <v>32</v>
      </c>
      <c r="C128" s="160" t="s">
        <v>282</v>
      </c>
      <c r="D128" s="161" t="str">
        <f t="shared" si="1"/>
        <v>4-2-C</v>
      </c>
      <c r="E128" s="162">
        <v>45721.0</v>
      </c>
      <c r="F128" s="163" t="s">
        <v>567</v>
      </c>
      <c r="G128" s="164" t="s">
        <v>291</v>
      </c>
      <c r="H128" s="165" t="s">
        <v>292</v>
      </c>
      <c r="I128" s="166">
        <v>120.0</v>
      </c>
      <c r="J128" s="167" t="s">
        <v>43</v>
      </c>
      <c r="K128" s="27" t="str">
        <f t="shared" si="2"/>
        <v>OCUPADO</v>
      </c>
      <c r="L128" s="28">
        <f t="shared" si="6"/>
        <v>127</v>
      </c>
      <c r="M128" s="28" t="s">
        <v>23</v>
      </c>
      <c r="N128" s="109"/>
      <c r="O128" s="168" t="s">
        <v>270</v>
      </c>
      <c r="P128" s="12"/>
      <c r="Q128" s="12"/>
      <c r="R128" s="12"/>
      <c r="S128" s="12"/>
      <c r="T128" s="12"/>
      <c r="U128" s="12"/>
      <c r="V128" s="12"/>
      <c r="AB128" s="12"/>
      <c r="AC128" s="12" t="str">
        <f>IFERROR(__xludf.DUMMYFUNCTION("""COMPUTED_VALUE"""),"4-R-4B")</f>
        <v>4-R-4B</v>
      </c>
      <c r="AD128" s="12" t="str">
        <f>IFERROR(__xludf.DUMMYFUNCTION("""COMPUTED_VALUE"""),"HESS60")</f>
        <v>HESS60</v>
      </c>
      <c r="AE128" s="12" t="str">
        <f>IFERROR(__xludf.DUMMYFUNCTION("""COMPUTED_VALUE"""),"Horno Eléctrico Silver Series 60L")</f>
        <v>Horno Eléctrico Silver Series 60L</v>
      </c>
      <c r="AF128" s="30">
        <f>IFERROR(__xludf.DUMMYFUNCTION("""COMPUTED_VALUE"""),5.0)</f>
        <v>5</v>
      </c>
      <c r="AG128" s="12" t="str">
        <f>IFERROR(__xludf.DUMMYFUNCTION("""COMPUTED_VALUE"""),"Movimiento Interno")</f>
        <v>Movimiento Interno</v>
      </c>
      <c r="AH128" s="12">
        <f>IFERROR(__xludf.DUMMYFUNCTION("""COMPUTED_VALUE"""),4.0)</f>
        <v>4</v>
      </c>
      <c r="AI128" s="12" t="str">
        <f>IFERROR(__xludf.DUMMYFUNCTION("""COMPUTED_VALUE"""),"R")</f>
        <v>R</v>
      </c>
      <c r="AJ128" s="12" t="str">
        <f>IFERROR(__xludf.DUMMYFUNCTION("""COMPUTED_VALUE"""),"4B")</f>
        <v>4B</v>
      </c>
      <c r="AK128" s="12">
        <f>IFERROR(__xludf.DUMMYFUNCTION("""COMPUTED_VALUE"""),213.0)</f>
        <v>213</v>
      </c>
      <c r="AL128" s="12" t="str">
        <f>IFERROR(__xludf.DUMMYFUNCTION("""COMPUTED_VALUE"""),"KITCHEN-IT")</f>
        <v>KITCHEN-IT</v>
      </c>
      <c r="AM128" s="12"/>
      <c r="AN128" s="12"/>
      <c r="AO128" s="12"/>
      <c r="AP128" s="12"/>
      <c r="AQ128" s="12"/>
      <c r="BC128" s="12"/>
      <c r="BD128" s="12"/>
      <c r="BE128" s="14"/>
      <c r="BF128" s="12"/>
      <c r="BG128" s="12"/>
      <c r="BH128" s="12" t="str">
        <f>IFERROR(__xludf.DUMMYFUNCTION("IFERROR(INDEX(QUERY(IMPORTRANGE(""1T7HG8KEs-Ob7f3M5atEVN9Yn7IeORGp0QGvggB62ELw"",""Maestro!A:I""),""SELECT Col8 WHERE Col3 = '""&amp;BE128&amp;""'"", 0), 1, 1),""NO ENCONTRADO"")"),"")</f>
        <v/>
      </c>
      <c r="BI128" s="16">
        <v>1.0</v>
      </c>
      <c r="BJ128" s="16">
        <f t="shared" si="7"/>
        <v>0</v>
      </c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4"/>
      <c r="BX128" s="14"/>
      <c r="BY128" s="14"/>
      <c r="BZ128" s="14"/>
      <c r="CA128" s="14"/>
      <c r="CB128" s="14"/>
      <c r="CC128" s="14"/>
      <c r="CD128" s="14"/>
      <c r="CE128" s="14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</row>
    <row r="129">
      <c r="A129" s="158">
        <v>4.0</v>
      </c>
      <c r="B129" s="159" t="s">
        <v>32</v>
      </c>
      <c r="C129" s="160" t="s">
        <v>285</v>
      </c>
      <c r="D129" s="161" t="str">
        <f t="shared" si="1"/>
        <v>4-2-D</v>
      </c>
      <c r="E129" s="162">
        <v>45751.0</v>
      </c>
      <c r="F129" s="163" t="s">
        <v>19</v>
      </c>
      <c r="G129" s="164" t="s">
        <v>41</v>
      </c>
      <c r="H129" s="165" t="s">
        <v>42</v>
      </c>
      <c r="I129" s="166">
        <v>8.0</v>
      </c>
      <c r="J129" s="167" t="s">
        <v>43</v>
      </c>
      <c r="K129" s="32" t="str">
        <f t="shared" si="2"/>
        <v>OCUPADO</v>
      </c>
      <c r="L129" s="33">
        <f t="shared" si="6"/>
        <v>128</v>
      </c>
      <c r="M129" s="33" t="s">
        <v>23</v>
      </c>
      <c r="N129" s="122"/>
      <c r="O129" s="169" t="s">
        <v>270</v>
      </c>
      <c r="P129" s="12"/>
      <c r="Q129" s="12"/>
      <c r="R129" s="12"/>
      <c r="S129" s="12"/>
      <c r="T129" s="12"/>
      <c r="U129" s="12"/>
      <c r="V129" s="12"/>
      <c r="AB129" s="12"/>
      <c r="AC129" s="12" t="str">
        <f>IFERROR(__xludf.DUMMYFUNCTION("""COMPUTED_VALUE"""),"4-R-5A")</f>
        <v>4-R-5A</v>
      </c>
      <c r="AD129" s="12" t="str">
        <f>IFERROR(__xludf.DUMMYFUNCTION("""COMPUTED_VALUE"""),"FADE9L")</f>
        <v>FADE9L</v>
      </c>
      <c r="AE129" s="12" t="str">
        <f>IFERROR(__xludf.DUMMYFUNCTION("""COMPUTED_VALUE"""),"Freidora de Aire Dual Edition 9L")</f>
        <v>Freidora de Aire Dual Edition 9L</v>
      </c>
      <c r="AF129" s="30">
        <f>IFERROR(__xludf.DUMMYFUNCTION("""COMPUTED_VALUE"""),2.0)</f>
        <v>2</v>
      </c>
      <c r="AG129" s="12" t="str">
        <f>IFERROR(__xludf.DUMMYFUNCTION("""COMPUTED_VALUE"""),"Movimiento Interno")</f>
        <v>Movimiento Interno</v>
      </c>
      <c r="AH129" s="12">
        <f>IFERROR(__xludf.DUMMYFUNCTION("""COMPUTED_VALUE"""),4.0)</f>
        <v>4</v>
      </c>
      <c r="AI129" s="12" t="str">
        <f>IFERROR(__xludf.DUMMYFUNCTION("""COMPUTED_VALUE"""),"R")</f>
        <v>R</v>
      </c>
      <c r="AJ129" s="12" t="str">
        <f>IFERROR(__xludf.DUMMYFUNCTION("""COMPUTED_VALUE"""),"5A")</f>
        <v>5A</v>
      </c>
      <c r="AK129" s="12">
        <f>IFERROR(__xludf.DUMMYFUNCTION("""COMPUTED_VALUE"""),214.0)</f>
        <v>214</v>
      </c>
      <c r="AL129" s="12" t="str">
        <f>IFERROR(__xludf.DUMMYFUNCTION("""COMPUTED_VALUE"""),"KITCHEN-IT")</f>
        <v>KITCHEN-IT</v>
      </c>
      <c r="AM129" s="12"/>
      <c r="AN129" s="12"/>
      <c r="AO129" s="12"/>
      <c r="AP129" s="12"/>
      <c r="AQ129" s="12"/>
      <c r="BC129" s="12"/>
      <c r="BD129" s="12"/>
      <c r="BE129" s="14"/>
      <c r="BF129" s="12"/>
      <c r="BG129" s="12"/>
      <c r="BH129" s="12" t="str">
        <f>IFERROR(__xludf.DUMMYFUNCTION("IFERROR(INDEX(QUERY(IMPORTRANGE(""1T7HG8KEs-Ob7f3M5atEVN9Yn7IeORGp0QGvggB62ELw"",""Maestro!A:I""),""SELECT Col8 WHERE Col3 = '""&amp;BE129&amp;""'"", 0), 1, 1),""NO ENCONTRADO"")"),"")</f>
        <v/>
      </c>
      <c r="BI129" s="16">
        <v>1.0</v>
      </c>
      <c r="BJ129" s="16">
        <f t="shared" si="7"/>
        <v>0</v>
      </c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4"/>
      <c r="BX129" s="14"/>
      <c r="BY129" s="14"/>
      <c r="BZ129" s="14"/>
      <c r="CA129" s="14"/>
      <c r="CB129" s="14"/>
      <c r="CC129" s="14"/>
      <c r="CD129" s="14"/>
      <c r="CE129" s="14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</row>
    <row r="130">
      <c r="A130" s="158">
        <v>4.0</v>
      </c>
      <c r="B130" s="159" t="s">
        <v>44</v>
      </c>
      <c r="C130" s="160" t="s">
        <v>269</v>
      </c>
      <c r="D130" s="161" t="str">
        <f t="shared" si="1"/>
        <v>4-3-A</v>
      </c>
      <c r="E130" s="103"/>
      <c r="F130" s="104"/>
      <c r="G130" s="105"/>
      <c r="H130" s="106"/>
      <c r="I130" s="107"/>
      <c r="J130" s="108"/>
      <c r="K130" s="27" t="str">
        <f t="shared" si="2"/>
        <v>DISPONIBLE</v>
      </c>
      <c r="L130" s="28">
        <f t="shared" si="6"/>
        <v>129</v>
      </c>
      <c r="M130" s="28" t="s">
        <v>23</v>
      </c>
      <c r="N130" s="109"/>
      <c r="O130" s="168"/>
      <c r="P130" s="12"/>
      <c r="Q130" s="12"/>
      <c r="R130" s="12"/>
      <c r="S130" s="12"/>
      <c r="T130" s="12"/>
      <c r="U130" s="12"/>
      <c r="V130" s="12"/>
      <c r="AB130" s="12"/>
      <c r="AC130" s="12" t="str">
        <f>IFERROR(__xludf.DUMMYFUNCTION("""COMPUTED_VALUE"""),"4-R-5B")</f>
        <v>4-R-5B</v>
      </c>
      <c r="AD130" s="12" t="str">
        <f>IFERROR(__xludf.DUMMYFUNCTION("""COMPUTED_VALUE"""),"HF25L")</f>
        <v>HF25L</v>
      </c>
      <c r="AE130" s="12" t="str">
        <f>IFERROR(__xludf.DUMMYFUNCTION("""COMPUTED_VALUE"""),"Horno Freidora Smart Edition 25L")</f>
        <v>Horno Freidora Smart Edition 25L</v>
      </c>
      <c r="AF130" s="30">
        <f>IFERROR(__xludf.DUMMYFUNCTION("""COMPUTED_VALUE"""),8.0)</f>
        <v>8</v>
      </c>
      <c r="AG130" s="12" t="str">
        <f>IFERROR(__xludf.DUMMYFUNCTION("""COMPUTED_VALUE"""),"Contenedor")</f>
        <v>Contenedor</v>
      </c>
      <c r="AH130" s="12">
        <f>IFERROR(__xludf.DUMMYFUNCTION("""COMPUTED_VALUE"""),4.0)</f>
        <v>4</v>
      </c>
      <c r="AI130" s="12" t="str">
        <f>IFERROR(__xludf.DUMMYFUNCTION("""COMPUTED_VALUE"""),"R")</f>
        <v>R</v>
      </c>
      <c r="AJ130" s="12" t="str">
        <f>IFERROR(__xludf.DUMMYFUNCTION("""COMPUTED_VALUE"""),"5B")</f>
        <v>5B</v>
      </c>
      <c r="AK130" s="12">
        <f>IFERROR(__xludf.DUMMYFUNCTION("""COMPUTED_VALUE"""),215.0)</f>
        <v>215</v>
      </c>
      <c r="AL130" s="12" t="str">
        <f>IFERROR(__xludf.DUMMYFUNCTION("""COMPUTED_VALUE"""),"KITCHEN-IT")</f>
        <v>KITCHEN-IT</v>
      </c>
      <c r="AM130" s="12"/>
      <c r="AN130" s="12"/>
      <c r="AO130" s="12"/>
      <c r="AP130" s="12"/>
      <c r="AQ130" s="12"/>
      <c r="BC130" s="12"/>
      <c r="BD130" s="12"/>
      <c r="BE130" s="14"/>
      <c r="BF130" s="12"/>
      <c r="BG130" s="12"/>
      <c r="BH130" s="12" t="str">
        <f>IFERROR(__xludf.DUMMYFUNCTION("IFERROR(INDEX(QUERY(IMPORTRANGE(""1T7HG8KEs-Ob7f3M5atEVN9Yn7IeORGp0QGvggB62ELw"",""Maestro!A:I""),""SELECT Col8 WHERE Col3 = '""&amp;BE130&amp;""'"", 0), 1, 1),""NO ENCONTRADO"")"),"")</f>
        <v/>
      </c>
      <c r="BI130" s="16">
        <v>1.0</v>
      </c>
      <c r="BJ130" s="16">
        <f t="shared" si="7"/>
        <v>0</v>
      </c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4"/>
      <c r="BX130" s="14"/>
      <c r="BY130" s="14"/>
      <c r="BZ130" s="14"/>
      <c r="CA130" s="14"/>
      <c r="CB130" s="14"/>
      <c r="CC130" s="14"/>
      <c r="CD130" s="14"/>
      <c r="CE130" s="14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</row>
    <row r="131">
      <c r="A131" s="158">
        <v>4.0</v>
      </c>
      <c r="B131" s="159" t="s">
        <v>44</v>
      </c>
      <c r="C131" s="160" t="s">
        <v>277</v>
      </c>
      <c r="D131" s="161" t="str">
        <f t="shared" si="1"/>
        <v>4-3-B</v>
      </c>
      <c r="E131" s="103"/>
      <c r="F131" s="104"/>
      <c r="G131" s="105"/>
      <c r="H131" s="106"/>
      <c r="I131" s="107"/>
      <c r="J131" s="108"/>
      <c r="K131" s="32" t="str">
        <f t="shared" si="2"/>
        <v>DISPONIBLE</v>
      </c>
      <c r="L131" s="33">
        <f t="shared" si="6"/>
        <v>130</v>
      </c>
      <c r="M131" s="33" t="s">
        <v>23</v>
      </c>
      <c r="N131" s="122"/>
      <c r="O131" s="169"/>
      <c r="P131" s="12"/>
      <c r="Q131" s="12"/>
      <c r="R131" s="12"/>
      <c r="S131" s="12"/>
      <c r="T131" s="12"/>
      <c r="U131" s="12"/>
      <c r="V131" s="12"/>
      <c r="AB131" s="12"/>
      <c r="AC131" s="12" t="str">
        <f>IFERROR(__xludf.DUMMYFUNCTION("""COMPUTED_VALUE"""),"4-R-6A")</f>
        <v>4-R-6A</v>
      </c>
      <c r="AD131" s="12" t="str">
        <f>IFERROR(__xludf.DUMMYFUNCTION("""COMPUTED_VALUE"""),"HESS45")</f>
        <v>HESS45</v>
      </c>
      <c r="AE131" s="12" t="str">
        <f>IFERROR(__xludf.DUMMYFUNCTION("""COMPUTED_VALUE"""),"Horno Eléctrico Silver Series 45L")</f>
        <v>Horno Eléctrico Silver Series 45L</v>
      </c>
      <c r="AF131" s="30">
        <f>IFERROR(__xludf.DUMMYFUNCTION("""COMPUTED_VALUE"""),4.0)</f>
        <v>4</v>
      </c>
      <c r="AG131" s="12" t="str">
        <f>IFERROR(__xludf.DUMMYFUNCTION("""COMPUTED_VALUE"""),"Movimiento Interno")</f>
        <v>Movimiento Interno</v>
      </c>
      <c r="AH131" s="12">
        <f>IFERROR(__xludf.DUMMYFUNCTION("""COMPUTED_VALUE"""),4.0)</f>
        <v>4</v>
      </c>
      <c r="AI131" s="12" t="str">
        <f>IFERROR(__xludf.DUMMYFUNCTION("""COMPUTED_VALUE"""),"R")</f>
        <v>R</v>
      </c>
      <c r="AJ131" s="12" t="str">
        <f>IFERROR(__xludf.DUMMYFUNCTION("""COMPUTED_VALUE"""),"6A")</f>
        <v>6A</v>
      </c>
      <c r="AK131" s="12">
        <f>IFERROR(__xludf.DUMMYFUNCTION("""COMPUTED_VALUE"""),216.0)</f>
        <v>216</v>
      </c>
      <c r="AL131" s="12" t="str">
        <f>IFERROR(__xludf.DUMMYFUNCTION("""COMPUTED_VALUE"""),"KITCHEN-IT")</f>
        <v>KITCHEN-IT</v>
      </c>
      <c r="AM131" s="12"/>
      <c r="AN131" s="12"/>
      <c r="AO131" s="12"/>
      <c r="AP131" s="12"/>
      <c r="AQ131" s="12"/>
      <c r="BC131" s="12"/>
      <c r="BD131" s="12"/>
      <c r="BE131" s="14"/>
      <c r="BF131" s="12"/>
      <c r="BG131" s="12"/>
      <c r="BH131" s="12" t="str">
        <f>IFERROR(__xludf.DUMMYFUNCTION("IFERROR(INDEX(QUERY(IMPORTRANGE(""1T7HG8KEs-Ob7f3M5atEVN9Yn7IeORGp0QGvggB62ELw"",""Maestro!A:I""),""SELECT Col8 WHERE Col3 = '""&amp;BE131&amp;""'"", 0), 1, 1),""NO ENCONTRADO"")"),"")</f>
        <v/>
      </c>
      <c r="BI131" s="16">
        <v>1.0</v>
      </c>
      <c r="BJ131" s="16">
        <f t="shared" si="7"/>
        <v>0</v>
      </c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4"/>
      <c r="BX131" s="14"/>
      <c r="BY131" s="14"/>
      <c r="BZ131" s="14"/>
      <c r="CA131" s="14"/>
      <c r="CB131" s="14"/>
      <c r="CC131" s="14"/>
      <c r="CD131" s="14"/>
      <c r="CE131" s="14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</row>
    <row r="132">
      <c r="A132" s="158">
        <v>4.0</v>
      </c>
      <c r="B132" s="159" t="s">
        <v>44</v>
      </c>
      <c r="C132" s="160" t="s">
        <v>282</v>
      </c>
      <c r="D132" s="161" t="str">
        <f t="shared" si="1"/>
        <v>4-3-C</v>
      </c>
      <c r="E132" s="162">
        <v>45721.0</v>
      </c>
      <c r="F132" s="163" t="s">
        <v>770</v>
      </c>
      <c r="G132" s="164" t="s">
        <v>196</v>
      </c>
      <c r="H132" s="165" t="s">
        <v>197</v>
      </c>
      <c r="I132" s="166">
        <v>8.0</v>
      </c>
      <c r="J132" s="167" t="s">
        <v>43</v>
      </c>
      <c r="K132" s="27" t="str">
        <f t="shared" si="2"/>
        <v>OCUPADO</v>
      </c>
      <c r="L132" s="28">
        <f t="shared" si="6"/>
        <v>131</v>
      </c>
      <c r="M132" s="28" t="s">
        <v>23</v>
      </c>
      <c r="N132" s="109"/>
      <c r="O132" s="168" t="s">
        <v>270</v>
      </c>
      <c r="P132" s="12"/>
      <c r="Q132" s="12"/>
      <c r="R132" s="12"/>
      <c r="S132" s="12"/>
      <c r="T132" s="12"/>
      <c r="U132" s="12"/>
      <c r="V132" s="12"/>
      <c r="AB132" s="12"/>
      <c r="AC132" s="12" t="str">
        <f>IFERROR(__xludf.DUMMYFUNCTION("""COMPUTED_VALUE"""),"4-R-6B")</f>
        <v>4-R-6B</v>
      </c>
      <c r="AD132" s="12" t="str">
        <f>IFERROR(__xludf.DUMMYFUNCTION("""COMPUTED_VALUE"""),"HESS45")</f>
        <v>HESS45</v>
      </c>
      <c r="AE132" s="12" t="str">
        <f>IFERROR(__xludf.DUMMYFUNCTION("""COMPUTED_VALUE"""),"Horno Eléctrico Silver Series 45L")</f>
        <v>Horno Eléctrico Silver Series 45L</v>
      </c>
      <c r="AF132" s="30">
        <f>IFERROR(__xludf.DUMMYFUNCTION("""COMPUTED_VALUE"""),29.0)</f>
        <v>29</v>
      </c>
      <c r="AG132" s="12" t="str">
        <f>IFERROR(__xludf.DUMMYFUNCTION("""COMPUTED_VALUE"""),"Movimiento Interno")</f>
        <v>Movimiento Interno</v>
      </c>
      <c r="AH132" s="12">
        <f>IFERROR(__xludf.DUMMYFUNCTION("""COMPUTED_VALUE"""),4.0)</f>
        <v>4</v>
      </c>
      <c r="AI132" s="12" t="str">
        <f>IFERROR(__xludf.DUMMYFUNCTION("""COMPUTED_VALUE"""),"R")</f>
        <v>R</v>
      </c>
      <c r="AJ132" s="12" t="str">
        <f>IFERROR(__xludf.DUMMYFUNCTION("""COMPUTED_VALUE"""),"6B")</f>
        <v>6B</v>
      </c>
      <c r="AK132" s="12">
        <f>IFERROR(__xludf.DUMMYFUNCTION("""COMPUTED_VALUE"""),217.0)</f>
        <v>217</v>
      </c>
      <c r="AL132" s="12" t="str">
        <f>IFERROR(__xludf.DUMMYFUNCTION("""COMPUTED_VALUE"""),"KITCHEN-IT")</f>
        <v>KITCHEN-IT</v>
      </c>
      <c r="AM132" s="12"/>
      <c r="AN132" s="12"/>
      <c r="AO132" s="12"/>
      <c r="AP132" s="12"/>
      <c r="AQ132" s="12"/>
      <c r="BC132" s="12"/>
      <c r="BD132" s="12"/>
      <c r="BE132" s="14"/>
      <c r="BF132" s="12"/>
      <c r="BG132" s="12"/>
      <c r="BH132" s="12" t="str">
        <f>IFERROR(__xludf.DUMMYFUNCTION("IFERROR(INDEX(QUERY(IMPORTRANGE(""1T7HG8KEs-Ob7f3M5atEVN9Yn7IeORGp0QGvggB62ELw"",""Maestro!A:I""),""SELECT Col8 WHERE Col3 = '""&amp;BE132&amp;""'"", 0), 1, 1),""NO ENCONTRADO"")"),"")</f>
        <v/>
      </c>
      <c r="BI132" s="16">
        <v>1.0</v>
      </c>
      <c r="BJ132" s="16">
        <f t="shared" si="7"/>
        <v>0</v>
      </c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4"/>
      <c r="BX132" s="14"/>
      <c r="BY132" s="14"/>
      <c r="BZ132" s="14"/>
      <c r="CA132" s="14"/>
      <c r="CB132" s="14"/>
      <c r="CC132" s="14"/>
      <c r="CD132" s="14"/>
      <c r="CE132" s="14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</row>
    <row r="133">
      <c r="A133" s="158">
        <v>4.0</v>
      </c>
      <c r="B133" s="159" t="s">
        <v>44</v>
      </c>
      <c r="C133" s="160" t="s">
        <v>285</v>
      </c>
      <c r="D133" s="161" t="str">
        <f t="shared" si="1"/>
        <v>4-3-D</v>
      </c>
      <c r="E133" s="162">
        <v>45721.0</v>
      </c>
      <c r="F133" s="163" t="s">
        <v>770</v>
      </c>
      <c r="G133" s="164" t="s">
        <v>196</v>
      </c>
      <c r="H133" s="165" t="s">
        <v>197</v>
      </c>
      <c r="I133" s="166">
        <v>3.0</v>
      </c>
      <c r="J133" s="167" t="s">
        <v>43</v>
      </c>
      <c r="K133" s="32" t="str">
        <f t="shared" si="2"/>
        <v>OCUPADO</v>
      </c>
      <c r="L133" s="33">
        <f t="shared" si="6"/>
        <v>132</v>
      </c>
      <c r="M133" s="33" t="s">
        <v>23</v>
      </c>
      <c r="N133" s="122"/>
      <c r="O133" s="169" t="s">
        <v>270</v>
      </c>
      <c r="P133" s="12"/>
      <c r="Q133" s="12"/>
      <c r="R133" s="12"/>
      <c r="S133" s="12"/>
      <c r="T133" s="12"/>
      <c r="U133" s="12"/>
      <c r="V133" s="12"/>
      <c r="AB133" s="12"/>
      <c r="AC133" s="12" t="str">
        <f>IFERROR(__xludf.DUMMYFUNCTION("""COMPUTED_VALUE"""),"4-R-7A")</f>
        <v>4-R-7A</v>
      </c>
      <c r="AD133" s="12" t="str">
        <f>IFERROR(__xludf.DUMMYFUNCTION("""COMPUTED_VALUE"""),"CAFA4")</f>
        <v>CAFA4</v>
      </c>
      <c r="AE133" s="12" t="str">
        <f>IFERROR(__xludf.DUMMYFUNCTION("""COMPUTED_VALUE"""),"Cafetera Arezzo 4 en 1")</f>
        <v>Cafetera Arezzo 4 en 1</v>
      </c>
      <c r="AF133" s="30">
        <f>IFERROR(__xludf.DUMMYFUNCTION("""COMPUTED_VALUE"""),4.0)</f>
        <v>4</v>
      </c>
      <c r="AG133" s="12" t="str">
        <f>IFERROR(__xludf.DUMMYFUNCTION("""COMPUTED_VALUE"""),"Contenedor")</f>
        <v>Contenedor</v>
      </c>
      <c r="AH133" s="12">
        <f>IFERROR(__xludf.DUMMYFUNCTION("""COMPUTED_VALUE"""),4.0)</f>
        <v>4</v>
      </c>
      <c r="AI133" s="12" t="str">
        <f>IFERROR(__xludf.DUMMYFUNCTION("""COMPUTED_VALUE"""),"R")</f>
        <v>R</v>
      </c>
      <c r="AJ133" s="12" t="str">
        <f>IFERROR(__xludf.DUMMYFUNCTION("""COMPUTED_VALUE"""),"7A")</f>
        <v>7A</v>
      </c>
      <c r="AK133" s="12">
        <f>IFERROR(__xludf.DUMMYFUNCTION("""COMPUTED_VALUE"""),218.0)</f>
        <v>218</v>
      </c>
      <c r="AL133" s="12" t="str">
        <f>IFERROR(__xludf.DUMMYFUNCTION("""COMPUTED_VALUE"""),"KITCHEN-IT")</f>
        <v>KITCHEN-IT</v>
      </c>
      <c r="AM133" s="12"/>
      <c r="AN133" s="12"/>
      <c r="AO133" s="12"/>
      <c r="AP133" s="12"/>
      <c r="AQ133" s="12"/>
      <c r="BC133" s="12"/>
      <c r="BD133" s="12"/>
      <c r="BE133" s="14"/>
      <c r="BF133" s="12"/>
      <c r="BG133" s="12"/>
      <c r="BH133" s="12" t="str">
        <f>IFERROR(__xludf.DUMMYFUNCTION("IFERROR(INDEX(QUERY(IMPORTRANGE(""1T7HG8KEs-Ob7f3M5atEVN9Yn7IeORGp0QGvggB62ELw"",""Maestro!A:I""),""SELECT Col8 WHERE Col3 = '""&amp;BE133&amp;""'"", 0), 1, 1),""NO ENCONTRADO"")"),"")</f>
        <v/>
      </c>
      <c r="BI133" s="16">
        <v>1.0</v>
      </c>
      <c r="BJ133" s="16">
        <f t="shared" si="7"/>
        <v>0</v>
      </c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4"/>
      <c r="BX133" s="14"/>
      <c r="BY133" s="14"/>
      <c r="BZ133" s="14"/>
      <c r="CA133" s="14"/>
      <c r="CB133" s="14"/>
      <c r="CC133" s="14"/>
      <c r="CD133" s="14"/>
      <c r="CE133" s="14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</row>
    <row r="134">
      <c r="A134" s="158">
        <v>4.0</v>
      </c>
      <c r="B134" s="159" t="s">
        <v>53</v>
      </c>
      <c r="C134" s="160" t="s">
        <v>269</v>
      </c>
      <c r="D134" s="161" t="str">
        <f t="shared" si="1"/>
        <v>4-4-A</v>
      </c>
      <c r="E134" s="103"/>
      <c r="F134" s="104"/>
      <c r="G134" s="105"/>
      <c r="H134" s="106"/>
      <c r="I134" s="107"/>
      <c r="J134" s="108"/>
      <c r="K134" s="27" t="str">
        <f t="shared" si="2"/>
        <v>DISPONIBLE</v>
      </c>
      <c r="L134" s="28">
        <f t="shared" si="6"/>
        <v>133</v>
      </c>
      <c r="M134" s="28" t="s">
        <v>23</v>
      </c>
      <c r="N134" s="109"/>
      <c r="O134" s="168"/>
      <c r="P134" s="12"/>
      <c r="Q134" s="12"/>
      <c r="R134" s="12"/>
      <c r="S134" s="12"/>
      <c r="T134" s="12"/>
      <c r="U134" s="12"/>
      <c r="V134" s="12"/>
      <c r="AB134" s="12"/>
      <c r="AC134" s="12" t="str">
        <f>IFERROR(__xludf.DUMMYFUNCTION("""COMPUTED_VALUE"""),"4-R-7B")</f>
        <v>4-R-7B</v>
      </c>
      <c r="AD134" s="12" t="str">
        <f>IFERROR(__xludf.DUMMYFUNCTION("""COMPUTED_VALUE"""),"CAFA4")</f>
        <v>CAFA4</v>
      </c>
      <c r="AE134" s="12" t="str">
        <f>IFERROR(__xludf.DUMMYFUNCTION("""COMPUTED_VALUE"""),"Cafetera Arezzo 4 en 1")</f>
        <v>Cafetera Arezzo 4 en 1</v>
      </c>
      <c r="AF134" s="30">
        <f>IFERROR(__xludf.DUMMYFUNCTION("""COMPUTED_VALUE"""),116.0)</f>
        <v>116</v>
      </c>
      <c r="AG134" s="12" t="str">
        <f>IFERROR(__xludf.DUMMYFUNCTION("""COMPUTED_VALUE"""),"Contenedor")</f>
        <v>Contenedor</v>
      </c>
      <c r="AH134" s="12">
        <f>IFERROR(__xludf.DUMMYFUNCTION("""COMPUTED_VALUE"""),4.0)</f>
        <v>4</v>
      </c>
      <c r="AI134" s="12" t="str">
        <f>IFERROR(__xludf.DUMMYFUNCTION("""COMPUTED_VALUE"""),"R")</f>
        <v>R</v>
      </c>
      <c r="AJ134" s="12" t="str">
        <f>IFERROR(__xludf.DUMMYFUNCTION("""COMPUTED_VALUE"""),"7B")</f>
        <v>7B</v>
      </c>
      <c r="AK134" s="12">
        <f>IFERROR(__xludf.DUMMYFUNCTION("""COMPUTED_VALUE"""),219.0)</f>
        <v>219</v>
      </c>
      <c r="AL134" s="12" t="str">
        <f>IFERROR(__xludf.DUMMYFUNCTION("""COMPUTED_VALUE"""),"KITCHEN-IT")</f>
        <v>KITCHEN-IT</v>
      </c>
      <c r="AM134" s="12"/>
      <c r="AN134" s="12"/>
      <c r="AO134" s="12"/>
      <c r="AP134" s="12"/>
      <c r="AQ134" s="12"/>
      <c r="BC134" s="12"/>
      <c r="BD134" s="12"/>
      <c r="BE134" s="14"/>
      <c r="BF134" s="12"/>
      <c r="BG134" s="12"/>
      <c r="BH134" s="12" t="str">
        <f>IFERROR(__xludf.DUMMYFUNCTION("IFERROR(INDEX(QUERY(IMPORTRANGE(""1T7HG8KEs-Ob7f3M5atEVN9Yn7IeORGp0QGvggB62ELw"",""Maestro!A:I""),""SELECT Col8 WHERE Col3 = '""&amp;BE134&amp;""'"", 0), 1, 1),""NO ENCONTRADO"")"),"")</f>
        <v/>
      </c>
      <c r="BI134" s="16">
        <v>1.0</v>
      </c>
      <c r="BJ134" s="16">
        <f t="shared" si="7"/>
        <v>0</v>
      </c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4"/>
      <c r="BX134" s="14"/>
      <c r="BY134" s="14"/>
      <c r="BZ134" s="14"/>
      <c r="CA134" s="14"/>
      <c r="CB134" s="14"/>
      <c r="CC134" s="14"/>
      <c r="CD134" s="14"/>
      <c r="CE134" s="14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</row>
    <row r="135">
      <c r="A135" s="158">
        <v>4.0</v>
      </c>
      <c r="B135" s="159" t="s">
        <v>53</v>
      </c>
      <c r="C135" s="160" t="s">
        <v>277</v>
      </c>
      <c r="D135" s="161" t="str">
        <f t="shared" si="1"/>
        <v>4-4-B</v>
      </c>
      <c r="E135" s="103"/>
      <c r="F135" s="104"/>
      <c r="G135" s="105"/>
      <c r="H135" s="106"/>
      <c r="I135" s="107"/>
      <c r="J135" s="108"/>
      <c r="K135" s="32" t="str">
        <f t="shared" si="2"/>
        <v>DISPONIBLE</v>
      </c>
      <c r="L135" s="33">
        <f t="shared" si="6"/>
        <v>134</v>
      </c>
      <c r="M135" s="33" t="s">
        <v>23</v>
      </c>
      <c r="N135" s="122"/>
      <c r="O135" s="169"/>
      <c r="P135" s="12"/>
      <c r="Q135" s="12"/>
      <c r="R135" s="12"/>
      <c r="S135" s="12"/>
      <c r="T135" s="12"/>
      <c r="U135" s="12"/>
      <c r="V135" s="12"/>
      <c r="AB135" s="12"/>
      <c r="AC135" s="12" t="str">
        <f>IFERROR(__xludf.DUMMYFUNCTION("""COMPUTED_VALUE"""),"4-R-9A")</f>
        <v>4-R-9A</v>
      </c>
      <c r="AD135" s="12" t="str">
        <f>IFERROR(__xludf.DUMMYFUNCTION("""COMPUTED_VALUE"""),"HF25L")</f>
        <v>HF25L</v>
      </c>
      <c r="AE135" s="12" t="str">
        <f>IFERROR(__xludf.DUMMYFUNCTION("""COMPUTED_VALUE"""),"Horno Freidora Smart Edition 25L")</f>
        <v>Horno Freidora Smart Edition 25L</v>
      </c>
      <c r="AF135" s="30">
        <f>IFERROR(__xludf.DUMMYFUNCTION("""COMPUTED_VALUE"""),6.0)</f>
        <v>6</v>
      </c>
      <c r="AG135" s="12" t="str">
        <f>IFERROR(__xludf.DUMMYFUNCTION("""COMPUTED_VALUE"""),"Contenedor")</f>
        <v>Contenedor</v>
      </c>
      <c r="AH135" s="12">
        <f>IFERROR(__xludf.DUMMYFUNCTION("""COMPUTED_VALUE"""),4.0)</f>
        <v>4</v>
      </c>
      <c r="AI135" s="12" t="str">
        <f>IFERROR(__xludf.DUMMYFUNCTION("""COMPUTED_VALUE"""),"R")</f>
        <v>R</v>
      </c>
      <c r="AJ135" s="12" t="str">
        <f>IFERROR(__xludf.DUMMYFUNCTION("""COMPUTED_VALUE"""),"9A")</f>
        <v>9A</v>
      </c>
      <c r="AK135" s="12">
        <f>IFERROR(__xludf.DUMMYFUNCTION("""COMPUTED_VALUE"""),220.0)</f>
        <v>220</v>
      </c>
      <c r="AL135" s="12" t="str">
        <f>IFERROR(__xludf.DUMMYFUNCTION("""COMPUTED_VALUE"""),"KITCHEN-IT")</f>
        <v>KITCHEN-IT</v>
      </c>
      <c r="AM135" s="12"/>
      <c r="AN135" s="12"/>
      <c r="AO135" s="12"/>
      <c r="AP135" s="12"/>
      <c r="AQ135" s="12"/>
      <c r="BC135" s="12"/>
      <c r="BD135" s="12"/>
      <c r="BE135" s="14"/>
      <c r="BF135" s="12"/>
      <c r="BG135" s="12"/>
      <c r="BH135" s="12" t="str">
        <f>IFERROR(__xludf.DUMMYFUNCTION("IFERROR(INDEX(QUERY(IMPORTRANGE(""1T7HG8KEs-Ob7f3M5atEVN9Yn7IeORGp0QGvggB62ELw"",""Maestro!A:I""),""SELECT Col8 WHERE Col3 = '""&amp;BE135&amp;""'"", 0), 1, 1),""NO ENCONTRADO"")"),"")</f>
        <v/>
      </c>
      <c r="BI135" s="16">
        <v>1.0</v>
      </c>
      <c r="BJ135" s="16">
        <f t="shared" si="7"/>
        <v>0</v>
      </c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4"/>
      <c r="BX135" s="14"/>
      <c r="BY135" s="14"/>
      <c r="BZ135" s="14"/>
      <c r="CA135" s="14"/>
      <c r="CB135" s="14"/>
      <c r="CC135" s="14"/>
      <c r="CD135" s="14"/>
      <c r="CE135" s="14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</row>
    <row r="136">
      <c r="A136" s="158">
        <v>4.0</v>
      </c>
      <c r="B136" s="159" t="s">
        <v>53</v>
      </c>
      <c r="C136" s="160" t="s">
        <v>282</v>
      </c>
      <c r="D136" s="161" t="str">
        <f t="shared" si="1"/>
        <v>4-4-C</v>
      </c>
      <c r="E136" s="103"/>
      <c r="F136" s="104"/>
      <c r="G136" s="105"/>
      <c r="H136" s="106"/>
      <c r="I136" s="107"/>
      <c r="J136" s="108"/>
      <c r="K136" s="27" t="str">
        <f t="shared" si="2"/>
        <v>DISPONIBLE</v>
      </c>
      <c r="L136" s="28">
        <f t="shared" si="6"/>
        <v>135</v>
      </c>
      <c r="M136" s="28" t="s">
        <v>23</v>
      </c>
      <c r="N136" s="109"/>
      <c r="O136" s="168"/>
      <c r="P136" s="12"/>
      <c r="Q136" s="12"/>
      <c r="R136" s="12"/>
      <c r="S136" s="12"/>
      <c r="T136" s="12"/>
      <c r="U136" s="12"/>
      <c r="V136" s="12"/>
      <c r="AB136" s="12"/>
      <c r="AC136" s="12" t="str">
        <f>IFERROR(__xludf.DUMMYFUNCTION("""COMPUTED_VALUE"""),"4-R-9B")</f>
        <v>4-R-9B</v>
      </c>
      <c r="AD136" s="12" t="str">
        <f>IFERROR(__xludf.DUMMYFUNCTION("""COMPUTED_VALUE"""),"HF25L")</f>
        <v>HF25L</v>
      </c>
      <c r="AE136" s="12" t="str">
        <f>IFERROR(__xludf.DUMMYFUNCTION("""COMPUTED_VALUE"""),"Horno Freidora Smart Edition 25L")</f>
        <v>Horno Freidora Smart Edition 25L</v>
      </c>
      <c r="AF136" s="30">
        <f>IFERROR(__xludf.DUMMYFUNCTION("""COMPUTED_VALUE"""),40.0)</f>
        <v>40</v>
      </c>
      <c r="AG136" s="12" t="str">
        <f>IFERROR(__xludf.DUMMYFUNCTION("""COMPUTED_VALUE"""),"Contenedor")</f>
        <v>Contenedor</v>
      </c>
      <c r="AH136" s="12">
        <f>IFERROR(__xludf.DUMMYFUNCTION("""COMPUTED_VALUE"""),4.0)</f>
        <v>4</v>
      </c>
      <c r="AI136" s="12" t="str">
        <f>IFERROR(__xludf.DUMMYFUNCTION("""COMPUTED_VALUE"""),"R")</f>
        <v>R</v>
      </c>
      <c r="AJ136" s="12" t="str">
        <f>IFERROR(__xludf.DUMMYFUNCTION("""COMPUTED_VALUE"""),"9B")</f>
        <v>9B</v>
      </c>
      <c r="AK136" s="12">
        <f>IFERROR(__xludf.DUMMYFUNCTION("""COMPUTED_VALUE"""),221.0)</f>
        <v>221</v>
      </c>
      <c r="AL136" s="12" t="str">
        <f>IFERROR(__xludf.DUMMYFUNCTION("""COMPUTED_VALUE"""),"KITCHEN-IT")</f>
        <v>KITCHEN-IT</v>
      </c>
      <c r="AM136" s="12"/>
      <c r="AN136" s="12"/>
      <c r="AO136" s="12"/>
      <c r="AP136" s="12"/>
      <c r="AQ136" s="12"/>
      <c r="BC136" s="12"/>
      <c r="BD136" s="12"/>
      <c r="BE136" s="14"/>
      <c r="BF136" s="12"/>
      <c r="BG136" s="12"/>
      <c r="BH136" s="12" t="str">
        <f>IFERROR(__xludf.DUMMYFUNCTION("IFERROR(INDEX(QUERY(IMPORTRANGE(""1T7HG8KEs-Ob7f3M5atEVN9Yn7IeORGp0QGvggB62ELw"",""Maestro!A:I""),""SELECT Col8 WHERE Col3 = '""&amp;BE136&amp;""'"", 0), 1, 1),""NO ENCONTRADO"")"),"")</f>
        <v/>
      </c>
      <c r="BI136" s="16">
        <v>1.0</v>
      </c>
      <c r="BJ136" s="16">
        <f t="shared" si="7"/>
        <v>0</v>
      </c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4"/>
      <c r="BX136" s="14"/>
      <c r="BY136" s="14"/>
      <c r="BZ136" s="14"/>
      <c r="CA136" s="14"/>
      <c r="CB136" s="14"/>
      <c r="CC136" s="14"/>
      <c r="CD136" s="14"/>
      <c r="CE136" s="14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</row>
    <row r="137">
      <c r="A137" s="158">
        <v>4.0</v>
      </c>
      <c r="B137" s="159" t="s">
        <v>53</v>
      </c>
      <c r="C137" s="160" t="s">
        <v>285</v>
      </c>
      <c r="D137" s="161" t="str">
        <f t="shared" si="1"/>
        <v>4-4-D</v>
      </c>
      <c r="E137" s="103"/>
      <c r="F137" s="104"/>
      <c r="G137" s="105"/>
      <c r="H137" s="106"/>
      <c r="I137" s="107"/>
      <c r="J137" s="108"/>
      <c r="K137" s="32" t="str">
        <f t="shared" si="2"/>
        <v>DISPONIBLE</v>
      </c>
      <c r="L137" s="33">
        <f t="shared" si="6"/>
        <v>136</v>
      </c>
      <c r="M137" s="33" t="s">
        <v>23</v>
      </c>
      <c r="N137" s="122"/>
      <c r="O137" s="169"/>
      <c r="P137" s="12"/>
      <c r="Q137" s="12"/>
      <c r="R137" s="12"/>
      <c r="S137" s="12"/>
      <c r="T137" s="12"/>
      <c r="U137" s="12"/>
      <c r="V137" s="12"/>
      <c r="AB137" s="12"/>
      <c r="AC137" s="12" t="str">
        <f>IFERROR(__xludf.DUMMYFUNCTION("""COMPUTED_VALUE"""),"4-R-10A")</f>
        <v>4-R-10A</v>
      </c>
      <c r="AD137" s="12" t="str">
        <f>IFERROR(__xludf.DUMMYFUNCTION("""COMPUTED_VALUE"""),"LPP800W")</f>
        <v>LPP800W</v>
      </c>
      <c r="AE137" s="12" t="str">
        <f>IFERROR(__xludf.DUMMYFUNCTION("""COMPUTED_VALUE"""),"Licuadora Power Pro 800W")</f>
        <v>Licuadora Power Pro 800W</v>
      </c>
      <c r="AF137" s="30">
        <f>IFERROR(__xludf.DUMMYFUNCTION("""COMPUTED_VALUE"""),80.0)</f>
        <v>80</v>
      </c>
      <c r="AG137" s="12" t="str">
        <f>IFERROR(__xludf.DUMMYFUNCTION("""COMPUTED_VALUE"""),"Contenedor")</f>
        <v>Contenedor</v>
      </c>
      <c r="AH137" s="12">
        <f>IFERROR(__xludf.DUMMYFUNCTION("""COMPUTED_VALUE"""),4.0)</f>
        <v>4</v>
      </c>
      <c r="AI137" s="12" t="str">
        <f>IFERROR(__xludf.DUMMYFUNCTION("""COMPUTED_VALUE"""),"R")</f>
        <v>R</v>
      </c>
      <c r="AJ137" s="12" t="str">
        <f>IFERROR(__xludf.DUMMYFUNCTION("""COMPUTED_VALUE"""),"10A")</f>
        <v>10A</v>
      </c>
      <c r="AK137" s="12">
        <f>IFERROR(__xludf.DUMMYFUNCTION("""COMPUTED_VALUE"""),222.0)</f>
        <v>222</v>
      </c>
      <c r="AL137" s="12" t="str">
        <f>IFERROR(__xludf.DUMMYFUNCTION("""COMPUTED_VALUE"""),"KITCHEN-IT")</f>
        <v>KITCHEN-IT</v>
      </c>
      <c r="AM137" s="12"/>
      <c r="AN137" s="12"/>
      <c r="AO137" s="12"/>
      <c r="AP137" s="12"/>
      <c r="AQ137" s="12"/>
      <c r="BC137" s="12"/>
      <c r="BD137" s="12"/>
      <c r="BE137" s="14"/>
      <c r="BF137" s="12"/>
      <c r="BG137" s="12"/>
      <c r="BH137" s="12" t="str">
        <f>IFERROR(__xludf.DUMMYFUNCTION("IFERROR(INDEX(QUERY(IMPORTRANGE(""1T7HG8KEs-Ob7f3M5atEVN9Yn7IeORGp0QGvggB62ELw"",""Maestro!A:I""),""SELECT Col8 WHERE Col3 = '""&amp;BE137&amp;""'"", 0), 1, 1),""NO ENCONTRADO"")"),"")</f>
        <v/>
      </c>
      <c r="BI137" s="16">
        <v>1.0</v>
      </c>
      <c r="BJ137" s="16">
        <f t="shared" si="7"/>
        <v>0</v>
      </c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4"/>
      <c r="BX137" s="14"/>
      <c r="BY137" s="14"/>
      <c r="BZ137" s="14"/>
      <c r="CA137" s="14"/>
      <c r="CB137" s="14"/>
      <c r="CC137" s="14"/>
      <c r="CD137" s="14"/>
      <c r="CE137" s="14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</row>
    <row r="138">
      <c r="A138" s="158">
        <v>4.0</v>
      </c>
      <c r="B138" s="159" t="s">
        <v>25</v>
      </c>
      <c r="C138" s="160" t="s">
        <v>269</v>
      </c>
      <c r="D138" s="161" t="str">
        <f t="shared" si="1"/>
        <v>4-5-A</v>
      </c>
      <c r="E138" s="103"/>
      <c r="F138" s="104"/>
      <c r="G138" s="105"/>
      <c r="H138" s="106"/>
      <c r="I138" s="107"/>
      <c r="J138" s="108"/>
      <c r="K138" s="27" t="str">
        <f t="shared" si="2"/>
        <v>DISPONIBLE</v>
      </c>
      <c r="L138" s="28">
        <f t="shared" si="6"/>
        <v>137</v>
      </c>
      <c r="M138" s="28" t="s">
        <v>23</v>
      </c>
      <c r="N138" s="109"/>
      <c r="O138" s="168"/>
      <c r="P138" s="12"/>
      <c r="Q138" s="12"/>
      <c r="R138" s="12"/>
      <c r="S138" s="12"/>
      <c r="T138" s="12"/>
      <c r="U138" s="12"/>
      <c r="V138" s="12"/>
      <c r="AB138" s="12"/>
      <c r="AC138" s="12" t="str">
        <f>IFERROR(__xludf.DUMMYFUNCTION("""COMPUTED_VALUE"""),"4-R-10B")</f>
        <v>4-R-10B</v>
      </c>
      <c r="AD138" s="12" t="str">
        <f>IFERROR(__xludf.DUMMYFUNCTION("""COMPUTED_VALUE"""),"LPP800W")</f>
        <v>LPP800W</v>
      </c>
      <c r="AE138" s="12" t="str">
        <f>IFERROR(__xludf.DUMMYFUNCTION("""COMPUTED_VALUE"""),"Licuadora Power Pro 800W")</f>
        <v>Licuadora Power Pro 800W</v>
      </c>
      <c r="AF138" s="30">
        <f>IFERROR(__xludf.DUMMYFUNCTION("""COMPUTED_VALUE"""),160.0)</f>
        <v>160</v>
      </c>
      <c r="AG138" s="12" t="str">
        <f>IFERROR(__xludf.DUMMYFUNCTION("""COMPUTED_VALUE"""),"Contenedor")</f>
        <v>Contenedor</v>
      </c>
      <c r="AH138" s="12">
        <f>IFERROR(__xludf.DUMMYFUNCTION("""COMPUTED_VALUE"""),4.0)</f>
        <v>4</v>
      </c>
      <c r="AI138" s="12" t="str">
        <f>IFERROR(__xludf.DUMMYFUNCTION("""COMPUTED_VALUE"""),"R")</f>
        <v>R</v>
      </c>
      <c r="AJ138" s="12" t="str">
        <f>IFERROR(__xludf.DUMMYFUNCTION("""COMPUTED_VALUE"""),"10B")</f>
        <v>10B</v>
      </c>
      <c r="AK138" s="12">
        <f>IFERROR(__xludf.DUMMYFUNCTION("""COMPUTED_VALUE"""),223.0)</f>
        <v>223</v>
      </c>
      <c r="AL138" s="12" t="str">
        <f>IFERROR(__xludf.DUMMYFUNCTION("""COMPUTED_VALUE"""),"KITCHEN-IT")</f>
        <v>KITCHEN-IT</v>
      </c>
      <c r="AM138" s="12"/>
      <c r="AN138" s="12"/>
      <c r="AO138" s="12"/>
      <c r="AP138" s="12"/>
      <c r="AQ138" s="12"/>
      <c r="BC138" s="12"/>
      <c r="BD138" s="12"/>
      <c r="BE138" s="14"/>
      <c r="BF138" s="12"/>
      <c r="BG138" s="12"/>
      <c r="BH138" s="12" t="str">
        <f>IFERROR(__xludf.DUMMYFUNCTION("IFERROR(INDEX(QUERY(IMPORTRANGE(""1T7HG8KEs-Ob7f3M5atEVN9Yn7IeORGp0QGvggB62ELw"",""Maestro!A:I""),""SELECT Col8 WHERE Col3 = '""&amp;BE138&amp;""'"", 0), 1, 1),""NO ENCONTRADO"")"),"")</f>
        <v/>
      </c>
      <c r="BI138" s="16">
        <v>1.0</v>
      </c>
      <c r="BJ138" s="16">
        <f t="shared" si="7"/>
        <v>0</v>
      </c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4"/>
      <c r="BX138" s="14"/>
      <c r="BY138" s="14"/>
      <c r="BZ138" s="14"/>
      <c r="CA138" s="14"/>
      <c r="CB138" s="14"/>
      <c r="CC138" s="14"/>
      <c r="CD138" s="14"/>
      <c r="CE138" s="14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</row>
    <row r="139">
      <c r="A139" s="158">
        <v>4.0</v>
      </c>
      <c r="B139" s="159" t="s">
        <v>25</v>
      </c>
      <c r="C139" s="160" t="s">
        <v>277</v>
      </c>
      <c r="D139" s="161" t="str">
        <f t="shared" si="1"/>
        <v>4-5-B</v>
      </c>
      <c r="E139" s="103"/>
      <c r="F139" s="104"/>
      <c r="G139" s="105"/>
      <c r="H139" s="106"/>
      <c r="I139" s="107"/>
      <c r="J139" s="108"/>
      <c r="K139" s="32" t="str">
        <f t="shared" si="2"/>
        <v>DISPONIBLE</v>
      </c>
      <c r="L139" s="33">
        <f t="shared" si="6"/>
        <v>138</v>
      </c>
      <c r="M139" s="33" t="s">
        <v>23</v>
      </c>
      <c r="N139" s="122"/>
      <c r="O139" s="169"/>
      <c r="P139" s="12"/>
      <c r="Q139" s="12"/>
      <c r="R139" s="12"/>
      <c r="S139" s="12"/>
      <c r="T139" s="12"/>
      <c r="U139" s="12"/>
      <c r="V139" s="12"/>
      <c r="AB139" s="12"/>
      <c r="AC139" s="12" t="str">
        <f>IFERROR(__xludf.DUMMYFUNCTION("""COMPUTED_VALUE"""),"ANDEN-1-1")</f>
        <v>ANDEN-1-1</v>
      </c>
      <c r="AD139" s="12" t="str">
        <f>IFERROR(__xludf.DUMMYFUNCTION("""COMPUTED_VALUE"""),"692012X")</f>
        <v>692012X</v>
      </c>
      <c r="AE139" s="12" t="str">
        <f>IFERROR(__xludf.DUMMYFUNCTION("""COMPUTED_VALUE"""),"CAJA CARTON CORRUGADO 50x40x30 ")</f>
        <v>CAJA CARTON CORRUGADO 50x40x30 </v>
      </c>
      <c r="AF139" s="30">
        <f>IFERROR(__xludf.DUMMYFUNCTION("""COMPUTED_VALUE"""),166.0)</f>
        <v>166</v>
      </c>
      <c r="AG139" s="12" t="str">
        <f>IFERROR(__xludf.DUMMYFUNCTION("""COMPUTED_VALUE"""),"PROVEEDOR")</f>
        <v>PROVEEDOR</v>
      </c>
      <c r="AH139" s="12"/>
      <c r="AI139" s="12" t="str">
        <f>IFERROR(__xludf.DUMMYFUNCTION("""COMPUTED_VALUE"""),"1")</f>
        <v>1</v>
      </c>
      <c r="AJ139" s="12" t="str">
        <f>IFERROR(__xludf.DUMMYFUNCTION("""COMPUTED_VALUE"""),"1")</f>
        <v>1</v>
      </c>
      <c r="AK139" s="12">
        <f>IFERROR(__xludf.DUMMYFUNCTION("""COMPUTED_VALUE"""),224.0)</f>
        <v>224</v>
      </c>
      <c r="AL139" s="12" t="str">
        <f>IFERROR(__xludf.DUMMYFUNCTION("""COMPUTED_VALUE"""),"SUMMIT")</f>
        <v>SUMMIT</v>
      </c>
      <c r="AM139" s="12"/>
      <c r="AN139" s="12"/>
      <c r="AO139" s="12"/>
      <c r="AP139" s="12"/>
      <c r="AQ139" s="12"/>
      <c r="BC139" s="12"/>
      <c r="BD139" s="12"/>
      <c r="BE139" s="14"/>
      <c r="BF139" s="12"/>
      <c r="BG139" s="12"/>
      <c r="BH139" s="12" t="str">
        <f>IFERROR(__xludf.DUMMYFUNCTION("IFERROR(INDEX(QUERY(IMPORTRANGE(""1T7HG8KEs-Ob7f3M5atEVN9Yn7IeORGp0QGvggB62ELw"",""Maestro!A:I""),""SELECT Col8 WHERE Col3 = '""&amp;BE139&amp;""'"", 0), 1, 1),""NO ENCONTRADO"")"),"")</f>
        <v/>
      </c>
      <c r="BI139" s="16">
        <v>1.0</v>
      </c>
      <c r="BJ139" s="16">
        <f t="shared" si="7"/>
        <v>0</v>
      </c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4"/>
      <c r="BX139" s="14"/>
      <c r="BY139" s="14"/>
      <c r="BZ139" s="14"/>
      <c r="CA139" s="14"/>
      <c r="CB139" s="14"/>
      <c r="CC139" s="14"/>
      <c r="CD139" s="14"/>
      <c r="CE139" s="14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</row>
    <row r="140">
      <c r="A140" s="158">
        <v>4.0</v>
      </c>
      <c r="B140" s="159" t="s">
        <v>25</v>
      </c>
      <c r="C140" s="160" t="s">
        <v>282</v>
      </c>
      <c r="D140" s="161" t="str">
        <f t="shared" si="1"/>
        <v>4-5-C</v>
      </c>
      <c r="E140" s="103"/>
      <c r="F140" s="104"/>
      <c r="G140" s="105"/>
      <c r="H140" s="106"/>
      <c r="I140" s="107"/>
      <c r="J140" s="108"/>
      <c r="K140" s="27" t="str">
        <f t="shared" si="2"/>
        <v>DISPONIBLE</v>
      </c>
      <c r="L140" s="28">
        <f t="shared" si="6"/>
        <v>139</v>
      </c>
      <c r="M140" s="28" t="s">
        <v>23</v>
      </c>
      <c r="N140" s="109"/>
      <c r="O140" s="168"/>
      <c r="P140" s="12"/>
      <c r="Q140" s="12"/>
      <c r="R140" s="12"/>
      <c r="S140" s="12"/>
      <c r="T140" s="12"/>
      <c r="U140" s="12"/>
      <c r="V140" s="12"/>
      <c r="AB140" s="12"/>
      <c r="AC140" s="12" t="str">
        <f>IFERROR(__xludf.DUMMYFUNCTION("""COMPUTED_VALUE"""),"ANDEN-1-2")</f>
        <v>ANDEN-1-2</v>
      </c>
      <c r="AD140" s="12" t="str">
        <f>IFERROR(__xludf.DUMMYFUNCTION("""COMPUTED_VALUE"""),"692432")</f>
        <v>692432</v>
      </c>
      <c r="AE140" s="12" t="str">
        <f>IFERROR(__xludf.DUMMYFUNCTION("""COMPUTED_VALUE"""),"CAJA CARTON ENVIOS 25x17x13 CM")</f>
        <v>CAJA CARTON ENVIOS 25x17x13 CM</v>
      </c>
      <c r="AF140" s="30">
        <f>IFERROR(__xludf.DUMMYFUNCTION("""COMPUTED_VALUE"""),795.0)</f>
        <v>795</v>
      </c>
      <c r="AG140" s="12" t="str">
        <f>IFERROR(__xludf.DUMMYFUNCTION("""COMPUTED_VALUE"""),"PROVEEDOR")</f>
        <v>PROVEEDOR</v>
      </c>
      <c r="AH140" s="12"/>
      <c r="AI140" s="12" t="str">
        <f>IFERROR(__xludf.DUMMYFUNCTION("""COMPUTED_VALUE"""),"1")</f>
        <v>1</v>
      </c>
      <c r="AJ140" s="12" t="str">
        <f>IFERROR(__xludf.DUMMYFUNCTION("""COMPUTED_VALUE"""),"2")</f>
        <v>2</v>
      </c>
      <c r="AK140" s="12">
        <f>IFERROR(__xludf.DUMMYFUNCTION("""COMPUTED_VALUE"""),225.0)</f>
        <v>225</v>
      </c>
      <c r="AL140" s="12" t="str">
        <f>IFERROR(__xludf.DUMMYFUNCTION("""COMPUTED_VALUE"""),"SUMMIT")</f>
        <v>SUMMIT</v>
      </c>
      <c r="AM140" s="12"/>
      <c r="AN140" s="12"/>
      <c r="AO140" s="12"/>
      <c r="AP140" s="12"/>
      <c r="AQ140" s="12"/>
      <c r="BC140" s="12"/>
      <c r="BD140" s="12"/>
      <c r="BE140" s="14"/>
      <c r="BF140" s="12"/>
      <c r="BG140" s="12"/>
      <c r="BH140" s="12" t="str">
        <f>IFERROR(__xludf.DUMMYFUNCTION("IFERROR(INDEX(QUERY(IMPORTRANGE(""1T7HG8KEs-Ob7f3M5atEVN9Yn7IeORGp0QGvggB62ELw"",""Maestro!A:I""),""SELECT Col8 WHERE Col3 = '""&amp;BE140&amp;""'"", 0), 1, 1),""NO ENCONTRADO"")"),"")</f>
        <v/>
      </c>
      <c r="BI140" s="16">
        <v>1.0</v>
      </c>
      <c r="BJ140" s="16">
        <f t="shared" si="7"/>
        <v>0</v>
      </c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4"/>
      <c r="BX140" s="14"/>
      <c r="BY140" s="14"/>
      <c r="BZ140" s="14"/>
      <c r="CA140" s="14"/>
      <c r="CB140" s="14"/>
      <c r="CC140" s="14"/>
      <c r="CD140" s="14"/>
      <c r="CE140" s="14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</row>
    <row r="141">
      <c r="A141" s="158">
        <v>4.0</v>
      </c>
      <c r="B141" s="159" t="s">
        <v>25</v>
      </c>
      <c r="C141" s="160" t="s">
        <v>285</v>
      </c>
      <c r="D141" s="161" t="str">
        <f t="shared" si="1"/>
        <v>4-5-D</v>
      </c>
      <c r="E141" s="103"/>
      <c r="F141" s="104"/>
      <c r="G141" s="105"/>
      <c r="H141" s="106"/>
      <c r="I141" s="107"/>
      <c r="J141" s="108"/>
      <c r="K141" s="32" t="str">
        <f t="shared" si="2"/>
        <v>DISPONIBLE</v>
      </c>
      <c r="L141" s="33">
        <f t="shared" si="6"/>
        <v>140</v>
      </c>
      <c r="M141" s="33" t="s">
        <v>23</v>
      </c>
      <c r="N141" s="122"/>
      <c r="O141" s="169"/>
      <c r="P141" s="12"/>
      <c r="Q141" s="12"/>
      <c r="R141" s="12"/>
      <c r="S141" s="12"/>
      <c r="T141" s="12"/>
      <c r="U141" s="12"/>
      <c r="V141" s="12"/>
      <c r="AB141" s="12"/>
      <c r="AC141" s="12" t="str">
        <f>IFERROR(__xludf.DUMMYFUNCTION("""COMPUTED_VALUE"""),"ANDEN-1-4")</f>
        <v>ANDEN-1-4</v>
      </c>
      <c r="AD141" s="12" t="str">
        <f>IFERROR(__xludf.DUMMYFUNCTION("""COMPUTED_VALUE"""),"692012X")</f>
        <v>692012X</v>
      </c>
      <c r="AE141" s="12" t="str">
        <f>IFERROR(__xludf.DUMMYFUNCTION("""COMPUTED_VALUE"""),"CAJA CARTON CORRUGADO 50x40x30 ")</f>
        <v>CAJA CARTON CORRUGADO 50x40x30 </v>
      </c>
      <c r="AF141" s="30">
        <f>IFERROR(__xludf.DUMMYFUNCTION("""COMPUTED_VALUE"""),225.0)</f>
        <v>225</v>
      </c>
      <c r="AG141" s="12" t="str">
        <f>IFERROR(__xludf.DUMMYFUNCTION("""COMPUTED_VALUE"""),"PROVEEDOR")</f>
        <v>PROVEEDOR</v>
      </c>
      <c r="AH141" s="12"/>
      <c r="AI141" s="12" t="str">
        <f>IFERROR(__xludf.DUMMYFUNCTION("""COMPUTED_VALUE"""),"1")</f>
        <v>1</v>
      </c>
      <c r="AJ141" s="12" t="str">
        <f>IFERROR(__xludf.DUMMYFUNCTION("""COMPUTED_VALUE"""),"4")</f>
        <v>4</v>
      </c>
      <c r="AK141" s="12">
        <f>IFERROR(__xludf.DUMMYFUNCTION("""COMPUTED_VALUE"""),227.0)</f>
        <v>227</v>
      </c>
      <c r="AL141" s="12" t="str">
        <f>IFERROR(__xludf.DUMMYFUNCTION("""COMPUTED_VALUE"""),"SUMMIT")</f>
        <v>SUMMIT</v>
      </c>
      <c r="AM141" s="12"/>
      <c r="AN141" s="12"/>
      <c r="AO141" s="12"/>
      <c r="AP141" s="12"/>
      <c r="AQ141" s="12"/>
      <c r="BC141" s="12"/>
      <c r="BD141" s="12"/>
      <c r="BE141" s="14"/>
      <c r="BF141" s="12"/>
      <c r="BG141" s="12"/>
      <c r="BH141" s="12" t="str">
        <f>IFERROR(__xludf.DUMMYFUNCTION("IFERROR(INDEX(QUERY(IMPORTRANGE(""1T7HG8KEs-Ob7f3M5atEVN9Yn7IeORGp0QGvggB62ELw"",""Maestro!A:I""),""SELECT Col8 WHERE Col3 = '""&amp;BE141&amp;""'"", 0), 1, 1),""NO ENCONTRADO"")"),"")</f>
        <v/>
      </c>
      <c r="BI141" s="16">
        <v>1.0</v>
      </c>
      <c r="BJ141" s="16">
        <f t="shared" si="7"/>
        <v>0</v>
      </c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4"/>
      <c r="BX141" s="14"/>
      <c r="BY141" s="14"/>
      <c r="BZ141" s="14"/>
      <c r="CA141" s="14"/>
      <c r="CB141" s="14"/>
      <c r="CC141" s="14"/>
      <c r="CD141" s="14"/>
      <c r="CE141" s="14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</row>
    <row r="142">
      <c r="A142" s="158">
        <v>4.0</v>
      </c>
      <c r="B142" s="159" t="s">
        <v>36</v>
      </c>
      <c r="C142" s="160" t="s">
        <v>269</v>
      </c>
      <c r="D142" s="161" t="str">
        <f t="shared" si="1"/>
        <v>4-6-A</v>
      </c>
      <c r="E142" s="162">
        <v>45754.0</v>
      </c>
      <c r="F142" s="163" t="s">
        <v>675</v>
      </c>
      <c r="G142" s="164" t="s">
        <v>314</v>
      </c>
      <c r="H142" s="165" t="s">
        <v>315</v>
      </c>
      <c r="I142" s="166">
        <v>300.0</v>
      </c>
      <c r="J142" s="167" t="s">
        <v>43</v>
      </c>
      <c r="K142" s="27" t="str">
        <f t="shared" si="2"/>
        <v>OCUPADO</v>
      </c>
      <c r="L142" s="28">
        <f t="shared" si="6"/>
        <v>141</v>
      </c>
      <c r="M142" s="28" t="s">
        <v>23</v>
      </c>
      <c r="N142" s="109"/>
      <c r="O142" s="168" t="s">
        <v>270</v>
      </c>
      <c r="P142" s="12"/>
      <c r="Q142" s="12"/>
      <c r="R142" s="12"/>
      <c r="S142" s="12"/>
      <c r="T142" s="12"/>
      <c r="U142" s="12"/>
      <c r="V142" s="12"/>
      <c r="AB142" s="12"/>
      <c r="AC142" s="12" t="str">
        <f>IFERROR(__xludf.DUMMYFUNCTION("""COMPUTED_VALUE"""),"ANDEN-1-5")</f>
        <v>ANDEN-1-5</v>
      </c>
      <c r="AD142" s="12" t="str">
        <f>IFERROR(__xludf.DUMMYFUNCTION("""COMPUTED_VALUE"""),"600574")</f>
        <v>600574</v>
      </c>
      <c r="AE142" s="12" t="str">
        <f>IFERROR(__xludf.DUMMYFUNCTION("""COMPUTED_VALUE"""),"SEPARADOR VASOS BOTELLAS 32X23X32")</f>
        <v>SEPARADOR VASOS BOTELLAS 32X23X32</v>
      </c>
      <c r="AF142" s="30">
        <f>IFERROR(__xludf.DUMMYFUNCTION("""COMPUTED_VALUE"""),718.0)</f>
        <v>718</v>
      </c>
      <c r="AG142" s="12" t="str">
        <f>IFERROR(__xludf.DUMMYFUNCTION("""COMPUTED_VALUE"""),"PROVEEDOR")</f>
        <v>PROVEEDOR</v>
      </c>
      <c r="AH142" s="12"/>
      <c r="AI142" s="12" t="str">
        <f>IFERROR(__xludf.DUMMYFUNCTION("""COMPUTED_VALUE"""),"1")</f>
        <v>1</v>
      </c>
      <c r="AJ142" s="12" t="str">
        <f>IFERROR(__xludf.DUMMYFUNCTION("""COMPUTED_VALUE"""),"5")</f>
        <v>5</v>
      </c>
      <c r="AK142" s="12">
        <f>IFERROR(__xludf.DUMMYFUNCTION("""COMPUTED_VALUE"""),228.0)</f>
        <v>228</v>
      </c>
      <c r="AL142" s="12" t="str">
        <f>IFERROR(__xludf.DUMMYFUNCTION("""COMPUTED_VALUE"""),"SUMMIT")</f>
        <v>SUMMIT</v>
      </c>
      <c r="AM142" s="12"/>
      <c r="AN142" s="12"/>
      <c r="AO142" s="12"/>
      <c r="AP142" s="12"/>
      <c r="AQ142" s="12"/>
      <c r="BC142" s="12"/>
      <c r="BD142" s="12"/>
      <c r="BE142" s="14"/>
      <c r="BF142" s="12"/>
      <c r="BG142" s="12"/>
      <c r="BH142" s="12" t="str">
        <f>IFERROR(__xludf.DUMMYFUNCTION("IFERROR(INDEX(QUERY(IMPORTRANGE(""1T7HG8KEs-Ob7f3M5atEVN9Yn7IeORGp0QGvggB62ELw"",""Maestro!A:I""),""SELECT Col8 WHERE Col3 = '""&amp;BE142&amp;""'"", 0), 1, 1),""NO ENCONTRADO"")"),"")</f>
        <v/>
      </c>
      <c r="BI142" s="16">
        <v>1.0</v>
      </c>
      <c r="BJ142" s="16">
        <f t="shared" si="7"/>
        <v>0</v>
      </c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4"/>
      <c r="BX142" s="14"/>
      <c r="BY142" s="14"/>
      <c r="BZ142" s="14"/>
      <c r="CA142" s="14"/>
      <c r="CB142" s="14"/>
      <c r="CC142" s="14"/>
      <c r="CD142" s="14"/>
      <c r="CE142" s="14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</row>
    <row r="143">
      <c r="A143" s="158">
        <v>4.0</v>
      </c>
      <c r="B143" s="159" t="s">
        <v>36</v>
      </c>
      <c r="C143" s="160" t="s">
        <v>277</v>
      </c>
      <c r="D143" s="161" t="str">
        <f t="shared" si="1"/>
        <v>4-6-B</v>
      </c>
      <c r="E143" s="162">
        <v>45754.0</v>
      </c>
      <c r="F143" s="163" t="s">
        <v>675</v>
      </c>
      <c r="G143" s="164" t="s">
        <v>314</v>
      </c>
      <c r="H143" s="165" t="s">
        <v>315</v>
      </c>
      <c r="I143" s="166">
        <v>163.0</v>
      </c>
      <c r="J143" s="167" t="s">
        <v>43</v>
      </c>
      <c r="K143" s="32" t="str">
        <f t="shared" si="2"/>
        <v>OCUPADO</v>
      </c>
      <c r="L143" s="33">
        <f t="shared" si="6"/>
        <v>142</v>
      </c>
      <c r="M143" s="33" t="s">
        <v>23</v>
      </c>
      <c r="N143" s="122"/>
      <c r="O143" s="169" t="s">
        <v>270</v>
      </c>
      <c r="P143" s="12"/>
      <c r="Q143" s="12"/>
      <c r="R143" s="12"/>
      <c r="S143" s="12"/>
      <c r="T143" s="12"/>
      <c r="U143" s="12"/>
      <c r="V143" s="12"/>
      <c r="AB143" s="12"/>
      <c r="AC143" s="12" t="str">
        <f>IFERROR(__xludf.DUMMYFUNCTION("""COMPUTED_VALUE"""),"ANDEN-1-6")</f>
        <v>ANDEN-1-6</v>
      </c>
      <c r="AD143" s="12" t="str">
        <f>IFERROR(__xludf.DUMMYFUNCTION("""COMPUTED_VALUE"""),"600574")</f>
        <v>600574</v>
      </c>
      <c r="AE143" s="12" t="str">
        <f>IFERROR(__xludf.DUMMYFUNCTION("""COMPUTED_VALUE"""),"SEPARADOR VASOS BOTELLAS 32X23X32")</f>
        <v>SEPARADOR VASOS BOTELLAS 32X23X32</v>
      </c>
      <c r="AF143" s="30">
        <f>IFERROR(__xludf.DUMMYFUNCTION("""COMPUTED_VALUE"""),716.0)</f>
        <v>716</v>
      </c>
      <c r="AG143" s="12" t="str">
        <f>IFERROR(__xludf.DUMMYFUNCTION("""COMPUTED_VALUE"""),"PROVEEDOR")</f>
        <v>PROVEEDOR</v>
      </c>
      <c r="AH143" s="12"/>
      <c r="AI143" s="12" t="str">
        <f>IFERROR(__xludf.DUMMYFUNCTION("""COMPUTED_VALUE"""),"1")</f>
        <v>1</v>
      </c>
      <c r="AJ143" s="12" t="str">
        <f>IFERROR(__xludf.DUMMYFUNCTION("""COMPUTED_VALUE"""),"6")</f>
        <v>6</v>
      </c>
      <c r="AK143" s="12">
        <f>IFERROR(__xludf.DUMMYFUNCTION("""COMPUTED_VALUE"""),229.0)</f>
        <v>229</v>
      </c>
      <c r="AL143" s="12" t="str">
        <f>IFERROR(__xludf.DUMMYFUNCTION("""COMPUTED_VALUE"""),"SUMMIT")</f>
        <v>SUMMIT</v>
      </c>
      <c r="AM143" s="12"/>
      <c r="AN143" s="12"/>
      <c r="AO143" s="12"/>
      <c r="AP143" s="12"/>
      <c r="AQ143" s="12"/>
      <c r="BC143" s="12"/>
      <c r="BD143" s="12"/>
      <c r="BE143" s="14"/>
      <c r="BF143" s="12"/>
      <c r="BG143" s="12"/>
      <c r="BH143" s="12" t="str">
        <f>IFERROR(__xludf.DUMMYFUNCTION("IFERROR(INDEX(QUERY(IMPORTRANGE(""1T7HG8KEs-Ob7f3M5atEVN9Yn7IeORGp0QGvggB62ELw"",""Maestro!A:I""),""SELECT Col8 WHERE Col3 = '""&amp;BE143&amp;""'"", 0), 1, 1),""NO ENCONTRADO"")"),"")</f>
        <v/>
      </c>
      <c r="BI143" s="12"/>
      <c r="BJ143" s="16">
        <f t="shared" si="7"/>
        <v>0</v>
      </c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4"/>
      <c r="BX143" s="14"/>
      <c r="BY143" s="14"/>
      <c r="BZ143" s="14"/>
      <c r="CA143" s="14"/>
      <c r="CB143" s="14"/>
      <c r="CC143" s="14"/>
      <c r="CD143" s="14"/>
      <c r="CE143" s="14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</row>
    <row r="144">
      <c r="A144" s="158">
        <v>4.0</v>
      </c>
      <c r="B144" s="159" t="s">
        <v>36</v>
      </c>
      <c r="C144" s="160" t="s">
        <v>282</v>
      </c>
      <c r="D144" s="161" t="str">
        <f t="shared" si="1"/>
        <v>4-6-C</v>
      </c>
      <c r="E144" s="103"/>
      <c r="F144" s="104"/>
      <c r="G144" s="105"/>
      <c r="H144" s="106"/>
      <c r="I144" s="107"/>
      <c r="J144" s="108"/>
      <c r="K144" s="27" t="str">
        <f t="shared" si="2"/>
        <v>DISPONIBLE</v>
      </c>
      <c r="L144" s="28">
        <f t="shared" si="6"/>
        <v>143</v>
      </c>
      <c r="M144" s="28" t="s">
        <v>23</v>
      </c>
      <c r="N144" s="109"/>
      <c r="O144" s="168"/>
      <c r="P144" s="12"/>
      <c r="Q144" s="12"/>
      <c r="R144" s="12"/>
      <c r="S144" s="12"/>
      <c r="T144" s="12"/>
      <c r="U144" s="12"/>
      <c r="V144" s="12"/>
      <c r="AB144" s="12"/>
      <c r="AC144" s="12" t="str">
        <f>IFERROR(__xludf.DUMMYFUNCTION("""COMPUTED_VALUE"""),"ANDEN-1-7")</f>
        <v>ANDEN-1-7</v>
      </c>
      <c r="AD144" s="12" t="str">
        <f>IFERROR(__xludf.DUMMYFUNCTION("""COMPUTED_VALUE"""),"600574")</f>
        <v>600574</v>
      </c>
      <c r="AE144" s="12" t="str">
        <f>IFERROR(__xludf.DUMMYFUNCTION("""COMPUTED_VALUE"""),"SEPARADOR VASOS BOTELLAS 32X23X32")</f>
        <v>SEPARADOR VASOS BOTELLAS 32X23X32</v>
      </c>
      <c r="AF144" s="30">
        <f>IFERROR(__xludf.DUMMYFUNCTION("""COMPUTED_VALUE"""),716.0)</f>
        <v>716</v>
      </c>
      <c r="AG144" s="12" t="str">
        <f>IFERROR(__xludf.DUMMYFUNCTION("""COMPUTED_VALUE"""),"PROVEEDOR")</f>
        <v>PROVEEDOR</v>
      </c>
      <c r="AH144" s="12"/>
      <c r="AI144" s="12" t="str">
        <f>IFERROR(__xludf.DUMMYFUNCTION("""COMPUTED_VALUE"""),"1")</f>
        <v>1</v>
      </c>
      <c r="AJ144" s="12" t="str">
        <f>IFERROR(__xludf.DUMMYFUNCTION("""COMPUTED_VALUE"""),"7")</f>
        <v>7</v>
      </c>
      <c r="AK144" s="12">
        <f>IFERROR(__xludf.DUMMYFUNCTION("""COMPUTED_VALUE"""),230.0)</f>
        <v>230</v>
      </c>
      <c r="AL144" s="12" t="str">
        <f>IFERROR(__xludf.DUMMYFUNCTION("""COMPUTED_VALUE"""),"SUMMIT")</f>
        <v>SUMMIT</v>
      </c>
      <c r="AM144" s="12"/>
      <c r="AN144" s="12"/>
      <c r="AO144" s="12"/>
      <c r="AP144" s="12"/>
      <c r="AQ144" s="12"/>
      <c r="BC144" s="12"/>
      <c r="BD144" s="12"/>
      <c r="BE144" s="14"/>
      <c r="BF144" s="12"/>
      <c r="BG144" s="12"/>
      <c r="BH144" s="12" t="str">
        <f>IFERROR(__xludf.DUMMYFUNCTION("IFERROR(INDEX(QUERY(IMPORTRANGE(""1T7HG8KEs-Ob7f3M5atEVN9Yn7IeORGp0QGvggB62ELw"",""Maestro!A:I""),""SELECT Col8 WHERE Col3 = '""&amp;BE144&amp;""'"", 0), 1, 1),""NO ENCONTRADO"")"),"")</f>
        <v/>
      </c>
      <c r="BI144" s="12"/>
      <c r="BJ144" s="16">
        <f t="shared" si="7"/>
        <v>0</v>
      </c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4"/>
      <c r="BX144" s="14"/>
      <c r="BY144" s="14"/>
      <c r="BZ144" s="14"/>
      <c r="CA144" s="14"/>
      <c r="CB144" s="14"/>
      <c r="CC144" s="14"/>
      <c r="CD144" s="14"/>
      <c r="CE144" s="14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</row>
    <row r="145">
      <c r="A145" s="158">
        <v>4.0</v>
      </c>
      <c r="B145" s="159" t="s">
        <v>36</v>
      </c>
      <c r="C145" s="160" t="s">
        <v>285</v>
      </c>
      <c r="D145" s="161" t="str">
        <f t="shared" si="1"/>
        <v>4-6-D</v>
      </c>
      <c r="E145" s="103"/>
      <c r="F145" s="104"/>
      <c r="G145" s="105"/>
      <c r="H145" s="106"/>
      <c r="I145" s="107"/>
      <c r="J145" s="108"/>
      <c r="K145" s="32" t="str">
        <f t="shared" si="2"/>
        <v>DISPONIBLE</v>
      </c>
      <c r="L145" s="33">
        <f t="shared" si="6"/>
        <v>144</v>
      </c>
      <c r="M145" s="33" t="s">
        <v>23</v>
      </c>
      <c r="N145" s="122"/>
      <c r="O145" s="169"/>
      <c r="P145" s="12"/>
      <c r="Q145" s="12"/>
      <c r="R145" s="12"/>
      <c r="S145" s="12"/>
      <c r="T145" s="12"/>
      <c r="U145" s="12"/>
      <c r="V145" s="12"/>
      <c r="AB145" s="12"/>
      <c r="AC145" s="12" t="str">
        <f>IFERROR(__xludf.DUMMYFUNCTION("""COMPUTED_VALUE"""),"ANDEN-1-8")</f>
        <v>ANDEN-1-8</v>
      </c>
      <c r="AD145" s="12" t="str">
        <f>IFERROR(__xludf.DUMMYFUNCTION("""COMPUTED_VALUE"""),"692012X")</f>
        <v>692012X</v>
      </c>
      <c r="AE145" s="12" t="str">
        <f>IFERROR(__xludf.DUMMYFUNCTION("""COMPUTED_VALUE"""),"CAJA CARTON CORRUGADO 50x40x30 ")</f>
        <v>CAJA CARTON CORRUGADO 50x40x30 </v>
      </c>
      <c r="AF145" s="30">
        <f>IFERROR(__xludf.DUMMYFUNCTION("""COMPUTED_VALUE"""),225.0)</f>
        <v>225</v>
      </c>
      <c r="AG145" s="12" t="str">
        <f>IFERROR(__xludf.DUMMYFUNCTION("""COMPUTED_VALUE"""),"PROVEEDOR")</f>
        <v>PROVEEDOR</v>
      </c>
      <c r="AH145" s="12"/>
      <c r="AI145" s="12" t="str">
        <f>IFERROR(__xludf.DUMMYFUNCTION("""COMPUTED_VALUE"""),"1")</f>
        <v>1</v>
      </c>
      <c r="AJ145" s="12" t="str">
        <f>IFERROR(__xludf.DUMMYFUNCTION("""COMPUTED_VALUE"""),"8")</f>
        <v>8</v>
      </c>
      <c r="AK145" s="12">
        <f>IFERROR(__xludf.DUMMYFUNCTION("""COMPUTED_VALUE"""),231.0)</f>
        <v>231</v>
      </c>
      <c r="AL145" s="12" t="str">
        <f>IFERROR(__xludf.DUMMYFUNCTION("""COMPUTED_VALUE"""),"SUMMIT")</f>
        <v>SUMMIT</v>
      </c>
      <c r="AM145" s="12"/>
      <c r="AN145" s="12"/>
      <c r="AO145" s="12"/>
      <c r="AP145" s="12"/>
      <c r="AQ145" s="12"/>
      <c r="BC145" s="12"/>
      <c r="BD145" s="12"/>
      <c r="BE145" s="14"/>
      <c r="BF145" s="12"/>
      <c r="BG145" s="12"/>
      <c r="BH145" s="12" t="str">
        <f>IFERROR(__xludf.DUMMYFUNCTION("IFERROR(INDEX(QUERY(IMPORTRANGE(""1T7HG8KEs-Ob7f3M5atEVN9Yn7IeORGp0QGvggB62ELw"",""Maestro!A:I""),""SELECT Col8 WHERE Col3 = '""&amp;BE145&amp;""'"", 0), 1, 1),""NO ENCONTRADO"")"),"")</f>
        <v/>
      </c>
      <c r="BI145" s="12" t="str">
        <f>IFERROR(__xludf.DUMMYFUNCTION("IFERROR(INDEX(QUERY(IMPORTRANGE(""1T7HG8KEs-Ob7f3M5atEVN9Yn7IeORGp0QGvggB62ELw"",""Maestro!A:I""),""SELECT Col7 WHERE Col3 = '""&amp;BE145&amp;""'"", 0), 1, 1),""NO ENCONTRADO"")"),"")</f>
        <v/>
      </c>
      <c r="BJ145" s="16">
        <f t="shared" si="7"/>
        <v>0</v>
      </c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4"/>
      <c r="BX145" s="14"/>
      <c r="BY145" s="14"/>
      <c r="BZ145" s="14"/>
      <c r="CA145" s="14"/>
      <c r="CB145" s="14"/>
      <c r="CC145" s="14"/>
      <c r="CD145" s="14"/>
      <c r="CE145" s="14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</row>
    <row r="146">
      <c r="A146" s="158">
        <v>4.0</v>
      </c>
      <c r="B146" s="159" t="s">
        <v>48</v>
      </c>
      <c r="C146" s="160" t="s">
        <v>269</v>
      </c>
      <c r="D146" s="161" t="str">
        <f t="shared" si="1"/>
        <v>4-7-A</v>
      </c>
      <c r="E146" s="162">
        <v>45730.0</v>
      </c>
      <c r="F146" s="163" t="s">
        <v>771</v>
      </c>
      <c r="G146" s="164" t="s">
        <v>87</v>
      </c>
      <c r="H146" s="165" t="s">
        <v>88</v>
      </c>
      <c r="I146" s="166">
        <v>72.0</v>
      </c>
      <c r="J146" s="167" t="s">
        <v>43</v>
      </c>
      <c r="K146" s="27" t="str">
        <f t="shared" si="2"/>
        <v>OCUPADO</v>
      </c>
      <c r="L146" s="28">
        <f t="shared" si="6"/>
        <v>145</v>
      </c>
      <c r="M146" s="28" t="s">
        <v>23</v>
      </c>
      <c r="N146" s="109"/>
      <c r="O146" s="168" t="s">
        <v>270</v>
      </c>
      <c r="P146" s="12"/>
      <c r="Q146" s="12"/>
      <c r="R146" s="12"/>
      <c r="S146" s="12"/>
      <c r="T146" s="12"/>
      <c r="U146" s="12"/>
      <c r="V146" s="12"/>
      <c r="AB146" s="12"/>
      <c r="AC146" s="12" t="str">
        <f>IFERROR(__xludf.DUMMYFUNCTION("""COMPUTED_VALUE"""),"ANDEN-1-9")</f>
        <v>ANDEN-1-9</v>
      </c>
      <c r="AD146" s="12" t="str">
        <f>IFERROR(__xludf.DUMMYFUNCTION("""COMPUTED_VALUE"""),"692012X")</f>
        <v>692012X</v>
      </c>
      <c r="AE146" s="12" t="str">
        <f>IFERROR(__xludf.DUMMYFUNCTION("""COMPUTED_VALUE"""),"CAJA CARTON CORRUGADO 50x40x30 ")</f>
        <v>CAJA CARTON CORRUGADO 50x40x30 </v>
      </c>
      <c r="AF146" s="30">
        <f>IFERROR(__xludf.DUMMYFUNCTION("""COMPUTED_VALUE"""),225.0)</f>
        <v>225</v>
      </c>
      <c r="AG146" s="12" t="str">
        <f>IFERROR(__xludf.DUMMYFUNCTION("""COMPUTED_VALUE"""),"PROVEEDOR")</f>
        <v>PROVEEDOR</v>
      </c>
      <c r="AH146" s="12"/>
      <c r="AI146" s="12" t="str">
        <f>IFERROR(__xludf.DUMMYFUNCTION("""COMPUTED_VALUE"""),"1")</f>
        <v>1</v>
      </c>
      <c r="AJ146" s="12" t="str">
        <f>IFERROR(__xludf.DUMMYFUNCTION("""COMPUTED_VALUE"""),"9")</f>
        <v>9</v>
      </c>
      <c r="AK146" s="12">
        <f>IFERROR(__xludf.DUMMYFUNCTION("""COMPUTED_VALUE"""),232.0)</f>
        <v>232</v>
      </c>
      <c r="AL146" s="12" t="str">
        <f>IFERROR(__xludf.DUMMYFUNCTION("""COMPUTED_VALUE"""),"SUMMIT")</f>
        <v>SUMMIT</v>
      </c>
      <c r="AM146" s="12"/>
      <c r="AN146" s="12"/>
      <c r="AO146" s="12"/>
      <c r="AP146" s="12"/>
      <c r="AQ146" s="12"/>
      <c r="BC146" s="12"/>
      <c r="BD146" s="12"/>
      <c r="BE146" s="14"/>
      <c r="BF146" s="12"/>
      <c r="BG146" s="12"/>
      <c r="BH146" s="12" t="str">
        <f>IFERROR(__xludf.DUMMYFUNCTION("IFERROR(INDEX(QUERY(IMPORTRANGE(""1T7HG8KEs-Ob7f3M5atEVN9Yn7IeORGp0QGvggB62ELw"",""Maestro!A:I""),""SELECT Col8 WHERE Col3 = '""&amp;BE146&amp;""'"", 0), 1, 1),""NO ENCONTRADO"")"),"")</f>
        <v/>
      </c>
      <c r="BI146" s="12" t="str">
        <f>IFERROR(__xludf.DUMMYFUNCTION("IFERROR(INDEX(QUERY(IMPORTRANGE(""1T7HG8KEs-Ob7f3M5atEVN9Yn7IeORGp0QGvggB62ELw"",""Maestro!A:I""),""SELECT Col7 WHERE Col3 = '""&amp;BE146&amp;""'"", 0), 1, 1),""NO ENCONTRADO"")"),"")</f>
        <v/>
      </c>
      <c r="BJ146" s="16">
        <f t="shared" si="7"/>
        <v>0</v>
      </c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4"/>
      <c r="BX146" s="14"/>
      <c r="BY146" s="14"/>
      <c r="BZ146" s="14"/>
      <c r="CA146" s="14"/>
      <c r="CB146" s="14"/>
      <c r="CC146" s="14"/>
      <c r="CD146" s="14"/>
      <c r="CE146" s="14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</row>
    <row r="147">
      <c r="A147" s="158">
        <v>4.0</v>
      </c>
      <c r="B147" s="159" t="s">
        <v>48</v>
      </c>
      <c r="C147" s="160" t="s">
        <v>277</v>
      </c>
      <c r="D147" s="161" t="str">
        <f t="shared" si="1"/>
        <v>4-7-B</v>
      </c>
      <c r="E147" s="162">
        <v>45730.0</v>
      </c>
      <c r="F147" s="163" t="s">
        <v>771</v>
      </c>
      <c r="G147" s="164" t="s">
        <v>87</v>
      </c>
      <c r="H147" s="165" t="s">
        <v>88</v>
      </c>
      <c r="I147" s="166">
        <v>72.0</v>
      </c>
      <c r="J147" s="167" t="s">
        <v>43</v>
      </c>
      <c r="K147" s="32" t="str">
        <f t="shared" si="2"/>
        <v>OCUPADO</v>
      </c>
      <c r="L147" s="33">
        <f t="shared" si="6"/>
        <v>146</v>
      </c>
      <c r="M147" s="33" t="s">
        <v>23</v>
      </c>
      <c r="N147" s="122"/>
      <c r="O147" s="169" t="s">
        <v>270</v>
      </c>
      <c r="P147" s="12"/>
      <c r="Q147" s="12"/>
      <c r="R147" s="12"/>
      <c r="S147" s="12"/>
      <c r="T147" s="12"/>
      <c r="U147" s="12"/>
      <c r="V147" s="12"/>
      <c r="AB147" s="12"/>
      <c r="AC147" s="12" t="str">
        <f>IFERROR(__xludf.DUMMYFUNCTION("""COMPUTED_VALUE"""),"ANDEN-1-10")</f>
        <v>ANDEN-1-10</v>
      </c>
      <c r="AD147" s="12" t="str">
        <f>IFERROR(__xludf.DUMMYFUNCTION("""COMPUTED_VALUE"""),"600666")</f>
        <v>600666</v>
      </c>
      <c r="AE147" s="12" t="str">
        <f>IFERROR(__xludf.DUMMYFUNCTION("""COMPUTED_VALUE"""),"CAJA CARTON S/IMP 32x23x32 CM")</f>
        <v>CAJA CARTON S/IMP 32x23x32 CM</v>
      </c>
      <c r="AF147" s="30">
        <f>IFERROR(__xludf.DUMMYFUNCTION("""COMPUTED_VALUE"""),700.0)</f>
        <v>700</v>
      </c>
      <c r="AG147" s="12" t="str">
        <f>IFERROR(__xludf.DUMMYFUNCTION("""COMPUTED_VALUE"""),"PROVEEDOR")</f>
        <v>PROVEEDOR</v>
      </c>
      <c r="AH147" s="12"/>
      <c r="AI147" s="12" t="str">
        <f>IFERROR(__xludf.DUMMYFUNCTION("""COMPUTED_VALUE"""),"1")</f>
        <v>1</v>
      </c>
      <c r="AJ147" s="12" t="str">
        <f>IFERROR(__xludf.DUMMYFUNCTION("""COMPUTED_VALUE"""),"10")</f>
        <v>10</v>
      </c>
      <c r="AK147" s="12">
        <f>IFERROR(__xludf.DUMMYFUNCTION("""COMPUTED_VALUE"""),233.0)</f>
        <v>233</v>
      </c>
      <c r="AL147" s="12" t="str">
        <f>IFERROR(__xludf.DUMMYFUNCTION("""COMPUTED_VALUE"""),"SUMMIT")</f>
        <v>SUMMIT</v>
      </c>
      <c r="AM147" s="12"/>
      <c r="AN147" s="12"/>
      <c r="AO147" s="12"/>
      <c r="AP147" s="12"/>
      <c r="AQ147" s="12"/>
      <c r="BC147" s="12"/>
      <c r="BD147" s="12"/>
      <c r="BE147" s="14"/>
      <c r="BF147" s="12"/>
      <c r="BG147" s="12"/>
      <c r="BH147" s="12" t="str">
        <f>IFERROR(__xludf.DUMMYFUNCTION("IFERROR(INDEX(QUERY(IMPORTRANGE(""1T7HG8KEs-Ob7f3M5atEVN9Yn7IeORGp0QGvggB62ELw"",""Maestro!A:I""),""SELECT Col8 WHERE Col3 = '""&amp;BE147&amp;""'"", 0), 1, 1),""NO ENCONTRADO"")"),"")</f>
        <v/>
      </c>
      <c r="BI147" s="12" t="str">
        <f>IFERROR(__xludf.DUMMYFUNCTION("IFERROR(INDEX(QUERY(IMPORTRANGE(""1T7HG8KEs-Ob7f3M5atEVN9Yn7IeORGp0QGvggB62ELw"",""Maestro!A:I""),""SELECT Col7 WHERE Col3 = '""&amp;BE147&amp;""'"", 0), 1, 1),""NO ENCONTRADO"")"),"")</f>
        <v/>
      </c>
      <c r="BJ147" s="16">
        <f t="shared" si="7"/>
        <v>0</v>
      </c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4"/>
      <c r="BX147" s="14"/>
      <c r="BY147" s="14"/>
      <c r="BZ147" s="14"/>
      <c r="CA147" s="14"/>
      <c r="CB147" s="14"/>
      <c r="CC147" s="14"/>
      <c r="CD147" s="14"/>
      <c r="CE147" s="14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</row>
    <row r="148">
      <c r="A148" s="158">
        <v>4.0</v>
      </c>
      <c r="B148" s="159" t="s">
        <v>48</v>
      </c>
      <c r="C148" s="160" t="s">
        <v>282</v>
      </c>
      <c r="D148" s="161" t="str">
        <f t="shared" si="1"/>
        <v>4-7-C</v>
      </c>
      <c r="E148" s="162">
        <v>45730.0</v>
      </c>
      <c r="F148" s="163" t="s">
        <v>771</v>
      </c>
      <c r="G148" s="164" t="s">
        <v>87</v>
      </c>
      <c r="H148" s="165" t="s">
        <v>88</v>
      </c>
      <c r="I148" s="166">
        <v>72.0</v>
      </c>
      <c r="J148" s="167" t="s">
        <v>43</v>
      </c>
      <c r="K148" s="27" t="str">
        <f t="shared" si="2"/>
        <v>OCUPADO</v>
      </c>
      <c r="L148" s="28">
        <f t="shared" si="6"/>
        <v>147</v>
      </c>
      <c r="M148" s="28" t="s">
        <v>23</v>
      </c>
      <c r="N148" s="109"/>
      <c r="O148" s="168" t="s">
        <v>270</v>
      </c>
      <c r="P148" s="12"/>
      <c r="Q148" s="12"/>
      <c r="R148" s="12"/>
      <c r="S148" s="12"/>
      <c r="T148" s="12"/>
      <c r="U148" s="12"/>
      <c r="V148" s="12"/>
      <c r="AB148" s="12"/>
      <c r="AC148" s="12" t="str">
        <f>IFERROR(__xludf.DUMMYFUNCTION("""COMPUTED_VALUE"""),"ANDEN-1-11")</f>
        <v>ANDEN-1-11</v>
      </c>
      <c r="AD148" s="12" t="str">
        <f>IFERROR(__xludf.DUMMYFUNCTION("""COMPUTED_VALUE"""),"600567")</f>
        <v>600567</v>
      </c>
      <c r="AE148" s="12" t="str">
        <f>IFERROR(__xludf.DUMMYFUNCTION("""COMPUTED_VALUE"""),"SEPARADORES PLATOS 32X23X32")</f>
        <v>SEPARADORES PLATOS 32X23X32</v>
      </c>
      <c r="AF148" s="30">
        <f>IFERROR(__xludf.DUMMYFUNCTION("""COMPUTED_VALUE"""),510.0)</f>
        <v>510</v>
      </c>
      <c r="AG148" s="12" t="str">
        <f>IFERROR(__xludf.DUMMYFUNCTION("""COMPUTED_VALUE"""),"PROVEEDOR")</f>
        <v>PROVEEDOR</v>
      </c>
      <c r="AH148" s="12"/>
      <c r="AI148" s="12" t="str">
        <f>IFERROR(__xludf.DUMMYFUNCTION("""COMPUTED_VALUE"""),"1")</f>
        <v>1</v>
      </c>
      <c r="AJ148" s="12" t="str">
        <f>IFERROR(__xludf.DUMMYFUNCTION("""COMPUTED_VALUE"""),"11")</f>
        <v>11</v>
      </c>
      <c r="AK148" s="12">
        <f>IFERROR(__xludf.DUMMYFUNCTION("""COMPUTED_VALUE"""),234.0)</f>
        <v>234</v>
      </c>
      <c r="AL148" s="12" t="str">
        <f>IFERROR(__xludf.DUMMYFUNCTION("""COMPUTED_VALUE"""),"SUMMIT")</f>
        <v>SUMMIT</v>
      </c>
      <c r="AM148" s="12"/>
      <c r="AN148" s="12"/>
      <c r="AO148" s="12"/>
      <c r="AP148" s="12"/>
      <c r="AQ148" s="12"/>
      <c r="BC148" s="12"/>
      <c r="BD148" s="12"/>
      <c r="BE148" s="14"/>
      <c r="BF148" s="12"/>
      <c r="BG148" s="12"/>
      <c r="BH148" s="12" t="str">
        <f>IFERROR(__xludf.DUMMYFUNCTION("IFERROR(INDEX(QUERY(IMPORTRANGE(""1T7HG8KEs-Ob7f3M5atEVN9Yn7IeORGp0QGvggB62ELw"",""Maestro!A:I""),""SELECT Col8 WHERE Col3 = '""&amp;BE148&amp;""'"", 0), 1, 1),""NO ENCONTRADO"")"),"")</f>
        <v/>
      </c>
      <c r="BI148" s="12" t="str">
        <f>IFERROR(__xludf.DUMMYFUNCTION("IFERROR(INDEX(QUERY(IMPORTRANGE(""1T7HG8KEs-Ob7f3M5atEVN9Yn7IeORGp0QGvggB62ELw"",""Maestro!A:I""),""SELECT Col7 WHERE Col3 = '""&amp;BE148&amp;""'"", 0), 1, 1),""NO ENCONTRADO"")"),"")</f>
        <v/>
      </c>
      <c r="BJ148" s="16">
        <f t="shared" si="7"/>
        <v>0</v>
      </c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4"/>
      <c r="BX148" s="14"/>
      <c r="BY148" s="14"/>
      <c r="BZ148" s="14"/>
      <c r="CA148" s="14"/>
      <c r="CB148" s="14"/>
      <c r="CC148" s="14"/>
      <c r="CD148" s="14"/>
      <c r="CE148" s="14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</row>
    <row r="149">
      <c r="A149" s="158">
        <v>4.0</v>
      </c>
      <c r="B149" s="159" t="s">
        <v>48</v>
      </c>
      <c r="C149" s="160" t="s">
        <v>285</v>
      </c>
      <c r="D149" s="161" t="str">
        <f t="shared" si="1"/>
        <v>4-7-D</v>
      </c>
      <c r="E149" s="162">
        <v>45730.0</v>
      </c>
      <c r="F149" s="163" t="s">
        <v>771</v>
      </c>
      <c r="G149" s="164" t="s">
        <v>87</v>
      </c>
      <c r="H149" s="165" t="s">
        <v>88</v>
      </c>
      <c r="I149" s="166">
        <v>72.0</v>
      </c>
      <c r="J149" s="167" t="s">
        <v>43</v>
      </c>
      <c r="K149" s="32" t="str">
        <f t="shared" si="2"/>
        <v>OCUPADO</v>
      </c>
      <c r="L149" s="33">
        <f t="shared" si="6"/>
        <v>148</v>
      </c>
      <c r="M149" s="33" t="s">
        <v>23</v>
      </c>
      <c r="N149" s="122"/>
      <c r="O149" s="169" t="s">
        <v>270</v>
      </c>
      <c r="P149" s="12"/>
      <c r="Q149" s="12"/>
      <c r="R149" s="12"/>
      <c r="S149" s="12"/>
      <c r="T149" s="12"/>
      <c r="U149" s="12"/>
      <c r="V149" s="12"/>
      <c r="AB149" s="12"/>
      <c r="AC149" s="12" t="str">
        <f>IFERROR(__xludf.DUMMYFUNCTION("""COMPUTED_VALUE"""),"ANDEN-1-12")</f>
        <v>ANDEN-1-12</v>
      </c>
      <c r="AD149" s="12" t="str">
        <f>IFERROR(__xludf.DUMMYFUNCTION("""COMPUTED_VALUE"""),"600666")</f>
        <v>600666</v>
      </c>
      <c r="AE149" s="12" t="str">
        <f>IFERROR(__xludf.DUMMYFUNCTION("""COMPUTED_VALUE"""),"CAJA CARTON S/IMP 32x23x32 CM")</f>
        <v>CAJA CARTON S/IMP 32x23x32 CM</v>
      </c>
      <c r="AF149" s="30">
        <f>IFERROR(__xludf.DUMMYFUNCTION("""COMPUTED_VALUE"""),600.0)</f>
        <v>600</v>
      </c>
      <c r="AG149" s="12" t="str">
        <f>IFERROR(__xludf.DUMMYFUNCTION("""COMPUTED_VALUE"""),"PROVEEDOR")</f>
        <v>PROVEEDOR</v>
      </c>
      <c r="AH149" s="12"/>
      <c r="AI149" s="12" t="str">
        <f>IFERROR(__xludf.DUMMYFUNCTION("""COMPUTED_VALUE"""),"1")</f>
        <v>1</v>
      </c>
      <c r="AJ149" s="12" t="str">
        <f>IFERROR(__xludf.DUMMYFUNCTION("""COMPUTED_VALUE"""),"12")</f>
        <v>12</v>
      </c>
      <c r="AK149" s="12">
        <f>IFERROR(__xludf.DUMMYFUNCTION("""COMPUTED_VALUE"""),235.0)</f>
        <v>235</v>
      </c>
      <c r="AL149" s="12" t="str">
        <f>IFERROR(__xludf.DUMMYFUNCTION("""COMPUTED_VALUE"""),"SUMMIT")</f>
        <v>SUMMIT</v>
      </c>
      <c r="AM149" s="12"/>
      <c r="AN149" s="12"/>
      <c r="AO149" s="12"/>
      <c r="AP149" s="12"/>
      <c r="AQ149" s="12"/>
      <c r="BC149" s="12"/>
      <c r="BD149" s="12"/>
      <c r="BE149" s="14"/>
      <c r="BF149" s="12"/>
      <c r="BG149" s="12"/>
      <c r="BH149" s="12" t="str">
        <f>IFERROR(__xludf.DUMMYFUNCTION("IFERROR(INDEX(QUERY(IMPORTRANGE(""1T7HG8KEs-Ob7f3M5atEVN9Yn7IeORGp0QGvggB62ELw"",""Maestro!A:I""),""SELECT Col8 WHERE Col3 = '""&amp;BE149&amp;""'"", 0), 1, 1),""NO ENCONTRADO"")"),"")</f>
        <v/>
      </c>
      <c r="BI149" s="12" t="str">
        <f>IFERROR(__xludf.DUMMYFUNCTION("IFERROR(INDEX(QUERY(IMPORTRANGE(""1T7HG8KEs-Ob7f3M5atEVN9Yn7IeORGp0QGvggB62ELw"",""Maestro!A:I""),""SELECT Col7 WHERE Col3 = '""&amp;BE149&amp;""'"", 0), 1, 1),""NO ENCONTRADO"")"),"")</f>
        <v/>
      </c>
      <c r="BJ149" s="16">
        <f t="shared" si="7"/>
        <v>0</v>
      </c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4"/>
      <c r="BX149" s="14"/>
      <c r="BY149" s="14"/>
      <c r="BZ149" s="14"/>
      <c r="CA149" s="14"/>
      <c r="CB149" s="14"/>
      <c r="CC149" s="14"/>
      <c r="CD149" s="14"/>
      <c r="CE149" s="14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</row>
    <row r="150">
      <c r="A150" s="158">
        <v>4.0</v>
      </c>
      <c r="B150" s="159" t="s">
        <v>465</v>
      </c>
      <c r="C150" s="160" t="s">
        <v>269</v>
      </c>
      <c r="D150" s="161" t="str">
        <f t="shared" si="1"/>
        <v>4-8-A</v>
      </c>
      <c r="E150" s="162">
        <v>45730.0</v>
      </c>
      <c r="F150" s="163" t="s">
        <v>771</v>
      </c>
      <c r="G150" s="164" t="s">
        <v>87</v>
      </c>
      <c r="H150" s="165" t="s">
        <v>88</v>
      </c>
      <c r="I150" s="166">
        <v>72.0</v>
      </c>
      <c r="J150" s="167" t="s">
        <v>43</v>
      </c>
      <c r="K150" s="27" t="str">
        <f t="shared" si="2"/>
        <v>OCUPADO</v>
      </c>
      <c r="L150" s="28">
        <f t="shared" si="6"/>
        <v>149</v>
      </c>
      <c r="M150" s="28" t="s">
        <v>23</v>
      </c>
      <c r="N150" s="109"/>
      <c r="O150" s="168" t="s">
        <v>270</v>
      </c>
      <c r="P150" s="12"/>
      <c r="Q150" s="12"/>
      <c r="R150" s="12"/>
      <c r="S150" s="12"/>
      <c r="T150" s="12"/>
      <c r="U150" s="12"/>
      <c r="V150" s="12"/>
      <c r="AB150" s="12"/>
      <c r="AC150" s="12" t="str">
        <f>IFERROR(__xludf.DUMMYFUNCTION("""COMPUTED_VALUE"""),"ANDEN-1-13")</f>
        <v>ANDEN-1-13</v>
      </c>
      <c r="AD150" s="12" t="str">
        <f>IFERROR(__xludf.DUMMYFUNCTION("""COMPUTED_VALUE"""),"600666")</f>
        <v>600666</v>
      </c>
      <c r="AE150" s="12" t="str">
        <f>IFERROR(__xludf.DUMMYFUNCTION("""COMPUTED_VALUE"""),"CAJA CARTON S/IMP 32x23x32 CM")</f>
        <v>CAJA CARTON S/IMP 32x23x32 CM</v>
      </c>
      <c r="AF150" s="30">
        <f>IFERROR(__xludf.DUMMYFUNCTION("""COMPUTED_VALUE"""),996.0)</f>
        <v>996</v>
      </c>
      <c r="AG150" s="12" t="str">
        <f>IFERROR(__xludf.DUMMYFUNCTION("""COMPUTED_VALUE"""),"PROVEEDOR")</f>
        <v>PROVEEDOR</v>
      </c>
      <c r="AH150" s="12"/>
      <c r="AI150" s="12" t="str">
        <f>IFERROR(__xludf.DUMMYFUNCTION("""COMPUTED_VALUE"""),"1")</f>
        <v>1</v>
      </c>
      <c r="AJ150" s="12" t="str">
        <f>IFERROR(__xludf.DUMMYFUNCTION("""COMPUTED_VALUE"""),"13")</f>
        <v>13</v>
      </c>
      <c r="AK150" s="12">
        <f>IFERROR(__xludf.DUMMYFUNCTION("""COMPUTED_VALUE"""),236.0)</f>
        <v>236</v>
      </c>
      <c r="AL150" s="12" t="str">
        <f>IFERROR(__xludf.DUMMYFUNCTION("""COMPUTED_VALUE"""),"SUMMIT")</f>
        <v>SUMMIT</v>
      </c>
      <c r="AM150" s="12"/>
      <c r="AN150" s="12"/>
      <c r="AO150" s="12"/>
      <c r="AP150" s="12"/>
      <c r="AQ150" s="12"/>
      <c r="BC150" s="12"/>
      <c r="BD150" s="12"/>
      <c r="BE150" s="14"/>
      <c r="BF150" s="12"/>
      <c r="BG150" s="12"/>
      <c r="BH150" s="12" t="str">
        <f>IFERROR(__xludf.DUMMYFUNCTION("IFERROR(INDEX(QUERY(IMPORTRANGE(""1T7HG8KEs-Ob7f3M5atEVN9Yn7IeORGp0QGvggB62ELw"",""Maestro!A:I""),""SELECT Col8 WHERE Col3 = '""&amp;BE150&amp;""'"", 0), 1, 1),""NO ENCONTRADO"")"),"")</f>
        <v/>
      </c>
      <c r="BI150" s="12" t="str">
        <f>IFERROR(__xludf.DUMMYFUNCTION("IFERROR(INDEX(QUERY(IMPORTRANGE(""1T7HG8KEs-Ob7f3M5atEVN9Yn7IeORGp0QGvggB62ELw"",""Maestro!A:I""),""SELECT Col7 WHERE Col3 = '""&amp;BE150&amp;""'"", 0), 1, 1),""NO ENCONTRADO"")"),"")</f>
        <v/>
      </c>
      <c r="BJ150" s="16">
        <f t="shared" si="7"/>
        <v>0</v>
      </c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4"/>
      <c r="BX150" s="14"/>
      <c r="BY150" s="14"/>
      <c r="BZ150" s="14"/>
      <c r="CA150" s="14"/>
      <c r="CB150" s="14"/>
      <c r="CC150" s="14"/>
      <c r="CD150" s="14"/>
      <c r="CE150" s="14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</row>
    <row r="151">
      <c r="A151" s="158">
        <v>4.0</v>
      </c>
      <c r="B151" s="159" t="s">
        <v>465</v>
      </c>
      <c r="C151" s="160" t="s">
        <v>277</v>
      </c>
      <c r="D151" s="161" t="str">
        <f t="shared" si="1"/>
        <v>4-8-B</v>
      </c>
      <c r="E151" s="162">
        <v>45730.0</v>
      </c>
      <c r="F151" s="163" t="s">
        <v>771</v>
      </c>
      <c r="G151" s="164" t="s">
        <v>87</v>
      </c>
      <c r="H151" s="165" t="s">
        <v>88</v>
      </c>
      <c r="I151" s="166">
        <v>72.0</v>
      </c>
      <c r="J151" s="167" t="s">
        <v>43</v>
      </c>
      <c r="K151" s="32" t="str">
        <f t="shared" si="2"/>
        <v>OCUPADO</v>
      </c>
      <c r="L151" s="33">
        <f t="shared" si="6"/>
        <v>150</v>
      </c>
      <c r="M151" s="33" t="s">
        <v>23</v>
      </c>
      <c r="N151" s="122"/>
      <c r="O151" s="169" t="s">
        <v>270</v>
      </c>
      <c r="P151" s="12"/>
      <c r="Q151" s="12"/>
      <c r="R151" s="12"/>
      <c r="S151" s="12"/>
      <c r="T151" s="12"/>
      <c r="U151" s="12"/>
      <c r="V151" s="12"/>
      <c r="AB151" s="12"/>
      <c r="AC151" s="12" t="str">
        <f>IFERROR(__xludf.DUMMYFUNCTION("""COMPUTED_VALUE"""),"ANDEN-1-14")</f>
        <v>ANDEN-1-14</v>
      </c>
      <c r="AD151" s="12" t="str">
        <f>IFERROR(__xludf.DUMMYFUNCTION("""COMPUTED_VALUE"""),"600666")</f>
        <v>600666</v>
      </c>
      <c r="AE151" s="12" t="str">
        <f>IFERROR(__xludf.DUMMYFUNCTION("""COMPUTED_VALUE"""),"CAJA CARTON S/IMP 32x23x32 CM")</f>
        <v>CAJA CARTON S/IMP 32x23x32 CM</v>
      </c>
      <c r="AF151" s="30">
        <f>IFERROR(__xludf.DUMMYFUNCTION("""COMPUTED_VALUE"""),790.0)</f>
        <v>790</v>
      </c>
      <c r="AG151" s="12" t="str">
        <f>IFERROR(__xludf.DUMMYFUNCTION("""COMPUTED_VALUE"""),"PROVEEDOR")</f>
        <v>PROVEEDOR</v>
      </c>
      <c r="AH151" s="12"/>
      <c r="AI151" s="12" t="str">
        <f>IFERROR(__xludf.DUMMYFUNCTION("""COMPUTED_VALUE"""),"1")</f>
        <v>1</v>
      </c>
      <c r="AJ151" s="12" t="str">
        <f>IFERROR(__xludf.DUMMYFUNCTION("""COMPUTED_VALUE"""),"14")</f>
        <v>14</v>
      </c>
      <c r="AK151" s="12">
        <f>IFERROR(__xludf.DUMMYFUNCTION("""COMPUTED_VALUE"""),237.0)</f>
        <v>237</v>
      </c>
      <c r="AL151" s="12" t="str">
        <f>IFERROR(__xludf.DUMMYFUNCTION("""COMPUTED_VALUE"""),"SUMMIT")</f>
        <v>SUMMIT</v>
      </c>
      <c r="AM151" s="12"/>
      <c r="AN151" s="12"/>
      <c r="AO151" s="12"/>
      <c r="AP151" s="12"/>
      <c r="AQ151" s="12"/>
      <c r="BC151" s="12"/>
      <c r="BD151" s="12"/>
      <c r="BE151" s="14"/>
      <c r="BF151" s="12"/>
      <c r="BG151" s="12"/>
      <c r="BH151" s="12" t="str">
        <f>IFERROR(__xludf.DUMMYFUNCTION("IFERROR(INDEX(QUERY(IMPORTRANGE(""1T7HG8KEs-Ob7f3M5atEVN9Yn7IeORGp0QGvggB62ELw"",""Maestro!A:I""),""SELECT Col8 WHERE Col3 = '""&amp;BE151&amp;""'"", 0), 1, 1),""NO ENCONTRADO"")"),"")</f>
        <v/>
      </c>
      <c r="BI151" s="12" t="str">
        <f>IFERROR(__xludf.DUMMYFUNCTION("IFERROR(INDEX(QUERY(IMPORTRANGE(""1T7HG8KEs-Ob7f3M5atEVN9Yn7IeORGp0QGvggB62ELw"",""Maestro!A:I""),""SELECT Col7 WHERE Col3 = '""&amp;BE151&amp;""'"", 0), 1, 1),""NO ENCONTRADO"")"),"")</f>
        <v/>
      </c>
      <c r="BJ151" s="16">
        <f t="shared" si="7"/>
        <v>0</v>
      </c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4"/>
      <c r="BX151" s="14"/>
      <c r="BY151" s="14"/>
      <c r="BZ151" s="14"/>
      <c r="CA151" s="14"/>
      <c r="CB151" s="14"/>
      <c r="CC151" s="14"/>
      <c r="CD151" s="14"/>
      <c r="CE151" s="14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</row>
    <row r="152">
      <c r="A152" s="158">
        <v>4.0</v>
      </c>
      <c r="B152" s="159" t="s">
        <v>465</v>
      </c>
      <c r="C152" s="160" t="s">
        <v>282</v>
      </c>
      <c r="D152" s="161" t="str">
        <f t="shared" si="1"/>
        <v>4-8-C</v>
      </c>
      <c r="E152" s="162">
        <v>45730.0</v>
      </c>
      <c r="F152" s="163" t="s">
        <v>771</v>
      </c>
      <c r="G152" s="164" t="s">
        <v>87</v>
      </c>
      <c r="H152" s="165" t="s">
        <v>88</v>
      </c>
      <c r="I152" s="166">
        <v>72.0</v>
      </c>
      <c r="J152" s="167" t="s">
        <v>43</v>
      </c>
      <c r="K152" s="27" t="str">
        <f t="shared" si="2"/>
        <v>OCUPADO</v>
      </c>
      <c r="L152" s="28">
        <f t="shared" si="6"/>
        <v>151</v>
      </c>
      <c r="M152" s="28" t="s">
        <v>23</v>
      </c>
      <c r="N152" s="109"/>
      <c r="O152" s="168" t="s">
        <v>270</v>
      </c>
      <c r="P152" s="12"/>
      <c r="Q152" s="12"/>
      <c r="R152" s="12"/>
      <c r="S152" s="12"/>
      <c r="T152" s="12"/>
      <c r="U152" s="12"/>
      <c r="V152" s="12"/>
      <c r="AB152" s="12"/>
      <c r="AC152" s="12" t="str">
        <f>IFERROR(__xludf.DUMMYFUNCTION("""COMPUTED_VALUE"""),"ANDEN-1-15")</f>
        <v>ANDEN-1-15</v>
      </c>
      <c r="AD152" s="12" t="str">
        <f>IFERROR(__xludf.DUMMYFUNCTION("""COMPUTED_VALUE"""),"600666")</f>
        <v>600666</v>
      </c>
      <c r="AE152" s="12" t="str">
        <f>IFERROR(__xludf.DUMMYFUNCTION("""COMPUTED_VALUE"""),"CAJA CARTON S/IMP 32x23x32 CM")</f>
        <v>CAJA CARTON S/IMP 32x23x32 CM</v>
      </c>
      <c r="AF152" s="30">
        <f>IFERROR(__xludf.DUMMYFUNCTION("""COMPUTED_VALUE"""),600.0)</f>
        <v>600</v>
      </c>
      <c r="AG152" s="12" t="str">
        <f>IFERROR(__xludf.DUMMYFUNCTION("""COMPUTED_VALUE"""),"PROVEEDOR")</f>
        <v>PROVEEDOR</v>
      </c>
      <c r="AH152" s="12"/>
      <c r="AI152" s="12" t="str">
        <f>IFERROR(__xludf.DUMMYFUNCTION("""COMPUTED_VALUE"""),"1")</f>
        <v>1</v>
      </c>
      <c r="AJ152" s="12" t="str">
        <f>IFERROR(__xludf.DUMMYFUNCTION("""COMPUTED_VALUE"""),"15")</f>
        <v>15</v>
      </c>
      <c r="AK152" s="12">
        <f>IFERROR(__xludf.DUMMYFUNCTION("""COMPUTED_VALUE"""),238.0)</f>
        <v>238</v>
      </c>
      <c r="AL152" s="12" t="str">
        <f>IFERROR(__xludf.DUMMYFUNCTION("""COMPUTED_VALUE"""),"SUMMIT")</f>
        <v>SUMMIT</v>
      </c>
      <c r="AM152" s="12"/>
      <c r="AN152" s="12"/>
      <c r="AO152" s="12"/>
      <c r="AP152" s="12"/>
      <c r="AQ152" s="12"/>
      <c r="BC152" s="12"/>
      <c r="BD152" s="12"/>
      <c r="BE152" s="14"/>
      <c r="BF152" s="12"/>
      <c r="BG152" s="12"/>
      <c r="BH152" s="12" t="str">
        <f>IFERROR(__xludf.DUMMYFUNCTION("IFERROR(INDEX(QUERY(IMPORTRANGE(""1T7HG8KEs-Ob7f3M5atEVN9Yn7IeORGp0QGvggB62ELw"",""Maestro!A:I""),""SELECT Col8 WHERE Col3 = '""&amp;BE152&amp;""'"", 0), 1, 1),""NO ENCONTRADO"")"),"")</f>
        <v/>
      </c>
      <c r="BI152" s="12" t="str">
        <f>IFERROR(__xludf.DUMMYFUNCTION("IFERROR(INDEX(QUERY(IMPORTRANGE(""1T7HG8KEs-Ob7f3M5atEVN9Yn7IeORGp0QGvggB62ELw"",""Maestro!A:I""),""SELECT Col7 WHERE Col3 = '""&amp;BE152&amp;""'"", 0), 1, 1),""NO ENCONTRADO"")"),"")</f>
        <v/>
      </c>
      <c r="BJ152" s="16">
        <f t="shared" si="7"/>
        <v>0</v>
      </c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4"/>
      <c r="BX152" s="14"/>
      <c r="BY152" s="14"/>
      <c r="BZ152" s="14"/>
      <c r="CA152" s="14"/>
      <c r="CB152" s="14"/>
      <c r="CC152" s="14"/>
      <c r="CD152" s="14"/>
      <c r="CE152" s="14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</row>
    <row r="153">
      <c r="A153" s="158">
        <v>4.0</v>
      </c>
      <c r="B153" s="159" t="s">
        <v>465</v>
      </c>
      <c r="C153" s="160" t="s">
        <v>285</v>
      </c>
      <c r="D153" s="161" t="str">
        <f t="shared" si="1"/>
        <v>4-8-D</v>
      </c>
      <c r="E153" s="162">
        <v>45730.0</v>
      </c>
      <c r="F153" s="163" t="s">
        <v>771</v>
      </c>
      <c r="G153" s="164" t="s">
        <v>87</v>
      </c>
      <c r="H153" s="165" t="s">
        <v>88</v>
      </c>
      <c r="I153" s="166">
        <v>72.0</v>
      </c>
      <c r="J153" s="167" t="s">
        <v>43</v>
      </c>
      <c r="K153" s="32" t="str">
        <f t="shared" si="2"/>
        <v>OCUPADO</v>
      </c>
      <c r="L153" s="33">
        <f t="shared" si="6"/>
        <v>152</v>
      </c>
      <c r="M153" s="33" t="s">
        <v>23</v>
      </c>
      <c r="N153" s="122"/>
      <c r="O153" s="169" t="s">
        <v>270</v>
      </c>
      <c r="P153" s="12"/>
      <c r="Q153" s="12"/>
      <c r="R153" s="12"/>
      <c r="S153" s="12"/>
      <c r="T153" s="12"/>
      <c r="U153" s="12"/>
      <c r="V153" s="12"/>
      <c r="AB153" s="12"/>
      <c r="AC153" s="12" t="str">
        <f>IFERROR(__xludf.DUMMYFUNCTION("""COMPUTED_VALUE"""),"ANDEN-1-16")</f>
        <v>ANDEN-1-16</v>
      </c>
      <c r="AD153" s="12" t="str">
        <f>IFERROR(__xludf.DUMMYFUNCTION("""COMPUTED_VALUE"""),"600666")</f>
        <v>600666</v>
      </c>
      <c r="AE153" s="12" t="str">
        <f>IFERROR(__xludf.DUMMYFUNCTION("""COMPUTED_VALUE"""),"CAJA CARTON S/IMP 32x23x32 CM")</f>
        <v>CAJA CARTON S/IMP 32x23x32 CM</v>
      </c>
      <c r="AF153" s="30">
        <f>IFERROR(__xludf.DUMMYFUNCTION("""COMPUTED_VALUE"""),600.0)</f>
        <v>600</v>
      </c>
      <c r="AG153" s="12" t="str">
        <f>IFERROR(__xludf.DUMMYFUNCTION("""COMPUTED_VALUE"""),"PROVEEDOR")</f>
        <v>PROVEEDOR</v>
      </c>
      <c r="AH153" s="12"/>
      <c r="AI153" s="12" t="str">
        <f>IFERROR(__xludf.DUMMYFUNCTION("""COMPUTED_VALUE"""),"1")</f>
        <v>1</v>
      </c>
      <c r="AJ153" s="12" t="str">
        <f>IFERROR(__xludf.DUMMYFUNCTION("""COMPUTED_VALUE"""),"16")</f>
        <v>16</v>
      </c>
      <c r="AK153" s="12">
        <f>IFERROR(__xludf.DUMMYFUNCTION("""COMPUTED_VALUE"""),239.0)</f>
        <v>239</v>
      </c>
      <c r="AL153" s="12" t="str">
        <f>IFERROR(__xludf.DUMMYFUNCTION("""COMPUTED_VALUE"""),"SUMMIT")</f>
        <v>SUMMIT</v>
      </c>
      <c r="AM153" s="12"/>
      <c r="AN153" s="12"/>
      <c r="AO153" s="12"/>
      <c r="AP153" s="12"/>
      <c r="AQ153" s="12"/>
      <c r="BC153" s="12"/>
      <c r="BD153" s="12"/>
      <c r="BE153" s="14"/>
      <c r="BF153" s="12"/>
      <c r="BG153" s="12"/>
      <c r="BH153" s="12" t="str">
        <f>IFERROR(__xludf.DUMMYFUNCTION("IFERROR(INDEX(QUERY(IMPORTRANGE(""1T7HG8KEs-Ob7f3M5atEVN9Yn7IeORGp0QGvggB62ELw"",""Maestro!A:I""),""SELECT Col8 WHERE Col3 = '""&amp;BE153&amp;""'"", 0), 1, 1),""NO ENCONTRADO"")"),"")</f>
        <v/>
      </c>
      <c r="BI153" s="12" t="str">
        <f>IFERROR(__xludf.DUMMYFUNCTION("IFERROR(INDEX(QUERY(IMPORTRANGE(""1T7HG8KEs-Ob7f3M5atEVN9Yn7IeORGp0QGvggB62ELw"",""Maestro!A:I""),""SELECT Col7 WHERE Col3 = '""&amp;BE153&amp;""'"", 0), 1, 1),""NO ENCONTRADO"")"),"")</f>
        <v/>
      </c>
      <c r="BJ153" s="16">
        <f t="shared" si="7"/>
        <v>0</v>
      </c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4"/>
      <c r="BX153" s="14"/>
      <c r="BY153" s="14"/>
      <c r="BZ153" s="14"/>
      <c r="CA153" s="14"/>
      <c r="CB153" s="14"/>
      <c r="CC153" s="14"/>
      <c r="CD153" s="14"/>
      <c r="CE153" s="14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</row>
    <row r="154">
      <c r="A154" s="158">
        <v>4.0</v>
      </c>
      <c r="B154" s="159" t="s">
        <v>511</v>
      </c>
      <c r="C154" s="160" t="s">
        <v>269</v>
      </c>
      <c r="D154" s="161" t="str">
        <f t="shared" si="1"/>
        <v>4-9-A</v>
      </c>
      <c r="E154" s="162">
        <v>45722.0</v>
      </c>
      <c r="F154" s="163" t="s">
        <v>772</v>
      </c>
      <c r="G154" s="164" t="s">
        <v>111</v>
      </c>
      <c r="H154" s="165" t="s">
        <v>112</v>
      </c>
      <c r="I154" s="166">
        <v>72.0</v>
      </c>
      <c r="J154" s="167" t="s">
        <v>43</v>
      </c>
      <c r="K154" s="27" t="str">
        <f t="shared" si="2"/>
        <v>OCUPADO</v>
      </c>
      <c r="L154" s="28">
        <f t="shared" si="6"/>
        <v>153</v>
      </c>
      <c r="M154" s="28" t="s">
        <v>23</v>
      </c>
      <c r="N154" s="109"/>
      <c r="O154" s="168" t="s">
        <v>270</v>
      </c>
      <c r="P154" s="12"/>
      <c r="Q154" s="12"/>
      <c r="R154" s="12"/>
      <c r="S154" s="12"/>
      <c r="T154" s="12"/>
      <c r="U154" s="12"/>
      <c r="V154" s="12"/>
      <c r="AB154" s="12"/>
      <c r="AC154" s="12" t="str">
        <f>IFERROR(__xludf.DUMMYFUNCTION("""COMPUTED_VALUE"""),"ANDEN-1-17")</f>
        <v>ANDEN-1-17</v>
      </c>
      <c r="AD154" s="12" t="str">
        <f>IFERROR(__xludf.DUMMYFUNCTION("""COMPUTED_VALUE"""),"600666")</f>
        <v>600666</v>
      </c>
      <c r="AE154" s="12" t="str">
        <f>IFERROR(__xludf.DUMMYFUNCTION("""COMPUTED_VALUE"""),"CAJA CARTON S/IMP 32x23x32 CM")</f>
        <v>CAJA CARTON S/IMP 32x23x32 CM</v>
      </c>
      <c r="AF154" s="30">
        <f>IFERROR(__xludf.DUMMYFUNCTION("""COMPUTED_VALUE"""),600.0)</f>
        <v>600</v>
      </c>
      <c r="AG154" s="12" t="str">
        <f>IFERROR(__xludf.DUMMYFUNCTION("""COMPUTED_VALUE"""),"PROVEEDOR")</f>
        <v>PROVEEDOR</v>
      </c>
      <c r="AH154" s="12"/>
      <c r="AI154" s="12" t="str">
        <f>IFERROR(__xludf.DUMMYFUNCTION("""COMPUTED_VALUE"""),"1")</f>
        <v>1</v>
      </c>
      <c r="AJ154" s="12" t="str">
        <f>IFERROR(__xludf.DUMMYFUNCTION("""COMPUTED_VALUE"""),"17")</f>
        <v>17</v>
      </c>
      <c r="AK154" s="12">
        <f>IFERROR(__xludf.DUMMYFUNCTION("""COMPUTED_VALUE"""),240.0)</f>
        <v>240</v>
      </c>
      <c r="AL154" s="12" t="str">
        <f>IFERROR(__xludf.DUMMYFUNCTION("""COMPUTED_VALUE"""),"SUMMIT")</f>
        <v>SUMMIT</v>
      </c>
      <c r="AM154" s="12"/>
      <c r="AN154" s="12"/>
      <c r="AO154" s="12"/>
      <c r="AP154" s="12"/>
      <c r="AQ154" s="12"/>
      <c r="BC154" s="12"/>
      <c r="BD154" s="12"/>
      <c r="BE154" s="14"/>
      <c r="BF154" s="12"/>
      <c r="BG154" s="12"/>
      <c r="BH154" s="12" t="str">
        <f>IFERROR(__xludf.DUMMYFUNCTION("IFERROR(INDEX(QUERY(IMPORTRANGE(""1T7HG8KEs-Ob7f3M5atEVN9Yn7IeORGp0QGvggB62ELw"",""Maestro!A:I""),""SELECT Col8 WHERE Col3 = '""&amp;BE154&amp;""'"", 0), 1, 1),""NO ENCONTRADO"")"),"")</f>
        <v/>
      </c>
      <c r="BI154" s="12" t="str">
        <f>IFERROR(__xludf.DUMMYFUNCTION("IFERROR(INDEX(QUERY(IMPORTRANGE(""1T7HG8KEs-Ob7f3M5atEVN9Yn7IeORGp0QGvggB62ELw"",""Maestro!A:I""),""SELECT Col7 WHERE Col3 = '""&amp;BE154&amp;""'"", 0), 1, 1),""NO ENCONTRADO"")"),"")</f>
        <v/>
      </c>
      <c r="BJ154" s="16">
        <f t="shared" si="7"/>
        <v>0</v>
      </c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4"/>
      <c r="BX154" s="14"/>
      <c r="BY154" s="14"/>
      <c r="BZ154" s="14"/>
      <c r="CA154" s="14"/>
      <c r="CB154" s="14"/>
      <c r="CC154" s="14"/>
      <c r="CD154" s="14"/>
      <c r="CE154" s="14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</row>
    <row r="155">
      <c r="A155" s="158">
        <v>4.0</v>
      </c>
      <c r="B155" s="159" t="s">
        <v>511</v>
      </c>
      <c r="C155" s="160" t="s">
        <v>277</v>
      </c>
      <c r="D155" s="161" t="str">
        <f t="shared" si="1"/>
        <v>4-9-B</v>
      </c>
      <c r="E155" s="162">
        <v>45722.0</v>
      </c>
      <c r="F155" s="163" t="s">
        <v>772</v>
      </c>
      <c r="G155" s="164" t="s">
        <v>111</v>
      </c>
      <c r="H155" s="165" t="s">
        <v>112</v>
      </c>
      <c r="I155" s="166">
        <v>72.0</v>
      </c>
      <c r="J155" s="167" t="s">
        <v>43</v>
      </c>
      <c r="K155" s="32" t="str">
        <f t="shared" si="2"/>
        <v>OCUPADO</v>
      </c>
      <c r="L155" s="33">
        <f t="shared" si="6"/>
        <v>154</v>
      </c>
      <c r="M155" s="33" t="s">
        <v>23</v>
      </c>
      <c r="N155" s="122"/>
      <c r="O155" s="169" t="s">
        <v>270</v>
      </c>
      <c r="P155" s="12"/>
      <c r="Q155" s="12"/>
      <c r="R155" s="12"/>
      <c r="S155" s="12"/>
      <c r="T155" s="12"/>
      <c r="U155" s="12"/>
      <c r="V155" s="12"/>
      <c r="AB155" s="12"/>
      <c r="AC155" s="12" t="str">
        <f>IFERROR(__xludf.DUMMYFUNCTION("""COMPUTED_VALUE"""),"CASINO-1-7")</f>
        <v>CASINO-1-7</v>
      </c>
      <c r="AD155" s="12" t="str">
        <f>IFERROR(__xludf.DUMMYFUNCTION("""COMPUTED_VALUE"""),"692029S")</f>
        <v>692029S</v>
      </c>
      <c r="AE155" s="12" t="str">
        <f>IFERROR(__xludf.DUMMYFUNCTION("""COMPUTED_VALUE"""),"CAJA CARTON CORRUGADO 60x40x40 S/IMPRESION")</f>
        <v>CAJA CARTON CORRUGADO 60x40x40 S/IMPRESION</v>
      </c>
      <c r="AF155" s="30">
        <f>IFERROR(__xludf.DUMMYFUNCTION("""COMPUTED_VALUE"""),325.0)</f>
        <v>325</v>
      </c>
      <c r="AG155" s="12" t="str">
        <f>IFERROR(__xludf.DUMMYFUNCTION("""COMPUTED_VALUE"""),"PROVEEDOR")</f>
        <v>PROVEEDOR</v>
      </c>
      <c r="AH155" s="12"/>
      <c r="AI155" s="12" t="str">
        <f>IFERROR(__xludf.DUMMYFUNCTION("""COMPUTED_VALUE"""),"1")</f>
        <v>1</v>
      </c>
      <c r="AJ155" s="12" t="str">
        <f>IFERROR(__xludf.DUMMYFUNCTION("""COMPUTED_VALUE"""),"7")</f>
        <v>7</v>
      </c>
      <c r="AK155" s="12">
        <f>IFERROR(__xludf.DUMMYFUNCTION("""COMPUTED_VALUE"""),251.0)</f>
        <v>251</v>
      </c>
      <c r="AL155" s="12" t="str">
        <f>IFERROR(__xludf.DUMMYFUNCTION("""COMPUTED_VALUE"""),"SUMMIT")</f>
        <v>SUMMIT</v>
      </c>
      <c r="AM155" s="12"/>
      <c r="AN155" s="12"/>
      <c r="AO155" s="12"/>
      <c r="AP155" s="12"/>
      <c r="AQ155" s="12"/>
      <c r="BC155" s="12"/>
      <c r="BD155" s="12"/>
      <c r="BE155" s="14"/>
      <c r="BF155" s="12"/>
      <c r="BG155" s="12"/>
      <c r="BH155" s="12" t="str">
        <f>IFERROR(__xludf.DUMMYFUNCTION("IFERROR(INDEX(QUERY(IMPORTRANGE(""1T7HG8KEs-Ob7f3M5atEVN9Yn7IeORGp0QGvggB62ELw"",""Maestro!A:I""),""SELECT Col8 WHERE Col3 = '""&amp;BE155&amp;""'"", 0), 1, 1),""NO ENCONTRADO"")"),"")</f>
        <v/>
      </c>
      <c r="BI155" s="12" t="str">
        <f>IFERROR(__xludf.DUMMYFUNCTION("IFERROR(INDEX(QUERY(IMPORTRANGE(""1T7HG8KEs-Ob7f3M5atEVN9Yn7IeORGp0QGvggB62ELw"",""Maestro!A:I""),""SELECT Col7 WHERE Col3 = '""&amp;BE155&amp;""'"", 0), 1, 1),""NO ENCONTRADO"")"),"")</f>
        <v/>
      </c>
      <c r="BJ155" s="16">
        <f t="shared" si="7"/>
        <v>0</v>
      </c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4"/>
      <c r="BX155" s="14"/>
      <c r="BY155" s="14"/>
      <c r="BZ155" s="14"/>
      <c r="CA155" s="14"/>
      <c r="CB155" s="14"/>
      <c r="CC155" s="14"/>
      <c r="CD155" s="14"/>
      <c r="CE155" s="14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</row>
    <row r="156">
      <c r="A156" s="158">
        <v>4.0</v>
      </c>
      <c r="B156" s="159" t="s">
        <v>511</v>
      </c>
      <c r="C156" s="160" t="s">
        <v>282</v>
      </c>
      <c r="D156" s="161" t="str">
        <f t="shared" si="1"/>
        <v>4-9-C</v>
      </c>
      <c r="E156" s="162">
        <v>45722.0</v>
      </c>
      <c r="F156" s="163" t="s">
        <v>772</v>
      </c>
      <c r="G156" s="164" t="s">
        <v>111</v>
      </c>
      <c r="H156" s="165" t="s">
        <v>112</v>
      </c>
      <c r="I156" s="166">
        <v>72.0</v>
      </c>
      <c r="J156" s="167" t="s">
        <v>43</v>
      </c>
      <c r="K156" s="27" t="str">
        <f t="shared" si="2"/>
        <v>OCUPADO</v>
      </c>
      <c r="L156" s="28">
        <f t="shared" si="6"/>
        <v>155</v>
      </c>
      <c r="M156" s="28" t="s">
        <v>23</v>
      </c>
      <c r="N156" s="109"/>
      <c r="O156" s="168" t="s">
        <v>270</v>
      </c>
      <c r="P156" s="12"/>
      <c r="Q156" s="12"/>
      <c r="R156" s="12"/>
      <c r="S156" s="12"/>
      <c r="T156" s="12"/>
      <c r="U156" s="12"/>
      <c r="V156" s="12"/>
      <c r="AB156" s="12"/>
      <c r="AC156" s="12" t="str">
        <f>IFERROR(__xludf.DUMMYFUNCTION("""COMPUTED_VALUE"""),"CASINO-1-8")</f>
        <v>CASINO-1-8</v>
      </c>
      <c r="AD156" s="12" t="str">
        <f>IFERROR(__xludf.DUMMYFUNCTION("""COMPUTED_VALUE"""),"692029S")</f>
        <v>692029S</v>
      </c>
      <c r="AE156" s="12" t="str">
        <f>IFERROR(__xludf.DUMMYFUNCTION("""COMPUTED_VALUE"""),"CAJA CARTON CORRUGADO 60x40x40 S/IMPRESION")</f>
        <v>CAJA CARTON CORRUGADO 60x40x40 S/IMPRESION</v>
      </c>
      <c r="AF156" s="30">
        <f>IFERROR(__xludf.DUMMYFUNCTION("""COMPUTED_VALUE"""),275.0)</f>
        <v>275</v>
      </c>
      <c r="AG156" s="12" t="str">
        <f>IFERROR(__xludf.DUMMYFUNCTION("""COMPUTED_VALUE"""),"PROVEEDOR")</f>
        <v>PROVEEDOR</v>
      </c>
      <c r="AH156" s="12"/>
      <c r="AI156" s="12" t="str">
        <f>IFERROR(__xludf.DUMMYFUNCTION("""COMPUTED_VALUE"""),"1")</f>
        <v>1</v>
      </c>
      <c r="AJ156" s="12" t="str">
        <f>IFERROR(__xludf.DUMMYFUNCTION("""COMPUTED_VALUE"""),"8")</f>
        <v>8</v>
      </c>
      <c r="AK156" s="12">
        <f>IFERROR(__xludf.DUMMYFUNCTION("""COMPUTED_VALUE"""),252.0)</f>
        <v>252</v>
      </c>
      <c r="AL156" s="12" t="str">
        <f>IFERROR(__xludf.DUMMYFUNCTION("""COMPUTED_VALUE"""),"SUMMIT")</f>
        <v>SUMMIT</v>
      </c>
      <c r="AM156" s="12"/>
      <c r="AN156" s="12"/>
      <c r="AO156" s="12"/>
      <c r="AP156" s="12"/>
      <c r="AQ156" s="12"/>
      <c r="BC156" s="12"/>
      <c r="BD156" s="12"/>
      <c r="BE156" s="14"/>
      <c r="BF156" s="12"/>
      <c r="BG156" s="12"/>
      <c r="BH156" s="12" t="str">
        <f>IFERROR(__xludf.DUMMYFUNCTION("IFERROR(INDEX(QUERY(IMPORTRANGE(""1T7HG8KEs-Ob7f3M5atEVN9Yn7IeORGp0QGvggB62ELw"",""Maestro!A:I""),""SELECT Col8 WHERE Col3 = '""&amp;BE156&amp;""'"", 0), 1, 1),""NO ENCONTRADO"")"),"")</f>
        <v/>
      </c>
      <c r="BI156" s="12" t="str">
        <f>IFERROR(__xludf.DUMMYFUNCTION("IFERROR(INDEX(QUERY(IMPORTRANGE(""1T7HG8KEs-Ob7f3M5atEVN9Yn7IeORGp0QGvggB62ELw"",""Maestro!A:I""),""SELECT Col7 WHERE Col3 = '""&amp;BE156&amp;""'"", 0), 1, 1),""NO ENCONTRADO"")"),"")</f>
        <v/>
      </c>
      <c r="BJ156" s="16">
        <f t="shared" si="7"/>
        <v>0</v>
      </c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4"/>
      <c r="BX156" s="14"/>
      <c r="BY156" s="14"/>
      <c r="BZ156" s="14"/>
      <c r="CA156" s="14"/>
      <c r="CB156" s="14"/>
      <c r="CC156" s="14"/>
      <c r="CD156" s="14"/>
      <c r="CE156" s="14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</row>
    <row r="157">
      <c r="A157" s="158">
        <v>4.0</v>
      </c>
      <c r="B157" s="159" t="s">
        <v>511</v>
      </c>
      <c r="C157" s="160" t="s">
        <v>285</v>
      </c>
      <c r="D157" s="161" t="str">
        <f t="shared" si="1"/>
        <v>4-9-D</v>
      </c>
      <c r="E157" s="162">
        <v>45730.0</v>
      </c>
      <c r="F157" s="163" t="s">
        <v>771</v>
      </c>
      <c r="G157" s="164" t="s">
        <v>87</v>
      </c>
      <c r="H157" s="165" t="s">
        <v>88</v>
      </c>
      <c r="I157" s="166">
        <v>72.0</v>
      </c>
      <c r="J157" s="167" t="s">
        <v>43</v>
      </c>
      <c r="K157" s="32" t="str">
        <f t="shared" si="2"/>
        <v>OCUPADO</v>
      </c>
      <c r="L157" s="33">
        <f t="shared" si="6"/>
        <v>156</v>
      </c>
      <c r="M157" s="33" t="s">
        <v>23</v>
      </c>
      <c r="N157" s="122"/>
      <c r="O157" s="169" t="s">
        <v>270</v>
      </c>
      <c r="P157" s="12"/>
      <c r="Q157" s="12"/>
      <c r="R157" s="12"/>
      <c r="S157" s="12"/>
      <c r="T157" s="12"/>
      <c r="U157" s="12"/>
      <c r="V157" s="12"/>
      <c r="AB157" s="12"/>
      <c r="AC157" s="12" t="str">
        <f>IFERROR(__xludf.DUMMYFUNCTION("""COMPUTED_VALUE"""),"CASINO-1-9")</f>
        <v>CASINO-1-9</v>
      </c>
      <c r="AD157" s="12" t="str">
        <f>IFERROR(__xludf.DUMMYFUNCTION("""COMPUTED_VALUE"""),"692029S")</f>
        <v>692029S</v>
      </c>
      <c r="AE157" s="12" t="str">
        <f>IFERROR(__xludf.DUMMYFUNCTION("""COMPUTED_VALUE"""),"CAJA CARTON CORRUGADO 60x40x40 S/IMPRESION")</f>
        <v>CAJA CARTON CORRUGADO 60x40x40 S/IMPRESION</v>
      </c>
      <c r="AF157" s="30">
        <f>IFERROR(__xludf.DUMMYFUNCTION("""COMPUTED_VALUE"""),325.0)</f>
        <v>325</v>
      </c>
      <c r="AG157" s="12" t="str">
        <f>IFERROR(__xludf.DUMMYFUNCTION("""COMPUTED_VALUE"""),"PROVEEDOR")</f>
        <v>PROVEEDOR</v>
      </c>
      <c r="AH157" s="12"/>
      <c r="AI157" s="12" t="str">
        <f>IFERROR(__xludf.DUMMYFUNCTION("""COMPUTED_VALUE"""),"1")</f>
        <v>1</v>
      </c>
      <c r="AJ157" s="12" t="str">
        <f>IFERROR(__xludf.DUMMYFUNCTION("""COMPUTED_VALUE"""),"9")</f>
        <v>9</v>
      </c>
      <c r="AK157" s="12">
        <f>IFERROR(__xludf.DUMMYFUNCTION("""COMPUTED_VALUE"""),253.0)</f>
        <v>253</v>
      </c>
      <c r="AL157" s="12" t="str">
        <f>IFERROR(__xludf.DUMMYFUNCTION("""COMPUTED_VALUE"""),"SUMMIT")</f>
        <v>SUMMIT</v>
      </c>
      <c r="AM157" s="12"/>
      <c r="AN157" s="12"/>
      <c r="AO157" s="12"/>
      <c r="AP157" s="12"/>
      <c r="AQ157" s="12"/>
      <c r="BC157" s="12"/>
      <c r="BD157" s="12"/>
      <c r="BE157" s="14"/>
      <c r="BF157" s="12"/>
      <c r="BG157" s="12"/>
      <c r="BH157" s="12" t="str">
        <f>IFERROR(__xludf.DUMMYFUNCTION("IFERROR(INDEX(QUERY(IMPORTRANGE(""1T7HG8KEs-Ob7f3M5atEVN9Yn7IeORGp0QGvggB62ELw"",""Maestro!A:I""),""SELECT Col8 WHERE Col3 = '""&amp;BE157&amp;""'"", 0), 1, 1),""NO ENCONTRADO"")"),"")</f>
        <v/>
      </c>
      <c r="BI157" s="12" t="str">
        <f>IFERROR(__xludf.DUMMYFUNCTION("IFERROR(INDEX(QUERY(IMPORTRANGE(""1T7HG8KEs-Ob7f3M5atEVN9Yn7IeORGp0QGvggB62ELw"",""Maestro!A:I""),""SELECT Col7 WHERE Col3 = '""&amp;BE157&amp;""'"", 0), 1, 1),""NO ENCONTRADO"")"),"")</f>
        <v/>
      </c>
      <c r="BJ157" s="16">
        <f t="shared" si="7"/>
        <v>0</v>
      </c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4"/>
      <c r="BX157" s="14"/>
      <c r="BY157" s="14"/>
      <c r="BZ157" s="14"/>
      <c r="CA157" s="14"/>
      <c r="CB157" s="14"/>
      <c r="CC157" s="14"/>
      <c r="CD157" s="14"/>
      <c r="CE157" s="14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</row>
    <row r="158">
      <c r="A158" s="158">
        <v>4.0</v>
      </c>
      <c r="B158" s="159" t="s">
        <v>296</v>
      </c>
      <c r="C158" s="160" t="s">
        <v>269</v>
      </c>
      <c r="D158" s="161" t="str">
        <f t="shared" si="1"/>
        <v>4-10-A</v>
      </c>
      <c r="E158" s="162">
        <v>45722.0</v>
      </c>
      <c r="F158" s="163" t="s">
        <v>772</v>
      </c>
      <c r="G158" s="164" t="s">
        <v>111</v>
      </c>
      <c r="H158" s="165" t="s">
        <v>112</v>
      </c>
      <c r="I158" s="166">
        <v>42.0</v>
      </c>
      <c r="J158" s="167" t="s">
        <v>43</v>
      </c>
      <c r="K158" s="27" t="str">
        <f t="shared" si="2"/>
        <v>OCUPADO</v>
      </c>
      <c r="L158" s="28">
        <f t="shared" si="6"/>
        <v>157</v>
      </c>
      <c r="M158" s="28" t="s">
        <v>23</v>
      </c>
      <c r="N158" s="109"/>
      <c r="O158" s="168" t="s">
        <v>270</v>
      </c>
      <c r="P158" s="12"/>
      <c r="Q158" s="12"/>
      <c r="R158" s="12"/>
      <c r="S158" s="12"/>
      <c r="T158" s="12"/>
      <c r="U158" s="12"/>
      <c r="V158" s="12"/>
      <c r="AB158" s="12"/>
      <c r="AC158" s="12" t="str">
        <f>IFERROR(__xludf.DUMMYFUNCTION("""COMPUTED_VALUE"""),"CASINO-1-10")</f>
        <v>CASINO-1-10</v>
      </c>
      <c r="AD158" s="12" t="str">
        <f>IFERROR(__xludf.DUMMYFUNCTION("""COMPUTED_VALUE"""),"692029S")</f>
        <v>692029S</v>
      </c>
      <c r="AE158" s="12" t="str">
        <f>IFERROR(__xludf.DUMMYFUNCTION("""COMPUTED_VALUE"""),"CAJA CARTON CORRUGADO 60x40x40 S/IMPRESION")</f>
        <v>CAJA CARTON CORRUGADO 60x40x40 S/IMPRESION</v>
      </c>
      <c r="AF158" s="30">
        <f>IFERROR(__xludf.DUMMYFUNCTION("""COMPUTED_VALUE"""),325.0)</f>
        <v>325</v>
      </c>
      <c r="AG158" s="12" t="str">
        <f>IFERROR(__xludf.DUMMYFUNCTION("""COMPUTED_VALUE"""),"PROVEEDOR")</f>
        <v>PROVEEDOR</v>
      </c>
      <c r="AH158" s="12"/>
      <c r="AI158" s="12" t="str">
        <f>IFERROR(__xludf.DUMMYFUNCTION("""COMPUTED_VALUE"""),"1")</f>
        <v>1</v>
      </c>
      <c r="AJ158" s="12" t="str">
        <f>IFERROR(__xludf.DUMMYFUNCTION("""COMPUTED_VALUE"""),"10")</f>
        <v>10</v>
      </c>
      <c r="AK158" s="12">
        <f>IFERROR(__xludf.DUMMYFUNCTION("""COMPUTED_VALUE"""),254.0)</f>
        <v>254</v>
      </c>
      <c r="AL158" s="12" t="str">
        <f>IFERROR(__xludf.DUMMYFUNCTION("""COMPUTED_VALUE"""),"SUMMIT")</f>
        <v>SUMMIT</v>
      </c>
      <c r="AM158" s="12"/>
      <c r="AN158" s="12"/>
      <c r="AO158" s="12"/>
      <c r="AP158" s="12"/>
      <c r="AQ158" s="12"/>
      <c r="BC158" s="12"/>
      <c r="BD158" s="12"/>
      <c r="BE158" s="14"/>
      <c r="BF158" s="12"/>
      <c r="BG158" s="12"/>
      <c r="BH158" s="12" t="str">
        <f>IFERROR(__xludf.DUMMYFUNCTION("IFERROR(INDEX(QUERY(IMPORTRANGE(""1T7HG8KEs-Ob7f3M5atEVN9Yn7IeORGp0QGvggB62ELw"",""Maestro!A:I""),""SELECT Col8 WHERE Col3 = '""&amp;BE158&amp;""'"", 0), 1, 1),""NO ENCONTRADO"")"),"")</f>
        <v/>
      </c>
      <c r="BI158" s="12" t="str">
        <f>IFERROR(__xludf.DUMMYFUNCTION("IFERROR(INDEX(QUERY(IMPORTRANGE(""1T7HG8KEs-Ob7f3M5atEVN9Yn7IeORGp0QGvggB62ELw"",""Maestro!A:I""),""SELECT Col7 WHERE Col3 = '""&amp;BE158&amp;""'"", 0), 1, 1),""NO ENCONTRADO"")"),"")</f>
        <v/>
      </c>
      <c r="BJ158" s="16">
        <f t="shared" si="7"/>
        <v>0</v>
      </c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4"/>
      <c r="BX158" s="14"/>
      <c r="BY158" s="14"/>
      <c r="BZ158" s="14"/>
      <c r="CA158" s="14"/>
      <c r="CB158" s="14"/>
      <c r="CC158" s="14"/>
      <c r="CD158" s="14"/>
      <c r="CE158" s="14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</row>
    <row r="159">
      <c r="A159" s="158">
        <v>4.0</v>
      </c>
      <c r="B159" s="159" t="s">
        <v>296</v>
      </c>
      <c r="C159" s="160" t="s">
        <v>277</v>
      </c>
      <c r="D159" s="161" t="str">
        <f t="shared" si="1"/>
        <v>4-10-B</v>
      </c>
      <c r="E159" s="162">
        <v>45722.0</v>
      </c>
      <c r="F159" s="163" t="s">
        <v>772</v>
      </c>
      <c r="G159" s="164" t="s">
        <v>111</v>
      </c>
      <c r="H159" s="165" t="s">
        <v>112</v>
      </c>
      <c r="I159" s="166">
        <v>14.0</v>
      </c>
      <c r="J159" s="167" t="s">
        <v>43</v>
      </c>
      <c r="K159" s="32" t="str">
        <f t="shared" si="2"/>
        <v>OCUPADO</v>
      </c>
      <c r="L159" s="33">
        <f t="shared" si="6"/>
        <v>158</v>
      </c>
      <c r="M159" s="33" t="s">
        <v>23</v>
      </c>
      <c r="N159" s="122"/>
      <c r="O159" s="169" t="s">
        <v>270</v>
      </c>
      <c r="P159" s="12"/>
      <c r="Q159" s="12"/>
      <c r="R159" s="12"/>
      <c r="S159" s="12"/>
      <c r="T159" s="12"/>
      <c r="U159" s="12"/>
      <c r="V159" s="12"/>
      <c r="AB159" s="12"/>
      <c r="AC159" s="12" t="str">
        <f>IFERROR(__xludf.DUMMYFUNCTION("""COMPUTED_VALUE"""),"PATIO-1-2")</f>
        <v>PATIO-1-2</v>
      </c>
      <c r="AD159" s="12" t="str">
        <f>IFERROR(__xludf.DUMMYFUNCTION("""COMPUTED_VALUE"""),"692043")</f>
        <v>692043</v>
      </c>
      <c r="AE159" s="12" t="str">
        <f>IFERROR(__xludf.DUMMYFUNCTION("""COMPUTED_VALUE"""),"CAJA CARTON CORRUGADO 60x60x50 CM ")</f>
        <v>CAJA CARTON CORRUGADO 60x60x50 CM </v>
      </c>
      <c r="AF159" s="30">
        <f>IFERROR(__xludf.DUMMYFUNCTION("""COMPUTED_VALUE"""),5.0)</f>
        <v>5</v>
      </c>
      <c r="AG159" s="12" t="str">
        <f>IFERROR(__xludf.DUMMYFUNCTION("""COMPUTED_VALUE"""),"PROVEEDOR")</f>
        <v>PROVEEDOR</v>
      </c>
      <c r="AH159" s="12"/>
      <c r="AI159" s="12" t="str">
        <f>IFERROR(__xludf.DUMMYFUNCTION("""COMPUTED_VALUE"""),"1")</f>
        <v>1</v>
      </c>
      <c r="AJ159" s="12" t="str">
        <f>IFERROR(__xludf.DUMMYFUNCTION("""COMPUTED_VALUE"""),"2")</f>
        <v>2</v>
      </c>
      <c r="AK159" s="12">
        <f>IFERROR(__xludf.DUMMYFUNCTION("""COMPUTED_VALUE"""),266.0)</f>
        <v>266</v>
      </c>
      <c r="AL159" s="12" t="str">
        <f>IFERROR(__xludf.DUMMYFUNCTION("""COMPUTED_VALUE"""),"SUMMIT")</f>
        <v>SUMMIT</v>
      </c>
      <c r="AM159" s="12"/>
      <c r="AN159" s="12"/>
      <c r="AO159" s="12"/>
      <c r="AP159" s="12"/>
      <c r="AQ159" s="12"/>
      <c r="BC159" s="12"/>
      <c r="BD159" s="12"/>
      <c r="BE159" s="14"/>
      <c r="BF159" s="12"/>
      <c r="BG159" s="12"/>
      <c r="BH159" s="12" t="str">
        <f>IFERROR(__xludf.DUMMYFUNCTION("IFERROR(INDEX(QUERY(IMPORTRANGE(""1T7HG8KEs-Ob7f3M5atEVN9Yn7IeORGp0QGvggB62ELw"",""Maestro!A:I""),""SELECT Col8 WHERE Col3 = '""&amp;BE159&amp;""'"", 0), 1, 1),""NO ENCONTRADO"")"),"")</f>
        <v/>
      </c>
      <c r="BI159" s="12" t="str">
        <f>IFERROR(__xludf.DUMMYFUNCTION("IFERROR(INDEX(QUERY(IMPORTRANGE(""1T7HG8KEs-Ob7f3M5atEVN9Yn7IeORGp0QGvggB62ELw"",""Maestro!A:I""),""SELECT Col7 WHERE Col3 = '""&amp;BE159&amp;""'"", 0), 1, 1),""NO ENCONTRADO"")"),"")</f>
        <v/>
      </c>
      <c r="BJ159" s="16">
        <f t="shared" si="7"/>
        <v>0</v>
      </c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4"/>
      <c r="BX159" s="14"/>
      <c r="BY159" s="14"/>
      <c r="BZ159" s="14"/>
      <c r="CA159" s="14"/>
      <c r="CB159" s="14"/>
      <c r="CC159" s="14"/>
      <c r="CD159" s="14"/>
      <c r="CE159" s="14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</row>
    <row r="160">
      <c r="A160" s="158">
        <v>4.0</v>
      </c>
      <c r="B160" s="159" t="s">
        <v>296</v>
      </c>
      <c r="C160" s="160" t="s">
        <v>282</v>
      </c>
      <c r="D160" s="161" t="str">
        <f t="shared" si="1"/>
        <v>4-10-C</v>
      </c>
      <c r="E160" s="103"/>
      <c r="F160" s="104"/>
      <c r="G160" s="105"/>
      <c r="H160" s="106"/>
      <c r="I160" s="107"/>
      <c r="J160" s="108"/>
      <c r="K160" s="27" t="str">
        <f t="shared" si="2"/>
        <v>DISPONIBLE</v>
      </c>
      <c r="L160" s="28">
        <f t="shared" si="6"/>
        <v>159</v>
      </c>
      <c r="M160" s="28" t="s">
        <v>23</v>
      </c>
      <c r="N160" s="109"/>
      <c r="O160" s="168"/>
      <c r="P160" s="12"/>
      <c r="Q160" s="12"/>
      <c r="R160" s="12"/>
      <c r="S160" s="12"/>
      <c r="T160" s="12"/>
      <c r="U160" s="12"/>
      <c r="V160" s="12"/>
      <c r="AB160" s="12"/>
      <c r="AC160" s="12" t="str">
        <f>IFERROR(__xludf.DUMMYFUNCTION("""COMPUTED_VALUE"""),"PATIO-1-3")</f>
        <v>PATIO-1-3</v>
      </c>
      <c r="AD160" s="12" t="str">
        <f>IFERROR(__xludf.DUMMYFUNCTION("""COMPUTED_VALUE"""),"692043")</f>
        <v>692043</v>
      </c>
      <c r="AE160" s="12" t="str">
        <f>IFERROR(__xludf.DUMMYFUNCTION("""COMPUTED_VALUE"""),"CAJA CARTON CORRUGADO 60x60x50 CM ")</f>
        <v>CAJA CARTON CORRUGADO 60x60x50 CM </v>
      </c>
      <c r="AF160" s="30">
        <f>IFERROR(__xludf.DUMMYFUNCTION("""COMPUTED_VALUE"""),150.0)</f>
        <v>150</v>
      </c>
      <c r="AG160" s="12" t="str">
        <f>IFERROR(__xludf.DUMMYFUNCTION("""COMPUTED_VALUE"""),"PROVEEDOR")</f>
        <v>PROVEEDOR</v>
      </c>
      <c r="AH160" s="12"/>
      <c r="AI160" s="12" t="str">
        <f>IFERROR(__xludf.DUMMYFUNCTION("""COMPUTED_VALUE"""),"1")</f>
        <v>1</v>
      </c>
      <c r="AJ160" s="12" t="str">
        <f>IFERROR(__xludf.DUMMYFUNCTION("""COMPUTED_VALUE"""),"3")</f>
        <v>3</v>
      </c>
      <c r="AK160" s="12">
        <f>IFERROR(__xludf.DUMMYFUNCTION("""COMPUTED_VALUE"""),267.0)</f>
        <v>267</v>
      </c>
      <c r="AL160" s="12" t="str">
        <f>IFERROR(__xludf.DUMMYFUNCTION("""COMPUTED_VALUE"""),"SUMMIT")</f>
        <v>SUMMIT</v>
      </c>
      <c r="AM160" s="12"/>
      <c r="AN160" s="12"/>
      <c r="AO160" s="12"/>
      <c r="AP160" s="12"/>
      <c r="AQ160" s="12"/>
      <c r="BC160" s="12"/>
      <c r="BD160" s="12"/>
      <c r="BE160" s="14"/>
      <c r="BF160" s="12"/>
      <c r="BG160" s="12"/>
      <c r="BH160" s="12" t="str">
        <f>IFERROR(__xludf.DUMMYFUNCTION("IFERROR(INDEX(QUERY(IMPORTRANGE(""1T7HG8KEs-Ob7f3M5atEVN9Yn7IeORGp0QGvggB62ELw"",""Maestro!A:I""),""SELECT Col8 WHERE Col3 = '""&amp;BE160&amp;""'"", 0), 1, 1),""NO ENCONTRADO"")"),"")</f>
        <v/>
      </c>
      <c r="BI160" s="12" t="str">
        <f>IFERROR(__xludf.DUMMYFUNCTION("IFERROR(INDEX(QUERY(IMPORTRANGE(""1T7HG8KEs-Ob7f3M5atEVN9Yn7IeORGp0QGvggB62ELw"",""Maestro!A:I""),""SELECT Col7 WHERE Col3 = '""&amp;BE160&amp;""'"", 0), 1, 1),""NO ENCONTRADO"")"),"")</f>
        <v/>
      </c>
      <c r="BJ160" s="16">
        <f t="shared" si="7"/>
        <v>0</v>
      </c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4"/>
      <c r="BX160" s="14"/>
      <c r="BY160" s="14"/>
      <c r="BZ160" s="14"/>
      <c r="CA160" s="14"/>
      <c r="CB160" s="14"/>
      <c r="CC160" s="14"/>
      <c r="CD160" s="14"/>
      <c r="CE160" s="14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</row>
    <row r="161">
      <c r="A161" s="158">
        <v>4.0</v>
      </c>
      <c r="B161" s="159" t="s">
        <v>296</v>
      </c>
      <c r="C161" s="160" t="s">
        <v>285</v>
      </c>
      <c r="D161" s="161" t="str">
        <f t="shared" si="1"/>
        <v>4-10-D</v>
      </c>
      <c r="E161" s="103"/>
      <c r="F161" s="104"/>
      <c r="G161" s="105"/>
      <c r="H161" s="106"/>
      <c r="I161" s="107"/>
      <c r="J161" s="108"/>
      <c r="K161" s="32" t="str">
        <f t="shared" si="2"/>
        <v>DISPONIBLE</v>
      </c>
      <c r="L161" s="33">
        <f t="shared" si="6"/>
        <v>160</v>
      </c>
      <c r="M161" s="33" t="s">
        <v>23</v>
      </c>
      <c r="N161" s="122"/>
      <c r="O161" s="169"/>
      <c r="P161" s="12"/>
      <c r="Q161" s="12"/>
      <c r="R161" s="12"/>
      <c r="S161" s="12"/>
      <c r="T161" s="12"/>
      <c r="U161" s="12"/>
      <c r="V161" s="12"/>
      <c r="AB161" s="12"/>
      <c r="AC161" s="12" t="str">
        <f>IFERROR(__xludf.DUMMYFUNCTION("""COMPUTED_VALUE"""),"PATIO-1-4")</f>
        <v>PATIO-1-4</v>
      </c>
      <c r="AD161" s="12" t="str">
        <f>IFERROR(__xludf.DUMMYFUNCTION("""COMPUTED_VALUE"""),"692043")</f>
        <v>692043</v>
      </c>
      <c r="AE161" s="12" t="str">
        <f>IFERROR(__xludf.DUMMYFUNCTION("""COMPUTED_VALUE"""),"CAJA CARTON CORRUGADO 60x60x50 CM ")</f>
        <v>CAJA CARTON CORRUGADO 60x60x50 CM </v>
      </c>
      <c r="AF161" s="30">
        <f>IFERROR(__xludf.DUMMYFUNCTION("""COMPUTED_VALUE"""),150.0)</f>
        <v>150</v>
      </c>
      <c r="AG161" s="12" t="str">
        <f>IFERROR(__xludf.DUMMYFUNCTION("""COMPUTED_VALUE"""),"PROVEEDOR")</f>
        <v>PROVEEDOR</v>
      </c>
      <c r="AH161" s="12"/>
      <c r="AI161" s="12" t="str">
        <f>IFERROR(__xludf.DUMMYFUNCTION("""COMPUTED_VALUE"""),"1")</f>
        <v>1</v>
      </c>
      <c r="AJ161" s="12" t="str">
        <f>IFERROR(__xludf.DUMMYFUNCTION("""COMPUTED_VALUE"""),"4")</f>
        <v>4</v>
      </c>
      <c r="AK161" s="12">
        <f>IFERROR(__xludf.DUMMYFUNCTION("""COMPUTED_VALUE"""),268.0)</f>
        <v>268</v>
      </c>
      <c r="AL161" s="12" t="str">
        <f>IFERROR(__xludf.DUMMYFUNCTION("""COMPUTED_VALUE"""),"SUMMIT")</f>
        <v>SUMMIT</v>
      </c>
      <c r="AM161" s="12"/>
      <c r="AN161" s="12"/>
      <c r="AO161" s="12"/>
      <c r="AP161" s="12"/>
      <c r="AQ161" s="12"/>
      <c r="BC161" s="12"/>
      <c r="BD161" s="12"/>
      <c r="BE161" s="14"/>
      <c r="BF161" s="12"/>
      <c r="BG161" s="12"/>
      <c r="BH161" s="12" t="str">
        <f>IFERROR(__xludf.DUMMYFUNCTION("IFERROR(INDEX(QUERY(IMPORTRANGE(""1T7HG8KEs-Ob7f3M5atEVN9Yn7IeORGp0QGvggB62ELw"",""Maestro!A:I""),""SELECT Col8 WHERE Col3 = '""&amp;BE161&amp;""'"", 0), 1, 1),""NO ENCONTRADO"")"),"")</f>
        <v/>
      </c>
      <c r="BI161" s="12" t="str">
        <f>IFERROR(__xludf.DUMMYFUNCTION("IFERROR(INDEX(QUERY(IMPORTRANGE(""1T7HG8KEs-Ob7f3M5atEVN9Yn7IeORGp0QGvggB62ELw"",""Maestro!A:I""),""SELECT Col7 WHERE Col3 = '""&amp;BE161&amp;""'"", 0), 1, 1),""NO ENCONTRADO"")"),"")</f>
        <v/>
      </c>
      <c r="BJ161" s="16">
        <f t="shared" si="7"/>
        <v>0</v>
      </c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4"/>
      <c r="BX161" s="14"/>
      <c r="BY161" s="14"/>
      <c r="BZ161" s="14"/>
      <c r="CA161" s="14"/>
      <c r="CB161" s="14"/>
      <c r="CC161" s="14"/>
      <c r="CD161" s="14"/>
      <c r="CE161" s="14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</row>
    <row r="162">
      <c r="A162" s="158">
        <v>4.0</v>
      </c>
      <c r="B162" s="159" t="s">
        <v>316</v>
      </c>
      <c r="C162" s="160" t="s">
        <v>269</v>
      </c>
      <c r="D162" s="161" t="str">
        <f t="shared" si="1"/>
        <v>4-11-A</v>
      </c>
      <c r="E162" s="162">
        <v>45722.0</v>
      </c>
      <c r="F162" s="163" t="s">
        <v>772</v>
      </c>
      <c r="G162" s="164" t="s">
        <v>111</v>
      </c>
      <c r="H162" s="165" t="s">
        <v>112</v>
      </c>
      <c r="I162" s="166">
        <v>72.0</v>
      </c>
      <c r="J162" s="167" t="s">
        <v>43</v>
      </c>
      <c r="K162" s="27" t="str">
        <f t="shared" si="2"/>
        <v>OCUPADO</v>
      </c>
      <c r="L162" s="28">
        <f t="shared" si="6"/>
        <v>161</v>
      </c>
      <c r="M162" s="28" t="s">
        <v>23</v>
      </c>
      <c r="N162" s="109"/>
      <c r="O162" s="168" t="s">
        <v>270</v>
      </c>
      <c r="P162" s="12"/>
      <c r="Q162" s="12"/>
      <c r="R162" s="12"/>
      <c r="S162" s="12"/>
      <c r="T162" s="12"/>
      <c r="U162" s="12"/>
      <c r="V162" s="12"/>
      <c r="AB162" s="12"/>
      <c r="AC162" s="12" t="str">
        <f>IFERROR(__xludf.DUMMYFUNCTION("""COMPUTED_VALUE"""),"PATIO-1-5")</f>
        <v>PATIO-1-5</v>
      </c>
      <c r="AD162" s="12" t="str">
        <f>IFERROR(__xludf.DUMMYFUNCTION("""COMPUTED_VALUE"""),"692043")</f>
        <v>692043</v>
      </c>
      <c r="AE162" s="12" t="str">
        <f>IFERROR(__xludf.DUMMYFUNCTION("""COMPUTED_VALUE"""),"CAJA CARTON CORRUGADO 60x60x50 CM ")</f>
        <v>CAJA CARTON CORRUGADO 60x60x50 CM </v>
      </c>
      <c r="AF162" s="30">
        <f>IFERROR(__xludf.DUMMYFUNCTION("""COMPUTED_VALUE"""),150.0)</f>
        <v>150</v>
      </c>
      <c r="AG162" s="12" t="str">
        <f>IFERROR(__xludf.DUMMYFUNCTION("""COMPUTED_VALUE"""),"PROVEEDOR")</f>
        <v>PROVEEDOR</v>
      </c>
      <c r="AH162" s="12"/>
      <c r="AI162" s="12" t="str">
        <f>IFERROR(__xludf.DUMMYFUNCTION("""COMPUTED_VALUE"""),"1")</f>
        <v>1</v>
      </c>
      <c r="AJ162" s="12" t="str">
        <f>IFERROR(__xludf.DUMMYFUNCTION("""COMPUTED_VALUE"""),"5")</f>
        <v>5</v>
      </c>
      <c r="AK162" s="12">
        <f>IFERROR(__xludf.DUMMYFUNCTION("""COMPUTED_VALUE"""),269.0)</f>
        <v>269</v>
      </c>
      <c r="AL162" s="12" t="str">
        <f>IFERROR(__xludf.DUMMYFUNCTION("""COMPUTED_VALUE"""),"SUMMIT")</f>
        <v>SUMMIT</v>
      </c>
      <c r="AM162" s="12"/>
      <c r="AN162" s="12"/>
      <c r="AO162" s="12"/>
      <c r="AP162" s="12"/>
      <c r="AQ162" s="12"/>
      <c r="BC162" s="12"/>
      <c r="BD162" s="12"/>
      <c r="BE162" s="14"/>
      <c r="BF162" s="12"/>
      <c r="BG162" s="12"/>
      <c r="BH162" s="12" t="str">
        <f>IFERROR(__xludf.DUMMYFUNCTION("IFERROR(INDEX(QUERY(IMPORTRANGE(""1T7HG8KEs-Ob7f3M5atEVN9Yn7IeORGp0QGvggB62ELw"",""Maestro!A:I""),""SELECT Col8 WHERE Col3 = '""&amp;BE162&amp;""'"", 0), 1, 1),""NO ENCONTRADO"")"),"")</f>
        <v/>
      </c>
      <c r="BI162" s="12" t="str">
        <f>IFERROR(__xludf.DUMMYFUNCTION("IFERROR(INDEX(QUERY(IMPORTRANGE(""1T7HG8KEs-Ob7f3M5atEVN9Yn7IeORGp0QGvggB62ELw"",""Maestro!A:I""),""SELECT Col7 WHERE Col3 = '""&amp;BE162&amp;""'"", 0), 1, 1),""NO ENCONTRADO"")"),"")</f>
        <v/>
      </c>
      <c r="BJ162" s="16">
        <f t="shared" si="7"/>
        <v>0</v>
      </c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4"/>
      <c r="BX162" s="14"/>
      <c r="BY162" s="14"/>
      <c r="BZ162" s="14"/>
      <c r="CA162" s="14"/>
      <c r="CB162" s="14"/>
      <c r="CC162" s="14"/>
      <c r="CD162" s="14"/>
      <c r="CE162" s="14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</row>
    <row r="163">
      <c r="A163" s="158">
        <v>4.0</v>
      </c>
      <c r="B163" s="159" t="s">
        <v>316</v>
      </c>
      <c r="C163" s="160" t="s">
        <v>277</v>
      </c>
      <c r="D163" s="161" t="str">
        <f t="shared" si="1"/>
        <v>4-11-B</v>
      </c>
      <c r="E163" s="162">
        <v>45722.0</v>
      </c>
      <c r="F163" s="163" t="s">
        <v>772</v>
      </c>
      <c r="G163" s="164" t="s">
        <v>111</v>
      </c>
      <c r="H163" s="165" t="s">
        <v>112</v>
      </c>
      <c r="I163" s="166">
        <v>72.0</v>
      </c>
      <c r="J163" s="167" t="s">
        <v>43</v>
      </c>
      <c r="K163" s="32" t="str">
        <f t="shared" si="2"/>
        <v>OCUPADO</v>
      </c>
      <c r="L163" s="33">
        <f t="shared" si="6"/>
        <v>162</v>
      </c>
      <c r="M163" s="33" t="s">
        <v>23</v>
      </c>
      <c r="N163" s="122"/>
      <c r="O163" s="169" t="s">
        <v>270</v>
      </c>
      <c r="P163" s="12"/>
      <c r="Q163" s="12"/>
      <c r="R163" s="12"/>
      <c r="S163" s="12"/>
      <c r="T163" s="12"/>
      <c r="U163" s="12"/>
      <c r="V163" s="12"/>
      <c r="AB163" s="12"/>
      <c r="AC163" s="12" t="str">
        <f>IFERROR(__xludf.DUMMYFUNCTION("""COMPUTED_VALUE"""),"PATIO-1-6")</f>
        <v>PATIO-1-6</v>
      </c>
      <c r="AD163" s="12" t="str">
        <f>IFERROR(__xludf.DUMMYFUNCTION("""COMPUTED_VALUE"""),"692043")</f>
        <v>692043</v>
      </c>
      <c r="AE163" s="12" t="str">
        <f>IFERROR(__xludf.DUMMYFUNCTION("""COMPUTED_VALUE"""),"CAJA CARTON CORRUGADO 60x60x50 CM ")</f>
        <v>CAJA CARTON CORRUGADO 60x60x50 CM </v>
      </c>
      <c r="AF163" s="30">
        <f>IFERROR(__xludf.DUMMYFUNCTION("""COMPUTED_VALUE"""),150.0)</f>
        <v>150</v>
      </c>
      <c r="AG163" s="12" t="str">
        <f>IFERROR(__xludf.DUMMYFUNCTION("""COMPUTED_VALUE"""),"PROVEEDOR")</f>
        <v>PROVEEDOR</v>
      </c>
      <c r="AH163" s="12"/>
      <c r="AI163" s="12" t="str">
        <f>IFERROR(__xludf.DUMMYFUNCTION("""COMPUTED_VALUE"""),"1")</f>
        <v>1</v>
      </c>
      <c r="AJ163" s="12" t="str">
        <f>IFERROR(__xludf.DUMMYFUNCTION("""COMPUTED_VALUE"""),"6")</f>
        <v>6</v>
      </c>
      <c r="AK163" s="12">
        <f>IFERROR(__xludf.DUMMYFUNCTION("""COMPUTED_VALUE"""),270.0)</f>
        <v>270</v>
      </c>
      <c r="AL163" s="12" t="str">
        <f>IFERROR(__xludf.DUMMYFUNCTION("""COMPUTED_VALUE"""),"SUMMIT")</f>
        <v>SUMMIT</v>
      </c>
      <c r="AM163" s="12"/>
      <c r="AN163" s="12"/>
      <c r="AO163" s="12"/>
      <c r="AP163" s="12"/>
      <c r="AQ163" s="12"/>
      <c r="BC163" s="12"/>
      <c r="BD163" s="12"/>
      <c r="BE163" s="14"/>
      <c r="BF163" s="12"/>
      <c r="BG163" s="12"/>
      <c r="BH163" s="12" t="str">
        <f>IFERROR(__xludf.DUMMYFUNCTION("IFERROR(INDEX(QUERY(IMPORTRANGE(""1T7HG8KEs-Ob7f3M5atEVN9Yn7IeORGp0QGvggB62ELw"",""Maestro!A:I""),""SELECT Col8 WHERE Col3 = '""&amp;BE163&amp;""'"", 0), 1, 1),""NO ENCONTRADO"")"),"")</f>
        <v/>
      </c>
      <c r="BI163" s="12" t="str">
        <f>IFERROR(__xludf.DUMMYFUNCTION("IFERROR(INDEX(QUERY(IMPORTRANGE(""1T7HG8KEs-Ob7f3M5atEVN9Yn7IeORGp0QGvggB62ELw"",""Maestro!A:I""),""SELECT Col7 WHERE Col3 = '""&amp;BE163&amp;""'"", 0), 1, 1),""NO ENCONTRADO"")"),"")</f>
        <v/>
      </c>
      <c r="BJ163" s="16">
        <f t="shared" si="7"/>
        <v>0</v>
      </c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4"/>
      <c r="BX163" s="14"/>
      <c r="BY163" s="14"/>
      <c r="BZ163" s="14"/>
      <c r="CA163" s="14"/>
      <c r="CB163" s="14"/>
      <c r="CC163" s="14"/>
      <c r="CD163" s="14"/>
      <c r="CE163" s="14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</row>
    <row r="164">
      <c r="A164" s="158">
        <v>4.0</v>
      </c>
      <c r="B164" s="159" t="s">
        <v>316</v>
      </c>
      <c r="C164" s="160" t="s">
        <v>282</v>
      </c>
      <c r="D164" s="161" t="str">
        <f t="shared" si="1"/>
        <v>4-11-C</v>
      </c>
      <c r="E164" s="162">
        <v>45730.0</v>
      </c>
      <c r="F164" s="163" t="s">
        <v>772</v>
      </c>
      <c r="G164" s="164" t="s">
        <v>111</v>
      </c>
      <c r="H164" s="165" t="s">
        <v>112</v>
      </c>
      <c r="I164" s="166">
        <v>72.0</v>
      </c>
      <c r="J164" s="167" t="s">
        <v>43</v>
      </c>
      <c r="K164" s="27" t="str">
        <f t="shared" si="2"/>
        <v>OCUPADO</v>
      </c>
      <c r="L164" s="28">
        <f t="shared" si="6"/>
        <v>163</v>
      </c>
      <c r="M164" s="28" t="s">
        <v>23</v>
      </c>
      <c r="N164" s="109"/>
      <c r="O164" s="168" t="s">
        <v>270</v>
      </c>
      <c r="P164" s="12"/>
      <c r="Q164" s="12"/>
      <c r="R164" s="12"/>
      <c r="S164" s="12"/>
      <c r="T164" s="12"/>
      <c r="U164" s="12"/>
      <c r="V164" s="12"/>
      <c r="AB164" s="12"/>
      <c r="AC164" s="12" t="str">
        <f>IFERROR(__xludf.DUMMYFUNCTION("""COMPUTED_VALUE"""),"PATIO-1-7")</f>
        <v>PATIO-1-7</v>
      </c>
      <c r="AD164" s="12" t="str">
        <f>IFERROR(__xludf.DUMMYFUNCTION("""COMPUTED_VALUE"""),"692043")</f>
        <v>692043</v>
      </c>
      <c r="AE164" s="12" t="str">
        <f>IFERROR(__xludf.DUMMYFUNCTION("""COMPUTED_VALUE"""),"CAJA CARTON CORRUGADO 60x60x50 CM ")</f>
        <v>CAJA CARTON CORRUGADO 60x60x50 CM </v>
      </c>
      <c r="AF164" s="30">
        <f>IFERROR(__xludf.DUMMYFUNCTION("""COMPUTED_VALUE"""),150.0)</f>
        <v>150</v>
      </c>
      <c r="AG164" s="12" t="str">
        <f>IFERROR(__xludf.DUMMYFUNCTION("""COMPUTED_VALUE"""),"PROVEEDOR")</f>
        <v>PROVEEDOR</v>
      </c>
      <c r="AH164" s="12"/>
      <c r="AI164" s="12" t="str">
        <f>IFERROR(__xludf.DUMMYFUNCTION("""COMPUTED_VALUE"""),"1")</f>
        <v>1</v>
      </c>
      <c r="AJ164" s="12" t="str">
        <f>IFERROR(__xludf.DUMMYFUNCTION("""COMPUTED_VALUE"""),"7")</f>
        <v>7</v>
      </c>
      <c r="AK164" s="12">
        <f>IFERROR(__xludf.DUMMYFUNCTION("""COMPUTED_VALUE"""),271.0)</f>
        <v>271</v>
      </c>
      <c r="AL164" s="12" t="str">
        <f>IFERROR(__xludf.DUMMYFUNCTION("""COMPUTED_VALUE"""),"SUMMIT")</f>
        <v>SUMMIT</v>
      </c>
      <c r="AM164" s="12"/>
      <c r="AN164" s="12"/>
      <c r="AO164" s="12"/>
      <c r="AP164" s="12"/>
      <c r="AQ164" s="12"/>
      <c r="BC164" s="12"/>
      <c r="BD164" s="12"/>
      <c r="BE164" s="14"/>
      <c r="BF164" s="12"/>
      <c r="BG164" s="12"/>
      <c r="BH164" s="12" t="str">
        <f>IFERROR(__xludf.DUMMYFUNCTION("IFERROR(INDEX(QUERY(IMPORTRANGE(""1T7HG8KEs-Ob7f3M5atEVN9Yn7IeORGp0QGvggB62ELw"",""Maestro!A:I""),""SELECT Col8 WHERE Col3 = '""&amp;BE164&amp;""'"", 0), 1, 1),""NO ENCONTRADO"")"),"")</f>
        <v/>
      </c>
      <c r="BI164" s="12" t="str">
        <f>IFERROR(__xludf.DUMMYFUNCTION("IFERROR(INDEX(QUERY(IMPORTRANGE(""1T7HG8KEs-Ob7f3M5atEVN9Yn7IeORGp0QGvggB62ELw"",""Maestro!A:I""),""SELECT Col7 WHERE Col3 = '""&amp;BE164&amp;""'"", 0), 1, 1),""NO ENCONTRADO"")"),"")</f>
        <v/>
      </c>
      <c r="BJ164" s="16">
        <f t="shared" si="7"/>
        <v>0</v>
      </c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4"/>
      <c r="BX164" s="14"/>
      <c r="BY164" s="14"/>
      <c r="BZ164" s="14"/>
      <c r="CA164" s="14"/>
      <c r="CB164" s="14"/>
      <c r="CC164" s="14"/>
      <c r="CD164" s="14"/>
      <c r="CE164" s="14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</row>
    <row r="165">
      <c r="A165" s="158">
        <v>4.0</v>
      </c>
      <c r="B165" s="159" t="s">
        <v>316</v>
      </c>
      <c r="C165" s="160" t="s">
        <v>285</v>
      </c>
      <c r="D165" s="161" t="str">
        <f t="shared" si="1"/>
        <v>4-11-D</v>
      </c>
      <c r="E165" s="162">
        <v>45730.0</v>
      </c>
      <c r="F165" s="163" t="s">
        <v>771</v>
      </c>
      <c r="G165" s="164" t="s">
        <v>87</v>
      </c>
      <c r="H165" s="165" t="s">
        <v>88</v>
      </c>
      <c r="I165" s="166">
        <v>72.0</v>
      </c>
      <c r="J165" s="167" t="s">
        <v>43</v>
      </c>
      <c r="K165" s="32" t="str">
        <f t="shared" si="2"/>
        <v>OCUPADO</v>
      </c>
      <c r="L165" s="33">
        <f t="shared" si="6"/>
        <v>164</v>
      </c>
      <c r="M165" s="33" t="s">
        <v>23</v>
      </c>
      <c r="N165" s="122"/>
      <c r="O165" s="169" t="s">
        <v>270</v>
      </c>
      <c r="P165" s="12"/>
      <c r="Q165" s="12"/>
      <c r="R165" s="12"/>
      <c r="S165" s="12"/>
      <c r="T165" s="12"/>
      <c r="U165" s="12"/>
      <c r="V165" s="12"/>
      <c r="AB165" s="12"/>
      <c r="AC165" s="12" t="str">
        <f>IFERROR(__xludf.DUMMYFUNCTION("""COMPUTED_VALUE"""),"PATIO-1-8")</f>
        <v>PATIO-1-8</v>
      </c>
      <c r="AD165" s="12" t="str">
        <f>IFERROR(__xludf.DUMMYFUNCTION("""COMPUTED_VALUE"""),"692043")</f>
        <v>692043</v>
      </c>
      <c r="AE165" s="12" t="str">
        <f>IFERROR(__xludf.DUMMYFUNCTION("""COMPUTED_VALUE"""),"CAJA CARTON CORRUGADO 60x60x50 CM ")</f>
        <v>CAJA CARTON CORRUGADO 60x60x50 CM </v>
      </c>
      <c r="AF165" s="30">
        <f>IFERROR(__xludf.DUMMYFUNCTION("""COMPUTED_VALUE"""),150.0)</f>
        <v>150</v>
      </c>
      <c r="AG165" s="12" t="str">
        <f>IFERROR(__xludf.DUMMYFUNCTION("""COMPUTED_VALUE"""),"PROVEEDOR")</f>
        <v>PROVEEDOR</v>
      </c>
      <c r="AH165" s="12"/>
      <c r="AI165" s="12" t="str">
        <f>IFERROR(__xludf.DUMMYFUNCTION("""COMPUTED_VALUE"""),"1")</f>
        <v>1</v>
      </c>
      <c r="AJ165" s="12" t="str">
        <f>IFERROR(__xludf.DUMMYFUNCTION("""COMPUTED_VALUE"""),"8")</f>
        <v>8</v>
      </c>
      <c r="AK165" s="12">
        <f>IFERROR(__xludf.DUMMYFUNCTION("""COMPUTED_VALUE"""),272.0)</f>
        <v>272</v>
      </c>
      <c r="AL165" s="12" t="str">
        <f>IFERROR(__xludf.DUMMYFUNCTION("""COMPUTED_VALUE"""),"SUMMIT")</f>
        <v>SUMMIT</v>
      </c>
      <c r="AM165" s="12"/>
      <c r="AN165" s="12"/>
      <c r="AO165" s="12"/>
      <c r="AP165" s="12"/>
      <c r="AQ165" s="12"/>
      <c r="BC165" s="12"/>
      <c r="BD165" s="12"/>
      <c r="BE165" s="14"/>
      <c r="BF165" s="12"/>
      <c r="BG165" s="12"/>
      <c r="BH165" s="12" t="str">
        <f>IFERROR(__xludf.DUMMYFUNCTION("IFERROR(INDEX(QUERY(IMPORTRANGE(""1T7HG8KEs-Ob7f3M5atEVN9Yn7IeORGp0QGvggB62ELw"",""Maestro!A:I""),""SELECT Col8 WHERE Col3 = '""&amp;BE165&amp;""'"", 0), 1, 1),""NO ENCONTRADO"")"),"")</f>
        <v/>
      </c>
      <c r="BI165" s="12" t="str">
        <f>IFERROR(__xludf.DUMMYFUNCTION("IFERROR(INDEX(QUERY(IMPORTRANGE(""1T7HG8KEs-Ob7f3M5atEVN9Yn7IeORGp0QGvggB62ELw"",""Maestro!A:I""),""SELECT Col7 WHERE Col3 = '""&amp;BE165&amp;""'"", 0), 1, 1),""NO ENCONTRADO"")"),"")</f>
        <v/>
      </c>
      <c r="BJ165" s="16">
        <f t="shared" si="7"/>
        <v>0</v>
      </c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4"/>
      <c r="BX165" s="14"/>
      <c r="BY165" s="14"/>
      <c r="BZ165" s="14"/>
      <c r="CA165" s="14"/>
      <c r="CB165" s="14"/>
      <c r="CC165" s="14"/>
      <c r="CD165" s="14"/>
      <c r="CE165" s="14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</row>
    <row r="166">
      <c r="A166" s="158">
        <v>4.0</v>
      </c>
      <c r="B166" s="159" t="s">
        <v>336</v>
      </c>
      <c r="C166" s="160" t="s">
        <v>269</v>
      </c>
      <c r="D166" s="161" t="str">
        <f t="shared" si="1"/>
        <v>4-12-A</v>
      </c>
      <c r="E166" s="162">
        <v>45652.0</v>
      </c>
      <c r="F166" s="163" t="s">
        <v>19</v>
      </c>
      <c r="G166" s="164" t="s">
        <v>87</v>
      </c>
      <c r="H166" s="165" t="s">
        <v>88</v>
      </c>
      <c r="I166" s="166">
        <v>72.0</v>
      </c>
      <c r="J166" s="167" t="s">
        <v>43</v>
      </c>
      <c r="K166" s="27" t="str">
        <f t="shared" si="2"/>
        <v>OCUPADO</v>
      </c>
      <c r="L166" s="28">
        <f t="shared" si="6"/>
        <v>165</v>
      </c>
      <c r="M166" s="28" t="s">
        <v>23</v>
      </c>
      <c r="N166" s="109"/>
      <c r="O166" s="168" t="s">
        <v>270</v>
      </c>
      <c r="P166" s="12"/>
      <c r="Q166" s="12"/>
      <c r="R166" s="12"/>
      <c r="S166" s="12"/>
      <c r="T166" s="12"/>
      <c r="U166" s="12"/>
      <c r="V166" s="12"/>
      <c r="AB166" s="12"/>
      <c r="AC166" s="12" t="str">
        <f>IFERROR(__xludf.DUMMYFUNCTION("""COMPUTED_VALUE"""),"PATIO-1-9")</f>
        <v>PATIO-1-9</v>
      </c>
      <c r="AD166" s="12" t="str">
        <f>IFERROR(__xludf.DUMMYFUNCTION("""COMPUTED_VALUE"""),"692043")</f>
        <v>692043</v>
      </c>
      <c r="AE166" s="12" t="str">
        <f>IFERROR(__xludf.DUMMYFUNCTION("""COMPUTED_VALUE"""),"CAJA CARTON CORRUGADO 60x60x50 CM ")</f>
        <v>CAJA CARTON CORRUGADO 60x60x50 CM </v>
      </c>
      <c r="AF166" s="30">
        <f>IFERROR(__xludf.DUMMYFUNCTION("""COMPUTED_VALUE"""),150.0)</f>
        <v>150</v>
      </c>
      <c r="AG166" s="12" t="str">
        <f>IFERROR(__xludf.DUMMYFUNCTION("""COMPUTED_VALUE"""),"PROVEEDOR")</f>
        <v>PROVEEDOR</v>
      </c>
      <c r="AH166" s="12"/>
      <c r="AI166" s="12" t="str">
        <f>IFERROR(__xludf.DUMMYFUNCTION("""COMPUTED_VALUE"""),"1")</f>
        <v>1</v>
      </c>
      <c r="AJ166" s="12" t="str">
        <f>IFERROR(__xludf.DUMMYFUNCTION("""COMPUTED_VALUE"""),"9")</f>
        <v>9</v>
      </c>
      <c r="AK166" s="12">
        <f>IFERROR(__xludf.DUMMYFUNCTION("""COMPUTED_VALUE"""),273.0)</f>
        <v>273</v>
      </c>
      <c r="AL166" s="12" t="str">
        <f>IFERROR(__xludf.DUMMYFUNCTION("""COMPUTED_VALUE"""),"SUMMIT")</f>
        <v>SUMMIT</v>
      </c>
      <c r="AM166" s="12"/>
      <c r="AN166" s="12"/>
      <c r="AO166" s="12"/>
      <c r="AP166" s="12"/>
      <c r="AQ166" s="12"/>
      <c r="BC166" s="12"/>
      <c r="BD166" s="12"/>
      <c r="BE166" s="14"/>
      <c r="BF166" s="12"/>
      <c r="BG166" s="12"/>
      <c r="BH166" s="12" t="str">
        <f>IFERROR(__xludf.DUMMYFUNCTION("IFERROR(INDEX(QUERY(IMPORTRANGE(""1T7HG8KEs-Ob7f3M5atEVN9Yn7IeORGp0QGvggB62ELw"",""Maestro!A:I""),""SELECT Col8 WHERE Col3 = '""&amp;BE166&amp;""'"", 0), 1, 1),""NO ENCONTRADO"")"),"")</f>
        <v/>
      </c>
      <c r="BI166" s="12" t="str">
        <f>IFERROR(__xludf.DUMMYFUNCTION("IFERROR(INDEX(QUERY(IMPORTRANGE(""1T7HG8KEs-Ob7f3M5atEVN9Yn7IeORGp0QGvggB62ELw"",""Maestro!A:I""),""SELECT Col7 WHERE Col3 = '""&amp;BE166&amp;""'"", 0), 1, 1),""NO ENCONTRADO"")"),"")</f>
        <v/>
      </c>
      <c r="BJ166" s="16">
        <f t="shared" si="7"/>
        <v>0</v>
      </c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4"/>
      <c r="BX166" s="14"/>
      <c r="BY166" s="14"/>
      <c r="BZ166" s="14"/>
      <c r="CA166" s="14"/>
      <c r="CB166" s="14"/>
      <c r="CC166" s="14"/>
      <c r="CD166" s="14"/>
      <c r="CE166" s="14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</row>
    <row r="167">
      <c r="A167" s="158">
        <v>4.0</v>
      </c>
      <c r="B167" s="159" t="s">
        <v>336</v>
      </c>
      <c r="C167" s="160" t="s">
        <v>277</v>
      </c>
      <c r="D167" s="161" t="str">
        <f t="shared" si="1"/>
        <v>4-12-B</v>
      </c>
      <c r="E167" s="162">
        <v>45652.0</v>
      </c>
      <c r="F167" s="163" t="s">
        <v>19</v>
      </c>
      <c r="G167" s="164" t="s">
        <v>87</v>
      </c>
      <c r="H167" s="165" t="s">
        <v>88</v>
      </c>
      <c r="I167" s="166">
        <v>72.0</v>
      </c>
      <c r="J167" s="167" t="s">
        <v>43</v>
      </c>
      <c r="K167" s="32" t="str">
        <f t="shared" si="2"/>
        <v>OCUPADO</v>
      </c>
      <c r="L167" s="33">
        <f t="shared" si="6"/>
        <v>166</v>
      </c>
      <c r="M167" s="33" t="s">
        <v>23</v>
      </c>
      <c r="N167" s="122"/>
      <c r="O167" s="169" t="s">
        <v>270</v>
      </c>
      <c r="P167" s="12"/>
      <c r="Q167" s="12"/>
      <c r="R167" s="12"/>
      <c r="S167" s="12"/>
      <c r="T167" s="12"/>
      <c r="U167" s="12"/>
      <c r="V167" s="12"/>
      <c r="AB167" s="12"/>
      <c r="AC167" s="12" t="str">
        <f>IFERROR(__xludf.DUMMYFUNCTION("""COMPUTED_VALUE"""),"PATIO-1-10")</f>
        <v>PATIO-1-10</v>
      </c>
      <c r="AD167" s="12" t="str">
        <f>IFERROR(__xludf.DUMMYFUNCTION("""COMPUTED_VALUE"""),"692043")</f>
        <v>692043</v>
      </c>
      <c r="AE167" s="12" t="str">
        <f>IFERROR(__xludf.DUMMYFUNCTION("""COMPUTED_VALUE"""),"CAJA CARTON CORRUGADO 60x60x50 CM ")</f>
        <v>CAJA CARTON CORRUGADO 60x60x50 CM </v>
      </c>
      <c r="AF167" s="30">
        <f>IFERROR(__xludf.DUMMYFUNCTION("""COMPUTED_VALUE"""),150.0)</f>
        <v>150</v>
      </c>
      <c r="AG167" s="12" t="str">
        <f>IFERROR(__xludf.DUMMYFUNCTION("""COMPUTED_VALUE"""),"PROVEEDOR")</f>
        <v>PROVEEDOR</v>
      </c>
      <c r="AH167" s="12"/>
      <c r="AI167" s="12" t="str">
        <f>IFERROR(__xludf.DUMMYFUNCTION("""COMPUTED_VALUE"""),"1")</f>
        <v>1</v>
      </c>
      <c r="AJ167" s="12" t="str">
        <f>IFERROR(__xludf.DUMMYFUNCTION("""COMPUTED_VALUE"""),"10")</f>
        <v>10</v>
      </c>
      <c r="AK167" s="12">
        <f>IFERROR(__xludf.DUMMYFUNCTION("""COMPUTED_VALUE"""),274.0)</f>
        <v>274</v>
      </c>
      <c r="AL167" s="12" t="str">
        <f>IFERROR(__xludf.DUMMYFUNCTION("""COMPUTED_VALUE"""),"SUMMIT")</f>
        <v>SUMMIT</v>
      </c>
      <c r="AM167" s="12"/>
      <c r="AN167" s="12"/>
      <c r="AO167" s="12"/>
      <c r="AP167" s="12"/>
      <c r="AQ167" s="12"/>
      <c r="BC167" s="12"/>
      <c r="BD167" s="12"/>
      <c r="BE167" s="14"/>
      <c r="BF167" s="12"/>
      <c r="BG167" s="12"/>
      <c r="BH167" s="12" t="str">
        <f>IFERROR(__xludf.DUMMYFUNCTION("IFERROR(INDEX(QUERY(IMPORTRANGE(""1T7HG8KEs-Ob7f3M5atEVN9Yn7IeORGp0QGvggB62ELw"",""Maestro!A:I""),""SELECT Col8 WHERE Col3 = '""&amp;BE167&amp;""'"", 0), 1, 1),""NO ENCONTRADO"")"),"")</f>
        <v/>
      </c>
      <c r="BI167" s="12" t="str">
        <f>IFERROR(__xludf.DUMMYFUNCTION("IFERROR(INDEX(QUERY(IMPORTRANGE(""1T7HG8KEs-Ob7f3M5atEVN9Yn7IeORGp0QGvggB62ELw"",""Maestro!A:I""),""SELECT Col7 WHERE Col3 = '""&amp;BE167&amp;""'"", 0), 1, 1),""NO ENCONTRADO"")"),"")</f>
        <v/>
      </c>
      <c r="BJ167" s="16">
        <f t="shared" si="7"/>
        <v>0</v>
      </c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4"/>
      <c r="BX167" s="14"/>
      <c r="BY167" s="14"/>
      <c r="BZ167" s="14"/>
      <c r="CA167" s="14"/>
      <c r="CB167" s="14"/>
      <c r="CC167" s="14"/>
      <c r="CD167" s="14"/>
      <c r="CE167" s="14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</row>
    <row r="168">
      <c r="A168" s="158">
        <v>4.0</v>
      </c>
      <c r="B168" s="159" t="s">
        <v>336</v>
      </c>
      <c r="C168" s="160" t="s">
        <v>282</v>
      </c>
      <c r="D168" s="161" t="str">
        <f t="shared" si="1"/>
        <v>4-12-C</v>
      </c>
      <c r="E168" s="162">
        <v>45730.0</v>
      </c>
      <c r="F168" s="163" t="s">
        <v>771</v>
      </c>
      <c r="G168" s="164" t="s">
        <v>87</v>
      </c>
      <c r="H168" s="165" t="s">
        <v>88</v>
      </c>
      <c r="I168" s="166">
        <v>72.0</v>
      </c>
      <c r="J168" s="167" t="s">
        <v>43</v>
      </c>
      <c r="K168" s="27" t="str">
        <f t="shared" si="2"/>
        <v>OCUPADO</v>
      </c>
      <c r="L168" s="28">
        <f t="shared" si="6"/>
        <v>167</v>
      </c>
      <c r="M168" s="28" t="s">
        <v>23</v>
      </c>
      <c r="N168" s="109"/>
      <c r="O168" s="168" t="s">
        <v>270</v>
      </c>
      <c r="P168" s="12"/>
      <c r="Q168" s="12"/>
      <c r="R168" s="12"/>
      <c r="S168" s="12"/>
      <c r="T168" s="12"/>
      <c r="U168" s="12"/>
      <c r="V168" s="12"/>
      <c r="AB168" s="12"/>
      <c r="AC168" s="12" t="str">
        <f>IFERROR(__xludf.DUMMYFUNCTION("""COMPUTED_VALUE"""),"PATIO-1-11")</f>
        <v>PATIO-1-11</v>
      </c>
      <c r="AD168" s="12" t="str">
        <f>IFERROR(__xludf.DUMMYFUNCTION("""COMPUTED_VALUE"""),"692043")</f>
        <v>692043</v>
      </c>
      <c r="AE168" s="12" t="str">
        <f>IFERROR(__xludf.DUMMYFUNCTION("""COMPUTED_VALUE"""),"CAJA CARTON CORRUGADO 60x60x50 CM ")</f>
        <v>CAJA CARTON CORRUGADO 60x60x50 CM </v>
      </c>
      <c r="AF168" s="30">
        <f>IFERROR(__xludf.DUMMYFUNCTION("""COMPUTED_VALUE"""),150.0)</f>
        <v>150</v>
      </c>
      <c r="AG168" s="12" t="str">
        <f>IFERROR(__xludf.DUMMYFUNCTION("""COMPUTED_VALUE"""),"PROVEEDOR")</f>
        <v>PROVEEDOR</v>
      </c>
      <c r="AH168" s="12"/>
      <c r="AI168" s="12" t="str">
        <f>IFERROR(__xludf.DUMMYFUNCTION("""COMPUTED_VALUE"""),"1")</f>
        <v>1</v>
      </c>
      <c r="AJ168" s="12" t="str">
        <f>IFERROR(__xludf.DUMMYFUNCTION("""COMPUTED_VALUE"""),"11")</f>
        <v>11</v>
      </c>
      <c r="AK168" s="12">
        <f>IFERROR(__xludf.DUMMYFUNCTION("""COMPUTED_VALUE"""),275.0)</f>
        <v>275</v>
      </c>
      <c r="AL168" s="12" t="str">
        <f>IFERROR(__xludf.DUMMYFUNCTION("""COMPUTED_VALUE"""),"SUMMIT")</f>
        <v>SUMMIT</v>
      </c>
      <c r="AM168" s="12"/>
      <c r="AN168" s="12"/>
      <c r="AO168" s="12"/>
      <c r="AP168" s="12"/>
      <c r="AQ168" s="12"/>
      <c r="BC168" s="12"/>
      <c r="BD168" s="12"/>
      <c r="BE168" s="14"/>
      <c r="BF168" s="12"/>
      <c r="BG168" s="12"/>
      <c r="BH168" s="12" t="str">
        <f>IFERROR(__xludf.DUMMYFUNCTION("IFERROR(INDEX(QUERY(IMPORTRANGE(""1T7HG8KEs-Ob7f3M5atEVN9Yn7IeORGp0QGvggB62ELw"",""Maestro!A:I""),""SELECT Col8 WHERE Col3 = '""&amp;BE168&amp;""'"", 0), 1, 1),""NO ENCONTRADO"")"),"")</f>
        <v/>
      </c>
      <c r="BI168" s="12" t="str">
        <f>IFERROR(__xludf.DUMMYFUNCTION("IFERROR(INDEX(QUERY(IMPORTRANGE(""1T7HG8KEs-Ob7f3M5atEVN9Yn7IeORGp0QGvggB62ELw"",""Maestro!A:I""),""SELECT Col7 WHERE Col3 = '""&amp;BE168&amp;""'"", 0), 1, 1),""NO ENCONTRADO"")"),"")</f>
        <v/>
      </c>
      <c r="BJ168" s="16">
        <f t="shared" si="7"/>
        <v>0</v>
      </c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4"/>
      <c r="BX168" s="14"/>
      <c r="BY168" s="14"/>
      <c r="BZ168" s="14"/>
      <c r="CA168" s="14"/>
      <c r="CB168" s="14"/>
      <c r="CC168" s="14"/>
      <c r="CD168" s="14"/>
      <c r="CE168" s="14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</row>
    <row r="169">
      <c r="A169" s="158">
        <v>4.0</v>
      </c>
      <c r="B169" s="159" t="s">
        <v>336</v>
      </c>
      <c r="C169" s="160" t="s">
        <v>285</v>
      </c>
      <c r="D169" s="161" t="str">
        <f t="shared" si="1"/>
        <v>4-12-D</v>
      </c>
      <c r="E169" s="162">
        <v>45730.0</v>
      </c>
      <c r="F169" s="163" t="s">
        <v>771</v>
      </c>
      <c r="G169" s="164" t="s">
        <v>87</v>
      </c>
      <c r="H169" s="165" t="s">
        <v>88</v>
      </c>
      <c r="I169" s="166">
        <v>72.0</v>
      </c>
      <c r="J169" s="167" t="s">
        <v>43</v>
      </c>
      <c r="K169" s="32" t="str">
        <f t="shared" si="2"/>
        <v>OCUPADO</v>
      </c>
      <c r="L169" s="33">
        <f t="shared" si="6"/>
        <v>168</v>
      </c>
      <c r="M169" s="33" t="s">
        <v>23</v>
      </c>
      <c r="N169" s="122"/>
      <c r="O169" s="169" t="s">
        <v>270</v>
      </c>
      <c r="P169" s="12"/>
      <c r="Q169" s="12"/>
      <c r="R169" s="12"/>
      <c r="S169" s="12"/>
      <c r="T169" s="12"/>
      <c r="U169" s="12"/>
      <c r="V169" s="12"/>
      <c r="AB169" s="12"/>
      <c r="AC169" s="12" t="str">
        <f>IFERROR(__xludf.DUMMYFUNCTION("""COMPUTED_VALUE"""),"PATIO-1-12")</f>
        <v>PATIO-1-12</v>
      </c>
      <c r="AD169" s="12" t="str">
        <f>IFERROR(__xludf.DUMMYFUNCTION("""COMPUTED_VALUE"""),"692043")</f>
        <v>692043</v>
      </c>
      <c r="AE169" s="12" t="str">
        <f>IFERROR(__xludf.DUMMYFUNCTION("""COMPUTED_VALUE"""),"CAJA CARTON CORRUGADO 60x60x50 CM ")</f>
        <v>CAJA CARTON CORRUGADO 60x60x50 CM </v>
      </c>
      <c r="AF169" s="30">
        <f>IFERROR(__xludf.DUMMYFUNCTION("""COMPUTED_VALUE"""),150.0)</f>
        <v>150</v>
      </c>
      <c r="AG169" s="12" t="str">
        <f>IFERROR(__xludf.DUMMYFUNCTION("""COMPUTED_VALUE"""),"PROVEEDOR")</f>
        <v>PROVEEDOR</v>
      </c>
      <c r="AH169" s="12"/>
      <c r="AI169" s="12" t="str">
        <f>IFERROR(__xludf.DUMMYFUNCTION("""COMPUTED_VALUE"""),"1")</f>
        <v>1</v>
      </c>
      <c r="AJ169" s="12" t="str">
        <f>IFERROR(__xludf.DUMMYFUNCTION("""COMPUTED_VALUE"""),"12")</f>
        <v>12</v>
      </c>
      <c r="AK169" s="12">
        <f>IFERROR(__xludf.DUMMYFUNCTION("""COMPUTED_VALUE"""),276.0)</f>
        <v>276</v>
      </c>
      <c r="AL169" s="12" t="str">
        <f>IFERROR(__xludf.DUMMYFUNCTION("""COMPUTED_VALUE"""),"SUMMIT")</f>
        <v>SUMMIT</v>
      </c>
      <c r="AM169" s="12"/>
      <c r="AN169" s="12"/>
      <c r="AO169" s="12"/>
      <c r="AP169" s="12"/>
      <c r="AQ169" s="12"/>
      <c r="BC169" s="12"/>
      <c r="BD169" s="12"/>
      <c r="BE169" s="14"/>
      <c r="BF169" s="12"/>
      <c r="BG169" s="12"/>
      <c r="BH169" s="12" t="str">
        <f>IFERROR(__xludf.DUMMYFUNCTION("IFERROR(INDEX(QUERY(IMPORTRANGE(""1T7HG8KEs-Ob7f3M5atEVN9Yn7IeORGp0QGvggB62ELw"",""Maestro!A:I""),""SELECT Col8 WHERE Col3 = '""&amp;BE169&amp;""'"", 0), 1, 1),""NO ENCONTRADO"")"),"")</f>
        <v/>
      </c>
      <c r="BI169" s="12" t="str">
        <f>IFERROR(__xludf.DUMMYFUNCTION("IFERROR(INDEX(QUERY(IMPORTRANGE(""1T7HG8KEs-Ob7f3M5atEVN9Yn7IeORGp0QGvggB62ELw"",""Maestro!A:I""),""SELECT Col7 WHERE Col3 = '""&amp;BE169&amp;""'"", 0), 1, 1),""NO ENCONTRADO"")"),"")</f>
        <v/>
      </c>
      <c r="BJ169" s="16">
        <f t="shared" si="7"/>
        <v>0</v>
      </c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4"/>
      <c r="BX169" s="14"/>
      <c r="BY169" s="14"/>
      <c r="BZ169" s="14"/>
      <c r="CA169" s="14"/>
      <c r="CB169" s="14"/>
      <c r="CC169" s="14"/>
      <c r="CD169" s="14"/>
      <c r="CE169" s="14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</row>
    <row r="170">
      <c r="A170" s="158">
        <v>4.0</v>
      </c>
      <c r="B170" s="159" t="s">
        <v>350</v>
      </c>
      <c r="C170" s="160" t="s">
        <v>269</v>
      </c>
      <c r="D170" s="161" t="str">
        <f t="shared" si="1"/>
        <v>4-13-A</v>
      </c>
      <c r="E170" s="162">
        <v>45706.0</v>
      </c>
      <c r="F170" s="163" t="s">
        <v>19</v>
      </c>
      <c r="G170" s="164" t="s">
        <v>87</v>
      </c>
      <c r="H170" s="165" t="s">
        <v>88</v>
      </c>
      <c r="I170" s="166">
        <v>72.0</v>
      </c>
      <c r="J170" s="167" t="s">
        <v>43</v>
      </c>
      <c r="K170" s="27" t="str">
        <f t="shared" si="2"/>
        <v>OCUPADO</v>
      </c>
      <c r="L170" s="28">
        <f t="shared" si="6"/>
        <v>169</v>
      </c>
      <c r="M170" s="28" t="s">
        <v>23</v>
      </c>
      <c r="N170" s="109"/>
      <c r="O170" s="168" t="s">
        <v>270</v>
      </c>
      <c r="P170" s="12"/>
      <c r="Q170" s="12"/>
      <c r="R170" s="12"/>
      <c r="S170" s="12"/>
      <c r="T170" s="12"/>
      <c r="U170" s="12"/>
      <c r="V170" s="12"/>
      <c r="AB170" s="12"/>
      <c r="AC170" s="12" t="str">
        <f>IFERROR(__xludf.DUMMYFUNCTION("""COMPUTED_VALUE"""),"PATIO-1-13")</f>
        <v>PATIO-1-13</v>
      </c>
      <c r="AD170" s="12" t="str">
        <f>IFERROR(__xludf.DUMMYFUNCTION("""COMPUTED_VALUE"""),"692043")</f>
        <v>692043</v>
      </c>
      <c r="AE170" s="12" t="str">
        <f>IFERROR(__xludf.DUMMYFUNCTION("""COMPUTED_VALUE"""),"CAJA CARTON CORRUGADO 60x60x50 CM ")</f>
        <v>CAJA CARTON CORRUGADO 60x60x50 CM </v>
      </c>
      <c r="AF170" s="30">
        <f>IFERROR(__xludf.DUMMYFUNCTION("""COMPUTED_VALUE"""),150.0)</f>
        <v>150</v>
      </c>
      <c r="AG170" s="12" t="str">
        <f>IFERROR(__xludf.DUMMYFUNCTION("""COMPUTED_VALUE"""),"PROVEEDOR")</f>
        <v>PROVEEDOR</v>
      </c>
      <c r="AH170" s="12"/>
      <c r="AI170" s="12" t="str">
        <f>IFERROR(__xludf.DUMMYFUNCTION("""COMPUTED_VALUE"""),"1")</f>
        <v>1</v>
      </c>
      <c r="AJ170" s="12" t="str">
        <f>IFERROR(__xludf.DUMMYFUNCTION("""COMPUTED_VALUE"""),"13")</f>
        <v>13</v>
      </c>
      <c r="AK170" s="12">
        <f>IFERROR(__xludf.DUMMYFUNCTION("""COMPUTED_VALUE"""),277.0)</f>
        <v>277</v>
      </c>
      <c r="AL170" s="12" t="str">
        <f>IFERROR(__xludf.DUMMYFUNCTION("""COMPUTED_VALUE"""),"SUMMIT")</f>
        <v>SUMMIT</v>
      </c>
      <c r="AM170" s="12"/>
      <c r="AN170" s="12"/>
      <c r="AO170" s="12"/>
      <c r="AP170" s="12"/>
      <c r="AQ170" s="12"/>
      <c r="BC170" s="12"/>
      <c r="BD170" s="12"/>
      <c r="BE170" s="14"/>
      <c r="BF170" s="12"/>
      <c r="BG170" s="12"/>
      <c r="BH170" s="12" t="str">
        <f>IFERROR(__xludf.DUMMYFUNCTION("IFERROR(INDEX(QUERY(IMPORTRANGE(""1T7HG8KEs-Ob7f3M5atEVN9Yn7IeORGp0QGvggB62ELw"",""Maestro!A:I""),""SELECT Col8 WHERE Col3 = '""&amp;BE170&amp;""'"", 0), 1, 1),""NO ENCONTRADO"")"),"")</f>
        <v/>
      </c>
      <c r="BI170" s="12" t="str">
        <f>IFERROR(__xludf.DUMMYFUNCTION("IFERROR(INDEX(QUERY(IMPORTRANGE(""1T7HG8KEs-Ob7f3M5atEVN9Yn7IeORGp0QGvggB62ELw"",""Maestro!A:I""),""SELECT Col7 WHERE Col3 = '""&amp;BE170&amp;""'"", 0), 1, 1),""NO ENCONTRADO"")"),"")</f>
        <v/>
      </c>
      <c r="BJ170" s="16">
        <f t="shared" si="7"/>
        <v>0</v>
      </c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4"/>
      <c r="BX170" s="14"/>
      <c r="BY170" s="14"/>
      <c r="BZ170" s="14"/>
      <c r="CA170" s="14"/>
      <c r="CB170" s="14"/>
      <c r="CC170" s="14"/>
      <c r="CD170" s="14"/>
      <c r="CE170" s="14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</row>
    <row r="171">
      <c r="A171" s="158">
        <v>4.0</v>
      </c>
      <c r="B171" s="159" t="s">
        <v>350</v>
      </c>
      <c r="C171" s="160" t="s">
        <v>277</v>
      </c>
      <c r="D171" s="161" t="str">
        <f t="shared" si="1"/>
        <v>4-13-B</v>
      </c>
      <c r="E171" s="162">
        <v>45730.0</v>
      </c>
      <c r="F171" s="163" t="s">
        <v>773</v>
      </c>
      <c r="G171" s="164" t="s">
        <v>87</v>
      </c>
      <c r="H171" s="165" t="s">
        <v>88</v>
      </c>
      <c r="I171" s="166">
        <v>72.0</v>
      </c>
      <c r="J171" s="167" t="s">
        <v>478</v>
      </c>
      <c r="K171" s="32" t="str">
        <f t="shared" si="2"/>
        <v>OCUPADO</v>
      </c>
      <c r="L171" s="33">
        <f t="shared" si="6"/>
        <v>170</v>
      </c>
      <c r="M171" s="33" t="s">
        <v>23</v>
      </c>
      <c r="N171" s="122"/>
      <c r="O171" s="169" t="s">
        <v>270</v>
      </c>
      <c r="P171" s="12"/>
      <c r="Q171" s="12"/>
      <c r="R171" s="12"/>
      <c r="S171" s="12"/>
      <c r="T171" s="12"/>
      <c r="U171" s="12"/>
      <c r="V171" s="12"/>
      <c r="AB171" s="12"/>
      <c r="AC171" s="12" t="str">
        <f>IFERROR(__xludf.DUMMYFUNCTION("""COMPUTED_VALUE"""),"PATIO-1-14")</f>
        <v>PATIO-1-14</v>
      </c>
      <c r="AD171" s="12" t="str">
        <f>IFERROR(__xludf.DUMMYFUNCTION("""COMPUTED_VALUE"""),"692043")</f>
        <v>692043</v>
      </c>
      <c r="AE171" s="12" t="str">
        <f>IFERROR(__xludf.DUMMYFUNCTION("""COMPUTED_VALUE"""),"CAJA CARTON CORRUGADO 60x60x50 CM ")</f>
        <v>CAJA CARTON CORRUGADO 60x60x50 CM </v>
      </c>
      <c r="AF171" s="30">
        <f>IFERROR(__xludf.DUMMYFUNCTION("""COMPUTED_VALUE"""),150.0)</f>
        <v>150</v>
      </c>
      <c r="AG171" s="12" t="str">
        <f>IFERROR(__xludf.DUMMYFUNCTION("""COMPUTED_VALUE"""),"PROVEEDOR")</f>
        <v>PROVEEDOR</v>
      </c>
      <c r="AH171" s="12"/>
      <c r="AI171" s="12" t="str">
        <f>IFERROR(__xludf.DUMMYFUNCTION("""COMPUTED_VALUE"""),"1")</f>
        <v>1</v>
      </c>
      <c r="AJ171" s="12" t="str">
        <f>IFERROR(__xludf.DUMMYFUNCTION("""COMPUTED_VALUE"""),"14")</f>
        <v>14</v>
      </c>
      <c r="AK171" s="12">
        <f>IFERROR(__xludf.DUMMYFUNCTION("""COMPUTED_VALUE"""),278.0)</f>
        <v>278</v>
      </c>
      <c r="AL171" s="12" t="str">
        <f>IFERROR(__xludf.DUMMYFUNCTION("""COMPUTED_VALUE"""),"SUMMIT")</f>
        <v>SUMMIT</v>
      </c>
      <c r="AM171" s="12"/>
      <c r="AN171" s="12"/>
      <c r="AO171" s="12"/>
      <c r="AP171" s="12"/>
      <c r="AQ171" s="12"/>
      <c r="BC171" s="12"/>
      <c r="BD171" s="12"/>
      <c r="BE171" s="14"/>
      <c r="BF171" s="12"/>
      <c r="BG171" s="12"/>
      <c r="BH171" s="12" t="str">
        <f>IFERROR(__xludf.DUMMYFUNCTION("IFERROR(INDEX(QUERY(IMPORTRANGE(""1T7HG8KEs-Ob7f3M5atEVN9Yn7IeORGp0QGvggB62ELw"",""Maestro!A:I""),""SELECT Col8 WHERE Col3 = '""&amp;BE171&amp;""'"", 0), 1, 1),""NO ENCONTRADO"")"),"")</f>
        <v/>
      </c>
      <c r="BI171" s="12" t="str">
        <f>IFERROR(__xludf.DUMMYFUNCTION("IFERROR(INDEX(QUERY(IMPORTRANGE(""1T7HG8KEs-Ob7f3M5atEVN9Yn7IeORGp0QGvggB62ELw"",""Maestro!A:I""),""SELECT Col7 WHERE Col3 = '""&amp;BE171&amp;""'"", 0), 1, 1),""NO ENCONTRADO"")"),"")</f>
        <v/>
      </c>
      <c r="BJ171" s="16">
        <f t="shared" si="7"/>
        <v>0</v>
      </c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4"/>
      <c r="BX171" s="14"/>
      <c r="BY171" s="14"/>
      <c r="BZ171" s="14"/>
      <c r="CA171" s="14"/>
      <c r="CB171" s="14"/>
      <c r="CC171" s="14"/>
      <c r="CD171" s="14"/>
      <c r="CE171" s="14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</row>
    <row r="172">
      <c r="A172" s="158">
        <v>4.0</v>
      </c>
      <c r="B172" s="159" t="s">
        <v>350</v>
      </c>
      <c r="C172" s="160" t="s">
        <v>282</v>
      </c>
      <c r="D172" s="161" t="str">
        <f t="shared" si="1"/>
        <v>4-13-C</v>
      </c>
      <c r="E172" s="162">
        <v>45730.0</v>
      </c>
      <c r="F172" s="163" t="s">
        <v>771</v>
      </c>
      <c r="G172" s="164" t="s">
        <v>87</v>
      </c>
      <c r="H172" s="165" t="s">
        <v>88</v>
      </c>
      <c r="I172" s="166">
        <v>72.0</v>
      </c>
      <c r="J172" s="167" t="s">
        <v>43</v>
      </c>
      <c r="K172" s="27" t="str">
        <f t="shared" si="2"/>
        <v>OCUPADO</v>
      </c>
      <c r="L172" s="28">
        <f t="shared" si="6"/>
        <v>171</v>
      </c>
      <c r="M172" s="28" t="s">
        <v>23</v>
      </c>
      <c r="N172" s="109"/>
      <c r="O172" s="168" t="s">
        <v>270</v>
      </c>
      <c r="P172" s="12"/>
      <c r="Q172" s="12"/>
      <c r="R172" s="12"/>
      <c r="S172" s="12"/>
      <c r="T172" s="12"/>
      <c r="U172" s="12"/>
      <c r="V172" s="12"/>
      <c r="AB172" s="12"/>
      <c r="AC172" s="12" t="str">
        <f>IFERROR(__xludf.DUMMYFUNCTION("""COMPUTED_VALUE"""),"PATIO-1-15")</f>
        <v>PATIO-1-15</v>
      </c>
      <c r="AD172" s="12" t="str">
        <f>IFERROR(__xludf.DUMMYFUNCTION("""COMPUTED_VALUE"""),"692043")</f>
        <v>692043</v>
      </c>
      <c r="AE172" s="12" t="str">
        <f>IFERROR(__xludf.DUMMYFUNCTION("""COMPUTED_VALUE"""),"CAJA CARTON CORRUGADO 60x60x50 CM ")</f>
        <v>CAJA CARTON CORRUGADO 60x60x50 CM </v>
      </c>
      <c r="AF172" s="30">
        <f>IFERROR(__xludf.DUMMYFUNCTION("""COMPUTED_VALUE"""),150.0)</f>
        <v>150</v>
      </c>
      <c r="AG172" s="12" t="str">
        <f>IFERROR(__xludf.DUMMYFUNCTION("""COMPUTED_VALUE"""),"PROVEEDOR")</f>
        <v>PROVEEDOR</v>
      </c>
      <c r="AH172" s="12"/>
      <c r="AI172" s="12" t="str">
        <f>IFERROR(__xludf.DUMMYFUNCTION("""COMPUTED_VALUE"""),"1")</f>
        <v>1</v>
      </c>
      <c r="AJ172" s="12" t="str">
        <f>IFERROR(__xludf.DUMMYFUNCTION("""COMPUTED_VALUE"""),"15")</f>
        <v>15</v>
      </c>
      <c r="AK172" s="12">
        <f>IFERROR(__xludf.DUMMYFUNCTION("""COMPUTED_VALUE"""),279.0)</f>
        <v>279</v>
      </c>
      <c r="AL172" s="12" t="str">
        <f>IFERROR(__xludf.DUMMYFUNCTION("""COMPUTED_VALUE"""),"SUMMIT")</f>
        <v>SUMMIT</v>
      </c>
      <c r="AM172" s="12"/>
      <c r="AN172" s="12"/>
      <c r="AO172" s="12"/>
      <c r="AP172" s="12"/>
      <c r="AQ172" s="12"/>
      <c r="BC172" s="12"/>
      <c r="BD172" s="12"/>
      <c r="BE172" s="14"/>
      <c r="BF172" s="12"/>
      <c r="BG172" s="12"/>
      <c r="BH172" s="12" t="str">
        <f>IFERROR(__xludf.DUMMYFUNCTION("IFERROR(INDEX(QUERY(IMPORTRANGE(""1T7HG8KEs-Ob7f3M5atEVN9Yn7IeORGp0QGvggB62ELw"",""Maestro!A:I""),""SELECT Col8 WHERE Col3 = '""&amp;BE172&amp;""'"", 0), 1, 1),""NO ENCONTRADO"")"),"")</f>
        <v/>
      </c>
      <c r="BI172" s="12" t="str">
        <f>IFERROR(__xludf.DUMMYFUNCTION("IFERROR(INDEX(QUERY(IMPORTRANGE(""1T7HG8KEs-Ob7f3M5atEVN9Yn7IeORGp0QGvggB62ELw"",""Maestro!A:I""),""SELECT Col7 WHERE Col3 = '""&amp;BE172&amp;""'"", 0), 1, 1),""NO ENCONTRADO"")"),"")</f>
        <v/>
      </c>
      <c r="BJ172" s="16">
        <f t="shared" si="7"/>
        <v>0</v>
      </c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4"/>
      <c r="BX172" s="14"/>
      <c r="BY172" s="14"/>
      <c r="BZ172" s="14"/>
      <c r="CA172" s="14"/>
      <c r="CB172" s="14"/>
      <c r="CC172" s="14"/>
      <c r="CD172" s="14"/>
      <c r="CE172" s="14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</row>
    <row r="173">
      <c r="A173" s="158">
        <v>4.0</v>
      </c>
      <c r="B173" s="159" t="s">
        <v>350</v>
      </c>
      <c r="C173" s="160" t="s">
        <v>285</v>
      </c>
      <c r="D173" s="161" t="str">
        <f t="shared" si="1"/>
        <v>4-13-D</v>
      </c>
      <c r="E173" s="162">
        <v>45730.0</v>
      </c>
      <c r="F173" s="163" t="s">
        <v>771</v>
      </c>
      <c r="G173" s="164" t="s">
        <v>87</v>
      </c>
      <c r="H173" s="165" t="s">
        <v>88</v>
      </c>
      <c r="I173" s="166">
        <v>38.0</v>
      </c>
      <c r="J173" s="167" t="s">
        <v>43</v>
      </c>
      <c r="K173" s="32" t="str">
        <f t="shared" si="2"/>
        <v>OCUPADO</v>
      </c>
      <c r="L173" s="33">
        <f t="shared" si="6"/>
        <v>172</v>
      </c>
      <c r="M173" s="33" t="s">
        <v>23</v>
      </c>
      <c r="N173" s="122"/>
      <c r="O173" s="169" t="s">
        <v>270</v>
      </c>
      <c r="P173" s="12"/>
      <c r="Q173" s="12"/>
      <c r="R173" s="12"/>
      <c r="S173" s="12"/>
      <c r="T173" s="12"/>
      <c r="U173" s="12"/>
      <c r="V173" s="12"/>
      <c r="AB173" s="12"/>
      <c r="AC173" s="12" t="str">
        <f>IFERROR(__xludf.DUMMYFUNCTION("""COMPUTED_VALUE"""),"PATIO-1-19")</f>
        <v>PATIO-1-19</v>
      </c>
      <c r="AD173" s="12" t="str">
        <f>IFERROR(__xludf.DUMMYFUNCTION("""COMPUTED_VALUE"""),"692043")</f>
        <v>692043</v>
      </c>
      <c r="AE173" s="12" t="str">
        <f>IFERROR(__xludf.DUMMYFUNCTION("""COMPUTED_VALUE"""),"CAJA CARTON CORRUGADO 60x60x50 CM ")</f>
        <v>CAJA CARTON CORRUGADO 60x60x50 CM </v>
      </c>
      <c r="AF173" s="30">
        <f>IFERROR(__xludf.DUMMYFUNCTION("""COMPUTED_VALUE"""),150.0)</f>
        <v>150</v>
      </c>
      <c r="AG173" s="12" t="str">
        <f>IFERROR(__xludf.DUMMYFUNCTION("""COMPUTED_VALUE"""),"PROVEEDOR")</f>
        <v>PROVEEDOR</v>
      </c>
      <c r="AH173" s="12"/>
      <c r="AI173" s="12" t="str">
        <f>IFERROR(__xludf.DUMMYFUNCTION("""COMPUTED_VALUE"""),"1")</f>
        <v>1</v>
      </c>
      <c r="AJ173" s="12" t="str">
        <f>IFERROR(__xludf.DUMMYFUNCTION("""COMPUTED_VALUE"""),"19")</f>
        <v>19</v>
      </c>
      <c r="AK173" s="12">
        <f>IFERROR(__xludf.DUMMYFUNCTION("""COMPUTED_VALUE"""),279.0)</f>
        <v>279</v>
      </c>
      <c r="AL173" s="12" t="str">
        <f>IFERROR(__xludf.DUMMYFUNCTION("""COMPUTED_VALUE"""),"SUMMIT")</f>
        <v>SUMMIT</v>
      </c>
      <c r="AM173" s="12"/>
      <c r="AN173" s="12"/>
      <c r="AO173" s="12"/>
      <c r="AP173" s="12"/>
      <c r="AQ173" s="12"/>
      <c r="BC173" s="12"/>
      <c r="BD173" s="12"/>
      <c r="BE173" s="14"/>
      <c r="BF173" s="12"/>
      <c r="BG173" s="12"/>
      <c r="BH173" s="12" t="str">
        <f>IFERROR(__xludf.DUMMYFUNCTION("IFERROR(INDEX(QUERY(IMPORTRANGE(""1T7HG8KEs-Ob7f3M5atEVN9Yn7IeORGp0QGvggB62ELw"",""Maestro!A:I""),""SELECT Col8 WHERE Col3 = '""&amp;BE173&amp;""'"", 0), 1, 1),""NO ENCONTRADO"")"),"")</f>
        <v/>
      </c>
      <c r="BI173" s="12" t="str">
        <f>IFERROR(__xludf.DUMMYFUNCTION("IFERROR(INDEX(QUERY(IMPORTRANGE(""1T7HG8KEs-Ob7f3M5atEVN9Yn7IeORGp0QGvggB62ELw"",""Maestro!A:I""),""SELECT Col7 WHERE Col3 = '""&amp;BE173&amp;""'"", 0), 1, 1),""NO ENCONTRADO"")"),"")</f>
        <v/>
      </c>
      <c r="BJ173" s="16">
        <f t="shared" si="7"/>
        <v>0</v>
      </c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4"/>
      <c r="BX173" s="14"/>
      <c r="BY173" s="14"/>
      <c r="BZ173" s="14"/>
      <c r="CA173" s="14"/>
      <c r="CB173" s="14"/>
      <c r="CC173" s="14"/>
      <c r="CD173" s="14"/>
      <c r="CE173" s="14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</row>
    <row r="174">
      <c r="A174" s="158">
        <v>4.0</v>
      </c>
      <c r="B174" s="159" t="s">
        <v>362</v>
      </c>
      <c r="C174" s="160" t="s">
        <v>269</v>
      </c>
      <c r="D174" s="161" t="str">
        <f t="shared" si="1"/>
        <v>4-14-A</v>
      </c>
      <c r="E174" s="162">
        <v>45721.0</v>
      </c>
      <c r="F174" s="163" t="s">
        <v>770</v>
      </c>
      <c r="G174" s="164" t="s">
        <v>80</v>
      </c>
      <c r="H174" s="165" t="s">
        <v>81</v>
      </c>
      <c r="I174" s="166">
        <v>30.0</v>
      </c>
      <c r="J174" s="167" t="s">
        <v>43</v>
      </c>
      <c r="K174" s="27" t="str">
        <f t="shared" si="2"/>
        <v>OCUPADO</v>
      </c>
      <c r="L174" s="28">
        <f t="shared" si="6"/>
        <v>173</v>
      </c>
      <c r="M174" s="28" t="s">
        <v>23</v>
      </c>
      <c r="N174" s="109"/>
      <c r="O174" s="168" t="s">
        <v>270</v>
      </c>
      <c r="P174" s="12"/>
      <c r="Q174" s="12"/>
      <c r="R174" s="12"/>
      <c r="S174" s="12"/>
      <c r="T174" s="12"/>
      <c r="U174" s="12"/>
      <c r="V174" s="12"/>
      <c r="AB174" s="12"/>
      <c r="AC174" s="12" t="str">
        <f>IFERROR(__xludf.DUMMYFUNCTION("""COMPUTED_VALUE"""),"PATIO-1-16")</f>
        <v>PATIO-1-16</v>
      </c>
      <c r="AD174" s="12" t="str">
        <f>IFERROR(__xludf.DUMMYFUNCTION("""COMPUTED_VALUE"""),"692043")</f>
        <v>692043</v>
      </c>
      <c r="AE174" s="12" t="str">
        <f>IFERROR(__xludf.DUMMYFUNCTION("""COMPUTED_VALUE"""),"CAJA CARTON CORRUGADO 60x60x50 CM ")</f>
        <v>CAJA CARTON CORRUGADO 60x60x50 CM </v>
      </c>
      <c r="AF174" s="30">
        <f>IFERROR(__xludf.DUMMYFUNCTION("""COMPUTED_VALUE"""),150.0)</f>
        <v>150</v>
      </c>
      <c r="AG174" s="12" t="str">
        <f>IFERROR(__xludf.DUMMYFUNCTION("""COMPUTED_VALUE"""),"PROVEEDOR")</f>
        <v>PROVEEDOR</v>
      </c>
      <c r="AH174" s="12"/>
      <c r="AI174" s="12" t="str">
        <f>IFERROR(__xludf.DUMMYFUNCTION("""COMPUTED_VALUE"""),"1")</f>
        <v>1</v>
      </c>
      <c r="AJ174" s="12" t="str">
        <f>IFERROR(__xludf.DUMMYFUNCTION("""COMPUTED_VALUE"""),"16")</f>
        <v>16</v>
      </c>
      <c r="AK174" s="12">
        <f>IFERROR(__xludf.DUMMYFUNCTION("""COMPUTED_VALUE"""),280.0)</f>
        <v>280</v>
      </c>
      <c r="AL174" s="12" t="str">
        <f>IFERROR(__xludf.DUMMYFUNCTION("""COMPUTED_VALUE"""),"SUMMIT")</f>
        <v>SUMMIT</v>
      </c>
      <c r="AM174" s="12"/>
      <c r="AN174" s="12"/>
      <c r="AO174" s="12"/>
      <c r="AP174" s="12"/>
      <c r="AQ174" s="12"/>
      <c r="BC174" s="12"/>
      <c r="BD174" s="12"/>
      <c r="BE174" s="14"/>
      <c r="BF174" s="12"/>
      <c r="BG174" s="12"/>
      <c r="BH174" s="12" t="str">
        <f>IFERROR(__xludf.DUMMYFUNCTION("IFERROR(INDEX(QUERY(IMPORTRANGE(""1T7HG8KEs-Ob7f3M5atEVN9Yn7IeORGp0QGvggB62ELw"",""Maestro!A:I""),""SELECT Col8 WHERE Col3 = '""&amp;BE174&amp;""'"", 0), 1, 1),""NO ENCONTRADO"")"),"")</f>
        <v/>
      </c>
      <c r="BI174" s="12" t="str">
        <f>IFERROR(__xludf.DUMMYFUNCTION("IFERROR(INDEX(QUERY(IMPORTRANGE(""1T7HG8KEs-Ob7f3M5atEVN9Yn7IeORGp0QGvggB62ELw"",""Maestro!A:I""),""SELECT Col7 WHERE Col3 = '""&amp;BE174&amp;""'"", 0), 1, 1),""NO ENCONTRADO"")"),"")</f>
        <v/>
      </c>
      <c r="BJ174" s="16">
        <f t="shared" si="7"/>
        <v>0</v>
      </c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4"/>
      <c r="BX174" s="14"/>
      <c r="BY174" s="14"/>
      <c r="BZ174" s="14"/>
      <c r="CA174" s="14"/>
      <c r="CB174" s="14"/>
      <c r="CC174" s="14"/>
      <c r="CD174" s="14"/>
      <c r="CE174" s="14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</row>
    <row r="175">
      <c r="A175" s="158">
        <v>4.0</v>
      </c>
      <c r="B175" s="159" t="s">
        <v>362</v>
      </c>
      <c r="C175" s="160" t="s">
        <v>277</v>
      </c>
      <c r="D175" s="161" t="str">
        <f t="shared" si="1"/>
        <v>4-14-B</v>
      </c>
      <c r="E175" s="103"/>
      <c r="F175" s="104"/>
      <c r="G175" s="105"/>
      <c r="H175" s="106"/>
      <c r="I175" s="107"/>
      <c r="J175" s="108"/>
      <c r="K175" s="32" t="str">
        <f t="shared" si="2"/>
        <v>DISPONIBLE</v>
      </c>
      <c r="L175" s="33">
        <f t="shared" si="6"/>
        <v>174</v>
      </c>
      <c r="M175" s="33" t="s">
        <v>23</v>
      </c>
      <c r="N175" s="122"/>
      <c r="O175" s="169"/>
      <c r="P175" s="12"/>
      <c r="Q175" s="12"/>
      <c r="R175" s="12"/>
      <c r="S175" s="12"/>
      <c r="T175" s="12"/>
      <c r="U175" s="12"/>
      <c r="V175" s="12"/>
      <c r="AB175" s="12"/>
      <c r="AC175" s="12" t="str">
        <f>IFERROR(__xludf.DUMMYFUNCTION("""COMPUTED_VALUE"""),"PATIO-1-20")</f>
        <v>PATIO-1-20</v>
      </c>
      <c r="AD175" s="12" t="str">
        <f>IFERROR(__xludf.DUMMYFUNCTION("""COMPUTED_VALUE"""),"692043")</f>
        <v>692043</v>
      </c>
      <c r="AE175" s="12" t="str">
        <f>IFERROR(__xludf.DUMMYFUNCTION("""COMPUTED_VALUE"""),"CAJA CARTON CORRUGADO 60x60x50 CM ")</f>
        <v>CAJA CARTON CORRUGADO 60x60x50 CM </v>
      </c>
      <c r="AF175" s="30">
        <f>IFERROR(__xludf.DUMMYFUNCTION("""COMPUTED_VALUE"""),150.0)</f>
        <v>150</v>
      </c>
      <c r="AG175" s="12" t="str">
        <f>IFERROR(__xludf.DUMMYFUNCTION("""COMPUTED_VALUE"""),"PROVEEDOR")</f>
        <v>PROVEEDOR</v>
      </c>
      <c r="AH175" s="12"/>
      <c r="AI175" s="12" t="str">
        <f>IFERROR(__xludf.DUMMYFUNCTION("""COMPUTED_VALUE"""),"1")</f>
        <v>1</v>
      </c>
      <c r="AJ175" s="12" t="str">
        <f>IFERROR(__xludf.DUMMYFUNCTION("""COMPUTED_VALUE"""),"20")</f>
        <v>20</v>
      </c>
      <c r="AK175" s="12">
        <f>IFERROR(__xludf.DUMMYFUNCTION("""COMPUTED_VALUE"""),280.0)</f>
        <v>280</v>
      </c>
      <c r="AL175" s="12" t="str">
        <f>IFERROR(__xludf.DUMMYFUNCTION("""COMPUTED_VALUE"""),"SUMMIT")</f>
        <v>SUMMIT</v>
      </c>
      <c r="AM175" s="12"/>
      <c r="AN175" s="12"/>
      <c r="AO175" s="12"/>
      <c r="AP175" s="12"/>
      <c r="AQ175" s="12"/>
      <c r="BC175" s="12"/>
      <c r="BD175" s="12"/>
      <c r="BE175" s="14"/>
      <c r="BF175" s="12"/>
      <c r="BG175" s="12"/>
      <c r="BH175" s="12" t="str">
        <f>IFERROR(__xludf.DUMMYFUNCTION("IFERROR(INDEX(QUERY(IMPORTRANGE(""1T7HG8KEs-Ob7f3M5atEVN9Yn7IeORGp0QGvggB62ELw"",""Maestro!A:I""),""SELECT Col8 WHERE Col3 = '""&amp;BE175&amp;""'"", 0), 1, 1),""NO ENCONTRADO"")"),"")</f>
        <v/>
      </c>
      <c r="BI175" s="12" t="str">
        <f>IFERROR(__xludf.DUMMYFUNCTION("IFERROR(INDEX(QUERY(IMPORTRANGE(""1T7HG8KEs-Ob7f3M5atEVN9Yn7IeORGp0QGvggB62ELw"",""Maestro!A:I""),""SELECT Col7 WHERE Col3 = '""&amp;BE175&amp;""'"", 0), 1, 1),""NO ENCONTRADO"")"),"")</f>
        <v/>
      </c>
      <c r="BJ175" s="16">
        <f t="shared" si="7"/>
        <v>0</v>
      </c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4"/>
      <c r="BX175" s="14"/>
      <c r="BY175" s="14"/>
      <c r="BZ175" s="14"/>
      <c r="CA175" s="14"/>
      <c r="CB175" s="14"/>
      <c r="CC175" s="14"/>
      <c r="CD175" s="14"/>
      <c r="CE175" s="14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</row>
    <row r="176">
      <c r="A176" s="158">
        <v>4.0</v>
      </c>
      <c r="B176" s="159" t="s">
        <v>362</v>
      </c>
      <c r="C176" s="160" t="s">
        <v>282</v>
      </c>
      <c r="D176" s="161" t="str">
        <f t="shared" si="1"/>
        <v>4-14-C</v>
      </c>
      <c r="E176" s="103"/>
      <c r="F176" s="104"/>
      <c r="G176" s="105"/>
      <c r="H176" s="106"/>
      <c r="I176" s="107"/>
      <c r="J176" s="108"/>
      <c r="K176" s="27" t="str">
        <f t="shared" si="2"/>
        <v>DISPONIBLE</v>
      </c>
      <c r="L176" s="28">
        <f t="shared" si="6"/>
        <v>175</v>
      </c>
      <c r="M176" s="28" t="s">
        <v>23</v>
      </c>
      <c r="N176" s="109"/>
      <c r="O176" s="168"/>
      <c r="P176" s="12"/>
      <c r="Q176" s="12"/>
      <c r="R176" s="12"/>
      <c r="S176" s="12"/>
      <c r="T176" s="12"/>
      <c r="U176" s="12"/>
      <c r="V176" s="12"/>
      <c r="AB176" s="12"/>
      <c r="AC176" s="12" t="str">
        <f>IFERROR(__xludf.DUMMYFUNCTION("""COMPUTED_VALUE"""),"PATIO-1-17")</f>
        <v>PATIO-1-17</v>
      </c>
      <c r="AD176" s="12" t="str">
        <f>IFERROR(__xludf.DUMMYFUNCTION("""COMPUTED_VALUE"""),"692043")</f>
        <v>692043</v>
      </c>
      <c r="AE176" s="12" t="str">
        <f>IFERROR(__xludf.DUMMYFUNCTION("""COMPUTED_VALUE"""),"CAJA CARTON CORRUGADO 60x60x50 CM ")</f>
        <v>CAJA CARTON CORRUGADO 60x60x50 CM </v>
      </c>
      <c r="AF176" s="30">
        <f>IFERROR(__xludf.DUMMYFUNCTION("""COMPUTED_VALUE"""),150.0)</f>
        <v>150</v>
      </c>
      <c r="AG176" s="12" t="str">
        <f>IFERROR(__xludf.DUMMYFUNCTION("""COMPUTED_VALUE"""),"PROVEEDOR")</f>
        <v>PROVEEDOR</v>
      </c>
      <c r="AH176" s="12"/>
      <c r="AI176" s="12" t="str">
        <f>IFERROR(__xludf.DUMMYFUNCTION("""COMPUTED_VALUE"""),"1")</f>
        <v>1</v>
      </c>
      <c r="AJ176" s="12" t="str">
        <f>IFERROR(__xludf.DUMMYFUNCTION("""COMPUTED_VALUE"""),"17")</f>
        <v>17</v>
      </c>
      <c r="AK176" s="12">
        <f>IFERROR(__xludf.DUMMYFUNCTION("""COMPUTED_VALUE"""),281.0)</f>
        <v>281</v>
      </c>
      <c r="AL176" s="12" t="str">
        <f>IFERROR(__xludf.DUMMYFUNCTION("""COMPUTED_VALUE"""),"SUMMIT")</f>
        <v>SUMMIT</v>
      </c>
      <c r="AM176" s="12"/>
      <c r="AN176" s="12"/>
      <c r="AO176" s="12"/>
      <c r="AP176" s="12"/>
      <c r="AQ176" s="12"/>
      <c r="BC176" s="12"/>
      <c r="BD176" s="12"/>
      <c r="BE176" s="14"/>
      <c r="BF176" s="12"/>
      <c r="BG176" s="12"/>
      <c r="BH176" s="12" t="str">
        <f>IFERROR(__xludf.DUMMYFUNCTION("IFERROR(INDEX(QUERY(IMPORTRANGE(""1T7HG8KEs-Ob7f3M5atEVN9Yn7IeORGp0QGvggB62ELw"",""Maestro!A:I""),""SELECT Col8 WHERE Col3 = '""&amp;BE176&amp;""'"", 0), 1, 1),""NO ENCONTRADO"")"),"")</f>
        <v/>
      </c>
      <c r="BI176" s="12" t="str">
        <f>IFERROR(__xludf.DUMMYFUNCTION("IFERROR(INDEX(QUERY(IMPORTRANGE(""1T7HG8KEs-Ob7f3M5atEVN9Yn7IeORGp0QGvggB62ELw"",""Maestro!A:I""),""SELECT Col7 WHERE Col3 = '""&amp;BE176&amp;""'"", 0), 1, 1),""NO ENCONTRADO"")"),"")</f>
        <v/>
      </c>
      <c r="BJ176" s="16">
        <f t="shared" si="7"/>
        <v>0</v>
      </c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4"/>
      <c r="BX176" s="14"/>
      <c r="BY176" s="14"/>
      <c r="BZ176" s="14"/>
      <c r="CA176" s="14"/>
      <c r="CB176" s="14"/>
      <c r="CC176" s="14"/>
      <c r="CD176" s="14"/>
      <c r="CE176" s="14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</row>
    <row r="177">
      <c r="A177" s="158">
        <v>4.0</v>
      </c>
      <c r="B177" s="159" t="s">
        <v>362</v>
      </c>
      <c r="C177" s="160" t="s">
        <v>285</v>
      </c>
      <c r="D177" s="161" t="str">
        <f t="shared" si="1"/>
        <v>4-14-D</v>
      </c>
      <c r="E177" s="103"/>
      <c r="F177" s="104"/>
      <c r="G177" s="315"/>
      <c r="H177" s="106"/>
      <c r="I177" s="107"/>
      <c r="J177" s="108"/>
      <c r="K177" s="32" t="str">
        <f t="shared" si="2"/>
        <v>DISPONIBLE</v>
      </c>
      <c r="L177" s="33">
        <f t="shared" si="6"/>
        <v>176</v>
      </c>
      <c r="M177" s="33" t="s">
        <v>23</v>
      </c>
      <c r="N177" s="122"/>
      <c r="O177" s="169"/>
      <c r="P177" s="12"/>
      <c r="Q177" s="12"/>
      <c r="R177" s="12"/>
      <c r="S177" s="12"/>
      <c r="T177" s="12"/>
      <c r="U177" s="12"/>
      <c r="V177" s="12"/>
      <c r="AB177" s="12"/>
      <c r="AC177" s="12" t="str">
        <f>IFERROR(__xludf.DUMMYFUNCTION("""COMPUTED_VALUE"""),"PATIO-1-21")</f>
        <v>PATIO-1-21</v>
      </c>
      <c r="AD177" s="12" t="str">
        <f>IFERROR(__xludf.DUMMYFUNCTION("""COMPUTED_VALUE"""),"692043")</f>
        <v>692043</v>
      </c>
      <c r="AE177" s="12" t="str">
        <f>IFERROR(__xludf.DUMMYFUNCTION("""COMPUTED_VALUE"""),"CAJA CARTON CORRUGADO 60x60x50 CM ")</f>
        <v>CAJA CARTON CORRUGADO 60x60x50 CM </v>
      </c>
      <c r="AF177" s="30">
        <f>IFERROR(__xludf.DUMMYFUNCTION("""COMPUTED_VALUE"""),93.0)</f>
        <v>93</v>
      </c>
      <c r="AG177" s="12" t="str">
        <f>IFERROR(__xludf.DUMMYFUNCTION("""COMPUTED_VALUE"""),"PROVEEDOR")</f>
        <v>PROVEEDOR</v>
      </c>
      <c r="AH177" s="12"/>
      <c r="AI177" s="12" t="str">
        <f>IFERROR(__xludf.DUMMYFUNCTION("""COMPUTED_VALUE"""),"1")</f>
        <v>1</v>
      </c>
      <c r="AJ177" s="12" t="str">
        <f>IFERROR(__xludf.DUMMYFUNCTION("""COMPUTED_VALUE"""),"21")</f>
        <v>21</v>
      </c>
      <c r="AK177" s="12">
        <f>IFERROR(__xludf.DUMMYFUNCTION("""COMPUTED_VALUE"""),281.0)</f>
        <v>281</v>
      </c>
      <c r="AL177" s="12" t="str">
        <f>IFERROR(__xludf.DUMMYFUNCTION("""COMPUTED_VALUE"""),"SUMMIT")</f>
        <v>SUMMIT</v>
      </c>
      <c r="AM177" s="12"/>
      <c r="AN177" s="12"/>
      <c r="AO177" s="12"/>
      <c r="AP177" s="12"/>
      <c r="AQ177" s="12"/>
      <c r="BC177" s="12"/>
      <c r="BD177" s="12"/>
      <c r="BE177" s="14"/>
      <c r="BF177" s="12"/>
      <c r="BG177" s="12"/>
      <c r="BH177" s="12" t="str">
        <f>IFERROR(__xludf.DUMMYFUNCTION("IFERROR(INDEX(QUERY(IMPORTRANGE(""1T7HG8KEs-Ob7f3M5atEVN9Yn7IeORGp0QGvggB62ELw"",""Maestro!A:I""),""SELECT Col8 WHERE Col3 = '""&amp;BE177&amp;""'"", 0), 1, 1),""NO ENCONTRADO"")"),"")</f>
        <v/>
      </c>
      <c r="BI177" s="12" t="str">
        <f>IFERROR(__xludf.DUMMYFUNCTION("IFERROR(INDEX(QUERY(IMPORTRANGE(""1T7HG8KEs-Ob7f3M5atEVN9Yn7IeORGp0QGvggB62ELw"",""Maestro!A:I""),""SELECT Col7 WHERE Col3 = '""&amp;BE177&amp;""'"", 0), 1, 1),""NO ENCONTRADO"")"),"")</f>
        <v/>
      </c>
      <c r="BJ177" s="16">
        <f t="shared" si="7"/>
        <v>0</v>
      </c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4"/>
      <c r="BX177" s="14"/>
      <c r="BY177" s="14"/>
      <c r="BZ177" s="14"/>
      <c r="CA177" s="14"/>
      <c r="CB177" s="14"/>
      <c r="CC177" s="14"/>
      <c r="CD177" s="14"/>
      <c r="CE177" s="14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</row>
    <row r="178">
      <c r="A178" s="158">
        <v>4.0</v>
      </c>
      <c r="B178" s="159" t="s">
        <v>372</v>
      </c>
      <c r="C178" s="160" t="s">
        <v>269</v>
      </c>
      <c r="D178" s="161" t="str">
        <f t="shared" si="1"/>
        <v>4-15-A</v>
      </c>
      <c r="E178" s="162">
        <v>45721.0</v>
      </c>
      <c r="F178" s="163" t="s">
        <v>770</v>
      </c>
      <c r="G178" s="164" t="s">
        <v>80</v>
      </c>
      <c r="H178" s="165" t="s">
        <v>81</v>
      </c>
      <c r="I178" s="166">
        <v>80.0</v>
      </c>
      <c r="J178" s="167" t="s">
        <v>43</v>
      </c>
      <c r="K178" s="27" t="str">
        <f t="shared" si="2"/>
        <v>OCUPADO</v>
      </c>
      <c r="L178" s="28">
        <f t="shared" si="6"/>
        <v>177</v>
      </c>
      <c r="M178" s="28" t="s">
        <v>23</v>
      </c>
      <c r="N178" s="109"/>
      <c r="O178" s="168" t="s">
        <v>270</v>
      </c>
      <c r="P178" s="12"/>
      <c r="Q178" s="12"/>
      <c r="R178" s="12"/>
      <c r="S178" s="12"/>
      <c r="T178" s="12"/>
      <c r="U178" s="12"/>
      <c r="V178" s="12"/>
      <c r="AB178" s="12"/>
      <c r="AC178" s="12" t="str">
        <f>IFERROR(__xludf.DUMMYFUNCTION("""COMPUTED_VALUE"""),"PATIO-1-24")</f>
        <v>PATIO-1-24</v>
      </c>
      <c r="AD178" s="12" t="str">
        <f>IFERROR(__xludf.DUMMYFUNCTION("""COMPUTED_VALUE"""),"692043")</f>
        <v>692043</v>
      </c>
      <c r="AE178" s="12" t="str">
        <f>IFERROR(__xludf.DUMMYFUNCTION("""COMPUTED_VALUE"""),"CAJA CARTON CORRUGADO 60x60x50 CM ")</f>
        <v>CAJA CARTON CORRUGADO 60x60x50 CM </v>
      </c>
      <c r="AF178" s="30">
        <f>IFERROR(__xludf.DUMMYFUNCTION("""COMPUTED_VALUE"""),150.0)</f>
        <v>150</v>
      </c>
      <c r="AG178" s="12" t="str">
        <f>IFERROR(__xludf.DUMMYFUNCTION("""COMPUTED_VALUE"""),"PROVEEDOR")</f>
        <v>PROVEEDOR</v>
      </c>
      <c r="AH178" s="12"/>
      <c r="AI178" s="12" t="str">
        <f>IFERROR(__xludf.DUMMYFUNCTION("""COMPUTED_VALUE"""),"1")</f>
        <v>1</v>
      </c>
      <c r="AJ178" s="12" t="str">
        <f>IFERROR(__xludf.DUMMYFUNCTION("""COMPUTED_VALUE"""),"24")</f>
        <v>24</v>
      </c>
      <c r="AK178" s="12">
        <f>IFERROR(__xludf.DUMMYFUNCTION("""COMPUTED_VALUE"""),281.0)</f>
        <v>281</v>
      </c>
      <c r="AL178" s="12" t="str">
        <f>IFERROR(__xludf.DUMMYFUNCTION("""COMPUTED_VALUE"""),"SUMMIT")</f>
        <v>SUMMIT</v>
      </c>
      <c r="AM178" s="12"/>
      <c r="AN178" s="12"/>
      <c r="AO178" s="12"/>
      <c r="AP178" s="12"/>
      <c r="AQ178" s="12"/>
      <c r="BC178" s="12"/>
      <c r="BD178" s="12"/>
      <c r="BE178" s="14"/>
      <c r="BF178" s="12"/>
      <c r="BG178" s="12"/>
      <c r="BH178" s="12" t="str">
        <f>IFERROR(__xludf.DUMMYFUNCTION("IFERROR(INDEX(QUERY(IMPORTRANGE(""1T7HG8KEs-Ob7f3M5atEVN9Yn7IeORGp0QGvggB62ELw"",""Maestro!A:I""),""SELECT Col8 WHERE Col3 = '""&amp;BE178&amp;""'"", 0), 1, 1),""NO ENCONTRADO"")"),"")</f>
        <v/>
      </c>
      <c r="BI178" s="12" t="str">
        <f>IFERROR(__xludf.DUMMYFUNCTION("IFERROR(INDEX(QUERY(IMPORTRANGE(""1T7HG8KEs-Ob7f3M5atEVN9Yn7IeORGp0QGvggB62ELw"",""Maestro!A:I""),""SELECT Col7 WHERE Col3 = '""&amp;BE178&amp;""'"", 0), 1, 1),""NO ENCONTRADO"")"),"")</f>
        <v/>
      </c>
      <c r="BJ178" s="16">
        <f t="shared" si="7"/>
        <v>0</v>
      </c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4"/>
      <c r="BX178" s="14"/>
      <c r="BY178" s="14"/>
      <c r="BZ178" s="14"/>
      <c r="CA178" s="14"/>
      <c r="CB178" s="14"/>
      <c r="CC178" s="14"/>
      <c r="CD178" s="14"/>
      <c r="CE178" s="14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</row>
    <row r="179">
      <c r="A179" s="158">
        <v>4.0</v>
      </c>
      <c r="B179" s="159" t="s">
        <v>372</v>
      </c>
      <c r="C179" s="160" t="s">
        <v>277</v>
      </c>
      <c r="D179" s="161" t="str">
        <f t="shared" si="1"/>
        <v>4-15-B</v>
      </c>
      <c r="E179" s="162">
        <v>45721.0</v>
      </c>
      <c r="F179" s="163" t="s">
        <v>770</v>
      </c>
      <c r="G179" s="164" t="s">
        <v>80</v>
      </c>
      <c r="H179" s="165" t="s">
        <v>81</v>
      </c>
      <c r="I179" s="166">
        <v>80.0</v>
      </c>
      <c r="J179" s="167" t="s">
        <v>43</v>
      </c>
      <c r="K179" s="32" t="str">
        <f t="shared" si="2"/>
        <v>OCUPADO</v>
      </c>
      <c r="L179" s="33">
        <f t="shared" si="6"/>
        <v>178</v>
      </c>
      <c r="M179" s="33" t="s">
        <v>23</v>
      </c>
      <c r="N179" s="122"/>
      <c r="O179" s="169" t="s">
        <v>270</v>
      </c>
      <c r="P179" s="12"/>
      <c r="Q179" s="12"/>
      <c r="R179" s="12"/>
      <c r="S179" s="12"/>
      <c r="T179" s="12"/>
      <c r="U179" s="12"/>
      <c r="V179" s="12"/>
      <c r="AB179" s="12"/>
      <c r="AC179" s="12" t="str">
        <f>IFERROR(__xludf.DUMMYFUNCTION("""COMPUTED_VALUE"""),"R-8-B1")</f>
        <v>R-8-B1</v>
      </c>
      <c r="AD179" s="12" t="str">
        <f>IFERROR(__xludf.DUMMYFUNCTION("""COMPUTED_VALUE"""),"PPME")</f>
        <v>PPME</v>
      </c>
      <c r="AE179" s="12" t="str">
        <f>IFERROR(__xludf.DUMMYFUNCTION("""COMPUTED_VALUE"""),"Sandwichera Panini Master Edition")</f>
        <v>Sandwichera Panini Master Edition</v>
      </c>
      <c r="AF179" s="30">
        <f>IFERROR(__xludf.DUMMYFUNCTION("""COMPUTED_VALUE"""),6.0)</f>
        <v>6</v>
      </c>
      <c r="AG179" s="12" t="str">
        <f>IFERROR(__xludf.DUMMYFUNCTION("""COMPUTED_VALUE"""),"Devoluciones")</f>
        <v>Devoluciones</v>
      </c>
      <c r="AH179" s="12"/>
      <c r="AI179" s="12" t="str">
        <f>IFERROR(__xludf.DUMMYFUNCTION("""COMPUTED_VALUE"""),"8")</f>
        <v>8</v>
      </c>
      <c r="AJ179" s="12" t="str">
        <f>IFERROR(__xludf.DUMMYFUNCTION("""COMPUTED_VALUE"""),"B1")</f>
        <v>B1</v>
      </c>
      <c r="AK179" s="12">
        <f>IFERROR(__xludf.DUMMYFUNCTION("""COMPUTED_VALUE"""),281.0)</f>
        <v>281</v>
      </c>
      <c r="AL179" s="12" t="str">
        <f>IFERROR(__xludf.DUMMYFUNCTION("""COMPUTED_VALUE"""),"KITCHEN-IT")</f>
        <v>KITCHEN-IT</v>
      </c>
      <c r="AM179" s="12"/>
      <c r="AN179" s="12"/>
      <c r="AO179" s="12"/>
      <c r="AP179" s="12"/>
      <c r="AQ179" s="12"/>
      <c r="BC179" s="12"/>
      <c r="BD179" s="12"/>
      <c r="BE179" s="14"/>
      <c r="BF179" s="12"/>
      <c r="BG179" s="12"/>
      <c r="BH179" s="12" t="str">
        <f>IFERROR(__xludf.DUMMYFUNCTION("IFERROR(INDEX(QUERY(IMPORTRANGE(""1T7HG8KEs-Ob7f3M5atEVN9Yn7IeORGp0QGvggB62ELw"",""Maestro!A:I""),""SELECT Col8 WHERE Col3 = '""&amp;BE179&amp;""'"", 0), 1, 1),""NO ENCONTRADO"")"),"")</f>
        <v/>
      </c>
      <c r="BI179" s="12" t="str">
        <f>IFERROR(__xludf.DUMMYFUNCTION("IFERROR(INDEX(QUERY(IMPORTRANGE(""1T7HG8KEs-Ob7f3M5atEVN9Yn7IeORGp0QGvggB62ELw"",""Maestro!A:I""),""SELECT Col7 WHERE Col3 = '""&amp;BE179&amp;""'"", 0), 1, 1),""NO ENCONTRADO"")"),"")</f>
        <v/>
      </c>
      <c r="BJ179" s="16">
        <f t="shared" si="7"/>
        <v>0</v>
      </c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4"/>
      <c r="BX179" s="14"/>
      <c r="BY179" s="14"/>
      <c r="BZ179" s="14"/>
      <c r="CA179" s="14"/>
      <c r="CB179" s="14"/>
      <c r="CC179" s="14"/>
      <c r="CD179" s="14"/>
      <c r="CE179" s="14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</row>
    <row r="180">
      <c r="A180" s="158">
        <v>4.0</v>
      </c>
      <c r="B180" s="159" t="s">
        <v>372</v>
      </c>
      <c r="C180" s="160" t="s">
        <v>282</v>
      </c>
      <c r="D180" s="161" t="str">
        <f t="shared" si="1"/>
        <v>4-15-C</v>
      </c>
      <c r="E180" s="162">
        <v>45751.0</v>
      </c>
      <c r="F180" s="163" t="s">
        <v>770</v>
      </c>
      <c r="G180" s="164" t="s">
        <v>80</v>
      </c>
      <c r="H180" s="165" t="s">
        <v>81</v>
      </c>
      <c r="I180" s="166">
        <v>3.0</v>
      </c>
      <c r="J180" s="167" t="s">
        <v>43</v>
      </c>
      <c r="K180" s="27" t="str">
        <f t="shared" si="2"/>
        <v>OCUPADO</v>
      </c>
      <c r="L180" s="28">
        <f t="shared" si="6"/>
        <v>179</v>
      </c>
      <c r="M180" s="28" t="s">
        <v>23</v>
      </c>
      <c r="N180" s="109"/>
      <c r="O180" s="168" t="s">
        <v>270</v>
      </c>
      <c r="P180" s="12"/>
      <c r="Q180" s="12"/>
      <c r="R180" s="12"/>
      <c r="S180" s="12"/>
      <c r="T180" s="12"/>
      <c r="U180" s="12"/>
      <c r="V180" s="12"/>
      <c r="AB180" s="12"/>
      <c r="AC180" s="12" t="str">
        <f>IFERROR(__xludf.DUMMYFUNCTION("""COMPUTED_VALUE"""),"PATIO-1-18")</f>
        <v>PATIO-1-18</v>
      </c>
      <c r="AD180" s="12" t="str">
        <f>IFERROR(__xludf.DUMMYFUNCTION("""COMPUTED_VALUE"""),"692043")</f>
        <v>692043</v>
      </c>
      <c r="AE180" s="12" t="str">
        <f>IFERROR(__xludf.DUMMYFUNCTION("""COMPUTED_VALUE"""),"CAJA CARTON CORRUGADO 60x60x50 CM ")</f>
        <v>CAJA CARTON CORRUGADO 60x60x50 CM </v>
      </c>
      <c r="AF180" s="30">
        <f>IFERROR(__xludf.DUMMYFUNCTION("""COMPUTED_VALUE"""),205.0)</f>
        <v>205</v>
      </c>
      <c r="AG180" s="12" t="str">
        <f>IFERROR(__xludf.DUMMYFUNCTION("""COMPUTED_VALUE"""),"PROVEEDOR")</f>
        <v>PROVEEDOR</v>
      </c>
      <c r="AH180" s="12"/>
      <c r="AI180" s="12" t="str">
        <f>IFERROR(__xludf.DUMMYFUNCTION("""COMPUTED_VALUE"""),"1")</f>
        <v>1</v>
      </c>
      <c r="AJ180" s="12" t="str">
        <f>IFERROR(__xludf.DUMMYFUNCTION("""COMPUTED_VALUE"""),"18")</f>
        <v>18</v>
      </c>
      <c r="AK180" s="12">
        <f>IFERROR(__xludf.DUMMYFUNCTION("""COMPUTED_VALUE"""),282.0)</f>
        <v>282</v>
      </c>
      <c r="AL180" s="12" t="str">
        <f>IFERROR(__xludf.DUMMYFUNCTION("""COMPUTED_VALUE"""),"SUMMIT")</f>
        <v>SUMMIT</v>
      </c>
      <c r="AM180" s="12"/>
      <c r="AN180" s="12"/>
      <c r="AO180" s="12"/>
      <c r="AP180" s="12"/>
      <c r="AQ180" s="12"/>
      <c r="BC180" s="12"/>
      <c r="BD180" s="12"/>
      <c r="BE180" s="14"/>
      <c r="BF180" s="12"/>
      <c r="BG180" s="12"/>
      <c r="BH180" s="12" t="str">
        <f>IFERROR(__xludf.DUMMYFUNCTION("IFERROR(INDEX(QUERY(IMPORTRANGE(""1T7HG8KEs-Ob7f3M5atEVN9Yn7IeORGp0QGvggB62ELw"",""Maestro!A:I""),""SELECT Col8 WHERE Col3 = '""&amp;BE180&amp;""'"", 0), 1, 1),""NO ENCONTRADO"")"),"")</f>
        <v/>
      </c>
      <c r="BI180" s="12" t="str">
        <f>IFERROR(__xludf.DUMMYFUNCTION("IFERROR(INDEX(QUERY(IMPORTRANGE(""1T7HG8KEs-Ob7f3M5atEVN9Yn7IeORGp0QGvggB62ELw"",""Maestro!A:I""),""SELECT Col7 WHERE Col3 = '""&amp;BE180&amp;""'"", 0), 1, 1),""NO ENCONTRADO"")"),"")</f>
        <v/>
      </c>
      <c r="BJ180" s="16">
        <f t="shared" si="7"/>
        <v>0</v>
      </c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4"/>
      <c r="BX180" s="14"/>
      <c r="BY180" s="14"/>
      <c r="BZ180" s="14"/>
      <c r="CA180" s="14"/>
      <c r="CB180" s="14"/>
      <c r="CC180" s="14"/>
      <c r="CD180" s="14"/>
      <c r="CE180" s="14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</row>
    <row r="181">
      <c r="A181" s="158">
        <v>4.0</v>
      </c>
      <c r="B181" s="159" t="s">
        <v>372</v>
      </c>
      <c r="C181" s="160" t="s">
        <v>285</v>
      </c>
      <c r="D181" s="161" t="str">
        <f t="shared" si="1"/>
        <v>4-15-D</v>
      </c>
      <c r="E181" s="103"/>
      <c r="F181" s="104"/>
      <c r="G181" s="315"/>
      <c r="H181" s="106"/>
      <c r="I181" s="107"/>
      <c r="J181" s="108"/>
      <c r="K181" s="32" t="str">
        <f t="shared" si="2"/>
        <v>DISPONIBLE</v>
      </c>
      <c r="L181" s="33">
        <f t="shared" si="6"/>
        <v>180</v>
      </c>
      <c r="M181" s="33" t="s">
        <v>23</v>
      </c>
      <c r="N181" s="122"/>
      <c r="O181" s="169"/>
      <c r="P181" s="12"/>
      <c r="Q181" s="12"/>
      <c r="R181" s="12"/>
      <c r="S181" s="12"/>
      <c r="T181" s="12"/>
      <c r="U181" s="12"/>
      <c r="V181" s="12"/>
      <c r="AB181" s="12"/>
      <c r="AC181" s="12" t="str">
        <f>IFERROR(__xludf.DUMMYFUNCTION("""COMPUTED_VALUE"""),"PATIO-1-22")</f>
        <v>PATIO-1-22</v>
      </c>
      <c r="AD181" s="12" t="str">
        <f>IFERROR(__xludf.DUMMYFUNCTION("""COMPUTED_VALUE"""),"692043")</f>
        <v>692043</v>
      </c>
      <c r="AE181" s="12" t="str">
        <f>IFERROR(__xludf.DUMMYFUNCTION("""COMPUTED_VALUE"""),"CAJA CARTON CORRUGADO 60x60x50 CM ")</f>
        <v>CAJA CARTON CORRUGADO 60x60x50 CM </v>
      </c>
      <c r="AF181" s="30">
        <f>IFERROR(__xludf.DUMMYFUNCTION("""COMPUTED_VALUE"""),150.0)</f>
        <v>150</v>
      </c>
      <c r="AG181" s="12" t="str">
        <f>IFERROR(__xludf.DUMMYFUNCTION("""COMPUTED_VALUE"""),"PROVEEDOR")</f>
        <v>PROVEEDOR</v>
      </c>
      <c r="AH181" s="12"/>
      <c r="AI181" s="12" t="str">
        <f>IFERROR(__xludf.DUMMYFUNCTION("""COMPUTED_VALUE"""),"1")</f>
        <v>1</v>
      </c>
      <c r="AJ181" s="12" t="str">
        <f>IFERROR(__xludf.DUMMYFUNCTION("""COMPUTED_VALUE"""),"22")</f>
        <v>22</v>
      </c>
      <c r="AK181" s="12">
        <f>IFERROR(__xludf.DUMMYFUNCTION("""COMPUTED_VALUE"""),282.0)</f>
        <v>282</v>
      </c>
      <c r="AL181" s="12" t="str">
        <f>IFERROR(__xludf.DUMMYFUNCTION("""COMPUTED_VALUE"""),"SUMMIT")</f>
        <v>SUMMIT</v>
      </c>
      <c r="AM181" s="12"/>
      <c r="AN181" s="12"/>
      <c r="AO181" s="12"/>
      <c r="AP181" s="12"/>
      <c r="AQ181" s="12"/>
      <c r="BC181" s="12"/>
      <c r="BD181" s="12"/>
      <c r="BE181" s="14"/>
      <c r="BF181" s="12"/>
      <c r="BG181" s="12"/>
      <c r="BH181" s="12" t="str">
        <f>IFERROR(__xludf.DUMMYFUNCTION("IFERROR(INDEX(QUERY(IMPORTRANGE(""1T7HG8KEs-Ob7f3M5atEVN9Yn7IeORGp0QGvggB62ELw"",""Maestro!A:I""),""SELECT Col8 WHERE Col3 = '""&amp;BE181&amp;""'"", 0), 1, 1),""NO ENCONTRADO"")"),"")</f>
        <v/>
      </c>
      <c r="BI181" s="12" t="str">
        <f>IFERROR(__xludf.DUMMYFUNCTION("IFERROR(INDEX(QUERY(IMPORTRANGE(""1T7HG8KEs-Ob7f3M5atEVN9Yn7IeORGp0QGvggB62ELw"",""Maestro!A:I""),""SELECT Col7 WHERE Col3 = '""&amp;BE181&amp;""'"", 0), 1, 1),""NO ENCONTRADO"")"),"")</f>
        <v/>
      </c>
      <c r="BJ181" s="16">
        <f t="shared" si="7"/>
        <v>0</v>
      </c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4"/>
      <c r="BX181" s="14"/>
      <c r="BY181" s="14"/>
      <c r="BZ181" s="14"/>
      <c r="CA181" s="14"/>
      <c r="CB181" s="14"/>
      <c r="CC181" s="14"/>
      <c r="CD181" s="14"/>
      <c r="CE181" s="14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</row>
    <row r="182">
      <c r="A182" s="158">
        <v>4.0</v>
      </c>
      <c r="B182" s="159" t="s">
        <v>382</v>
      </c>
      <c r="C182" s="160" t="s">
        <v>269</v>
      </c>
      <c r="D182" s="161" t="str">
        <f t="shared" si="1"/>
        <v>4-16-A</v>
      </c>
      <c r="E182" s="162">
        <v>45721.0</v>
      </c>
      <c r="F182" s="163" t="s">
        <v>770</v>
      </c>
      <c r="G182" s="164" t="s">
        <v>80</v>
      </c>
      <c r="H182" s="165" t="s">
        <v>81</v>
      </c>
      <c r="I182" s="166">
        <v>80.0</v>
      </c>
      <c r="J182" s="167" t="s">
        <v>43</v>
      </c>
      <c r="K182" s="27" t="str">
        <f t="shared" si="2"/>
        <v>OCUPADO</v>
      </c>
      <c r="L182" s="28">
        <f t="shared" si="6"/>
        <v>181</v>
      </c>
      <c r="M182" s="28" t="s">
        <v>23</v>
      </c>
      <c r="N182" s="109"/>
      <c r="O182" s="168" t="s">
        <v>270</v>
      </c>
      <c r="P182" s="12"/>
      <c r="Q182" s="12"/>
      <c r="R182" s="12"/>
      <c r="S182" s="12"/>
      <c r="T182" s="12"/>
      <c r="U182" s="12"/>
      <c r="V182" s="12"/>
      <c r="AB182" s="12"/>
      <c r="AC182" s="12" t="str">
        <f>IFERROR(__xludf.DUMMYFUNCTION("""COMPUTED_VALUE"""),"PATIO-1-25")</f>
        <v>PATIO-1-25</v>
      </c>
      <c r="AD182" s="12" t="str">
        <f>IFERROR(__xludf.DUMMYFUNCTION("""COMPUTED_VALUE"""),"692043")</f>
        <v>692043</v>
      </c>
      <c r="AE182" s="12" t="str">
        <f>IFERROR(__xludf.DUMMYFUNCTION("""COMPUTED_VALUE"""),"CAJA CARTON CORRUGADO 60x60x50 CM ")</f>
        <v>CAJA CARTON CORRUGADO 60x60x50 CM </v>
      </c>
      <c r="AF182" s="30">
        <f>IFERROR(__xludf.DUMMYFUNCTION("""COMPUTED_VALUE"""),150.0)</f>
        <v>150</v>
      </c>
      <c r="AG182" s="12" t="str">
        <f>IFERROR(__xludf.DUMMYFUNCTION("""COMPUTED_VALUE"""),"PROVEEDOR")</f>
        <v>PROVEEDOR</v>
      </c>
      <c r="AH182" s="12"/>
      <c r="AI182" s="12" t="str">
        <f>IFERROR(__xludf.DUMMYFUNCTION("""COMPUTED_VALUE"""),"1")</f>
        <v>1</v>
      </c>
      <c r="AJ182" s="12" t="str">
        <f>IFERROR(__xludf.DUMMYFUNCTION("""COMPUTED_VALUE"""),"25")</f>
        <v>25</v>
      </c>
      <c r="AK182" s="12">
        <f>IFERROR(__xludf.DUMMYFUNCTION("""COMPUTED_VALUE"""),282.0)</f>
        <v>282</v>
      </c>
      <c r="AL182" s="12" t="str">
        <f>IFERROR(__xludf.DUMMYFUNCTION("""COMPUTED_VALUE"""),"SUMMIT")</f>
        <v>SUMMIT</v>
      </c>
      <c r="AM182" s="12"/>
      <c r="AN182" s="12"/>
      <c r="AO182" s="12"/>
      <c r="AP182" s="12"/>
      <c r="AQ182" s="12"/>
      <c r="BC182" s="12"/>
      <c r="BD182" s="12"/>
      <c r="BE182" s="14"/>
      <c r="BF182" s="12"/>
      <c r="BG182" s="12"/>
      <c r="BH182" s="12" t="str">
        <f>IFERROR(__xludf.DUMMYFUNCTION("IFERROR(INDEX(QUERY(IMPORTRANGE(""1T7HG8KEs-Ob7f3M5atEVN9Yn7IeORGp0QGvggB62ELw"",""Maestro!A:I""),""SELECT Col8 WHERE Col3 = '""&amp;BE182&amp;""'"", 0), 1, 1),""NO ENCONTRADO"")"),"")</f>
        <v/>
      </c>
      <c r="BI182" s="12" t="str">
        <f>IFERROR(__xludf.DUMMYFUNCTION("IFERROR(INDEX(QUERY(IMPORTRANGE(""1T7HG8KEs-Ob7f3M5atEVN9Yn7IeORGp0QGvggB62ELw"",""Maestro!A:I""),""SELECT Col7 WHERE Col3 = '""&amp;BE182&amp;""'"", 0), 1, 1),""NO ENCONTRADO"")"),"")</f>
        <v/>
      </c>
      <c r="BJ182" s="16">
        <f t="shared" si="7"/>
        <v>0</v>
      </c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4"/>
      <c r="BX182" s="14"/>
      <c r="BY182" s="14"/>
      <c r="BZ182" s="14"/>
      <c r="CA182" s="14"/>
      <c r="CB182" s="14"/>
      <c r="CC182" s="14"/>
      <c r="CD182" s="14"/>
      <c r="CE182" s="14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</row>
    <row r="183">
      <c r="A183" s="158">
        <v>4.0</v>
      </c>
      <c r="B183" s="159" t="s">
        <v>382</v>
      </c>
      <c r="C183" s="160" t="s">
        <v>277</v>
      </c>
      <c r="D183" s="161" t="str">
        <f t="shared" si="1"/>
        <v>4-16-B</v>
      </c>
      <c r="E183" s="162">
        <v>45721.0</v>
      </c>
      <c r="F183" s="163" t="s">
        <v>770</v>
      </c>
      <c r="G183" s="164" t="s">
        <v>80</v>
      </c>
      <c r="H183" s="165" t="s">
        <v>81</v>
      </c>
      <c r="I183" s="166">
        <v>80.0</v>
      </c>
      <c r="J183" s="167" t="s">
        <v>43</v>
      </c>
      <c r="K183" s="32" t="str">
        <f t="shared" si="2"/>
        <v>OCUPADO</v>
      </c>
      <c r="L183" s="33">
        <f t="shared" si="6"/>
        <v>182</v>
      </c>
      <c r="M183" s="33" t="s">
        <v>23</v>
      </c>
      <c r="N183" s="122"/>
      <c r="O183" s="169" t="s">
        <v>270</v>
      </c>
      <c r="P183" s="12"/>
      <c r="Q183" s="12"/>
      <c r="R183" s="12"/>
      <c r="S183" s="12"/>
      <c r="T183" s="12"/>
      <c r="U183" s="12"/>
      <c r="V183" s="12"/>
      <c r="AB183" s="12"/>
      <c r="AC183" s="12" t="str">
        <f>IFERROR(__xludf.DUMMYFUNCTION("""COMPUTED_VALUE"""),"PATIO-1-23")</f>
        <v>PATIO-1-23</v>
      </c>
      <c r="AD183" s="12" t="str">
        <f>IFERROR(__xludf.DUMMYFUNCTION("""COMPUTED_VALUE"""),"692043")</f>
        <v>692043</v>
      </c>
      <c r="AE183" s="12" t="str">
        <f>IFERROR(__xludf.DUMMYFUNCTION("""COMPUTED_VALUE"""),"CAJA CARTON CORRUGADO 60x60x50 CM ")</f>
        <v>CAJA CARTON CORRUGADO 60x60x50 CM </v>
      </c>
      <c r="AF183" s="30">
        <f>IFERROR(__xludf.DUMMYFUNCTION("""COMPUTED_VALUE"""),150.0)</f>
        <v>150</v>
      </c>
      <c r="AG183" s="12" t="str">
        <f>IFERROR(__xludf.DUMMYFUNCTION("""COMPUTED_VALUE"""),"PROVEEDOR")</f>
        <v>PROVEEDOR</v>
      </c>
      <c r="AH183" s="12"/>
      <c r="AI183" s="12" t="str">
        <f>IFERROR(__xludf.DUMMYFUNCTION("""COMPUTED_VALUE"""),"1")</f>
        <v>1</v>
      </c>
      <c r="AJ183" s="12" t="str">
        <f>IFERROR(__xludf.DUMMYFUNCTION("""COMPUTED_VALUE"""),"23")</f>
        <v>23</v>
      </c>
      <c r="AK183" s="12">
        <f>IFERROR(__xludf.DUMMYFUNCTION("""COMPUTED_VALUE"""),283.0)</f>
        <v>283</v>
      </c>
      <c r="AL183" s="12" t="str">
        <f>IFERROR(__xludf.DUMMYFUNCTION("""COMPUTED_VALUE"""),"SUMMIT")</f>
        <v>SUMMIT</v>
      </c>
      <c r="AM183" s="12"/>
      <c r="AN183" s="12"/>
      <c r="AO183" s="12"/>
      <c r="AP183" s="12"/>
      <c r="AQ183" s="12"/>
      <c r="BC183" s="12"/>
      <c r="BD183" s="12"/>
      <c r="BE183" s="14"/>
      <c r="BF183" s="12"/>
      <c r="BG183" s="12"/>
      <c r="BH183" s="12" t="str">
        <f>IFERROR(__xludf.DUMMYFUNCTION("IFERROR(INDEX(QUERY(IMPORTRANGE(""1T7HG8KEs-Ob7f3M5atEVN9Yn7IeORGp0QGvggB62ELw"",""Maestro!A:I""),""SELECT Col8 WHERE Col3 = '""&amp;BE183&amp;""'"", 0), 1, 1),""NO ENCONTRADO"")"),"")</f>
        <v/>
      </c>
      <c r="BI183" s="12" t="str">
        <f>IFERROR(__xludf.DUMMYFUNCTION("IFERROR(INDEX(QUERY(IMPORTRANGE(""1T7HG8KEs-Ob7f3M5atEVN9Yn7IeORGp0QGvggB62ELw"",""Maestro!A:I""),""SELECT Col7 WHERE Col3 = '""&amp;BE183&amp;""'"", 0), 1, 1),""NO ENCONTRADO"")"),"")</f>
        <v/>
      </c>
      <c r="BJ183" s="16">
        <f t="shared" si="7"/>
        <v>0</v>
      </c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4"/>
      <c r="BX183" s="14"/>
      <c r="BY183" s="14"/>
      <c r="BZ183" s="14"/>
      <c r="CA183" s="14"/>
      <c r="CB183" s="14"/>
      <c r="CC183" s="14"/>
      <c r="CD183" s="14"/>
      <c r="CE183" s="14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</row>
    <row r="184">
      <c r="A184" s="158">
        <v>4.0</v>
      </c>
      <c r="B184" s="159" t="s">
        <v>382</v>
      </c>
      <c r="C184" s="160" t="s">
        <v>282</v>
      </c>
      <c r="D184" s="161" t="str">
        <f t="shared" si="1"/>
        <v>4-16-C</v>
      </c>
      <c r="E184" s="162">
        <v>45730.0</v>
      </c>
      <c r="F184" s="163" t="s">
        <v>771</v>
      </c>
      <c r="G184" s="164" t="s">
        <v>87</v>
      </c>
      <c r="H184" s="165" t="s">
        <v>88</v>
      </c>
      <c r="I184" s="166">
        <v>2.0</v>
      </c>
      <c r="J184" s="167" t="s">
        <v>43</v>
      </c>
      <c r="K184" s="27" t="str">
        <f t="shared" si="2"/>
        <v>OCUPADO</v>
      </c>
      <c r="L184" s="28">
        <f t="shared" si="6"/>
        <v>183</v>
      </c>
      <c r="M184" s="28" t="s">
        <v>23</v>
      </c>
      <c r="N184" s="109"/>
      <c r="O184" s="168" t="s">
        <v>270</v>
      </c>
      <c r="P184" s="12"/>
      <c r="Q184" s="12"/>
      <c r="R184" s="12"/>
      <c r="S184" s="12"/>
      <c r="T184" s="12"/>
      <c r="U184" s="12"/>
      <c r="V184" s="12"/>
      <c r="AB184" s="12"/>
      <c r="AC184" s="12" t="str">
        <f>IFERROR(__xludf.DUMMYFUNCTION("""COMPUTED_VALUE"""),"PATIO-1-26")</f>
        <v>PATIO-1-26</v>
      </c>
      <c r="AD184" s="12" t="str">
        <f>IFERROR(__xludf.DUMMYFUNCTION("""COMPUTED_VALUE"""),"692043")</f>
        <v>692043</v>
      </c>
      <c r="AE184" s="12" t="str">
        <f>IFERROR(__xludf.DUMMYFUNCTION("""COMPUTED_VALUE"""),"CAJA CARTON CORRUGADO 60x60x50 CM ")</f>
        <v>CAJA CARTON CORRUGADO 60x60x50 CM </v>
      </c>
      <c r="AF184" s="30">
        <f>IFERROR(__xludf.DUMMYFUNCTION("""COMPUTED_VALUE"""),150.0)</f>
        <v>150</v>
      </c>
      <c r="AG184" s="12" t="str">
        <f>IFERROR(__xludf.DUMMYFUNCTION("""COMPUTED_VALUE"""),"PROVEEDOR")</f>
        <v>PROVEEDOR</v>
      </c>
      <c r="AH184" s="12"/>
      <c r="AI184" s="12" t="str">
        <f>IFERROR(__xludf.DUMMYFUNCTION("""COMPUTED_VALUE"""),"1")</f>
        <v>1</v>
      </c>
      <c r="AJ184" s="12" t="str">
        <f>IFERROR(__xludf.DUMMYFUNCTION("""COMPUTED_VALUE"""),"26")</f>
        <v>26</v>
      </c>
      <c r="AK184" s="12">
        <f>IFERROR(__xludf.DUMMYFUNCTION("""COMPUTED_VALUE"""),283.0)</f>
        <v>283</v>
      </c>
      <c r="AL184" s="12" t="str">
        <f>IFERROR(__xludf.DUMMYFUNCTION("""COMPUTED_VALUE"""),"SUMMIT")</f>
        <v>SUMMIT</v>
      </c>
      <c r="AM184" s="12"/>
      <c r="AN184" s="12"/>
      <c r="AO184" s="12"/>
      <c r="AP184" s="12"/>
      <c r="AQ184" s="12"/>
      <c r="BC184" s="12"/>
      <c r="BD184" s="12"/>
      <c r="BE184" s="14"/>
      <c r="BF184" s="12"/>
      <c r="BG184" s="12"/>
      <c r="BH184" s="12" t="str">
        <f>IFERROR(__xludf.DUMMYFUNCTION("IFERROR(INDEX(QUERY(IMPORTRANGE(""1T7HG8KEs-Ob7f3M5atEVN9Yn7IeORGp0QGvggB62ELw"",""Maestro!A:I""),""SELECT Col8 WHERE Col3 = '""&amp;BE184&amp;""'"", 0), 1, 1),""NO ENCONTRADO"")"),"")</f>
        <v/>
      </c>
      <c r="BI184" s="12" t="str">
        <f>IFERROR(__xludf.DUMMYFUNCTION("IFERROR(INDEX(QUERY(IMPORTRANGE(""1T7HG8KEs-Ob7f3M5atEVN9Yn7IeORGp0QGvggB62ELw"",""Maestro!A:I""),""SELECT Col7 WHERE Col3 = '""&amp;BE184&amp;""'"", 0), 1, 1),""NO ENCONTRADO"")"),"")</f>
        <v/>
      </c>
      <c r="BJ184" s="16">
        <f t="shared" si="7"/>
        <v>0</v>
      </c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4"/>
      <c r="BX184" s="14"/>
      <c r="BY184" s="14"/>
      <c r="BZ184" s="14"/>
      <c r="CA184" s="14"/>
      <c r="CB184" s="14"/>
      <c r="CC184" s="14"/>
      <c r="CD184" s="14"/>
      <c r="CE184" s="14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</row>
    <row r="185">
      <c r="A185" s="158">
        <v>4.0</v>
      </c>
      <c r="B185" s="159" t="s">
        <v>382</v>
      </c>
      <c r="C185" s="160" t="s">
        <v>285</v>
      </c>
      <c r="D185" s="161" t="str">
        <f t="shared" si="1"/>
        <v>4-16-D</v>
      </c>
      <c r="E185" s="103"/>
      <c r="F185" s="104"/>
      <c r="G185" s="315"/>
      <c r="H185" s="106"/>
      <c r="I185" s="107"/>
      <c r="J185" s="108"/>
      <c r="K185" s="32" t="str">
        <f t="shared" si="2"/>
        <v>DISPONIBLE</v>
      </c>
      <c r="L185" s="33">
        <f t="shared" si="6"/>
        <v>184</v>
      </c>
      <c r="M185" s="33" t="s">
        <v>23</v>
      </c>
      <c r="N185" s="122"/>
      <c r="O185" s="316"/>
      <c r="P185" s="12"/>
      <c r="Q185" s="12"/>
      <c r="R185" s="12"/>
      <c r="S185" s="12"/>
      <c r="T185" s="12"/>
      <c r="U185" s="12"/>
      <c r="V185" s="12"/>
      <c r="AB185" s="12"/>
      <c r="AC185" s="12" t="str">
        <f>IFERROR(__xludf.DUMMYFUNCTION("""COMPUTED_VALUE"""),"R-8-B3")</f>
        <v>R-8-B3</v>
      </c>
      <c r="AD185" s="12" t="str">
        <f>IFERROR(__xludf.DUMMYFUNCTION("""COMPUTED_VALUE"""),"FAFE7L")</f>
        <v>FAFE7L</v>
      </c>
      <c r="AE185" s="12" t="str">
        <f>IFERROR(__xludf.DUMMYFUNCTION("""COMPUTED_VALUE"""),"Freidora de Aire Family Edition 7L")</f>
        <v>Freidora de Aire Family Edition 7L</v>
      </c>
      <c r="AF185" s="30">
        <f>IFERROR(__xludf.DUMMYFUNCTION("""COMPUTED_VALUE"""),4.0)</f>
        <v>4</v>
      </c>
      <c r="AG185" s="12" t="str">
        <f>IFERROR(__xludf.DUMMYFUNCTION("""COMPUTED_VALUE"""),"Devoluciones")</f>
        <v>Devoluciones</v>
      </c>
      <c r="AH185" s="12"/>
      <c r="AI185" s="12" t="str">
        <f>IFERROR(__xludf.DUMMYFUNCTION("""COMPUTED_VALUE"""),"8")</f>
        <v>8</v>
      </c>
      <c r="AJ185" s="12" t="str">
        <f>IFERROR(__xludf.DUMMYFUNCTION("""COMPUTED_VALUE"""),"B3")</f>
        <v>B3</v>
      </c>
      <c r="AK185" s="12">
        <f>IFERROR(__xludf.DUMMYFUNCTION("""COMPUTED_VALUE"""),293.0)</f>
        <v>293</v>
      </c>
      <c r="AL185" s="12" t="str">
        <f>IFERROR(__xludf.DUMMYFUNCTION("""COMPUTED_VALUE"""),"KITCHEN-IT")</f>
        <v>KITCHEN-IT</v>
      </c>
      <c r="AM185" s="12"/>
      <c r="AN185" s="12"/>
      <c r="AO185" s="12"/>
      <c r="AP185" s="12"/>
      <c r="AQ185" s="12"/>
      <c r="BC185" s="12"/>
      <c r="BD185" s="12"/>
      <c r="BE185" s="14"/>
      <c r="BF185" s="12"/>
      <c r="BG185" s="12"/>
      <c r="BH185" s="12" t="str">
        <f>IFERROR(__xludf.DUMMYFUNCTION("IFERROR(INDEX(QUERY(IMPORTRANGE(""1T7HG8KEs-Ob7f3M5atEVN9Yn7IeORGp0QGvggB62ELw"",""Maestro!A:I""),""SELECT Col8 WHERE Col3 = '""&amp;BE185&amp;""'"", 0), 1, 1),""NO ENCONTRADO"")"),"")</f>
        <v/>
      </c>
      <c r="BI185" s="12" t="str">
        <f>IFERROR(__xludf.DUMMYFUNCTION("IFERROR(INDEX(QUERY(IMPORTRANGE(""1T7HG8KEs-Ob7f3M5atEVN9Yn7IeORGp0QGvggB62ELw"",""Maestro!A:I""),""SELECT Col7 WHERE Col3 = '""&amp;BE185&amp;""'"", 0), 1, 1),""NO ENCONTRADO"")"),"")</f>
        <v/>
      </c>
      <c r="BJ185" s="16">
        <f t="shared" si="7"/>
        <v>0</v>
      </c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4"/>
      <c r="BX185" s="14"/>
      <c r="BY185" s="14"/>
      <c r="BZ185" s="14"/>
      <c r="CA185" s="14"/>
      <c r="CB185" s="14"/>
      <c r="CC185" s="14"/>
      <c r="CD185" s="14"/>
      <c r="CE185" s="14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</row>
    <row r="186">
      <c r="A186" s="158">
        <v>4.0</v>
      </c>
      <c r="B186" s="159" t="s">
        <v>396</v>
      </c>
      <c r="C186" s="160" t="s">
        <v>269</v>
      </c>
      <c r="D186" s="161" t="str">
        <f t="shared" si="1"/>
        <v>4-17-A</v>
      </c>
      <c r="E186" s="162">
        <v>45747.0</v>
      </c>
      <c r="F186" s="163" t="s">
        <v>600</v>
      </c>
      <c r="G186" s="164" t="s">
        <v>325</v>
      </c>
      <c r="H186" s="165" t="s">
        <v>326</v>
      </c>
      <c r="I186" s="166">
        <v>144.0</v>
      </c>
      <c r="J186" s="167" t="s">
        <v>43</v>
      </c>
      <c r="K186" s="27" t="str">
        <f t="shared" si="2"/>
        <v>OCUPADO</v>
      </c>
      <c r="L186" s="28">
        <f t="shared" si="6"/>
        <v>185</v>
      </c>
      <c r="M186" s="28" t="s">
        <v>23</v>
      </c>
      <c r="N186" s="109"/>
      <c r="O186" s="168" t="s">
        <v>270</v>
      </c>
      <c r="P186" s="12"/>
      <c r="Q186" s="12"/>
      <c r="R186" s="12"/>
      <c r="S186" s="12"/>
      <c r="T186" s="12"/>
      <c r="U186" s="12"/>
      <c r="V186" s="12"/>
      <c r="AB186" s="12"/>
      <c r="AC186" s="12" t="str">
        <f>IFERROR(__xludf.DUMMYFUNCTION("""COMPUTED_VALUE"""),"R-8-B4")</f>
        <v>R-8-B4</v>
      </c>
      <c r="AD186" s="12" t="str">
        <f>IFERROR(__xludf.DUMMYFUNCTION("""COMPUTED_VALUE"""),"FACE4L")</f>
        <v>FACE4L</v>
      </c>
      <c r="AE186" s="12" t="str">
        <f>IFERROR(__xludf.DUMMYFUNCTION("""COMPUTED_VALUE"""),"Freidora de Aire Chef Edition 4L")</f>
        <v>Freidora de Aire Chef Edition 4L</v>
      </c>
      <c r="AF186" s="30">
        <f>IFERROR(__xludf.DUMMYFUNCTION("""COMPUTED_VALUE"""),1.0)</f>
        <v>1</v>
      </c>
      <c r="AG186" s="12" t="str">
        <f>IFERROR(__xludf.DUMMYFUNCTION("""COMPUTED_VALUE"""),"Devoluciones")</f>
        <v>Devoluciones</v>
      </c>
      <c r="AH186" s="12"/>
      <c r="AI186" s="12" t="str">
        <f>IFERROR(__xludf.DUMMYFUNCTION("""COMPUTED_VALUE"""),"8")</f>
        <v>8</v>
      </c>
      <c r="AJ186" s="12" t="str">
        <f>IFERROR(__xludf.DUMMYFUNCTION("""COMPUTED_VALUE"""),"B4")</f>
        <v>B4</v>
      </c>
      <c r="AK186" s="12">
        <f>IFERROR(__xludf.DUMMYFUNCTION("""COMPUTED_VALUE"""),294.0)</f>
        <v>294</v>
      </c>
      <c r="AL186" s="12" t="str">
        <f>IFERROR(__xludf.DUMMYFUNCTION("""COMPUTED_VALUE"""),"KITCHEN-IT")</f>
        <v>KITCHEN-IT</v>
      </c>
      <c r="AM186" s="12"/>
      <c r="AN186" s="12"/>
      <c r="AO186" s="12"/>
      <c r="AP186" s="12"/>
      <c r="AQ186" s="12"/>
      <c r="BC186" s="12"/>
      <c r="BD186" s="12"/>
      <c r="BE186" s="14"/>
      <c r="BF186" s="12"/>
      <c r="BG186" s="12"/>
      <c r="BH186" s="12" t="str">
        <f>IFERROR(__xludf.DUMMYFUNCTION("IFERROR(INDEX(QUERY(IMPORTRANGE(""1T7HG8KEs-Ob7f3M5atEVN9Yn7IeORGp0QGvggB62ELw"",""Maestro!A:I""),""SELECT Col8 WHERE Col3 = '""&amp;BE186&amp;""'"", 0), 1, 1),""NO ENCONTRADO"")"),"")</f>
        <v/>
      </c>
      <c r="BI186" s="12" t="str">
        <f>IFERROR(__xludf.DUMMYFUNCTION("IFERROR(INDEX(QUERY(IMPORTRANGE(""1T7HG8KEs-Ob7f3M5atEVN9Yn7IeORGp0QGvggB62ELw"",""Maestro!A:I""),""SELECT Col7 WHERE Col3 = '""&amp;BE186&amp;""'"", 0), 1, 1),""NO ENCONTRADO"")"),"")</f>
        <v/>
      </c>
      <c r="BJ186" s="16">
        <f t="shared" si="7"/>
        <v>0</v>
      </c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4"/>
      <c r="BX186" s="14"/>
      <c r="BY186" s="14"/>
      <c r="BZ186" s="14"/>
      <c r="CA186" s="14"/>
      <c r="CB186" s="14"/>
      <c r="CC186" s="14"/>
      <c r="CD186" s="14"/>
      <c r="CE186" s="14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</row>
    <row r="187">
      <c r="A187" s="158">
        <v>4.0</v>
      </c>
      <c r="B187" s="159" t="s">
        <v>396</v>
      </c>
      <c r="C187" s="160" t="s">
        <v>277</v>
      </c>
      <c r="D187" s="161" t="str">
        <f t="shared" si="1"/>
        <v>4-17-B</v>
      </c>
      <c r="E187" s="162">
        <v>45747.0</v>
      </c>
      <c r="F187" s="163" t="s">
        <v>600</v>
      </c>
      <c r="G187" s="164" t="s">
        <v>325</v>
      </c>
      <c r="H187" s="165" t="s">
        <v>326</v>
      </c>
      <c r="I187" s="166">
        <v>144.0</v>
      </c>
      <c r="J187" s="167" t="s">
        <v>43</v>
      </c>
      <c r="K187" s="32" t="str">
        <f t="shared" si="2"/>
        <v>OCUPADO</v>
      </c>
      <c r="L187" s="33">
        <f t="shared" si="6"/>
        <v>186</v>
      </c>
      <c r="M187" s="33" t="s">
        <v>23</v>
      </c>
      <c r="N187" s="122"/>
      <c r="O187" s="169" t="s">
        <v>270</v>
      </c>
      <c r="P187" s="12"/>
      <c r="Q187" s="12"/>
      <c r="R187" s="12"/>
      <c r="S187" s="12"/>
      <c r="T187" s="12"/>
      <c r="U187" s="12"/>
      <c r="V187" s="12"/>
      <c r="AB187" s="12"/>
      <c r="AC187" s="12" t="str">
        <f>IFERROR(__xludf.DUMMYFUNCTION("""COMPUTED_VALUE"""),"R-8-B5")</f>
        <v>R-8-B5</v>
      </c>
      <c r="AD187" s="12" t="str">
        <f>IFERROR(__xludf.DUMMYFUNCTION("""COMPUTED_VALUE"""),"HEBE25L")</f>
        <v>HEBE25L</v>
      </c>
      <c r="AE187" s="12" t="str">
        <f>IFERROR(__xludf.DUMMYFUNCTION("""COMPUTED_VALUE"""),"Hervidor Big Edition 2.5L")</f>
        <v>Hervidor Big Edition 2.5L</v>
      </c>
      <c r="AF187" s="30">
        <f>IFERROR(__xludf.DUMMYFUNCTION("""COMPUTED_VALUE"""),2.0)</f>
        <v>2</v>
      </c>
      <c r="AG187" s="12" t="str">
        <f>IFERROR(__xludf.DUMMYFUNCTION("""COMPUTED_VALUE"""),"Devoluciones")</f>
        <v>Devoluciones</v>
      </c>
      <c r="AH187" s="12"/>
      <c r="AI187" s="12" t="str">
        <f>IFERROR(__xludf.DUMMYFUNCTION("""COMPUTED_VALUE"""),"8")</f>
        <v>8</v>
      </c>
      <c r="AJ187" s="12" t="str">
        <f>IFERROR(__xludf.DUMMYFUNCTION("""COMPUTED_VALUE"""),"B5")</f>
        <v>B5</v>
      </c>
      <c r="AK187" s="12">
        <f>IFERROR(__xludf.DUMMYFUNCTION("""COMPUTED_VALUE"""),295.0)</f>
        <v>295</v>
      </c>
      <c r="AL187" s="12" t="str">
        <f>IFERROR(__xludf.DUMMYFUNCTION("""COMPUTED_VALUE"""),"KITCHEN-IT")</f>
        <v>KITCHEN-IT</v>
      </c>
      <c r="AM187" s="12"/>
      <c r="AN187" s="12"/>
      <c r="AO187" s="12"/>
      <c r="AP187" s="12"/>
      <c r="AQ187" s="12"/>
      <c r="BC187" s="12"/>
      <c r="BD187" s="12"/>
      <c r="BE187" s="14"/>
      <c r="BF187" s="12"/>
      <c r="BG187" s="12"/>
      <c r="BH187" s="12" t="str">
        <f>IFERROR(__xludf.DUMMYFUNCTION("IFERROR(INDEX(QUERY(IMPORTRANGE(""1T7HG8KEs-Ob7f3M5atEVN9Yn7IeORGp0QGvggB62ELw"",""Maestro!A:I""),""SELECT Col8 WHERE Col3 = '""&amp;BE187&amp;""'"", 0), 1, 1),""NO ENCONTRADO"")"),"")</f>
        <v/>
      </c>
      <c r="BI187" s="12" t="str">
        <f>IFERROR(__xludf.DUMMYFUNCTION("IFERROR(INDEX(QUERY(IMPORTRANGE(""1T7HG8KEs-Ob7f3M5atEVN9Yn7IeORGp0QGvggB62ELw"",""Maestro!A:I""),""SELECT Col7 WHERE Col3 = '""&amp;BE187&amp;""'"", 0), 1, 1),""NO ENCONTRADO"")"),"")</f>
        <v/>
      </c>
      <c r="BJ187" s="16">
        <f t="shared" si="7"/>
        <v>0</v>
      </c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4"/>
      <c r="BX187" s="14"/>
      <c r="BY187" s="14"/>
      <c r="BZ187" s="14"/>
      <c r="CA187" s="14"/>
      <c r="CB187" s="14"/>
      <c r="CC187" s="14"/>
      <c r="CD187" s="14"/>
      <c r="CE187" s="14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</row>
    <row r="188">
      <c r="A188" s="158">
        <v>4.0</v>
      </c>
      <c r="B188" s="159" t="s">
        <v>396</v>
      </c>
      <c r="C188" s="160" t="s">
        <v>282</v>
      </c>
      <c r="D188" s="161" t="str">
        <f t="shared" si="1"/>
        <v>4-17-C</v>
      </c>
      <c r="E188" s="162">
        <v>45747.0</v>
      </c>
      <c r="F188" s="163" t="s">
        <v>600</v>
      </c>
      <c r="G188" s="164" t="s">
        <v>325</v>
      </c>
      <c r="H188" s="165" t="s">
        <v>326</v>
      </c>
      <c r="I188" s="166">
        <v>144.0</v>
      </c>
      <c r="J188" s="167" t="s">
        <v>43</v>
      </c>
      <c r="K188" s="27" t="str">
        <f t="shared" si="2"/>
        <v>OCUPADO</v>
      </c>
      <c r="L188" s="28">
        <f t="shared" si="6"/>
        <v>187</v>
      </c>
      <c r="M188" s="28" t="s">
        <v>23</v>
      </c>
      <c r="N188" s="109"/>
      <c r="O188" s="168" t="s">
        <v>270</v>
      </c>
      <c r="P188" s="12"/>
      <c r="Q188" s="12"/>
      <c r="R188" s="12"/>
      <c r="S188" s="12"/>
      <c r="T188" s="12"/>
      <c r="U188" s="12"/>
      <c r="V188" s="12"/>
      <c r="AB188" s="12"/>
      <c r="AC188" s="12" t="str">
        <f>IFERROR(__xludf.DUMMYFUNCTION("""COMPUTED_VALUE"""),"R-8-B6")</f>
        <v>R-8-B6</v>
      </c>
      <c r="AD188" s="12" t="str">
        <f>IFERROR(__xludf.DUMMYFUNCTION("""COMPUTED_VALUE"""),"FAME12L")</f>
        <v>FAME12L</v>
      </c>
      <c r="AE188" s="12" t="str">
        <f>IFERROR(__xludf.DUMMYFUNCTION("""COMPUTED_VALUE"""),"Freidora de Aire Max Edition 12L")</f>
        <v>Freidora de Aire Max Edition 12L</v>
      </c>
      <c r="AF188" s="30">
        <f>IFERROR(__xludf.DUMMYFUNCTION("""COMPUTED_VALUE"""),24.0)</f>
        <v>24</v>
      </c>
      <c r="AG188" s="12" t="str">
        <f>IFERROR(__xludf.DUMMYFUNCTION("""COMPUTED_VALUE"""),"Devoluciones")</f>
        <v>Devoluciones</v>
      </c>
      <c r="AH188" s="12"/>
      <c r="AI188" s="12" t="str">
        <f>IFERROR(__xludf.DUMMYFUNCTION("""COMPUTED_VALUE"""),"8")</f>
        <v>8</v>
      </c>
      <c r="AJ188" s="12" t="str">
        <f>IFERROR(__xludf.DUMMYFUNCTION("""COMPUTED_VALUE"""),"B6")</f>
        <v>B6</v>
      </c>
      <c r="AK188" s="12">
        <f>IFERROR(__xludf.DUMMYFUNCTION("""COMPUTED_VALUE"""),296.0)</f>
        <v>296</v>
      </c>
      <c r="AL188" s="12" t="str">
        <f>IFERROR(__xludf.DUMMYFUNCTION("""COMPUTED_VALUE"""),"KITCHEN-IT")</f>
        <v>KITCHEN-IT</v>
      </c>
      <c r="AM188" s="12"/>
      <c r="AN188" s="12"/>
      <c r="AO188" s="12"/>
      <c r="AP188" s="12"/>
      <c r="AQ188" s="12"/>
      <c r="BC188" s="12"/>
      <c r="BD188" s="12"/>
      <c r="BE188" s="14"/>
      <c r="BF188" s="12"/>
      <c r="BG188" s="12"/>
      <c r="BH188" s="12" t="str">
        <f>IFERROR(__xludf.DUMMYFUNCTION("IFERROR(INDEX(QUERY(IMPORTRANGE(""1T7HG8KEs-Ob7f3M5atEVN9Yn7IeORGp0QGvggB62ELw"",""Maestro!A:I""),""SELECT Col8 WHERE Col3 = '""&amp;BE188&amp;""'"", 0), 1, 1),""NO ENCONTRADO"")"),"")</f>
        <v/>
      </c>
      <c r="BI188" s="12" t="str">
        <f>IFERROR(__xludf.DUMMYFUNCTION("IFERROR(INDEX(QUERY(IMPORTRANGE(""1T7HG8KEs-Ob7f3M5atEVN9Yn7IeORGp0QGvggB62ELw"",""Maestro!A:I""),""SELECT Col7 WHERE Col3 = '""&amp;BE188&amp;""'"", 0), 1, 1),""NO ENCONTRADO"")"),"")</f>
        <v/>
      </c>
      <c r="BJ188" s="16">
        <f t="shared" si="7"/>
        <v>0</v>
      </c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4"/>
      <c r="BX188" s="14"/>
      <c r="BY188" s="14"/>
      <c r="BZ188" s="14"/>
      <c r="CA188" s="14"/>
      <c r="CB188" s="14"/>
      <c r="CC188" s="14"/>
      <c r="CD188" s="14"/>
      <c r="CE188" s="14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</row>
    <row r="189">
      <c r="A189" s="158">
        <v>4.0</v>
      </c>
      <c r="B189" s="159" t="s">
        <v>396</v>
      </c>
      <c r="C189" s="160" t="s">
        <v>285</v>
      </c>
      <c r="D189" s="161" t="str">
        <f t="shared" si="1"/>
        <v>4-17-D</v>
      </c>
      <c r="E189" s="162">
        <v>45747.0</v>
      </c>
      <c r="F189" s="163" t="s">
        <v>600</v>
      </c>
      <c r="G189" s="164" t="s">
        <v>325</v>
      </c>
      <c r="H189" s="165" t="s">
        <v>326</v>
      </c>
      <c r="I189" s="166">
        <v>84.0</v>
      </c>
      <c r="J189" s="167" t="s">
        <v>43</v>
      </c>
      <c r="K189" s="32" t="str">
        <f t="shared" si="2"/>
        <v>OCUPADO</v>
      </c>
      <c r="L189" s="33">
        <f t="shared" si="6"/>
        <v>188</v>
      </c>
      <c r="M189" s="33" t="s">
        <v>23</v>
      </c>
      <c r="N189" s="122"/>
      <c r="O189" s="169" t="s">
        <v>270</v>
      </c>
      <c r="P189" s="12"/>
      <c r="Q189" s="12"/>
      <c r="R189" s="12"/>
      <c r="S189" s="12"/>
      <c r="T189" s="12"/>
      <c r="U189" s="12"/>
      <c r="V189" s="12"/>
      <c r="AB189" s="12"/>
      <c r="AC189" s="12" t="str">
        <f>IFERROR(__xludf.DUMMYFUNCTION("""COMPUTED_VALUE"""),"R-8-B7")</f>
        <v>R-8-B7</v>
      </c>
      <c r="AD189" s="12" t="str">
        <f>IFERROR(__xludf.DUMMYFUNCTION("""COMPUTED_VALUE"""),"FAPE5L")</f>
        <v>FAPE5L</v>
      </c>
      <c r="AE189" s="12" t="str">
        <f>IFERROR(__xludf.DUMMYFUNCTION("""COMPUTED_VALUE"""),"Freidora de Aire Plus Edition 5L")</f>
        <v>Freidora de Aire Plus Edition 5L</v>
      </c>
      <c r="AF189" s="30">
        <f>IFERROR(__xludf.DUMMYFUNCTION("""COMPUTED_VALUE"""),8.0)</f>
        <v>8</v>
      </c>
      <c r="AG189" s="12" t="str">
        <f>IFERROR(__xludf.DUMMYFUNCTION("""COMPUTED_VALUE"""),"Devoluciones")</f>
        <v>Devoluciones</v>
      </c>
      <c r="AH189" s="12"/>
      <c r="AI189" s="12" t="str">
        <f>IFERROR(__xludf.DUMMYFUNCTION("""COMPUTED_VALUE"""),"8")</f>
        <v>8</v>
      </c>
      <c r="AJ189" s="12" t="str">
        <f>IFERROR(__xludf.DUMMYFUNCTION("""COMPUTED_VALUE"""),"B7")</f>
        <v>B7</v>
      </c>
      <c r="AK189" s="12">
        <f>IFERROR(__xludf.DUMMYFUNCTION("""COMPUTED_VALUE"""),297.0)</f>
        <v>297</v>
      </c>
      <c r="AL189" s="12" t="str">
        <f>IFERROR(__xludf.DUMMYFUNCTION("""COMPUTED_VALUE"""),"KITCHEN-IT")</f>
        <v>KITCHEN-IT</v>
      </c>
      <c r="AM189" s="12"/>
      <c r="AN189" s="12"/>
      <c r="AO189" s="12"/>
      <c r="AP189" s="12"/>
      <c r="AQ189" s="12"/>
      <c r="BC189" s="12"/>
      <c r="BD189" s="12"/>
      <c r="BE189" s="14"/>
      <c r="BF189" s="12"/>
      <c r="BG189" s="12"/>
      <c r="BH189" s="12" t="str">
        <f>IFERROR(__xludf.DUMMYFUNCTION("IFERROR(INDEX(QUERY(IMPORTRANGE(""1T7HG8KEs-Ob7f3M5atEVN9Yn7IeORGp0QGvggB62ELw"",""Maestro!A:I""),""SELECT Col8 WHERE Col3 = '""&amp;BE189&amp;""'"", 0), 1, 1),""NO ENCONTRADO"")"),"")</f>
        <v/>
      </c>
      <c r="BI189" s="12" t="str">
        <f>IFERROR(__xludf.DUMMYFUNCTION("IFERROR(INDEX(QUERY(IMPORTRANGE(""1T7HG8KEs-Ob7f3M5atEVN9Yn7IeORGp0QGvggB62ELw"",""Maestro!A:I""),""SELECT Col7 WHERE Col3 = '""&amp;BE189&amp;""'"", 0), 1, 1),""NO ENCONTRADO"")"),"")</f>
        <v/>
      </c>
      <c r="BJ189" s="16">
        <f t="shared" si="7"/>
        <v>0</v>
      </c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4"/>
      <c r="BX189" s="14"/>
      <c r="BY189" s="14"/>
      <c r="BZ189" s="14"/>
      <c r="CA189" s="14"/>
      <c r="CB189" s="14"/>
      <c r="CC189" s="14"/>
      <c r="CD189" s="14"/>
      <c r="CE189" s="14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</row>
    <row r="190">
      <c r="A190" s="158">
        <v>4.0</v>
      </c>
      <c r="B190" s="159" t="s">
        <v>411</v>
      </c>
      <c r="C190" s="160" t="s">
        <v>269</v>
      </c>
      <c r="D190" s="161" t="str">
        <f t="shared" si="1"/>
        <v>4-18-A</v>
      </c>
      <c r="E190" s="162">
        <v>45656.0</v>
      </c>
      <c r="F190" s="163" t="s">
        <v>19</v>
      </c>
      <c r="G190" s="164" t="s">
        <v>249</v>
      </c>
      <c r="H190" s="165" t="s">
        <v>250</v>
      </c>
      <c r="I190" s="166">
        <v>330.0</v>
      </c>
      <c r="J190" s="167" t="s">
        <v>274</v>
      </c>
      <c r="K190" s="27" t="str">
        <f t="shared" si="2"/>
        <v>OCUPADO</v>
      </c>
      <c r="L190" s="28">
        <f t="shared" si="6"/>
        <v>189</v>
      </c>
      <c r="M190" s="28" t="s">
        <v>23</v>
      </c>
      <c r="N190" s="109"/>
      <c r="O190" s="168" t="s">
        <v>270</v>
      </c>
      <c r="P190" s="12"/>
      <c r="Q190" s="12"/>
      <c r="R190" s="12"/>
      <c r="S190" s="12"/>
      <c r="T190" s="12"/>
      <c r="U190" s="12"/>
      <c r="V190" s="12"/>
      <c r="AB190" s="12"/>
      <c r="AC190" s="12" t="str">
        <f>IFERROR(__xludf.DUMMYFUNCTION("""COMPUTED_VALUE"""),"R-8-B8")</f>
        <v>R-8-B8</v>
      </c>
      <c r="AD190" s="12" t="str">
        <f>IFERROR(__xludf.DUMMYFUNCTION("""COMPUTED_VALUE"""),"HESS60")</f>
        <v>HESS60</v>
      </c>
      <c r="AE190" s="12" t="str">
        <f>IFERROR(__xludf.DUMMYFUNCTION("""COMPUTED_VALUE"""),"Horno Eléctrico Silver Series 60L")</f>
        <v>Horno Eléctrico Silver Series 60L</v>
      </c>
      <c r="AF190" s="30">
        <f>IFERROR(__xludf.DUMMYFUNCTION("""COMPUTED_VALUE"""),4.0)</f>
        <v>4</v>
      </c>
      <c r="AG190" s="12" t="str">
        <f>IFERROR(__xludf.DUMMYFUNCTION("""COMPUTED_VALUE"""),"Retorno Falabella")</f>
        <v>Retorno Falabella</v>
      </c>
      <c r="AH190" s="12"/>
      <c r="AI190" s="12" t="str">
        <f>IFERROR(__xludf.DUMMYFUNCTION("""COMPUTED_VALUE"""),"8")</f>
        <v>8</v>
      </c>
      <c r="AJ190" s="12" t="str">
        <f>IFERROR(__xludf.DUMMYFUNCTION("""COMPUTED_VALUE"""),"B8")</f>
        <v>B8</v>
      </c>
      <c r="AK190" s="12">
        <f>IFERROR(__xludf.DUMMYFUNCTION("""COMPUTED_VALUE"""),298.0)</f>
        <v>298</v>
      </c>
      <c r="AL190" s="12" t="str">
        <f>IFERROR(__xludf.DUMMYFUNCTION("""COMPUTED_VALUE"""),"KITCHEN-IT")</f>
        <v>KITCHEN-IT</v>
      </c>
      <c r="AM190" s="12"/>
      <c r="AN190" s="12"/>
      <c r="AO190" s="12"/>
      <c r="AP190" s="12"/>
      <c r="AQ190" s="12"/>
      <c r="BC190" s="12"/>
      <c r="BD190" s="12"/>
      <c r="BE190" s="14"/>
      <c r="BF190" s="12"/>
      <c r="BG190" s="12"/>
      <c r="BH190" s="12" t="str">
        <f>IFERROR(__xludf.DUMMYFUNCTION("IFERROR(INDEX(QUERY(IMPORTRANGE(""1T7HG8KEs-Ob7f3M5atEVN9Yn7IeORGp0QGvggB62ELw"",""Maestro!A:I""),""SELECT Col8 WHERE Col3 = '""&amp;BE190&amp;""'"", 0), 1, 1),""NO ENCONTRADO"")"),"")</f>
        <v/>
      </c>
      <c r="BI190" s="12" t="str">
        <f>IFERROR(__xludf.DUMMYFUNCTION("IFERROR(INDEX(QUERY(IMPORTRANGE(""1T7HG8KEs-Ob7f3M5atEVN9Yn7IeORGp0QGvggB62ELw"",""Maestro!A:I""),""SELECT Col7 WHERE Col3 = '""&amp;BE190&amp;""'"", 0), 1, 1),""NO ENCONTRADO"")"),"")</f>
        <v/>
      </c>
      <c r="BJ190" s="16">
        <f t="shared" si="7"/>
        <v>0</v>
      </c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4"/>
      <c r="BX190" s="14"/>
      <c r="BY190" s="14"/>
      <c r="BZ190" s="14"/>
      <c r="CA190" s="14"/>
      <c r="CB190" s="14"/>
      <c r="CC190" s="14"/>
      <c r="CD190" s="14"/>
      <c r="CE190" s="14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</row>
    <row r="191">
      <c r="A191" s="158">
        <v>4.0</v>
      </c>
      <c r="B191" s="159" t="s">
        <v>411</v>
      </c>
      <c r="C191" s="160" t="s">
        <v>277</v>
      </c>
      <c r="D191" s="161" t="str">
        <f t="shared" si="1"/>
        <v>4-18-B</v>
      </c>
      <c r="E191" s="162">
        <v>45768.0</v>
      </c>
      <c r="F191" s="163" t="s">
        <v>19</v>
      </c>
      <c r="G191" s="164" t="s">
        <v>249</v>
      </c>
      <c r="H191" s="165" t="s">
        <v>250</v>
      </c>
      <c r="I191" s="166">
        <v>148.0</v>
      </c>
      <c r="J191" s="167" t="s">
        <v>274</v>
      </c>
      <c r="K191" s="32" t="str">
        <f t="shared" si="2"/>
        <v>OCUPADO</v>
      </c>
      <c r="L191" s="33">
        <f t="shared" si="6"/>
        <v>190</v>
      </c>
      <c r="M191" s="33" t="s">
        <v>23</v>
      </c>
      <c r="N191" s="122"/>
      <c r="O191" s="169" t="s">
        <v>270</v>
      </c>
      <c r="P191" s="12"/>
      <c r="Q191" s="12"/>
      <c r="R191" s="12"/>
      <c r="S191" s="12"/>
      <c r="T191" s="12"/>
      <c r="U191" s="12"/>
      <c r="V191" s="12"/>
      <c r="AB191" s="12"/>
      <c r="AC191" s="12" t="str">
        <f>IFERROR(__xludf.DUMMYFUNCTION("""COMPUTED_VALUE"""),"R-8-B9")</f>
        <v>R-8-B9</v>
      </c>
      <c r="AD191" s="12" t="str">
        <f>IFERROR(__xludf.DUMMYFUNCTION("""COMPUTED_VALUE"""),"CAFA4")</f>
        <v>CAFA4</v>
      </c>
      <c r="AE191" s="12" t="str">
        <f>IFERROR(__xludf.DUMMYFUNCTION("""COMPUTED_VALUE"""),"Cafetera Arezzo 4 en 1")</f>
        <v>Cafetera Arezzo 4 en 1</v>
      </c>
      <c r="AF191" s="30">
        <f>IFERROR(__xludf.DUMMYFUNCTION("""COMPUTED_VALUE"""),1.0)</f>
        <v>1</v>
      </c>
      <c r="AG191" s="12" t="str">
        <f>IFERROR(__xludf.DUMMYFUNCTION("""COMPUTED_VALUE"""),"Devoluciones")</f>
        <v>Devoluciones</v>
      </c>
      <c r="AH191" s="12"/>
      <c r="AI191" s="12" t="str">
        <f>IFERROR(__xludf.DUMMYFUNCTION("""COMPUTED_VALUE"""),"8")</f>
        <v>8</v>
      </c>
      <c r="AJ191" s="12" t="str">
        <f>IFERROR(__xludf.DUMMYFUNCTION("""COMPUTED_VALUE"""),"B9")</f>
        <v>B9</v>
      </c>
      <c r="AK191" s="12">
        <f>IFERROR(__xludf.DUMMYFUNCTION("""COMPUTED_VALUE"""),299.0)</f>
        <v>299</v>
      </c>
      <c r="AL191" s="12" t="str">
        <f>IFERROR(__xludf.DUMMYFUNCTION("""COMPUTED_VALUE"""),"KITCHEN-IT")</f>
        <v>KITCHEN-IT</v>
      </c>
      <c r="AM191" s="12"/>
      <c r="AN191" s="12"/>
      <c r="AO191" s="12"/>
      <c r="AP191" s="12"/>
      <c r="AQ191" s="12"/>
      <c r="BC191" s="12"/>
      <c r="BD191" s="12"/>
      <c r="BE191" s="14"/>
      <c r="BF191" s="12"/>
      <c r="BG191" s="12"/>
      <c r="BH191" s="12" t="str">
        <f>IFERROR(__xludf.DUMMYFUNCTION("IFERROR(INDEX(QUERY(IMPORTRANGE(""1T7HG8KEs-Ob7f3M5atEVN9Yn7IeORGp0QGvggB62ELw"",""Maestro!A:I""),""SELECT Col8 WHERE Col3 = '""&amp;BE191&amp;""'"", 0), 1, 1),""NO ENCONTRADO"")"),"")</f>
        <v/>
      </c>
      <c r="BI191" s="12" t="str">
        <f>IFERROR(__xludf.DUMMYFUNCTION("IFERROR(INDEX(QUERY(IMPORTRANGE(""1T7HG8KEs-Ob7f3M5atEVN9Yn7IeORGp0QGvggB62ELw"",""Maestro!A:I""),""SELECT Col7 WHERE Col3 = '""&amp;BE191&amp;""'"", 0), 1, 1),""NO ENCONTRADO"")"),"")</f>
        <v/>
      </c>
      <c r="BJ191" s="16">
        <f t="shared" si="7"/>
        <v>0</v>
      </c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4"/>
      <c r="BX191" s="14"/>
      <c r="BY191" s="14"/>
      <c r="BZ191" s="14"/>
      <c r="CA191" s="14"/>
      <c r="CB191" s="14"/>
      <c r="CC191" s="14"/>
      <c r="CD191" s="14"/>
      <c r="CE191" s="14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</row>
    <row r="192">
      <c r="A192" s="158">
        <v>4.0</v>
      </c>
      <c r="B192" s="159" t="s">
        <v>411</v>
      </c>
      <c r="C192" s="160" t="s">
        <v>282</v>
      </c>
      <c r="D192" s="161" t="str">
        <f t="shared" si="1"/>
        <v>4-18-C</v>
      </c>
      <c r="E192" s="103"/>
      <c r="F192" s="104"/>
      <c r="G192" s="105"/>
      <c r="H192" s="106"/>
      <c r="I192" s="107"/>
      <c r="J192" s="108"/>
      <c r="K192" s="27" t="str">
        <f t="shared" si="2"/>
        <v>DISPONIBLE</v>
      </c>
      <c r="L192" s="28">
        <f t="shared" si="6"/>
        <v>191</v>
      </c>
      <c r="M192" s="28" t="s">
        <v>23</v>
      </c>
      <c r="N192" s="109"/>
      <c r="O192" s="168"/>
      <c r="P192" s="12"/>
      <c r="Q192" s="12"/>
      <c r="R192" s="12"/>
      <c r="S192" s="12"/>
      <c r="T192" s="12"/>
      <c r="U192" s="12"/>
      <c r="V192" s="12"/>
      <c r="AB192" s="12"/>
      <c r="AC192" s="12" t="str">
        <f>IFERROR(__xludf.DUMMYFUNCTION("""COMPUTED_VALUE"""),"R-8-B10")</f>
        <v>R-8-B10</v>
      </c>
      <c r="AD192" s="12" t="str">
        <f>IFERROR(__xludf.DUMMYFUNCTION("""COMPUTED_VALUE"""),"LIPS850")</f>
        <v>LIPS850</v>
      </c>
      <c r="AE192" s="12" t="str">
        <f>IFERROR(__xludf.DUMMYFUNCTION("""COMPUTED_VALUE"""),"Licuadora Professional Series 850W")</f>
        <v>Licuadora Professional Series 850W</v>
      </c>
      <c r="AF192" s="30">
        <f>IFERROR(__xludf.DUMMYFUNCTION("""COMPUTED_VALUE"""),11.0)</f>
        <v>11</v>
      </c>
      <c r="AG192" s="12" t="str">
        <f>IFERROR(__xludf.DUMMYFUNCTION("""COMPUTED_VALUE"""),"Devoluciones")</f>
        <v>Devoluciones</v>
      </c>
      <c r="AH192" s="12"/>
      <c r="AI192" s="12" t="str">
        <f>IFERROR(__xludf.DUMMYFUNCTION("""COMPUTED_VALUE"""),"8")</f>
        <v>8</v>
      </c>
      <c r="AJ192" s="12" t="str">
        <f>IFERROR(__xludf.DUMMYFUNCTION("""COMPUTED_VALUE"""),"B10")</f>
        <v>B10</v>
      </c>
      <c r="AK192" s="12">
        <f>IFERROR(__xludf.DUMMYFUNCTION("""COMPUTED_VALUE"""),300.0)</f>
        <v>300</v>
      </c>
      <c r="AL192" s="12" t="str">
        <f>IFERROR(__xludf.DUMMYFUNCTION("""COMPUTED_VALUE"""),"KITCHEN-IT")</f>
        <v>KITCHEN-IT</v>
      </c>
      <c r="AM192" s="12"/>
      <c r="AN192" s="12"/>
      <c r="AO192" s="12"/>
      <c r="AP192" s="12"/>
      <c r="AQ192" s="12"/>
      <c r="BC192" s="12"/>
      <c r="BD192" s="12"/>
      <c r="BE192" s="14"/>
      <c r="BF192" s="12"/>
      <c r="BG192" s="12"/>
      <c r="BH192" s="12" t="str">
        <f>IFERROR(__xludf.DUMMYFUNCTION("IFERROR(INDEX(QUERY(IMPORTRANGE(""1T7HG8KEs-Ob7f3M5atEVN9Yn7IeORGp0QGvggB62ELw"",""Maestro!A:I""),""SELECT Col8 WHERE Col3 = '""&amp;BE192&amp;""'"", 0), 1, 1),""NO ENCONTRADO"")"),"")</f>
        <v/>
      </c>
      <c r="BI192" s="12" t="str">
        <f>IFERROR(__xludf.DUMMYFUNCTION("IFERROR(INDEX(QUERY(IMPORTRANGE(""1T7HG8KEs-Ob7f3M5atEVN9Yn7IeORGp0QGvggB62ELw"",""Maestro!A:I""),""SELECT Col7 WHERE Col3 = '""&amp;BE192&amp;""'"", 0), 1, 1),""NO ENCONTRADO"")"),"")</f>
        <v/>
      </c>
      <c r="BJ192" s="16">
        <f t="shared" si="7"/>
        <v>0</v>
      </c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4"/>
      <c r="BX192" s="14"/>
      <c r="BY192" s="14"/>
      <c r="BZ192" s="14"/>
      <c r="CA192" s="14"/>
      <c r="CB192" s="14"/>
      <c r="CC192" s="14"/>
      <c r="CD192" s="14"/>
      <c r="CE192" s="14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</row>
    <row r="193">
      <c r="A193" s="158">
        <v>4.0</v>
      </c>
      <c r="B193" s="159" t="s">
        <v>411</v>
      </c>
      <c r="C193" s="160" t="s">
        <v>285</v>
      </c>
      <c r="D193" s="161" t="str">
        <f t="shared" si="1"/>
        <v>4-18-D</v>
      </c>
      <c r="E193" s="103"/>
      <c r="F193" s="104"/>
      <c r="G193" s="315"/>
      <c r="H193" s="106"/>
      <c r="I193" s="107"/>
      <c r="J193" s="108"/>
      <c r="K193" s="32" t="str">
        <f t="shared" si="2"/>
        <v>DISPONIBLE</v>
      </c>
      <c r="L193" s="33">
        <f t="shared" si="6"/>
        <v>192</v>
      </c>
      <c r="M193" s="33" t="s">
        <v>23</v>
      </c>
      <c r="N193" s="122"/>
      <c r="O193" s="169"/>
      <c r="P193" s="12"/>
      <c r="Q193" s="12"/>
      <c r="R193" s="12"/>
      <c r="S193" s="12"/>
      <c r="T193" s="12"/>
      <c r="U193" s="12"/>
      <c r="V193" s="12"/>
      <c r="AB193" s="12"/>
      <c r="AC193" s="12" t="str">
        <f>IFERROR(__xludf.DUMMYFUNCTION("""COMPUTED_VALUE"""),"R-8-B11")</f>
        <v>R-8-B11</v>
      </c>
      <c r="AD193" s="12" t="str">
        <f>IFERROR(__xludf.DUMMYFUNCTION("""COMPUTED_VALUE"""),"HESS45")</f>
        <v>HESS45</v>
      </c>
      <c r="AE193" s="12" t="str">
        <f>IFERROR(__xludf.DUMMYFUNCTION("""COMPUTED_VALUE"""),"Horno Eléctrico Silver Series 45L")</f>
        <v>Horno Eléctrico Silver Series 45L</v>
      </c>
      <c r="AF193" s="30">
        <f>IFERROR(__xludf.DUMMYFUNCTION("""COMPUTED_VALUE"""),3.0)</f>
        <v>3</v>
      </c>
      <c r="AG193" s="12" t="str">
        <f>IFERROR(__xludf.DUMMYFUNCTION("""COMPUTED_VALUE"""),"Devoluciones")</f>
        <v>Devoluciones</v>
      </c>
      <c r="AH193" s="12"/>
      <c r="AI193" s="12" t="str">
        <f>IFERROR(__xludf.DUMMYFUNCTION("""COMPUTED_VALUE"""),"8")</f>
        <v>8</v>
      </c>
      <c r="AJ193" s="12" t="str">
        <f>IFERROR(__xludf.DUMMYFUNCTION("""COMPUTED_VALUE"""),"B11")</f>
        <v>B11</v>
      </c>
      <c r="AK193" s="12">
        <f>IFERROR(__xludf.DUMMYFUNCTION("""COMPUTED_VALUE"""),301.0)</f>
        <v>301</v>
      </c>
      <c r="AL193" s="12" t="str">
        <f>IFERROR(__xludf.DUMMYFUNCTION("""COMPUTED_VALUE"""),"KITCHEN-IT")</f>
        <v>KITCHEN-IT</v>
      </c>
      <c r="AM193" s="12"/>
      <c r="AN193" s="12"/>
      <c r="AO193" s="12"/>
      <c r="AP193" s="12"/>
      <c r="AQ193" s="12"/>
      <c r="BC193" s="12"/>
      <c r="BD193" s="12"/>
      <c r="BE193" s="14"/>
      <c r="BF193" s="12"/>
      <c r="BG193" s="12"/>
      <c r="BH193" s="12" t="str">
        <f>IFERROR(__xludf.DUMMYFUNCTION("IFERROR(INDEX(QUERY(IMPORTRANGE(""1T7HG8KEs-Ob7f3M5atEVN9Yn7IeORGp0QGvggB62ELw"",""Maestro!A:I""),""SELECT Col8 WHERE Col3 = '""&amp;BE193&amp;""'"", 0), 1, 1),""NO ENCONTRADO"")"),"")</f>
        <v/>
      </c>
      <c r="BI193" s="12" t="str">
        <f>IFERROR(__xludf.DUMMYFUNCTION("IFERROR(INDEX(QUERY(IMPORTRANGE(""1T7HG8KEs-Ob7f3M5atEVN9Yn7IeORGp0QGvggB62ELw"",""Maestro!A:I""),""SELECT Col7 WHERE Col3 = '""&amp;BE193&amp;""'"", 0), 1, 1),""NO ENCONTRADO"")"),"")</f>
        <v/>
      </c>
      <c r="BJ193" s="16">
        <f t="shared" si="7"/>
        <v>0</v>
      </c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4"/>
      <c r="BX193" s="14"/>
      <c r="BY193" s="14"/>
      <c r="BZ193" s="14"/>
      <c r="CA193" s="14"/>
      <c r="CB193" s="14"/>
      <c r="CC193" s="14"/>
      <c r="CD193" s="14"/>
      <c r="CE193" s="14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</row>
    <row r="194">
      <c r="A194" s="158">
        <v>4.0</v>
      </c>
      <c r="B194" s="159" t="s">
        <v>425</v>
      </c>
      <c r="C194" s="160" t="s">
        <v>269</v>
      </c>
      <c r="D194" s="161" t="str">
        <f t="shared" si="1"/>
        <v>4-19-A</v>
      </c>
      <c r="E194" s="162">
        <v>45656.0</v>
      </c>
      <c r="F194" s="163" t="s">
        <v>19</v>
      </c>
      <c r="G194" s="164" t="s">
        <v>272</v>
      </c>
      <c r="H194" s="165" t="s">
        <v>273</v>
      </c>
      <c r="I194" s="166">
        <v>288.0</v>
      </c>
      <c r="J194" s="167" t="s">
        <v>274</v>
      </c>
      <c r="K194" s="27" t="str">
        <f t="shared" si="2"/>
        <v>OCUPADO</v>
      </c>
      <c r="L194" s="28">
        <f t="shared" si="6"/>
        <v>193</v>
      </c>
      <c r="M194" s="28" t="s">
        <v>23</v>
      </c>
      <c r="N194" s="109"/>
      <c r="O194" s="168" t="s">
        <v>270</v>
      </c>
      <c r="P194" s="12"/>
      <c r="Q194" s="12"/>
      <c r="R194" s="12"/>
      <c r="S194" s="12"/>
      <c r="T194" s="12"/>
      <c r="U194" s="12"/>
      <c r="V194" s="12"/>
      <c r="AB194" s="12"/>
      <c r="AC194" s="12" t="str">
        <f>IFERROR(__xludf.DUMMYFUNCTION("""COMPUTED_VALUE"""),"T-1-1")</f>
        <v>T-1-1</v>
      </c>
      <c r="AD194" s="12" t="str">
        <f>IFERROR(__xludf.DUMMYFUNCTION("""COMPUTED_VALUE"""),"FACE4L")</f>
        <v>FACE4L</v>
      </c>
      <c r="AE194" s="12" t="str">
        <f>IFERROR(__xludf.DUMMYFUNCTION("""COMPUTED_VALUE"""),"Freidora de Aire Chef Edition 4L")</f>
        <v>Freidora de Aire Chef Edition 4L</v>
      </c>
      <c r="AF194" s="30">
        <f>IFERROR(__xludf.DUMMYFUNCTION("""COMPUTED_VALUE"""),2.0)</f>
        <v>2</v>
      </c>
      <c r="AG194" s="12" t="str">
        <f>IFERROR(__xludf.DUMMYFUNCTION("""COMPUTED_VALUE"""),"Retorno Falabella")</f>
        <v>Retorno Falabella</v>
      </c>
      <c r="AH194" s="12"/>
      <c r="AI194" s="12" t="str">
        <f>IFERROR(__xludf.DUMMYFUNCTION("""COMPUTED_VALUE"""),"1")</f>
        <v>1</v>
      </c>
      <c r="AJ194" s="12" t="str">
        <f>IFERROR(__xludf.DUMMYFUNCTION("""COMPUTED_VALUE"""),"1")</f>
        <v>1</v>
      </c>
      <c r="AK194" s="12">
        <f>IFERROR(__xludf.DUMMYFUNCTION("""COMPUTED_VALUE"""),307.0)</f>
        <v>307</v>
      </c>
      <c r="AL194" s="12" t="str">
        <f>IFERROR(__xludf.DUMMYFUNCTION("""COMPUTED_VALUE"""),"KITCHEN-IT")</f>
        <v>KITCHEN-IT</v>
      </c>
      <c r="AM194" s="12"/>
      <c r="AN194" s="12"/>
      <c r="AO194" s="12"/>
      <c r="AP194" s="12"/>
      <c r="AQ194" s="12"/>
      <c r="BC194" s="12"/>
      <c r="BD194" s="12"/>
      <c r="BE194" s="14"/>
      <c r="BF194" s="12"/>
      <c r="BG194" s="12"/>
      <c r="BH194" s="12" t="str">
        <f>IFERROR(__xludf.DUMMYFUNCTION("IFERROR(INDEX(QUERY(IMPORTRANGE(""1T7HG8KEs-Ob7f3M5atEVN9Yn7IeORGp0QGvggB62ELw"",""Maestro!A:I""),""SELECT Col8 WHERE Col3 = '""&amp;BE194&amp;""'"", 0), 1, 1),""NO ENCONTRADO"")"),"")</f>
        <v/>
      </c>
      <c r="BI194" s="12" t="str">
        <f>IFERROR(__xludf.DUMMYFUNCTION("IFERROR(INDEX(QUERY(IMPORTRANGE(""1T7HG8KEs-Ob7f3M5atEVN9Yn7IeORGp0QGvggB62ELw"",""Maestro!A:I""),""SELECT Col7 WHERE Col3 = '""&amp;BE194&amp;""'"", 0), 1, 1),""NO ENCONTRADO"")"),"")</f>
        <v/>
      </c>
      <c r="BJ194" s="16">
        <f t="shared" si="7"/>
        <v>0</v>
      </c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4"/>
      <c r="BX194" s="14"/>
      <c r="BY194" s="14"/>
      <c r="BZ194" s="14"/>
      <c r="CA194" s="14"/>
      <c r="CB194" s="14"/>
      <c r="CC194" s="14"/>
      <c r="CD194" s="14"/>
      <c r="CE194" s="14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</row>
    <row r="195">
      <c r="A195" s="158">
        <v>4.0</v>
      </c>
      <c r="B195" s="159" t="s">
        <v>425</v>
      </c>
      <c r="C195" s="160" t="s">
        <v>277</v>
      </c>
      <c r="D195" s="161" t="str">
        <f t="shared" si="1"/>
        <v>4-19-B</v>
      </c>
      <c r="E195" s="162">
        <v>45758.0</v>
      </c>
      <c r="F195" s="170" t="s">
        <v>675</v>
      </c>
      <c r="G195" s="164" t="s">
        <v>272</v>
      </c>
      <c r="H195" s="165" t="s">
        <v>273</v>
      </c>
      <c r="I195" s="166">
        <v>288.0</v>
      </c>
      <c r="J195" s="167" t="s">
        <v>43</v>
      </c>
      <c r="K195" s="32" t="str">
        <f t="shared" si="2"/>
        <v>OCUPADO</v>
      </c>
      <c r="L195" s="33">
        <f t="shared" si="6"/>
        <v>194</v>
      </c>
      <c r="M195" s="33" t="s">
        <v>23</v>
      </c>
      <c r="N195" s="122"/>
      <c r="O195" s="169" t="s">
        <v>270</v>
      </c>
      <c r="P195" s="12"/>
      <c r="Q195" s="12"/>
      <c r="R195" s="12"/>
      <c r="S195" s="12"/>
      <c r="T195" s="12"/>
      <c r="U195" s="12"/>
      <c r="V195" s="12"/>
      <c r="AB195" s="12"/>
      <c r="AC195" s="12" t="str">
        <f>IFERROR(__xludf.DUMMYFUNCTION("""COMPUTED_VALUE"""),"T-1-2")</f>
        <v>T-1-2</v>
      </c>
      <c r="AD195" s="12" t="str">
        <f>IFERROR(__xludf.DUMMYFUNCTION("""COMPUTED_VALUE"""),"FAFE7L")</f>
        <v>FAFE7L</v>
      </c>
      <c r="AE195" s="12" t="str">
        <f>IFERROR(__xludf.DUMMYFUNCTION("""COMPUTED_VALUE"""),"Freidora de Aire Family Edition 7L")</f>
        <v>Freidora de Aire Family Edition 7L</v>
      </c>
      <c r="AF195" s="30">
        <f>IFERROR(__xludf.DUMMYFUNCTION("""COMPUTED_VALUE"""),5.0)</f>
        <v>5</v>
      </c>
      <c r="AG195" s="12" t="str">
        <f>IFERROR(__xludf.DUMMYFUNCTION("""COMPUTED_VALUE"""),"Contenedor")</f>
        <v>Contenedor</v>
      </c>
      <c r="AH195" s="12"/>
      <c r="AI195" s="12" t="str">
        <f>IFERROR(__xludf.DUMMYFUNCTION("""COMPUTED_VALUE"""),"1")</f>
        <v>1</v>
      </c>
      <c r="AJ195" s="12" t="str">
        <f>IFERROR(__xludf.DUMMYFUNCTION("""COMPUTED_VALUE"""),"2")</f>
        <v>2</v>
      </c>
      <c r="AK195" s="12">
        <f>IFERROR(__xludf.DUMMYFUNCTION("""COMPUTED_VALUE"""),308.0)</f>
        <v>308</v>
      </c>
      <c r="AL195" s="12" t="str">
        <f>IFERROR(__xludf.DUMMYFUNCTION("""COMPUTED_VALUE"""),"KITCHEN-IT")</f>
        <v>KITCHEN-IT</v>
      </c>
      <c r="AM195" s="12"/>
      <c r="AN195" s="12"/>
      <c r="AO195" s="12"/>
      <c r="AP195" s="12"/>
      <c r="AQ195" s="12"/>
      <c r="BC195" s="12"/>
      <c r="BD195" s="12"/>
      <c r="BE195" s="14"/>
      <c r="BF195" s="12"/>
      <c r="BG195" s="12"/>
      <c r="BH195" s="12" t="str">
        <f>IFERROR(__xludf.DUMMYFUNCTION("IFERROR(INDEX(QUERY(IMPORTRANGE(""1T7HG8KEs-Ob7f3M5atEVN9Yn7IeORGp0QGvggB62ELw"",""Maestro!A:I""),""SELECT Col8 WHERE Col3 = '""&amp;BE195&amp;""'"", 0), 1, 1),""NO ENCONTRADO"")"),"")</f>
        <v/>
      </c>
      <c r="BI195" s="12" t="str">
        <f>IFERROR(__xludf.DUMMYFUNCTION("IFERROR(INDEX(QUERY(IMPORTRANGE(""1T7HG8KEs-Ob7f3M5atEVN9Yn7IeORGp0QGvggB62ELw"",""Maestro!A:I""),""SELECT Col7 WHERE Col3 = '""&amp;BE195&amp;""'"", 0), 1, 1),""NO ENCONTRADO"")"),"")</f>
        <v/>
      </c>
      <c r="BJ195" s="16">
        <f t="shared" si="7"/>
        <v>0</v>
      </c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4"/>
      <c r="BX195" s="14"/>
      <c r="BY195" s="14"/>
      <c r="BZ195" s="14"/>
      <c r="CA195" s="14"/>
      <c r="CB195" s="14"/>
      <c r="CC195" s="14"/>
      <c r="CD195" s="14"/>
      <c r="CE195" s="14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</row>
    <row r="196">
      <c r="A196" s="158">
        <v>4.0</v>
      </c>
      <c r="B196" s="159" t="s">
        <v>425</v>
      </c>
      <c r="C196" s="160" t="s">
        <v>282</v>
      </c>
      <c r="D196" s="161" t="str">
        <f t="shared" si="1"/>
        <v>4-19-C</v>
      </c>
      <c r="E196" s="162">
        <v>45754.0</v>
      </c>
      <c r="F196" s="170" t="s">
        <v>675</v>
      </c>
      <c r="G196" s="164" t="s">
        <v>272</v>
      </c>
      <c r="H196" s="165" t="s">
        <v>273</v>
      </c>
      <c r="I196" s="166">
        <v>360.0</v>
      </c>
      <c r="J196" s="167" t="s">
        <v>43</v>
      </c>
      <c r="K196" s="27" t="str">
        <f t="shared" si="2"/>
        <v>OCUPADO</v>
      </c>
      <c r="L196" s="28">
        <f t="shared" si="6"/>
        <v>195</v>
      </c>
      <c r="M196" s="28" t="s">
        <v>23</v>
      </c>
      <c r="N196" s="109"/>
      <c r="O196" s="168" t="s">
        <v>270</v>
      </c>
      <c r="P196" s="12"/>
      <c r="Q196" s="12"/>
      <c r="R196" s="12"/>
      <c r="S196" s="12"/>
      <c r="T196" s="12"/>
      <c r="U196" s="12"/>
      <c r="V196" s="12"/>
      <c r="AB196" s="12"/>
      <c r="AC196" s="12" t="str">
        <f>IFERROR(__xludf.DUMMYFUNCTION("""COMPUTED_VALUE"""),"T-1-3")</f>
        <v>T-1-3</v>
      </c>
      <c r="AD196" s="12" t="str">
        <f>IFERROR(__xludf.DUMMYFUNCTION("""COMPUTED_VALUE"""),"FAPE5L")</f>
        <v>FAPE5L</v>
      </c>
      <c r="AE196" s="12" t="str">
        <f>IFERROR(__xludf.DUMMYFUNCTION("""COMPUTED_VALUE"""),"Freidora de Aire Plus Edition 5L")</f>
        <v>Freidora de Aire Plus Edition 5L</v>
      </c>
      <c r="AF196" s="30">
        <f>IFERROR(__xludf.DUMMYFUNCTION("""COMPUTED_VALUE"""),6.0)</f>
        <v>6</v>
      </c>
      <c r="AG196" s="12" t="str">
        <f>IFERROR(__xludf.DUMMYFUNCTION("""COMPUTED_VALUE"""),"Contenedor")</f>
        <v>Contenedor</v>
      </c>
      <c r="AH196" s="12"/>
      <c r="AI196" s="12" t="str">
        <f>IFERROR(__xludf.DUMMYFUNCTION("""COMPUTED_VALUE"""),"1")</f>
        <v>1</v>
      </c>
      <c r="AJ196" s="12" t="str">
        <f>IFERROR(__xludf.DUMMYFUNCTION("""COMPUTED_VALUE"""),"3")</f>
        <v>3</v>
      </c>
      <c r="AK196" s="12">
        <f>IFERROR(__xludf.DUMMYFUNCTION("""COMPUTED_VALUE"""),309.0)</f>
        <v>309</v>
      </c>
      <c r="AL196" s="12" t="str">
        <f>IFERROR(__xludf.DUMMYFUNCTION("""COMPUTED_VALUE"""),"KITCHEN-IT")</f>
        <v>KITCHEN-IT</v>
      </c>
      <c r="AM196" s="12"/>
      <c r="AN196" s="12"/>
      <c r="AO196" s="12"/>
      <c r="AP196" s="12"/>
      <c r="AQ196" s="12"/>
      <c r="BC196" s="12"/>
      <c r="BD196" s="12"/>
      <c r="BE196" s="14"/>
      <c r="BF196" s="12"/>
      <c r="BG196" s="12"/>
      <c r="BH196" s="12" t="str">
        <f>IFERROR(__xludf.DUMMYFUNCTION("IFERROR(INDEX(QUERY(IMPORTRANGE(""1T7HG8KEs-Ob7f3M5atEVN9Yn7IeORGp0QGvggB62ELw"",""Maestro!A:I""),""SELECT Col8 WHERE Col3 = '""&amp;BE196&amp;""'"", 0), 1, 1),""NO ENCONTRADO"")"),"")</f>
        <v/>
      </c>
      <c r="BI196" s="12" t="str">
        <f>IFERROR(__xludf.DUMMYFUNCTION("IFERROR(INDEX(QUERY(IMPORTRANGE(""1T7HG8KEs-Ob7f3M5atEVN9Yn7IeORGp0QGvggB62ELw"",""Maestro!A:I""),""SELECT Col7 WHERE Col3 = '""&amp;BE196&amp;""'"", 0), 1, 1),""NO ENCONTRADO"")"),"")</f>
        <v/>
      </c>
      <c r="BJ196" s="16">
        <f t="shared" si="7"/>
        <v>0</v>
      </c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4"/>
      <c r="BX196" s="14"/>
      <c r="BY196" s="14"/>
      <c r="BZ196" s="14"/>
      <c r="CA196" s="14"/>
      <c r="CB196" s="14"/>
      <c r="CC196" s="14"/>
      <c r="CD196" s="14"/>
      <c r="CE196" s="14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</row>
    <row r="197">
      <c r="A197" s="158">
        <v>4.0</v>
      </c>
      <c r="B197" s="159" t="s">
        <v>425</v>
      </c>
      <c r="C197" s="160" t="s">
        <v>285</v>
      </c>
      <c r="D197" s="161" t="str">
        <f t="shared" si="1"/>
        <v>4-19-D</v>
      </c>
      <c r="E197" s="162">
        <v>45754.0</v>
      </c>
      <c r="F197" s="170" t="s">
        <v>675</v>
      </c>
      <c r="G197" s="164" t="s">
        <v>272</v>
      </c>
      <c r="H197" s="165" t="s">
        <v>273</v>
      </c>
      <c r="I197" s="166">
        <v>360.0</v>
      </c>
      <c r="J197" s="167" t="s">
        <v>43</v>
      </c>
      <c r="K197" s="32" t="str">
        <f t="shared" si="2"/>
        <v>OCUPADO</v>
      </c>
      <c r="L197" s="33">
        <f t="shared" si="6"/>
        <v>196</v>
      </c>
      <c r="M197" s="33" t="s">
        <v>23</v>
      </c>
      <c r="N197" s="122"/>
      <c r="O197" s="169" t="s">
        <v>270</v>
      </c>
      <c r="P197" s="12"/>
      <c r="Q197" s="12"/>
      <c r="R197" s="12"/>
      <c r="S197" s="12"/>
      <c r="T197" s="12"/>
      <c r="U197" s="12"/>
      <c r="V197" s="12"/>
      <c r="AB197" s="12"/>
      <c r="AC197" s="12" t="str">
        <f>IFERROR(__xludf.DUMMYFUNCTION("""COMPUTED_VALUE"""),"T-1-4")</f>
        <v>T-1-4</v>
      </c>
      <c r="AD197" s="12" t="str">
        <f>IFERROR(__xludf.DUMMYFUNCTION("""COMPUTED_VALUE"""),"FAME12L")</f>
        <v>FAME12L</v>
      </c>
      <c r="AE197" s="12" t="str">
        <f>IFERROR(__xludf.DUMMYFUNCTION("""COMPUTED_VALUE"""),"Freidora de Aire Max Edition 12L")</f>
        <v>Freidora de Aire Max Edition 12L</v>
      </c>
      <c r="AF197" s="30">
        <f>IFERROR(__xludf.DUMMYFUNCTION("""COMPUTED_VALUE"""),8.0)</f>
        <v>8</v>
      </c>
      <c r="AG197" s="12" t="str">
        <f>IFERROR(__xludf.DUMMYFUNCTION("""COMPUTED_VALUE"""),"Contenedor")</f>
        <v>Contenedor</v>
      </c>
      <c r="AH197" s="12"/>
      <c r="AI197" s="12" t="str">
        <f>IFERROR(__xludf.DUMMYFUNCTION("""COMPUTED_VALUE"""),"1")</f>
        <v>1</v>
      </c>
      <c r="AJ197" s="12" t="str">
        <f>IFERROR(__xludf.DUMMYFUNCTION("""COMPUTED_VALUE"""),"4")</f>
        <v>4</v>
      </c>
      <c r="AK197" s="12">
        <f>IFERROR(__xludf.DUMMYFUNCTION("""COMPUTED_VALUE"""),310.0)</f>
        <v>310</v>
      </c>
      <c r="AL197" s="12" t="str">
        <f>IFERROR(__xludf.DUMMYFUNCTION("""COMPUTED_VALUE"""),"KITCHEN-IT")</f>
        <v>KITCHEN-IT</v>
      </c>
      <c r="AM197" s="12"/>
      <c r="AN197" s="12"/>
      <c r="AO197" s="12"/>
      <c r="AP197" s="12"/>
      <c r="AQ197" s="12"/>
      <c r="BC197" s="12"/>
      <c r="BD197" s="12"/>
      <c r="BE197" s="14"/>
      <c r="BF197" s="12"/>
      <c r="BG197" s="12"/>
      <c r="BH197" s="12" t="str">
        <f>IFERROR(__xludf.DUMMYFUNCTION("IFERROR(INDEX(QUERY(IMPORTRANGE(""1T7HG8KEs-Ob7f3M5atEVN9Yn7IeORGp0QGvggB62ELw"",""Maestro!A:I""),""SELECT Col8 WHERE Col3 = '""&amp;BE197&amp;""'"", 0), 1, 1),""NO ENCONTRADO"")"),"")</f>
        <v/>
      </c>
      <c r="BI197" s="12" t="str">
        <f>IFERROR(__xludf.DUMMYFUNCTION("IFERROR(INDEX(QUERY(IMPORTRANGE(""1T7HG8KEs-Ob7f3M5atEVN9Yn7IeORGp0QGvggB62ELw"",""Maestro!A:I""),""SELECT Col7 WHERE Col3 = '""&amp;BE197&amp;""'"", 0), 1, 1),""NO ENCONTRADO"")"),"")</f>
        <v/>
      </c>
      <c r="BJ197" s="16">
        <f t="shared" si="7"/>
        <v>0</v>
      </c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4"/>
      <c r="BX197" s="14"/>
      <c r="BY197" s="14"/>
      <c r="BZ197" s="14"/>
      <c r="CA197" s="14"/>
      <c r="CB197" s="14"/>
      <c r="CC197" s="14"/>
      <c r="CD197" s="14"/>
      <c r="CE197" s="14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</row>
    <row r="198">
      <c r="A198" s="172">
        <v>4.0</v>
      </c>
      <c r="B198" s="159" t="s">
        <v>451</v>
      </c>
      <c r="C198" s="159" t="s">
        <v>269</v>
      </c>
      <c r="D198" s="161" t="str">
        <f t="shared" si="1"/>
        <v>4-20-A</v>
      </c>
      <c r="E198" s="103"/>
      <c r="F198" s="104"/>
      <c r="G198" s="105"/>
      <c r="H198" s="106"/>
      <c r="I198" s="107"/>
      <c r="J198" s="108"/>
      <c r="K198" s="27" t="str">
        <f t="shared" si="2"/>
        <v>DISPONIBLE</v>
      </c>
      <c r="L198" s="28">
        <f t="shared" ref="L198:L205" si="8">IF(B194&lt;&gt;"", ROW(A194), "")
</f>
        <v>194</v>
      </c>
      <c r="M198" s="28" t="s">
        <v>23</v>
      </c>
      <c r="N198" s="109"/>
      <c r="O198" s="168"/>
      <c r="P198" s="12"/>
      <c r="Q198" s="12"/>
      <c r="R198" s="12"/>
      <c r="S198" s="12"/>
      <c r="T198" s="12"/>
      <c r="U198" s="12"/>
      <c r="V198" s="12"/>
      <c r="AB198" s="12"/>
      <c r="AC198" s="12" t="str">
        <f>IFERROR(__xludf.DUMMYFUNCTION("""COMPUTED_VALUE"""),"T-1-5")</f>
        <v>T-1-5</v>
      </c>
      <c r="AD198" s="12" t="str">
        <f>IFERROR(__xludf.DUMMYFUNCTION("""COMPUTED_VALUE"""),"LPP800W")</f>
        <v>LPP800W</v>
      </c>
      <c r="AE198" s="12" t="str">
        <f>IFERROR(__xludf.DUMMYFUNCTION("""COMPUTED_VALUE"""),"Licuadora Power Pro 800W")</f>
        <v>Licuadora Power Pro 800W</v>
      </c>
      <c r="AF198" s="30">
        <f>IFERROR(__xludf.DUMMYFUNCTION("""COMPUTED_VALUE"""),206.0)</f>
        <v>206</v>
      </c>
      <c r="AG198" s="12" t="str">
        <f>IFERROR(__xludf.DUMMYFUNCTION("""COMPUTED_VALUE"""),"Contenedor")</f>
        <v>Contenedor</v>
      </c>
      <c r="AH198" s="12"/>
      <c r="AI198" s="12" t="str">
        <f>IFERROR(__xludf.DUMMYFUNCTION("""COMPUTED_VALUE"""),"1")</f>
        <v>1</v>
      </c>
      <c r="AJ198" s="12" t="str">
        <f>IFERROR(__xludf.DUMMYFUNCTION("""COMPUTED_VALUE"""),"5")</f>
        <v>5</v>
      </c>
      <c r="AK198" s="12">
        <f>IFERROR(__xludf.DUMMYFUNCTION("""COMPUTED_VALUE"""),311.0)</f>
        <v>311</v>
      </c>
      <c r="AL198" s="12" t="str">
        <f>IFERROR(__xludf.DUMMYFUNCTION("""COMPUTED_VALUE"""),"KITCHEN-IT")</f>
        <v>KITCHEN-IT</v>
      </c>
      <c r="AM198" s="12"/>
      <c r="AN198" s="12"/>
      <c r="AO198" s="12"/>
      <c r="AP198" s="12"/>
      <c r="AQ198" s="12"/>
      <c r="BC198" s="12"/>
      <c r="BD198" s="12"/>
      <c r="BE198" s="14"/>
      <c r="BF198" s="12"/>
      <c r="BG198" s="12"/>
      <c r="BH198" s="12"/>
      <c r="BI198" s="12"/>
      <c r="BJ198" s="16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4"/>
      <c r="BX198" s="14"/>
      <c r="BY198" s="14"/>
      <c r="BZ198" s="14"/>
      <c r="CA198" s="14"/>
      <c r="CB198" s="14"/>
      <c r="CC198" s="14"/>
      <c r="CD198" s="14"/>
      <c r="CE198" s="14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</row>
    <row r="199">
      <c r="A199" s="172">
        <v>4.0</v>
      </c>
      <c r="B199" s="159" t="s">
        <v>451</v>
      </c>
      <c r="C199" s="159" t="s">
        <v>277</v>
      </c>
      <c r="D199" s="161" t="str">
        <f t="shared" si="1"/>
        <v>4-20-B</v>
      </c>
      <c r="E199" s="103"/>
      <c r="F199" s="104"/>
      <c r="G199" s="105"/>
      <c r="H199" s="106"/>
      <c r="I199" s="107"/>
      <c r="J199" s="108"/>
      <c r="K199" s="32" t="str">
        <f t="shared" si="2"/>
        <v>DISPONIBLE</v>
      </c>
      <c r="L199" s="33">
        <f t="shared" si="8"/>
        <v>195</v>
      </c>
      <c r="M199" s="33" t="s">
        <v>23</v>
      </c>
      <c r="N199" s="122"/>
      <c r="O199" s="169"/>
      <c r="P199" s="12"/>
      <c r="Q199" s="12"/>
      <c r="R199" s="12"/>
      <c r="S199" s="12"/>
      <c r="T199" s="12"/>
      <c r="U199" s="12"/>
      <c r="V199" s="12"/>
      <c r="AB199" s="12"/>
      <c r="AC199" s="12" t="str">
        <f>IFERROR(__xludf.DUMMYFUNCTION("""COMPUTED_VALUE"""),"T-1-10")</f>
        <v>T-1-10</v>
      </c>
      <c r="AD199" s="12" t="str">
        <f>IFERROR(__xludf.DUMMYFUNCTION("""COMPUTED_VALUE"""),"HSC17L")</f>
        <v>HSC17L</v>
      </c>
      <c r="AE199" s="12" t="str">
        <f>IFERROR(__xludf.DUMMYFUNCTION("""COMPUTED_VALUE"""),"Hervidor Smart Control 1,7L")</f>
        <v>Hervidor Smart Control 1,7L</v>
      </c>
      <c r="AF199" s="30">
        <f>IFERROR(__xludf.DUMMYFUNCTION("""COMPUTED_VALUE"""),3.0)</f>
        <v>3</v>
      </c>
      <c r="AG199" s="12" t="str">
        <f>IFERROR(__xludf.DUMMYFUNCTION("""COMPUTED_VALUE"""),"Contenedor")</f>
        <v>Contenedor</v>
      </c>
      <c r="AH199" s="12"/>
      <c r="AI199" s="12" t="str">
        <f>IFERROR(__xludf.DUMMYFUNCTION("""COMPUTED_VALUE"""),"1")</f>
        <v>1</v>
      </c>
      <c r="AJ199" s="12" t="str">
        <f>IFERROR(__xludf.DUMMYFUNCTION("""COMPUTED_VALUE"""),"10")</f>
        <v>10</v>
      </c>
      <c r="AK199" s="12">
        <f>IFERROR(__xludf.DUMMYFUNCTION("""COMPUTED_VALUE"""),316.0)</f>
        <v>316</v>
      </c>
      <c r="AL199" s="12" t="str">
        <f>IFERROR(__xludf.DUMMYFUNCTION("""COMPUTED_VALUE"""),"KITCHEN-IT")</f>
        <v>KITCHEN-IT</v>
      </c>
      <c r="AM199" s="12"/>
      <c r="AN199" s="12"/>
      <c r="AO199" s="12"/>
      <c r="AP199" s="12"/>
      <c r="AQ199" s="12"/>
      <c r="BC199" s="12"/>
      <c r="BD199" s="12"/>
      <c r="BE199" s="14"/>
      <c r="BF199" s="12"/>
      <c r="BG199" s="12"/>
      <c r="BH199" s="12"/>
      <c r="BI199" s="12"/>
      <c r="BJ199" s="16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4"/>
      <c r="BX199" s="14"/>
      <c r="BY199" s="14"/>
      <c r="BZ199" s="14"/>
      <c r="CA199" s="14"/>
      <c r="CB199" s="14"/>
      <c r="CC199" s="14"/>
      <c r="CD199" s="14"/>
      <c r="CE199" s="14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</row>
    <row r="200">
      <c r="A200" s="172">
        <v>4.0</v>
      </c>
      <c r="B200" s="159" t="s">
        <v>451</v>
      </c>
      <c r="C200" s="159" t="s">
        <v>282</v>
      </c>
      <c r="D200" s="161" t="str">
        <f t="shared" si="1"/>
        <v>4-20-C</v>
      </c>
      <c r="E200" s="103"/>
      <c r="F200" s="104"/>
      <c r="G200" s="105"/>
      <c r="H200" s="106"/>
      <c r="I200" s="107"/>
      <c r="J200" s="108"/>
      <c r="K200" s="27" t="str">
        <f t="shared" si="2"/>
        <v>DISPONIBLE</v>
      </c>
      <c r="L200" s="28">
        <f t="shared" si="8"/>
        <v>196</v>
      </c>
      <c r="M200" s="28" t="s">
        <v>23</v>
      </c>
      <c r="N200" s="109"/>
      <c r="O200" s="168"/>
      <c r="P200" s="12"/>
      <c r="Q200" s="12"/>
      <c r="R200" s="12"/>
      <c r="S200" s="12"/>
      <c r="T200" s="12"/>
      <c r="U200" s="12"/>
      <c r="V200" s="12"/>
      <c r="AB200" s="12"/>
      <c r="AC200" s="12" t="str">
        <f>IFERROR(__xludf.DUMMYFUNCTION("""COMPUTED_VALUE"""),"T-1-11")</f>
        <v>T-1-11</v>
      </c>
      <c r="AD200" s="12" t="str">
        <f>IFERROR(__xludf.DUMMYFUNCTION("""COMPUTED_VALUE"""),"HEGE18L")</f>
        <v>HEGE18L</v>
      </c>
      <c r="AE200" s="12" t="str">
        <f>IFERROR(__xludf.DUMMYFUNCTION("""COMPUTED_VALUE"""),"Hervidor Glass Edition 1.8L")</f>
        <v>Hervidor Glass Edition 1.8L</v>
      </c>
      <c r="AF200" s="30">
        <f>IFERROR(__xludf.DUMMYFUNCTION("""COMPUTED_VALUE"""),76.0)</f>
        <v>76</v>
      </c>
      <c r="AG200" s="12" t="str">
        <f>IFERROR(__xludf.DUMMYFUNCTION("""COMPUTED_VALUE"""),"Contenedor")</f>
        <v>Contenedor</v>
      </c>
      <c r="AH200" s="12"/>
      <c r="AI200" s="12" t="str">
        <f>IFERROR(__xludf.DUMMYFUNCTION("""COMPUTED_VALUE"""),"1")</f>
        <v>1</v>
      </c>
      <c r="AJ200" s="12" t="str">
        <f>IFERROR(__xludf.DUMMYFUNCTION("""COMPUTED_VALUE"""),"11")</f>
        <v>11</v>
      </c>
      <c r="AK200" s="12">
        <f>IFERROR(__xludf.DUMMYFUNCTION("""COMPUTED_VALUE"""),317.0)</f>
        <v>317</v>
      </c>
      <c r="AL200" s="12" t="str">
        <f>IFERROR(__xludf.DUMMYFUNCTION("""COMPUTED_VALUE"""),"KITCHEN-IT")</f>
        <v>KITCHEN-IT</v>
      </c>
      <c r="AM200" s="12"/>
      <c r="AN200" s="12"/>
      <c r="AO200" s="12"/>
      <c r="AP200" s="12"/>
      <c r="AQ200" s="12"/>
      <c r="BC200" s="12"/>
      <c r="BD200" s="12"/>
      <c r="BE200" s="14"/>
      <c r="BF200" s="12"/>
      <c r="BG200" s="12"/>
      <c r="BH200" s="12"/>
      <c r="BI200" s="12"/>
      <c r="BJ200" s="16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4"/>
      <c r="BX200" s="14"/>
      <c r="BY200" s="14"/>
      <c r="BZ200" s="14"/>
      <c r="CA200" s="14"/>
      <c r="CB200" s="14"/>
      <c r="CC200" s="14"/>
      <c r="CD200" s="14"/>
      <c r="CE200" s="14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</row>
    <row r="201">
      <c r="A201" s="172">
        <v>4.0</v>
      </c>
      <c r="B201" s="159" t="s">
        <v>451</v>
      </c>
      <c r="C201" s="159" t="s">
        <v>285</v>
      </c>
      <c r="D201" s="161" t="str">
        <f t="shared" si="1"/>
        <v>4-20-D</v>
      </c>
      <c r="E201" s="103"/>
      <c r="F201" s="104"/>
      <c r="G201" s="105"/>
      <c r="H201" s="106"/>
      <c r="I201" s="107"/>
      <c r="J201" s="108"/>
      <c r="K201" s="32" t="str">
        <f t="shared" si="2"/>
        <v>DISPONIBLE</v>
      </c>
      <c r="L201" s="33">
        <f t="shared" si="8"/>
        <v>197</v>
      </c>
      <c r="M201" s="33" t="s">
        <v>23</v>
      </c>
      <c r="N201" s="122"/>
      <c r="O201" s="169"/>
      <c r="P201" s="12"/>
      <c r="Q201" s="12"/>
      <c r="R201" s="12"/>
      <c r="S201" s="12"/>
      <c r="T201" s="12"/>
      <c r="U201" s="12"/>
      <c r="V201" s="12"/>
      <c r="AB201" s="12"/>
      <c r="AC201" s="12" t="str">
        <f>IFERROR(__xludf.DUMMYFUNCTION("""COMPUTED_VALUE"""),"T-1-12")</f>
        <v>T-1-12</v>
      </c>
      <c r="AD201" s="12" t="str">
        <f>IFERROR(__xludf.DUMMYFUNCTION("""COMPUTED_VALUE"""),"FADE9L")</f>
        <v>FADE9L</v>
      </c>
      <c r="AE201" s="12" t="str">
        <f>IFERROR(__xludf.DUMMYFUNCTION("""COMPUTED_VALUE"""),"Freidora de Aire Dual Edition 9L")</f>
        <v>Freidora de Aire Dual Edition 9L</v>
      </c>
      <c r="AF201" s="30">
        <f>IFERROR(__xludf.DUMMYFUNCTION("""COMPUTED_VALUE"""),44.0)</f>
        <v>44</v>
      </c>
      <c r="AG201" s="12" t="str">
        <f>IFERROR(__xludf.DUMMYFUNCTION("""COMPUTED_VALUE"""),"Retorno Falabella")</f>
        <v>Retorno Falabella</v>
      </c>
      <c r="AH201" s="12"/>
      <c r="AI201" s="12" t="str">
        <f>IFERROR(__xludf.DUMMYFUNCTION("""COMPUTED_VALUE"""),"1")</f>
        <v>1</v>
      </c>
      <c r="AJ201" s="12" t="str">
        <f>IFERROR(__xludf.DUMMYFUNCTION("""COMPUTED_VALUE"""),"12")</f>
        <v>12</v>
      </c>
      <c r="AK201" s="12">
        <f>IFERROR(__xludf.DUMMYFUNCTION("""COMPUTED_VALUE"""),318.0)</f>
        <v>318</v>
      </c>
      <c r="AL201" s="12" t="str">
        <f>IFERROR(__xludf.DUMMYFUNCTION("""COMPUTED_VALUE"""),"KITCHEN-IT")</f>
        <v>KITCHEN-IT</v>
      </c>
      <c r="AM201" s="12"/>
      <c r="AN201" s="12"/>
      <c r="AO201" s="12"/>
      <c r="AP201" s="12"/>
      <c r="AQ201" s="12"/>
      <c r="BC201" s="12"/>
      <c r="BD201" s="12"/>
      <c r="BE201" s="14"/>
      <c r="BF201" s="12"/>
      <c r="BG201" s="12"/>
      <c r="BH201" s="12"/>
      <c r="BI201" s="12"/>
      <c r="BJ201" s="16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4"/>
      <c r="BX201" s="14"/>
      <c r="BY201" s="14"/>
      <c r="BZ201" s="14"/>
      <c r="CA201" s="14"/>
      <c r="CB201" s="14"/>
      <c r="CC201" s="14"/>
      <c r="CD201" s="14"/>
      <c r="CE201" s="14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</row>
    <row r="202">
      <c r="A202" s="172">
        <v>4.0</v>
      </c>
      <c r="B202" s="159" t="s">
        <v>467</v>
      </c>
      <c r="C202" s="159" t="s">
        <v>269</v>
      </c>
      <c r="D202" s="161" t="str">
        <f t="shared" si="1"/>
        <v>4-21-A</v>
      </c>
      <c r="E202" s="162">
        <v>45733.0</v>
      </c>
      <c r="F202" s="163" t="s">
        <v>19</v>
      </c>
      <c r="G202" s="164" t="s">
        <v>54</v>
      </c>
      <c r="H202" s="165" t="s">
        <v>55</v>
      </c>
      <c r="I202" s="166">
        <v>400.0</v>
      </c>
      <c r="J202" s="167" t="s">
        <v>22</v>
      </c>
      <c r="K202" s="27" t="str">
        <f t="shared" si="2"/>
        <v>OCUPADO</v>
      </c>
      <c r="L202" s="28">
        <f t="shared" si="8"/>
        <v>198</v>
      </c>
      <c r="M202" s="28" t="s">
        <v>23</v>
      </c>
      <c r="N202" s="109"/>
      <c r="O202" s="168" t="s">
        <v>24</v>
      </c>
      <c r="P202" s="12"/>
      <c r="Q202" s="12"/>
      <c r="R202" s="12"/>
      <c r="S202" s="12"/>
      <c r="T202" s="12"/>
      <c r="U202" s="12"/>
      <c r="V202" s="12"/>
      <c r="AB202" s="12"/>
      <c r="AC202" s="12" t="str">
        <f>IFERROR(__xludf.DUMMYFUNCTION("""COMPUTED_VALUE"""),"T-1-13")</f>
        <v>T-1-13</v>
      </c>
      <c r="AD202" s="12" t="str">
        <f>IFERROR(__xludf.DUMMYFUNCTION("""COMPUTED_VALUE"""),"LSS1200")</f>
        <v>LSS1200</v>
      </c>
      <c r="AE202" s="12" t="str">
        <f>IFERROR(__xludf.DUMMYFUNCTION("""COMPUTED_VALUE"""),"Licuadora Smart System 1200W")</f>
        <v>Licuadora Smart System 1200W</v>
      </c>
      <c r="AF202" s="30">
        <f>IFERROR(__xludf.DUMMYFUNCTION("""COMPUTED_VALUE"""),10.0)</f>
        <v>10</v>
      </c>
      <c r="AG202" s="12" t="str">
        <f>IFERROR(__xludf.DUMMYFUNCTION("""COMPUTED_VALUE"""),"Movimiento Interno")</f>
        <v>Movimiento Interno</v>
      </c>
      <c r="AH202" s="12"/>
      <c r="AI202" s="12" t="str">
        <f>IFERROR(__xludf.DUMMYFUNCTION("""COMPUTED_VALUE"""),"1")</f>
        <v>1</v>
      </c>
      <c r="AJ202" s="12" t="str">
        <f>IFERROR(__xludf.DUMMYFUNCTION("""COMPUTED_VALUE"""),"13")</f>
        <v>13</v>
      </c>
      <c r="AK202" s="12">
        <f>IFERROR(__xludf.DUMMYFUNCTION("""COMPUTED_VALUE"""),319.0)</f>
        <v>319</v>
      </c>
      <c r="AL202" s="12" t="str">
        <f>IFERROR(__xludf.DUMMYFUNCTION("""COMPUTED_VALUE"""),"KITCHEN-IT")</f>
        <v>KITCHEN-IT</v>
      </c>
      <c r="AM202" s="12"/>
      <c r="AN202" s="12"/>
      <c r="AO202" s="12"/>
      <c r="AP202" s="12"/>
      <c r="AQ202" s="12"/>
      <c r="BC202" s="12"/>
      <c r="BD202" s="12"/>
      <c r="BE202" s="14"/>
      <c r="BF202" s="12"/>
      <c r="BG202" s="12"/>
      <c r="BH202" s="12"/>
      <c r="BI202" s="12"/>
      <c r="BJ202" s="16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4"/>
      <c r="BX202" s="14"/>
      <c r="BY202" s="14"/>
      <c r="BZ202" s="14"/>
      <c r="CA202" s="14"/>
      <c r="CB202" s="14"/>
      <c r="CC202" s="14"/>
      <c r="CD202" s="14"/>
      <c r="CE202" s="14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</row>
    <row r="203">
      <c r="A203" s="172">
        <v>4.0</v>
      </c>
      <c r="B203" s="159" t="s">
        <v>467</v>
      </c>
      <c r="C203" s="159" t="s">
        <v>277</v>
      </c>
      <c r="D203" s="161" t="str">
        <f t="shared" si="1"/>
        <v>4-21-B</v>
      </c>
      <c r="E203" s="162">
        <v>45733.0</v>
      </c>
      <c r="F203" s="163" t="s">
        <v>19</v>
      </c>
      <c r="G203" s="164" t="s">
        <v>54</v>
      </c>
      <c r="H203" s="165" t="s">
        <v>55</v>
      </c>
      <c r="I203" s="166">
        <v>549.0</v>
      </c>
      <c r="J203" s="167" t="s">
        <v>22</v>
      </c>
      <c r="K203" s="32" t="str">
        <f t="shared" si="2"/>
        <v>OCUPADO</v>
      </c>
      <c r="L203" s="33">
        <f t="shared" si="8"/>
        <v>199</v>
      </c>
      <c r="M203" s="33" t="s">
        <v>23</v>
      </c>
      <c r="N203" s="122"/>
      <c r="O203" s="169" t="s">
        <v>24</v>
      </c>
      <c r="P203" s="12"/>
      <c r="Q203" s="12"/>
      <c r="R203" s="12"/>
      <c r="S203" s="12"/>
      <c r="T203" s="12"/>
      <c r="U203" s="12"/>
      <c r="V203" s="12"/>
      <c r="AB203" s="12"/>
      <c r="AC203" s="12" t="str">
        <f>IFERROR(__xludf.DUMMYFUNCTION("""COMPUTED_VALUE"""),"T-1-14")</f>
        <v>T-1-14</v>
      </c>
      <c r="AD203" s="12" t="str">
        <f>IFERROR(__xludf.DUMMYFUNCTION("""COMPUTED_VALUE"""),"LPP800W")</f>
        <v>LPP800W</v>
      </c>
      <c r="AE203" s="12" t="str">
        <f>IFERROR(__xludf.DUMMYFUNCTION("""COMPUTED_VALUE"""),"Licuadora Power Pro 800W")</f>
        <v>Licuadora Power Pro 800W</v>
      </c>
      <c r="AF203" s="30">
        <f>IFERROR(__xludf.DUMMYFUNCTION("""COMPUTED_VALUE"""),10.0)</f>
        <v>10</v>
      </c>
      <c r="AG203" s="12" t="str">
        <f>IFERROR(__xludf.DUMMYFUNCTION("""COMPUTED_VALUE"""),"Movimiento Interno")</f>
        <v>Movimiento Interno</v>
      </c>
      <c r="AH203" s="12"/>
      <c r="AI203" s="12" t="str">
        <f>IFERROR(__xludf.DUMMYFUNCTION("""COMPUTED_VALUE"""),"1")</f>
        <v>1</v>
      </c>
      <c r="AJ203" s="12" t="str">
        <f>IFERROR(__xludf.DUMMYFUNCTION("""COMPUTED_VALUE"""),"14")</f>
        <v>14</v>
      </c>
      <c r="AK203" s="12">
        <f>IFERROR(__xludf.DUMMYFUNCTION("""COMPUTED_VALUE"""),320.0)</f>
        <v>320</v>
      </c>
      <c r="AL203" s="12" t="str">
        <f>IFERROR(__xludf.DUMMYFUNCTION("""COMPUTED_VALUE"""),"KITCHEN-IT")</f>
        <v>KITCHEN-IT</v>
      </c>
      <c r="AM203" s="12"/>
      <c r="AN203" s="12"/>
      <c r="AO203" s="12"/>
      <c r="AP203" s="12"/>
      <c r="AQ203" s="12"/>
      <c r="BC203" s="12"/>
      <c r="BD203" s="12"/>
      <c r="BE203" s="14"/>
      <c r="BF203" s="12"/>
      <c r="BG203" s="12"/>
      <c r="BH203" s="12"/>
      <c r="BI203" s="12"/>
      <c r="BJ203" s="16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4"/>
      <c r="BX203" s="14"/>
      <c r="BY203" s="14"/>
      <c r="BZ203" s="14"/>
      <c r="CA203" s="14"/>
      <c r="CB203" s="14"/>
      <c r="CC203" s="14"/>
      <c r="CD203" s="14"/>
      <c r="CE203" s="14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</row>
    <row r="204">
      <c r="A204" s="172">
        <v>4.0</v>
      </c>
      <c r="B204" s="159" t="s">
        <v>467</v>
      </c>
      <c r="C204" s="159" t="s">
        <v>282</v>
      </c>
      <c r="D204" s="161" t="str">
        <f t="shared" si="1"/>
        <v>4-21-C</v>
      </c>
      <c r="E204" s="173">
        <v>45733.0</v>
      </c>
      <c r="F204" s="174" t="s">
        <v>19</v>
      </c>
      <c r="G204" s="175" t="s">
        <v>128</v>
      </c>
      <c r="H204" s="176" t="s">
        <v>252</v>
      </c>
      <c r="I204" s="177">
        <v>667.0</v>
      </c>
      <c r="J204" s="178" t="s">
        <v>22</v>
      </c>
      <c r="K204" s="27" t="str">
        <f t="shared" si="2"/>
        <v>OCUPADO</v>
      </c>
      <c r="L204" s="28">
        <f t="shared" si="8"/>
        <v>200</v>
      </c>
      <c r="M204" s="28" t="s">
        <v>23</v>
      </c>
      <c r="N204" s="109"/>
      <c r="O204" s="168" t="s">
        <v>24</v>
      </c>
      <c r="P204" s="12"/>
      <c r="Q204" s="12"/>
      <c r="R204" s="12"/>
      <c r="S204" s="12"/>
      <c r="T204" s="12"/>
      <c r="U204" s="12"/>
      <c r="V204" s="12"/>
      <c r="AB204" s="12"/>
      <c r="AC204" s="12" t="str">
        <f>IFERROR(__xludf.DUMMYFUNCTION("""COMPUTED_VALUE"""),"T-1-15")</f>
        <v>T-1-15</v>
      </c>
      <c r="AD204" s="12" t="str">
        <f>IFERROR(__xludf.DUMMYFUNCTION("""COMPUTED_VALUE"""),"FAME12L")</f>
        <v>FAME12L</v>
      </c>
      <c r="AE204" s="12" t="str">
        <f>IFERROR(__xludf.DUMMYFUNCTION("""COMPUTED_VALUE"""),"Freidora de Aire Max Edition 12L")</f>
        <v>Freidora de Aire Max Edition 12L</v>
      </c>
      <c r="AF204" s="30">
        <f>IFERROR(__xludf.DUMMYFUNCTION("""COMPUTED_VALUE"""),89.0)</f>
        <v>89</v>
      </c>
      <c r="AG204" s="12" t="str">
        <f>IFERROR(__xludf.DUMMYFUNCTION("""COMPUTED_VALUE"""),"Contenedor")</f>
        <v>Contenedor</v>
      </c>
      <c r="AH204" s="12"/>
      <c r="AI204" s="12" t="str">
        <f>IFERROR(__xludf.DUMMYFUNCTION("""COMPUTED_VALUE"""),"1")</f>
        <v>1</v>
      </c>
      <c r="AJ204" s="12" t="str">
        <f>IFERROR(__xludf.DUMMYFUNCTION("""COMPUTED_VALUE"""),"15")</f>
        <v>15</v>
      </c>
      <c r="AK204" s="12">
        <f>IFERROR(__xludf.DUMMYFUNCTION("""COMPUTED_VALUE"""),321.0)</f>
        <v>321</v>
      </c>
      <c r="AL204" s="12" t="str">
        <f>IFERROR(__xludf.DUMMYFUNCTION("""COMPUTED_VALUE"""),"KITCHEN-IT")</f>
        <v>KITCHEN-IT</v>
      </c>
      <c r="AM204" s="12"/>
      <c r="AN204" s="12"/>
      <c r="AO204" s="12"/>
      <c r="AP204" s="12"/>
      <c r="AQ204" s="12"/>
      <c r="BC204" s="12"/>
      <c r="BD204" s="12"/>
      <c r="BE204" s="14"/>
      <c r="BF204" s="12"/>
      <c r="BG204" s="12"/>
      <c r="BH204" s="12"/>
      <c r="BI204" s="12"/>
      <c r="BJ204" s="16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4"/>
      <c r="BX204" s="14"/>
      <c r="BY204" s="14"/>
      <c r="BZ204" s="14"/>
      <c r="CA204" s="14"/>
      <c r="CB204" s="14"/>
      <c r="CC204" s="14"/>
      <c r="CD204" s="14"/>
      <c r="CE204" s="14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</row>
    <row r="205">
      <c r="A205" s="172">
        <v>4.0</v>
      </c>
      <c r="B205" s="159" t="s">
        <v>467</v>
      </c>
      <c r="C205" s="159" t="s">
        <v>285</v>
      </c>
      <c r="D205" s="161" t="str">
        <f t="shared" si="1"/>
        <v>4-21-D</v>
      </c>
      <c r="E205" s="103"/>
      <c r="F205" s="104"/>
      <c r="G205" s="105"/>
      <c r="H205" s="106"/>
      <c r="I205" s="107"/>
      <c r="J205" s="108"/>
      <c r="K205" s="32" t="str">
        <f t="shared" si="2"/>
        <v>DISPONIBLE</v>
      </c>
      <c r="L205" s="33">
        <f t="shared" si="8"/>
        <v>201</v>
      </c>
      <c r="M205" s="33" t="s">
        <v>23</v>
      </c>
      <c r="N205" s="122"/>
      <c r="O205" s="169"/>
      <c r="P205" s="12"/>
      <c r="Q205" s="12"/>
      <c r="R205" s="12"/>
      <c r="S205" s="12"/>
      <c r="T205" s="12"/>
      <c r="U205" s="12"/>
      <c r="V205" s="12"/>
      <c r="AB205" s="12"/>
      <c r="AC205" s="12" t="str">
        <f>IFERROR(__xludf.DUMMYFUNCTION("""COMPUTED_VALUE"""),"ZOUT-1-1")</f>
        <v>ZOUT-1-1</v>
      </c>
      <c r="AD205" s="12" t="str">
        <f>IFERROR(__xludf.DUMMYFUNCTION("""COMPUTED_VALUE"""),"HEBE25L")</f>
        <v>HEBE25L</v>
      </c>
      <c r="AE205" s="12" t="str">
        <f>IFERROR(__xludf.DUMMYFUNCTION("""COMPUTED_VALUE"""),"Hervidor Big Edition 2.5L")</f>
        <v>Hervidor Big Edition 2.5L</v>
      </c>
      <c r="AF205" s="30">
        <f>IFERROR(__xludf.DUMMYFUNCTION("""COMPUTED_VALUE"""),300.0)</f>
        <v>300</v>
      </c>
      <c r="AG205" s="12" t="str">
        <f>IFERROR(__xludf.DUMMYFUNCTION("""COMPUTED_VALUE"""),"Movimiento Interno")</f>
        <v>Movimiento Interno</v>
      </c>
      <c r="AH205" s="12"/>
      <c r="AI205" s="12" t="str">
        <f>IFERROR(__xludf.DUMMYFUNCTION("""COMPUTED_VALUE"""),"1")</f>
        <v>1</v>
      </c>
      <c r="AJ205" s="12" t="str">
        <f>IFERROR(__xludf.DUMMYFUNCTION("""COMPUTED_VALUE"""),"1")</f>
        <v>1</v>
      </c>
      <c r="AK205" s="12">
        <f>IFERROR(__xludf.DUMMYFUNCTION("""COMPUTED_VALUE"""),347.0)</f>
        <v>347</v>
      </c>
      <c r="AL205" s="12" t="str">
        <f>IFERROR(__xludf.DUMMYFUNCTION("""COMPUTED_VALUE"""),"KITCHEN-IT")</f>
        <v>KITCHEN-IT</v>
      </c>
      <c r="AM205" s="12"/>
      <c r="AN205" s="12"/>
      <c r="AO205" s="12"/>
      <c r="AP205" s="12"/>
      <c r="AQ205" s="12"/>
      <c r="BC205" s="12"/>
      <c r="BD205" s="12"/>
      <c r="BE205" s="14"/>
      <c r="BF205" s="12"/>
      <c r="BG205" s="12"/>
      <c r="BH205" s="12" t="str">
        <f>IFERROR(__xludf.DUMMYFUNCTION("IFERROR(INDEX(QUERY(IMPORTRANGE(""1T7HG8KEs-Ob7f3M5atEVN9Yn7IeORGp0QGvggB62ELw"",""Maestro!A:I""),""SELECT Col8 WHERE Col3 = '""&amp;BE205&amp;""'"", 0), 1, 1),""NO ENCONTRADO"")"),"")</f>
        <v/>
      </c>
      <c r="BI205" s="12" t="str">
        <f>IFERROR(__xludf.DUMMYFUNCTION("IFERROR(INDEX(QUERY(IMPORTRANGE(""1T7HG8KEs-Ob7f3M5atEVN9Yn7IeORGp0QGvggB62ELw"",""Maestro!A:I""),""SELECT Col7 WHERE Col3 = '""&amp;BE205&amp;""'"", 0), 1, 1),""NO ENCONTRADO"")"),"")</f>
        <v/>
      </c>
      <c r="BJ205" s="16">
        <f t="shared" ref="BJ205:BJ281" si="9">IFERROR(ROUND(IF(BH205="D",BG205/BI205,BG205*BI205),0),1)</f>
        <v>0</v>
      </c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4"/>
      <c r="BX205" s="14"/>
      <c r="BY205" s="14"/>
      <c r="BZ205" s="14"/>
      <c r="CA205" s="14"/>
      <c r="CB205" s="14"/>
      <c r="CC205" s="14"/>
      <c r="CD205" s="14"/>
      <c r="CE205" s="14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</row>
    <row r="206">
      <c r="A206" s="158">
        <v>4.0</v>
      </c>
      <c r="B206" s="159" t="s">
        <v>254</v>
      </c>
      <c r="C206" s="160" t="s">
        <v>119</v>
      </c>
      <c r="D206" s="161" t="str">
        <f t="shared" si="1"/>
        <v>4-R-1A</v>
      </c>
      <c r="E206" s="162">
        <v>45688.0</v>
      </c>
      <c r="F206" s="163" t="s">
        <v>774</v>
      </c>
      <c r="G206" s="164" t="s">
        <v>346</v>
      </c>
      <c r="H206" s="165" t="s">
        <v>347</v>
      </c>
      <c r="I206" s="166">
        <v>13.0</v>
      </c>
      <c r="J206" s="167" t="s">
        <v>767</v>
      </c>
      <c r="K206" s="27" t="str">
        <f t="shared" si="2"/>
        <v>OCUPADO</v>
      </c>
      <c r="L206" s="28">
        <f>IF(B197&lt;&gt;"", ROW(A197), "")
</f>
        <v>197</v>
      </c>
      <c r="M206" s="28" t="s">
        <v>501</v>
      </c>
      <c r="N206" s="109"/>
      <c r="O206" s="168" t="s">
        <v>270</v>
      </c>
      <c r="P206" s="12"/>
      <c r="Q206" s="12"/>
      <c r="R206" s="12"/>
      <c r="S206" s="12"/>
      <c r="T206" s="12"/>
      <c r="U206" s="12"/>
      <c r="V206" s="12"/>
      <c r="AB206" s="12"/>
      <c r="AC206" s="12" t="str">
        <f>IFERROR(__xludf.DUMMYFUNCTION("""COMPUTED_VALUE"""),"ZOUT-1-28")</f>
        <v>ZOUT-1-28</v>
      </c>
      <c r="AD206" s="12" t="str">
        <f>IFERROR(__xludf.DUMMYFUNCTION("""COMPUTED_VALUE"""),"691084")</f>
        <v>691084</v>
      </c>
      <c r="AE206" s="12" t="str">
        <f>IFERROR(__xludf.DUMMYFUNCTION("""COMPUTED_VALUE"""),"ROLLO CARTON ACOLCHADO 40cmx5mt")</f>
        <v>ROLLO CARTON ACOLCHADO 40cmx5mt</v>
      </c>
      <c r="AF206" s="30">
        <f>IFERROR(__xludf.DUMMYFUNCTION("""COMPUTED_VALUE"""),1.0)</f>
        <v>1</v>
      </c>
      <c r="AG206" s="12" t="str">
        <f>IFERROR(__xludf.DUMMYFUNCTION("""COMPUTED_VALUE"""),"PRODUCTO TERMINADO")</f>
        <v>PRODUCTO TERMINADO</v>
      </c>
      <c r="AH206" s="12"/>
      <c r="AI206" s="12" t="str">
        <f>IFERROR(__xludf.DUMMYFUNCTION("""COMPUTED_VALUE"""),"1")</f>
        <v>1</v>
      </c>
      <c r="AJ206" s="12" t="str">
        <f>IFERROR(__xludf.DUMMYFUNCTION("""COMPUTED_VALUE"""),"28")</f>
        <v>28</v>
      </c>
      <c r="AK206" s="12">
        <f>IFERROR(__xludf.DUMMYFUNCTION("""COMPUTED_VALUE"""),374.0)</f>
        <v>374</v>
      </c>
      <c r="AL206" s="12" t="str">
        <f>IFERROR(__xludf.DUMMYFUNCTION("""COMPUTED_VALUE"""),"SUMMIT")</f>
        <v>SUMMIT</v>
      </c>
      <c r="AM206" s="12"/>
      <c r="AN206" s="12"/>
      <c r="AO206" s="12"/>
      <c r="AP206" s="12"/>
      <c r="AQ206" s="12"/>
      <c r="BC206" s="12"/>
      <c r="BD206" s="12"/>
      <c r="BE206" s="14"/>
      <c r="BF206" s="12"/>
      <c r="BG206" s="12"/>
      <c r="BH206" s="12" t="str">
        <f>IFERROR(__xludf.DUMMYFUNCTION("IFERROR(INDEX(QUERY(IMPORTRANGE(""1T7HG8KEs-Ob7f3M5atEVN9Yn7IeORGp0QGvggB62ELw"",""Maestro!A:I""),""SELECT Col8 WHERE Col3 = '""&amp;BE206&amp;""'"", 0), 1, 1),""NO ENCONTRADO"")"),"")</f>
        <v/>
      </c>
      <c r="BI206" s="12" t="str">
        <f>IFERROR(__xludf.DUMMYFUNCTION("IFERROR(INDEX(QUERY(IMPORTRANGE(""1T7HG8KEs-Ob7f3M5atEVN9Yn7IeORGp0QGvggB62ELw"",""Maestro!A:I""),""SELECT Col7 WHERE Col3 = '""&amp;BE206&amp;""'"", 0), 1, 1),""NO ENCONTRADO"")"),"")</f>
        <v/>
      </c>
      <c r="BJ206" s="16">
        <f t="shared" si="9"/>
        <v>0</v>
      </c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4"/>
      <c r="BX206" s="14"/>
      <c r="BY206" s="14"/>
      <c r="BZ206" s="14"/>
      <c r="CA206" s="14"/>
      <c r="CB206" s="14"/>
      <c r="CC206" s="14"/>
      <c r="CD206" s="14"/>
      <c r="CE206" s="14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</row>
    <row r="207">
      <c r="A207" s="158">
        <v>4.0</v>
      </c>
      <c r="B207" s="159" t="s">
        <v>254</v>
      </c>
      <c r="C207" s="160" t="s">
        <v>132</v>
      </c>
      <c r="D207" s="161" t="str">
        <f t="shared" si="1"/>
        <v>4-R-1B</v>
      </c>
      <c r="E207" s="162">
        <v>45735.0</v>
      </c>
      <c r="F207" s="163" t="s">
        <v>19</v>
      </c>
      <c r="G207" s="164" t="s">
        <v>346</v>
      </c>
      <c r="H207" s="165" t="s">
        <v>347</v>
      </c>
      <c r="I207" s="166">
        <v>576.0</v>
      </c>
      <c r="J207" s="167" t="s">
        <v>274</v>
      </c>
      <c r="K207" s="32" t="str">
        <f t="shared" si="2"/>
        <v>OCUPADO</v>
      </c>
      <c r="L207" s="33">
        <f t="shared" ref="L207:L283" si="10">IF(B206&lt;&gt;"", ROW(A206), "")
</f>
        <v>206</v>
      </c>
      <c r="M207" s="33" t="s">
        <v>501</v>
      </c>
      <c r="N207" s="122"/>
      <c r="O207" s="169" t="s">
        <v>270</v>
      </c>
      <c r="P207" s="12"/>
      <c r="Q207" s="12"/>
      <c r="R207" s="12"/>
      <c r="S207" s="12"/>
      <c r="T207" s="12"/>
      <c r="U207" s="12"/>
      <c r="V207" s="12"/>
      <c r="AB207" s="12"/>
      <c r="AC207" s="12" t="str">
        <f>IFERROR(__xludf.DUMMYFUNCTION("""COMPUTED_VALUE"""),"ZOUT-1-29")</f>
        <v>ZOUT-1-29</v>
      </c>
      <c r="AD207" s="12" t="str">
        <f>IFERROR(__xludf.DUMMYFUNCTION("""COMPUTED_VALUE"""),"691084")</f>
        <v>691084</v>
      </c>
      <c r="AE207" s="12" t="str">
        <f>IFERROR(__xludf.DUMMYFUNCTION("""COMPUTED_VALUE"""),"ROLLO CARTON ACOLCHADO 40cmx5mt")</f>
        <v>ROLLO CARTON ACOLCHADO 40cmx5mt</v>
      </c>
      <c r="AF207" s="30">
        <f>IFERROR(__xludf.DUMMYFUNCTION("""COMPUTED_VALUE"""),50.0)</f>
        <v>50</v>
      </c>
      <c r="AG207" s="12" t="str">
        <f>IFERROR(__xludf.DUMMYFUNCTION("""COMPUTED_VALUE"""),"PRODUCTO TERMINADO")</f>
        <v>PRODUCTO TERMINADO</v>
      </c>
      <c r="AH207" s="12"/>
      <c r="AI207" s="12" t="str">
        <f>IFERROR(__xludf.DUMMYFUNCTION("""COMPUTED_VALUE"""),"1")</f>
        <v>1</v>
      </c>
      <c r="AJ207" s="12" t="str">
        <f>IFERROR(__xludf.DUMMYFUNCTION("""COMPUTED_VALUE"""),"29")</f>
        <v>29</v>
      </c>
      <c r="AK207" s="12">
        <f>IFERROR(__xludf.DUMMYFUNCTION("""COMPUTED_VALUE"""),375.0)</f>
        <v>375</v>
      </c>
      <c r="AL207" s="12" t="str">
        <f>IFERROR(__xludf.DUMMYFUNCTION("""COMPUTED_VALUE"""),"SUMMIT")</f>
        <v>SUMMIT</v>
      </c>
      <c r="AM207" s="12"/>
      <c r="AN207" s="12"/>
      <c r="AO207" s="12"/>
      <c r="AP207" s="12"/>
      <c r="AQ207" s="12"/>
      <c r="BC207" s="12"/>
      <c r="BD207" s="12"/>
      <c r="BE207" s="14"/>
      <c r="BF207" s="12"/>
      <c r="BG207" s="12"/>
      <c r="BH207" s="12" t="str">
        <f>IFERROR(__xludf.DUMMYFUNCTION("IFERROR(INDEX(QUERY(IMPORTRANGE(""1T7HG8KEs-Ob7f3M5atEVN9Yn7IeORGp0QGvggB62ELw"",""Maestro!A:I""),""SELECT Col8 WHERE Col3 = '""&amp;BE207&amp;""'"", 0), 1, 1),""NO ENCONTRADO"")"),"")</f>
        <v/>
      </c>
      <c r="BI207" s="12" t="str">
        <f>IFERROR(__xludf.DUMMYFUNCTION("IFERROR(INDEX(QUERY(IMPORTRANGE(""1T7HG8KEs-Ob7f3M5atEVN9Yn7IeORGp0QGvggB62ELw"",""Maestro!A:I""),""SELECT Col7 WHERE Col3 = '""&amp;BE207&amp;""'"", 0), 1, 1),""NO ENCONTRADO"")"),"")</f>
        <v/>
      </c>
      <c r="BJ207" s="16">
        <f t="shared" si="9"/>
        <v>0</v>
      </c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4"/>
      <c r="BX207" s="14"/>
      <c r="BY207" s="14"/>
      <c r="BZ207" s="14"/>
      <c r="CA207" s="14"/>
      <c r="CB207" s="14"/>
      <c r="CC207" s="14"/>
      <c r="CD207" s="14"/>
      <c r="CE207" s="14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</row>
    <row r="208">
      <c r="A208" s="158">
        <v>4.0</v>
      </c>
      <c r="B208" s="159" t="s">
        <v>254</v>
      </c>
      <c r="C208" s="160" t="s">
        <v>560</v>
      </c>
      <c r="D208" s="161" t="str">
        <f t="shared" si="1"/>
        <v>4-R-1C</v>
      </c>
      <c r="E208" s="162">
        <v>45656.0</v>
      </c>
      <c r="F208" s="163" t="s">
        <v>19</v>
      </c>
      <c r="G208" s="164" t="s">
        <v>346</v>
      </c>
      <c r="H208" s="165" t="s">
        <v>347</v>
      </c>
      <c r="I208" s="166">
        <v>840.0</v>
      </c>
      <c r="J208" s="167" t="s">
        <v>274</v>
      </c>
      <c r="K208" s="27" t="str">
        <f t="shared" si="2"/>
        <v>OCUPADO</v>
      </c>
      <c r="L208" s="28">
        <f t="shared" si="10"/>
        <v>207</v>
      </c>
      <c r="M208" s="28" t="s">
        <v>501</v>
      </c>
      <c r="N208" s="109"/>
      <c r="O208" s="168" t="s">
        <v>270</v>
      </c>
      <c r="P208" s="12"/>
      <c r="Q208" s="12"/>
      <c r="R208" s="12"/>
      <c r="S208" s="12"/>
      <c r="T208" s="12"/>
      <c r="U208" s="12"/>
      <c r="V208" s="12"/>
      <c r="AB208" s="12"/>
      <c r="AC208" s="12" t="str">
        <f>IFERROR(__xludf.DUMMYFUNCTION("""COMPUTED_VALUE"""),"ZEST-1-2")</f>
        <v>ZEST-1-2</v>
      </c>
      <c r="AD208" s="12" t="str">
        <f>IFERROR(__xludf.DUMMYFUNCTION("""COMPUTED_VALUE"""),"691084")</f>
        <v>691084</v>
      </c>
      <c r="AE208" s="12" t="str">
        <f>IFERROR(__xludf.DUMMYFUNCTION("""COMPUTED_VALUE"""),"ROLLO CARTON ACOLCHADO 40cmx5mt")</f>
        <v>ROLLO CARTON ACOLCHADO 40cmx5mt</v>
      </c>
      <c r="AF208" s="30">
        <f>IFERROR(__xludf.DUMMYFUNCTION("""COMPUTED_VALUE"""),3.0)</f>
        <v>3</v>
      </c>
      <c r="AG208" s="12" t="str">
        <f>IFERROR(__xludf.DUMMYFUNCTION("""COMPUTED_VALUE"""),"PRODUCTO TERMINADO")</f>
        <v>PRODUCTO TERMINADO</v>
      </c>
      <c r="AH208" s="12"/>
      <c r="AI208" s="12" t="str">
        <f>IFERROR(__xludf.DUMMYFUNCTION("""COMPUTED_VALUE"""),"1")</f>
        <v>1</v>
      </c>
      <c r="AJ208" s="12" t="str">
        <f>IFERROR(__xludf.DUMMYFUNCTION("""COMPUTED_VALUE"""),"2")</f>
        <v>2</v>
      </c>
      <c r="AK208" s="12">
        <f>IFERROR(__xludf.DUMMYFUNCTION("""COMPUTED_VALUE"""),378.0)</f>
        <v>378</v>
      </c>
      <c r="AL208" s="12" t="str">
        <f>IFERROR(__xludf.DUMMYFUNCTION("""COMPUTED_VALUE"""),"SUMMIT")</f>
        <v>SUMMIT</v>
      </c>
      <c r="AM208" s="12"/>
      <c r="AN208" s="12"/>
      <c r="AO208" s="12"/>
      <c r="AP208" s="12"/>
      <c r="AQ208" s="12"/>
      <c r="BC208" s="12"/>
      <c r="BD208" s="12"/>
      <c r="BE208" s="14"/>
      <c r="BF208" s="12"/>
      <c r="BG208" s="12"/>
      <c r="BH208" s="12" t="str">
        <f>IFERROR(__xludf.DUMMYFUNCTION("IFERROR(INDEX(QUERY(IMPORTRANGE(""1T7HG8KEs-Ob7f3M5atEVN9Yn7IeORGp0QGvggB62ELw"",""Maestro!A:I""),""SELECT Col8 WHERE Col3 = '""&amp;BE208&amp;""'"", 0), 1, 1),""NO ENCONTRADO"")"),"")</f>
        <v/>
      </c>
      <c r="BI208" s="12" t="str">
        <f>IFERROR(__xludf.DUMMYFUNCTION("IFERROR(INDEX(QUERY(IMPORTRANGE(""1T7HG8KEs-Ob7f3M5atEVN9Yn7IeORGp0QGvggB62ELw"",""Maestro!A:I""),""SELECT Col7 WHERE Col3 = '""&amp;BE208&amp;""'"", 0), 1, 1),""NO ENCONTRADO"")"),"")</f>
        <v/>
      </c>
      <c r="BJ208" s="16">
        <f t="shared" si="9"/>
        <v>0</v>
      </c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4"/>
      <c r="BX208" s="14"/>
      <c r="BY208" s="14"/>
      <c r="BZ208" s="14"/>
      <c r="CA208" s="14"/>
      <c r="CB208" s="14"/>
      <c r="CC208" s="14"/>
      <c r="CD208" s="14"/>
      <c r="CE208" s="14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</row>
    <row r="209">
      <c r="A209" s="158">
        <v>4.0</v>
      </c>
      <c r="B209" s="159" t="s">
        <v>254</v>
      </c>
      <c r="C209" s="160" t="s">
        <v>124</v>
      </c>
      <c r="D209" s="161" t="str">
        <f t="shared" si="1"/>
        <v>4-R-2A</v>
      </c>
      <c r="E209" s="162">
        <v>45694.0</v>
      </c>
      <c r="F209" s="163" t="s">
        <v>702</v>
      </c>
      <c r="G209" s="164" t="s">
        <v>330</v>
      </c>
      <c r="H209" s="165" t="s">
        <v>331</v>
      </c>
      <c r="I209" s="166">
        <v>31.0</v>
      </c>
      <c r="J209" s="167" t="s">
        <v>43</v>
      </c>
      <c r="K209" s="32" t="str">
        <f t="shared" si="2"/>
        <v>OCUPADO</v>
      </c>
      <c r="L209" s="33">
        <f t="shared" si="10"/>
        <v>208</v>
      </c>
      <c r="M209" s="33" t="s">
        <v>501</v>
      </c>
      <c r="N209" s="122"/>
      <c r="O209" s="169" t="s">
        <v>270</v>
      </c>
      <c r="P209" s="12"/>
      <c r="Q209" s="12"/>
      <c r="R209" s="12"/>
      <c r="S209" s="12"/>
      <c r="T209" s="12"/>
      <c r="U209" s="12"/>
      <c r="V209" s="12"/>
      <c r="AB209" s="12"/>
      <c r="AC209" s="12" t="str">
        <f>IFERROR(__xludf.DUMMYFUNCTION("""COMPUTED_VALUE"""),"ZEST-1-3")</f>
        <v>ZEST-1-3</v>
      </c>
      <c r="AD209" s="12" t="str">
        <f>IFERROR(__xludf.DUMMYFUNCTION("""COMPUTED_VALUE"""),"600523")</f>
        <v>600523</v>
      </c>
      <c r="AE209" s="12" t="str">
        <f>IFERROR(__xludf.DUMMYFUNCTION("""COMPUTED_VALUE"""),"FUNDA PAPEL PANAL SET 3 UN 40X10CM")</f>
        <v>FUNDA PAPEL PANAL SET 3 UN 40X10CM</v>
      </c>
      <c r="AF209" s="30">
        <f>IFERROR(__xludf.DUMMYFUNCTION("""COMPUTED_VALUE"""),24.0)</f>
        <v>24</v>
      </c>
      <c r="AG209" s="12" t="str">
        <f>IFERROR(__xludf.DUMMYFUNCTION("""COMPUTED_VALUE"""),"PRODUCTO TERMINADO")</f>
        <v>PRODUCTO TERMINADO</v>
      </c>
      <c r="AH209" s="12"/>
      <c r="AI209" s="12" t="str">
        <f>IFERROR(__xludf.DUMMYFUNCTION("""COMPUTED_VALUE"""),"1")</f>
        <v>1</v>
      </c>
      <c r="AJ209" s="12" t="str">
        <f>IFERROR(__xludf.DUMMYFUNCTION("""COMPUTED_VALUE"""),"3")</f>
        <v>3</v>
      </c>
      <c r="AK209" s="12">
        <f>IFERROR(__xludf.DUMMYFUNCTION("""COMPUTED_VALUE"""),379.0)</f>
        <v>379</v>
      </c>
      <c r="AL209" s="12" t="str">
        <f>IFERROR(__xludf.DUMMYFUNCTION("""COMPUTED_VALUE"""),"SUMMIT")</f>
        <v>SUMMIT</v>
      </c>
      <c r="AM209" s="12"/>
      <c r="AN209" s="12"/>
      <c r="AO209" s="12"/>
      <c r="AP209" s="12"/>
      <c r="AQ209" s="12"/>
      <c r="BC209" s="12"/>
      <c r="BD209" s="12"/>
      <c r="BE209" s="14"/>
      <c r="BF209" s="12"/>
      <c r="BG209" s="12"/>
      <c r="BH209" s="12" t="str">
        <f>IFERROR(__xludf.DUMMYFUNCTION("IFERROR(INDEX(QUERY(IMPORTRANGE(""1T7HG8KEs-Ob7f3M5atEVN9Yn7IeORGp0QGvggB62ELw"",""Maestro!A:I""),""SELECT Col8 WHERE Col3 = '""&amp;BE209&amp;""'"", 0), 1, 1),""NO ENCONTRADO"")"),"")</f>
        <v/>
      </c>
      <c r="BI209" s="12" t="str">
        <f>IFERROR(__xludf.DUMMYFUNCTION("IFERROR(INDEX(QUERY(IMPORTRANGE(""1T7HG8KEs-Ob7f3M5atEVN9Yn7IeORGp0QGvggB62ELw"",""Maestro!A:I""),""SELECT Col7 WHERE Col3 = '""&amp;BE209&amp;""'"", 0), 1, 1),""NO ENCONTRADO"")"),"")</f>
        <v/>
      </c>
      <c r="BJ209" s="16">
        <f t="shared" si="9"/>
        <v>0</v>
      </c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4"/>
      <c r="BX209" s="14"/>
      <c r="BY209" s="14"/>
      <c r="BZ209" s="14"/>
      <c r="CA209" s="14"/>
      <c r="CB209" s="14"/>
      <c r="CC209" s="14"/>
      <c r="CD209" s="14"/>
      <c r="CE209" s="14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</row>
    <row r="210">
      <c r="A210" s="158">
        <v>4.0</v>
      </c>
      <c r="B210" s="159" t="s">
        <v>254</v>
      </c>
      <c r="C210" s="160" t="s">
        <v>140</v>
      </c>
      <c r="D210" s="161" t="str">
        <f t="shared" si="1"/>
        <v>4-R-2B</v>
      </c>
      <c r="E210" s="162">
        <v>45688.0</v>
      </c>
      <c r="F210" s="163" t="s">
        <v>702</v>
      </c>
      <c r="G210" s="164" t="s">
        <v>330</v>
      </c>
      <c r="H210" s="165" t="s">
        <v>331</v>
      </c>
      <c r="I210" s="166">
        <v>171.0</v>
      </c>
      <c r="J210" s="167" t="s">
        <v>43</v>
      </c>
      <c r="K210" s="27" t="str">
        <f t="shared" si="2"/>
        <v>OCUPADO</v>
      </c>
      <c r="L210" s="28">
        <f t="shared" si="10"/>
        <v>209</v>
      </c>
      <c r="M210" s="28" t="s">
        <v>501</v>
      </c>
      <c r="N210" s="109"/>
      <c r="O210" s="168" t="s">
        <v>270</v>
      </c>
      <c r="P210" s="12"/>
      <c r="Q210" s="12"/>
      <c r="R210" s="12"/>
      <c r="S210" s="12"/>
      <c r="T210" s="12"/>
      <c r="U210" s="12"/>
      <c r="V210" s="12"/>
      <c r="AB210" s="12"/>
      <c r="AC210" s="12" t="str">
        <f>IFERROR(__xludf.DUMMYFUNCTION("""COMPUTED_VALUE"""),"ZEST-1-4")</f>
        <v>ZEST-1-4</v>
      </c>
      <c r="AD210" s="12" t="str">
        <f>IFERROR(__xludf.DUMMYFUNCTION("""COMPUTED_VALUE"""),"600523")</f>
        <v>600523</v>
      </c>
      <c r="AE210" s="12" t="str">
        <f>IFERROR(__xludf.DUMMYFUNCTION("""COMPUTED_VALUE"""),"FUNDA PAPEL PANAL SET 3 UN 40X10CM")</f>
        <v>FUNDA PAPEL PANAL SET 3 UN 40X10CM</v>
      </c>
      <c r="AF210" s="30">
        <f>IFERROR(__xludf.DUMMYFUNCTION("""COMPUTED_VALUE"""),24.0)</f>
        <v>24</v>
      </c>
      <c r="AG210" s="12" t="str">
        <f>IFERROR(__xludf.DUMMYFUNCTION("""COMPUTED_VALUE"""),"PRODUCTO TERMINADO")</f>
        <v>PRODUCTO TERMINADO</v>
      </c>
      <c r="AH210" s="12"/>
      <c r="AI210" s="12" t="str">
        <f>IFERROR(__xludf.DUMMYFUNCTION("""COMPUTED_VALUE"""),"1")</f>
        <v>1</v>
      </c>
      <c r="AJ210" s="12" t="str">
        <f>IFERROR(__xludf.DUMMYFUNCTION("""COMPUTED_VALUE"""),"4")</f>
        <v>4</v>
      </c>
      <c r="AK210" s="12">
        <f>IFERROR(__xludf.DUMMYFUNCTION("""COMPUTED_VALUE"""),380.0)</f>
        <v>380</v>
      </c>
      <c r="AL210" s="12" t="str">
        <f>IFERROR(__xludf.DUMMYFUNCTION("""COMPUTED_VALUE"""),"SUMMIT")</f>
        <v>SUMMIT</v>
      </c>
      <c r="AM210" s="12"/>
      <c r="AN210" s="12"/>
      <c r="AO210" s="12"/>
      <c r="AP210" s="12"/>
      <c r="AQ210" s="12"/>
      <c r="BC210" s="12"/>
      <c r="BD210" s="12"/>
      <c r="BE210" s="14"/>
      <c r="BF210" s="12"/>
      <c r="BG210" s="12"/>
      <c r="BH210" s="12" t="str">
        <f>IFERROR(__xludf.DUMMYFUNCTION("IFERROR(INDEX(QUERY(IMPORTRANGE(""1T7HG8KEs-Ob7f3M5atEVN9Yn7IeORGp0QGvggB62ELw"",""Maestro!A:I""),""SELECT Col8 WHERE Col3 = '""&amp;BE210&amp;""'"", 0), 1, 1),""NO ENCONTRADO"")"),"")</f>
        <v/>
      </c>
      <c r="BI210" s="12" t="str">
        <f>IFERROR(__xludf.DUMMYFUNCTION("IFERROR(INDEX(QUERY(IMPORTRANGE(""1T7HG8KEs-Ob7f3M5atEVN9Yn7IeORGp0QGvggB62ELw"",""Maestro!A:I""),""SELECT Col7 WHERE Col3 = '""&amp;BE210&amp;""'"", 0), 1, 1),""NO ENCONTRADO"")"),"")</f>
        <v/>
      </c>
      <c r="BJ210" s="16">
        <f t="shared" si="9"/>
        <v>0</v>
      </c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4"/>
      <c r="BX210" s="14"/>
      <c r="BY210" s="14"/>
      <c r="BZ210" s="14"/>
      <c r="CA210" s="14"/>
      <c r="CB210" s="14"/>
      <c r="CC210" s="14"/>
      <c r="CD210" s="14"/>
      <c r="CE210" s="14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</row>
    <row r="211">
      <c r="A211" s="158">
        <v>4.0</v>
      </c>
      <c r="B211" s="159" t="s">
        <v>254</v>
      </c>
      <c r="C211" s="160" t="s">
        <v>130</v>
      </c>
      <c r="D211" s="161" t="str">
        <f t="shared" si="1"/>
        <v>4-R-3A</v>
      </c>
      <c r="E211" s="103"/>
      <c r="F211" s="104"/>
      <c r="G211" s="105"/>
      <c r="H211" s="106"/>
      <c r="I211" s="107"/>
      <c r="J211" s="108"/>
      <c r="K211" s="32" t="str">
        <f t="shared" si="2"/>
        <v>DISPONIBLE</v>
      </c>
      <c r="L211" s="33">
        <f t="shared" si="10"/>
        <v>210</v>
      </c>
      <c r="M211" s="33" t="s">
        <v>501</v>
      </c>
      <c r="N211" s="122"/>
      <c r="O211" s="169"/>
      <c r="P211" s="12"/>
      <c r="Q211" s="12"/>
      <c r="R211" s="12"/>
      <c r="S211" s="12"/>
      <c r="T211" s="12"/>
      <c r="U211" s="12"/>
      <c r="V211" s="12"/>
      <c r="AB211" s="12"/>
      <c r="AC211" s="12" t="str">
        <f>IFERROR(__xludf.DUMMYFUNCTION("""COMPUTED_VALUE"""),"ZEST-1-5")</f>
        <v>ZEST-1-5</v>
      </c>
      <c r="AD211" s="12" t="str">
        <f>IFERROR(__xludf.DUMMYFUNCTION("""COMPUTED_VALUE"""),"PDQ FUNDA PANAL")</f>
        <v>PDQ FUNDA PANAL</v>
      </c>
      <c r="AE211" s="12" t="str">
        <f>IFERROR(__xludf.DUMMYFUNCTION("""COMPUTED_VALUE"""),"PDQ FUNDA PANAL")</f>
        <v>PDQ FUNDA PANAL</v>
      </c>
      <c r="AF211" s="30">
        <f>IFERROR(__xludf.DUMMYFUNCTION("""COMPUTED_VALUE"""),10.0)</f>
        <v>10</v>
      </c>
      <c r="AG211" s="12" t="str">
        <f>IFERROR(__xludf.DUMMYFUNCTION("""COMPUTED_VALUE"""),"PROVEEDOR")</f>
        <v>PROVEEDOR</v>
      </c>
      <c r="AH211" s="12"/>
      <c r="AI211" s="12" t="str">
        <f>IFERROR(__xludf.DUMMYFUNCTION("""COMPUTED_VALUE"""),"1")</f>
        <v>1</v>
      </c>
      <c r="AJ211" s="12" t="str">
        <f>IFERROR(__xludf.DUMMYFUNCTION("""COMPUTED_VALUE"""),"5")</f>
        <v>5</v>
      </c>
      <c r="AK211" s="12">
        <f>IFERROR(__xludf.DUMMYFUNCTION("""COMPUTED_VALUE"""),381.0)</f>
        <v>381</v>
      </c>
      <c r="AL211" s="12" t="str">
        <f>IFERROR(__xludf.DUMMYFUNCTION("""COMPUTED_VALUE"""),"SUMMIT")</f>
        <v>SUMMIT</v>
      </c>
      <c r="AM211" s="12"/>
      <c r="AN211" s="12"/>
      <c r="AO211" s="12"/>
      <c r="AP211" s="12"/>
      <c r="AQ211" s="12"/>
      <c r="BC211" s="12"/>
      <c r="BD211" s="12"/>
      <c r="BE211" s="14"/>
      <c r="BF211" s="12"/>
      <c r="BG211" s="12"/>
      <c r="BH211" s="12" t="str">
        <f>IFERROR(__xludf.DUMMYFUNCTION("IFERROR(INDEX(QUERY(IMPORTRANGE(""1T7HG8KEs-Ob7f3M5atEVN9Yn7IeORGp0QGvggB62ELw"",""Maestro!A:I""),""SELECT Col8 WHERE Col3 = '""&amp;BE211&amp;""'"", 0), 1, 1),""NO ENCONTRADO"")"),"")</f>
        <v/>
      </c>
      <c r="BI211" s="12" t="str">
        <f>IFERROR(__xludf.DUMMYFUNCTION("IFERROR(INDEX(QUERY(IMPORTRANGE(""1T7HG8KEs-Ob7f3M5atEVN9Yn7IeORGp0QGvggB62ELw"",""Maestro!A:I""),""SELECT Col7 WHERE Col3 = '""&amp;BE211&amp;""'"", 0), 1, 1),""NO ENCONTRADO"")"),"")</f>
        <v/>
      </c>
      <c r="BJ211" s="16">
        <f t="shared" si="9"/>
        <v>0</v>
      </c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4"/>
      <c r="BX211" s="14"/>
      <c r="BY211" s="14"/>
      <c r="BZ211" s="14"/>
      <c r="CA211" s="14"/>
      <c r="CB211" s="14"/>
      <c r="CC211" s="14"/>
      <c r="CD211" s="14"/>
      <c r="CE211" s="14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</row>
    <row r="212">
      <c r="A212" s="158">
        <v>4.0</v>
      </c>
      <c r="B212" s="159" t="s">
        <v>254</v>
      </c>
      <c r="C212" s="160" t="s">
        <v>148</v>
      </c>
      <c r="D212" s="161" t="str">
        <f t="shared" si="1"/>
        <v>4-R-3B</v>
      </c>
      <c r="E212" s="162">
        <v>45694.0</v>
      </c>
      <c r="F212" s="163" t="s">
        <v>702</v>
      </c>
      <c r="G212" s="164" t="s">
        <v>330</v>
      </c>
      <c r="H212" s="165" t="s">
        <v>331</v>
      </c>
      <c r="I212" s="166">
        <v>163.0</v>
      </c>
      <c r="J212" s="167" t="s">
        <v>43</v>
      </c>
      <c r="K212" s="27" t="str">
        <f t="shared" si="2"/>
        <v>OCUPADO</v>
      </c>
      <c r="L212" s="28">
        <f t="shared" si="10"/>
        <v>211</v>
      </c>
      <c r="M212" s="28" t="s">
        <v>501</v>
      </c>
      <c r="N212" s="109"/>
      <c r="O212" s="168" t="s">
        <v>270</v>
      </c>
      <c r="P212" s="12"/>
      <c r="Q212" s="12"/>
      <c r="R212" s="12"/>
      <c r="S212" s="12"/>
      <c r="T212" s="12"/>
      <c r="U212" s="12"/>
      <c r="V212" s="12"/>
      <c r="AB212" s="12"/>
      <c r="AC212" s="12" t="str">
        <f>IFERROR(__xludf.DUMMYFUNCTION("""COMPUTED_VALUE"""),"ZEST-2-1")</f>
        <v>ZEST-2-1</v>
      </c>
      <c r="AD212" s="12" t="str">
        <f>IFERROR(__xludf.DUMMYFUNCTION("""COMPUTED_VALUE"""),"600567")</f>
        <v>600567</v>
      </c>
      <c r="AE212" s="12" t="str">
        <f>IFERROR(__xludf.DUMMYFUNCTION("""COMPUTED_VALUE"""),"SEPARADORES PLATOS 32X23X32")</f>
        <v>SEPARADORES PLATOS 32X23X32</v>
      </c>
      <c r="AF212" s="30">
        <f>IFERROR(__xludf.DUMMYFUNCTION("""COMPUTED_VALUE"""),18.0)</f>
        <v>18</v>
      </c>
      <c r="AG212" s="12" t="str">
        <f>IFERROR(__xludf.DUMMYFUNCTION("""COMPUTED_VALUE"""),"PRODUCTO TERMINADO")</f>
        <v>PRODUCTO TERMINADO</v>
      </c>
      <c r="AH212" s="12"/>
      <c r="AI212" s="12" t="str">
        <f>IFERROR(__xludf.DUMMYFUNCTION("""COMPUTED_VALUE"""),"2")</f>
        <v>2</v>
      </c>
      <c r="AJ212" s="12" t="str">
        <f>IFERROR(__xludf.DUMMYFUNCTION("""COMPUTED_VALUE"""),"1")</f>
        <v>1</v>
      </c>
      <c r="AK212" s="12">
        <f>IFERROR(__xludf.DUMMYFUNCTION("""COMPUTED_VALUE"""),382.0)</f>
        <v>382</v>
      </c>
      <c r="AL212" s="12" t="str">
        <f>IFERROR(__xludf.DUMMYFUNCTION("""COMPUTED_VALUE"""),"SUMMIT")</f>
        <v>SUMMIT</v>
      </c>
      <c r="AM212" s="12"/>
      <c r="AN212" s="12"/>
      <c r="AO212" s="12"/>
      <c r="AP212" s="12"/>
      <c r="AQ212" s="12"/>
      <c r="BC212" s="12"/>
      <c r="BD212" s="12"/>
      <c r="BE212" s="14"/>
      <c r="BF212" s="12"/>
      <c r="BG212" s="12"/>
      <c r="BH212" s="12" t="str">
        <f>IFERROR(__xludf.DUMMYFUNCTION("IFERROR(INDEX(QUERY(IMPORTRANGE(""1T7HG8KEs-Ob7f3M5atEVN9Yn7IeORGp0QGvggB62ELw"",""Maestro!A:I""),""SELECT Col8 WHERE Col3 = '""&amp;BE212&amp;""'"", 0), 1, 1),""NO ENCONTRADO"")"),"")</f>
        <v/>
      </c>
      <c r="BI212" s="12" t="str">
        <f>IFERROR(__xludf.DUMMYFUNCTION("IFERROR(INDEX(QUERY(IMPORTRANGE(""1T7HG8KEs-Ob7f3M5atEVN9Yn7IeORGp0QGvggB62ELw"",""Maestro!A:I""),""SELECT Col7 WHERE Col3 = '""&amp;BE212&amp;""'"", 0), 1, 1),""NO ENCONTRADO"")"),"")</f>
        <v/>
      </c>
      <c r="BJ212" s="16">
        <f t="shared" si="9"/>
        <v>0</v>
      </c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4"/>
      <c r="BX212" s="14"/>
      <c r="BY212" s="14"/>
      <c r="BZ212" s="14"/>
      <c r="CA212" s="14"/>
      <c r="CB212" s="14"/>
      <c r="CC212" s="14"/>
      <c r="CD212" s="14"/>
      <c r="CE212" s="14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</row>
    <row r="213">
      <c r="A213" s="158">
        <v>4.0</v>
      </c>
      <c r="B213" s="159" t="s">
        <v>254</v>
      </c>
      <c r="C213" s="160" t="s">
        <v>145</v>
      </c>
      <c r="D213" s="161" t="str">
        <f t="shared" si="1"/>
        <v>4-R-4A</v>
      </c>
      <c r="E213" s="78">
        <v>45694.0</v>
      </c>
      <c r="F213" s="88" t="s">
        <v>702</v>
      </c>
      <c r="G213" s="164" t="s">
        <v>330</v>
      </c>
      <c r="H213" s="165" t="s">
        <v>331</v>
      </c>
      <c r="I213" s="166">
        <v>6.0</v>
      </c>
      <c r="J213" s="167" t="s">
        <v>43</v>
      </c>
      <c r="K213" s="32" t="str">
        <f t="shared" si="2"/>
        <v>OCUPADO</v>
      </c>
      <c r="L213" s="33">
        <f t="shared" si="10"/>
        <v>212</v>
      </c>
      <c r="M213" s="33" t="s">
        <v>501</v>
      </c>
      <c r="N213" s="122"/>
      <c r="O213" s="169" t="s">
        <v>270</v>
      </c>
      <c r="P213" s="12"/>
      <c r="Q213" s="12"/>
      <c r="R213" s="12"/>
      <c r="S213" s="12"/>
      <c r="T213" s="12"/>
      <c r="U213" s="12"/>
      <c r="V213" s="12"/>
      <c r="AB213" s="12"/>
      <c r="AC213" s="12" t="str">
        <f>IFERROR(__xludf.DUMMYFUNCTION("""COMPUTED_VALUE"""),"ZEST-2-2")</f>
        <v>ZEST-2-2</v>
      </c>
      <c r="AD213" s="12" t="str">
        <f>IFERROR(__xludf.DUMMYFUNCTION("""COMPUTED_VALUE"""),"600523")</f>
        <v>600523</v>
      </c>
      <c r="AE213" s="12" t="str">
        <f>IFERROR(__xludf.DUMMYFUNCTION("""COMPUTED_VALUE"""),"FUNDA PAPEL PANAL SET 3 UN 40X10CM")</f>
        <v>FUNDA PAPEL PANAL SET 3 UN 40X10CM</v>
      </c>
      <c r="AF213" s="30">
        <f>IFERROR(__xludf.DUMMYFUNCTION("""COMPUTED_VALUE"""),23.0)</f>
        <v>23</v>
      </c>
      <c r="AG213" s="12" t="str">
        <f>IFERROR(__xludf.DUMMYFUNCTION("""COMPUTED_VALUE"""),"PRODUCTO TERMINADO")</f>
        <v>PRODUCTO TERMINADO</v>
      </c>
      <c r="AH213" s="12"/>
      <c r="AI213" s="12" t="str">
        <f>IFERROR(__xludf.DUMMYFUNCTION("""COMPUTED_VALUE"""),"2")</f>
        <v>2</v>
      </c>
      <c r="AJ213" s="12" t="str">
        <f>IFERROR(__xludf.DUMMYFUNCTION("""COMPUTED_VALUE"""),"2")</f>
        <v>2</v>
      </c>
      <c r="AK213" s="12">
        <f>IFERROR(__xludf.DUMMYFUNCTION("""COMPUTED_VALUE"""),383.0)</f>
        <v>383</v>
      </c>
      <c r="AL213" s="12" t="str">
        <f>IFERROR(__xludf.DUMMYFUNCTION("""COMPUTED_VALUE"""),"SUMMIT")</f>
        <v>SUMMIT</v>
      </c>
      <c r="AM213" s="12"/>
      <c r="AN213" s="12"/>
      <c r="AO213" s="12"/>
      <c r="AP213" s="12"/>
      <c r="AQ213" s="12"/>
      <c r="BC213" s="12"/>
      <c r="BD213" s="12"/>
      <c r="BE213" s="14"/>
      <c r="BF213" s="12"/>
      <c r="BG213" s="12"/>
      <c r="BH213" s="12" t="str">
        <f>IFERROR(__xludf.DUMMYFUNCTION("IFERROR(INDEX(QUERY(IMPORTRANGE(""1T7HG8KEs-Ob7f3M5atEVN9Yn7IeORGp0QGvggB62ELw"",""Maestro!A:I""),""SELECT Col8 WHERE Col3 = '""&amp;BE213&amp;""'"", 0), 1, 1),""NO ENCONTRADO"")"),"")</f>
        <v/>
      </c>
      <c r="BI213" s="12" t="str">
        <f>IFERROR(__xludf.DUMMYFUNCTION("IFERROR(INDEX(QUERY(IMPORTRANGE(""1T7HG8KEs-Ob7f3M5atEVN9Yn7IeORGp0QGvggB62ELw"",""Maestro!A:I""),""SELECT Col7 WHERE Col3 = '""&amp;BE213&amp;""'"", 0), 1, 1),""NO ENCONTRADO"")"),"")</f>
        <v/>
      </c>
      <c r="BJ213" s="16">
        <f t="shared" si="9"/>
        <v>0</v>
      </c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4"/>
      <c r="BX213" s="14"/>
      <c r="BY213" s="14"/>
      <c r="BZ213" s="14"/>
      <c r="CA213" s="14"/>
      <c r="CB213" s="14"/>
      <c r="CC213" s="14"/>
      <c r="CD213" s="14"/>
      <c r="CE213" s="14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</row>
    <row r="214">
      <c r="A214" s="158">
        <v>4.0</v>
      </c>
      <c r="B214" s="159" t="s">
        <v>254</v>
      </c>
      <c r="C214" s="160" t="s">
        <v>181</v>
      </c>
      <c r="D214" s="161" t="str">
        <f t="shared" si="1"/>
        <v>4-R-4B</v>
      </c>
      <c r="E214" s="78">
        <v>45652.0</v>
      </c>
      <c r="F214" s="88" t="s">
        <v>19</v>
      </c>
      <c r="G214" s="164" t="s">
        <v>301</v>
      </c>
      <c r="H214" s="165" t="s">
        <v>302</v>
      </c>
      <c r="I214" s="166">
        <v>5.0</v>
      </c>
      <c r="J214" s="167" t="s">
        <v>274</v>
      </c>
      <c r="K214" s="27" t="str">
        <f t="shared" si="2"/>
        <v>OCUPADO</v>
      </c>
      <c r="L214" s="28">
        <f t="shared" si="10"/>
        <v>213</v>
      </c>
      <c r="M214" s="28" t="s">
        <v>501</v>
      </c>
      <c r="N214" s="109"/>
      <c r="O214" s="168" t="s">
        <v>270</v>
      </c>
      <c r="P214" s="12"/>
      <c r="Q214" s="12"/>
      <c r="R214" s="12"/>
      <c r="S214" s="12"/>
      <c r="T214" s="12"/>
      <c r="U214" s="12"/>
      <c r="V214" s="12"/>
      <c r="AB214" s="12"/>
      <c r="AC214" s="12" t="str">
        <f>IFERROR(__xludf.DUMMYFUNCTION("""COMPUTED_VALUE"""),"ZEST-2-3")</f>
        <v>ZEST-2-3</v>
      </c>
      <c r="AD214" s="12" t="str">
        <f>IFERROR(__xludf.DUMMYFUNCTION("""COMPUTED_VALUE"""),"600523")</f>
        <v>600523</v>
      </c>
      <c r="AE214" s="12" t="str">
        <f>IFERROR(__xludf.DUMMYFUNCTION("""COMPUTED_VALUE"""),"FUNDA PAPEL PANAL SET 3 UN 40X10CM")</f>
        <v>FUNDA PAPEL PANAL SET 3 UN 40X10CM</v>
      </c>
      <c r="AF214" s="30">
        <f>IFERROR(__xludf.DUMMYFUNCTION("""COMPUTED_VALUE"""),24.0)</f>
        <v>24</v>
      </c>
      <c r="AG214" s="12" t="str">
        <f>IFERROR(__xludf.DUMMYFUNCTION("""COMPUTED_VALUE"""),"PRODUCTO TERMINADO")</f>
        <v>PRODUCTO TERMINADO</v>
      </c>
      <c r="AH214" s="12"/>
      <c r="AI214" s="12" t="str">
        <f>IFERROR(__xludf.DUMMYFUNCTION("""COMPUTED_VALUE"""),"2")</f>
        <v>2</v>
      </c>
      <c r="AJ214" s="12" t="str">
        <f>IFERROR(__xludf.DUMMYFUNCTION("""COMPUTED_VALUE"""),"3")</f>
        <v>3</v>
      </c>
      <c r="AK214" s="12">
        <f>IFERROR(__xludf.DUMMYFUNCTION("""COMPUTED_VALUE"""),384.0)</f>
        <v>384</v>
      </c>
      <c r="AL214" s="12" t="str">
        <f>IFERROR(__xludf.DUMMYFUNCTION("""COMPUTED_VALUE"""),"SUMMIT")</f>
        <v>SUMMIT</v>
      </c>
      <c r="AM214" s="12"/>
      <c r="AN214" s="12"/>
      <c r="AO214" s="12"/>
      <c r="AP214" s="12"/>
      <c r="AQ214" s="12"/>
      <c r="BC214" s="12"/>
      <c r="BD214" s="12"/>
      <c r="BE214" s="14"/>
      <c r="BF214" s="12"/>
      <c r="BG214" s="12"/>
      <c r="BH214" s="12" t="str">
        <f>IFERROR(__xludf.DUMMYFUNCTION("IFERROR(INDEX(QUERY(IMPORTRANGE(""1T7HG8KEs-Ob7f3M5atEVN9Yn7IeORGp0QGvggB62ELw"",""Maestro!A:I""),""SELECT Col8 WHERE Col3 = '""&amp;BE214&amp;""'"", 0), 1, 1),""NO ENCONTRADO"")"),"")</f>
        <v/>
      </c>
      <c r="BI214" s="12" t="str">
        <f>IFERROR(__xludf.DUMMYFUNCTION("IFERROR(INDEX(QUERY(IMPORTRANGE(""1T7HG8KEs-Ob7f3M5atEVN9Yn7IeORGp0QGvggB62ELw"",""Maestro!A:I""),""SELECT Col7 WHERE Col3 = '""&amp;BE214&amp;""'"", 0), 1, 1),""NO ENCONTRADO"")"),"")</f>
        <v/>
      </c>
      <c r="BJ214" s="16">
        <f t="shared" si="9"/>
        <v>0</v>
      </c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4"/>
      <c r="BX214" s="14"/>
      <c r="BY214" s="14"/>
      <c r="BZ214" s="14"/>
      <c r="CA214" s="14"/>
      <c r="CB214" s="14"/>
      <c r="CC214" s="14"/>
      <c r="CD214" s="14"/>
      <c r="CE214" s="14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</row>
    <row r="215">
      <c r="A215" s="158">
        <v>4.0</v>
      </c>
      <c r="B215" s="159" t="s">
        <v>254</v>
      </c>
      <c r="C215" s="160" t="s">
        <v>188</v>
      </c>
      <c r="D215" s="161" t="str">
        <f t="shared" si="1"/>
        <v>4-R-5A</v>
      </c>
      <c r="E215" s="162">
        <v>45721.0</v>
      </c>
      <c r="F215" s="163" t="s">
        <v>775</v>
      </c>
      <c r="G215" s="164" t="s">
        <v>96</v>
      </c>
      <c r="H215" s="165" t="s">
        <v>97</v>
      </c>
      <c r="I215" s="166">
        <v>2.0</v>
      </c>
      <c r="J215" s="167" t="s">
        <v>274</v>
      </c>
      <c r="K215" s="32" t="str">
        <f t="shared" si="2"/>
        <v>OCUPADO</v>
      </c>
      <c r="L215" s="33">
        <f t="shared" si="10"/>
        <v>214</v>
      </c>
      <c r="M215" s="33" t="s">
        <v>501</v>
      </c>
      <c r="N215" s="122"/>
      <c r="O215" s="169" t="s">
        <v>270</v>
      </c>
      <c r="P215" s="12"/>
      <c r="Q215" s="12"/>
      <c r="R215" s="12"/>
      <c r="S215" s="12"/>
      <c r="T215" s="12"/>
      <c r="U215" s="12"/>
      <c r="V215" s="12"/>
      <c r="AB215" s="12"/>
      <c r="AC215" s="12" t="str">
        <f>IFERROR(__xludf.DUMMYFUNCTION("""COMPUTED_VALUE"""),"ZEST-2-4")</f>
        <v>ZEST-2-4</v>
      </c>
      <c r="AD215" s="12" t="str">
        <f>IFERROR(__xludf.DUMMYFUNCTION("""COMPUTED_VALUE"""),"600523")</f>
        <v>600523</v>
      </c>
      <c r="AE215" s="12" t="str">
        <f>IFERROR(__xludf.DUMMYFUNCTION("""COMPUTED_VALUE"""),"FUNDA PAPEL PANAL SET 3 UN 40X10CM")</f>
        <v>FUNDA PAPEL PANAL SET 3 UN 40X10CM</v>
      </c>
      <c r="AF215" s="30">
        <f>IFERROR(__xludf.DUMMYFUNCTION("""COMPUTED_VALUE"""),24.0)</f>
        <v>24</v>
      </c>
      <c r="AG215" s="12" t="str">
        <f>IFERROR(__xludf.DUMMYFUNCTION("""COMPUTED_VALUE"""),"PRODUCTO TERMINADO")</f>
        <v>PRODUCTO TERMINADO</v>
      </c>
      <c r="AH215" s="12"/>
      <c r="AI215" s="12" t="str">
        <f>IFERROR(__xludf.DUMMYFUNCTION("""COMPUTED_VALUE"""),"2")</f>
        <v>2</v>
      </c>
      <c r="AJ215" s="12" t="str">
        <f>IFERROR(__xludf.DUMMYFUNCTION("""COMPUTED_VALUE"""),"4")</f>
        <v>4</v>
      </c>
      <c r="AK215" s="12">
        <f>IFERROR(__xludf.DUMMYFUNCTION("""COMPUTED_VALUE"""),385.0)</f>
        <v>385</v>
      </c>
      <c r="AL215" s="12" t="str">
        <f>IFERROR(__xludf.DUMMYFUNCTION("""COMPUTED_VALUE"""),"SUMMIT")</f>
        <v>SUMMIT</v>
      </c>
      <c r="AM215" s="12"/>
      <c r="AN215" s="12"/>
      <c r="AO215" s="12"/>
      <c r="AP215" s="12"/>
      <c r="AQ215" s="12"/>
      <c r="BC215" s="12"/>
      <c r="BD215" s="12"/>
      <c r="BE215" s="14"/>
      <c r="BF215" s="12"/>
      <c r="BG215" s="12"/>
      <c r="BH215" s="12" t="str">
        <f>IFERROR(__xludf.DUMMYFUNCTION("IFERROR(INDEX(QUERY(IMPORTRANGE(""1T7HG8KEs-Ob7f3M5atEVN9Yn7IeORGp0QGvggB62ELw"",""Maestro!A:I""),""SELECT Col8 WHERE Col3 = '""&amp;BE215&amp;""'"", 0), 1, 1),""NO ENCONTRADO"")"),"")</f>
        <v/>
      </c>
      <c r="BI215" s="12" t="str">
        <f>IFERROR(__xludf.DUMMYFUNCTION("IFERROR(INDEX(QUERY(IMPORTRANGE(""1T7HG8KEs-Ob7f3M5atEVN9Yn7IeORGp0QGvggB62ELw"",""Maestro!A:I""),""SELECT Col7 WHERE Col3 = '""&amp;BE215&amp;""'"", 0), 1, 1),""NO ENCONTRADO"")"),"")</f>
        <v/>
      </c>
      <c r="BJ215" s="16">
        <f t="shared" si="9"/>
        <v>0</v>
      </c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4"/>
      <c r="BX215" s="14"/>
      <c r="BY215" s="14"/>
      <c r="BZ215" s="14"/>
      <c r="CA215" s="14"/>
      <c r="CB215" s="14"/>
      <c r="CC215" s="14"/>
      <c r="CD215" s="14"/>
      <c r="CE215" s="14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</row>
    <row r="216">
      <c r="A216" s="158">
        <v>4.0</v>
      </c>
      <c r="B216" s="159" t="s">
        <v>254</v>
      </c>
      <c r="C216" s="160" t="s">
        <v>192</v>
      </c>
      <c r="D216" s="161" t="str">
        <f t="shared" si="1"/>
        <v>4-R-5B</v>
      </c>
      <c r="E216" s="162">
        <v>45751.0</v>
      </c>
      <c r="F216" s="163" t="s">
        <v>19</v>
      </c>
      <c r="G216" s="164" t="s">
        <v>41</v>
      </c>
      <c r="H216" s="165" t="s">
        <v>42</v>
      </c>
      <c r="I216" s="166">
        <v>8.0</v>
      </c>
      <c r="J216" s="167" t="s">
        <v>43</v>
      </c>
      <c r="K216" s="27" t="str">
        <f t="shared" si="2"/>
        <v>OCUPADO</v>
      </c>
      <c r="L216" s="28">
        <f t="shared" si="10"/>
        <v>215</v>
      </c>
      <c r="M216" s="28" t="s">
        <v>501</v>
      </c>
      <c r="N216" s="109"/>
      <c r="O216" s="168" t="s">
        <v>270</v>
      </c>
      <c r="P216" s="12"/>
      <c r="Q216" s="12"/>
      <c r="R216" s="12"/>
      <c r="S216" s="12"/>
      <c r="T216" s="12"/>
      <c r="U216" s="12"/>
      <c r="V216" s="12"/>
      <c r="AB216" s="12"/>
      <c r="AC216" s="12" t="str">
        <f>IFERROR(__xludf.DUMMYFUNCTION("""COMPUTED_VALUE"""),"ZEST-2-5")</f>
        <v>ZEST-2-5</v>
      </c>
      <c r="AD216" s="12" t="str">
        <f>IFERROR(__xludf.DUMMYFUNCTION("""COMPUTED_VALUE"""),"PDQ FUNDA PANAL")</f>
        <v>PDQ FUNDA PANAL</v>
      </c>
      <c r="AE216" s="12" t="str">
        <f>IFERROR(__xludf.DUMMYFUNCTION("""COMPUTED_VALUE"""),"PDQ FUNDA PANAL")</f>
        <v>PDQ FUNDA PANAL</v>
      </c>
      <c r="AF216" s="30">
        <f>IFERROR(__xludf.DUMMYFUNCTION("""COMPUTED_VALUE"""),10.0)</f>
        <v>10</v>
      </c>
      <c r="AG216" s="12" t="str">
        <f>IFERROR(__xludf.DUMMYFUNCTION("""COMPUTED_VALUE"""),"PROVEEDOR")</f>
        <v>PROVEEDOR</v>
      </c>
      <c r="AH216" s="12"/>
      <c r="AI216" s="12" t="str">
        <f>IFERROR(__xludf.DUMMYFUNCTION("""COMPUTED_VALUE"""),"2")</f>
        <v>2</v>
      </c>
      <c r="AJ216" s="12" t="str">
        <f>IFERROR(__xludf.DUMMYFUNCTION("""COMPUTED_VALUE"""),"5")</f>
        <v>5</v>
      </c>
      <c r="AK216" s="12">
        <f>IFERROR(__xludf.DUMMYFUNCTION("""COMPUTED_VALUE"""),386.0)</f>
        <v>386</v>
      </c>
      <c r="AL216" s="12" t="str">
        <f>IFERROR(__xludf.DUMMYFUNCTION("""COMPUTED_VALUE"""),"SUMMIT")</f>
        <v>SUMMIT</v>
      </c>
      <c r="AM216" s="12"/>
      <c r="AN216" s="12"/>
      <c r="AO216" s="12"/>
      <c r="AP216" s="12"/>
      <c r="AQ216" s="12"/>
      <c r="BC216" s="12"/>
      <c r="BD216" s="12"/>
      <c r="BE216" s="14"/>
      <c r="BF216" s="12"/>
      <c r="BG216" s="12"/>
      <c r="BH216" s="12" t="str">
        <f>IFERROR(__xludf.DUMMYFUNCTION("IFERROR(INDEX(QUERY(IMPORTRANGE(""1T7HG8KEs-Ob7f3M5atEVN9Yn7IeORGp0QGvggB62ELw"",""Maestro!A:I""),""SELECT Col8 WHERE Col3 = '""&amp;BE216&amp;""'"", 0), 1, 1),""NO ENCONTRADO"")"),"")</f>
        <v/>
      </c>
      <c r="BI216" s="12" t="str">
        <f>IFERROR(__xludf.DUMMYFUNCTION("IFERROR(INDEX(QUERY(IMPORTRANGE(""1T7HG8KEs-Ob7f3M5atEVN9Yn7IeORGp0QGvggB62ELw"",""Maestro!A:I""),""SELECT Col7 WHERE Col3 = '""&amp;BE216&amp;""'"", 0), 1, 1),""NO ENCONTRADO"")"),"")</f>
        <v/>
      </c>
      <c r="BJ216" s="16">
        <f t="shared" si="9"/>
        <v>0</v>
      </c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4"/>
      <c r="BX216" s="14"/>
      <c r="BY216" s="14"/>
      <c r="BZ216" s="14"/>
      <c r="CA216" s="14"/>
      <c r="CB216" s="14"/>
      <c r="CC216" s="14"/>
      <c r="CD216" s="14"/>
      <c r="CE216" s="14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</row>
    <row r="217">
      <c r="A217" s="158">
        <v>4.0</v>
      </c>
      <c r="B217" s="159" t="s">
        <v>254</v>
      </c>
      <c r="C217" s="160" t="s">
        <v>570</v>
      </c>
      <c r="D217" s="161" t="str">
        <f t="shared" si="1"/>
        <v>4-R-6A</v>
      </c>
      <c r="E217" s="162">
        <v>45729.0</v>
      </c>
      <c r="F217" s="163" t="s">
        <v>776</v>
      </c>
      <c r="G217" s="164" t="s">
        <v>294</v>
      </c>
      <c r="H217" s="165" t="s">
        <v>295</v>
      </c>
      <c r="I217" s="166">
        <v>4.0</v>
      </c>
      <c r="J217" s="167" t="s">
        <v>274</v>
      </c>
      <c r="K217" s="32" t="str">
        <f t="shared" si="2"/>
        <v>OCUPADO</v>
      </c>
      <c r="L217" s="33">
        <f t="shared" si="10"/>
        <v>216</v>
      </c>
      <c r="M217" s="33" t="s">
        <v>501</v>
      </c>
      <c r="N217" s="122"/>
      <c r="O217" s="169" t="s">
        <v>270</v>
      </c>
      <c r="P217" s="12"/>
      <c r="Q217" s="12"/>
      <c r="R217" s="12"/>
      <c r="S217" s="12"/>
      <c r="T217" s="12"/>
      <c r="U217" s="12"/>
      <c r="V217" s="12"/>
      <c r="AB217" s="12"/>
      <c r="AC217" s="12" t="str">
        <f>IFERROR(__xludf.DUMMYFUNCTION("""COMPUTED_VALUE"""),"ZEST-3-2")</f>
        <v>ZEST-3-2</v>
      </c>
      <c r="AD217" s="12" t="str">
        <f>IFERROR(__xludf.DUMMYFUNCTION("""COMPUTED_VALUE"""),"PDQ BOTELLAS VASOS")</f>
        <v>PDQ BOTELLAS VASOS</v>
      </c>
      <c r="AE217" s="12" t="str">
        <f>IFERROR(__xludf.DUMMYFUNCTION("""COMPUTED_VALUE"""),"PDQ BOTELLAS VASOS")</f>
        <v>PDQ BOTELLAS VASOS</v>
      </c>
      <c r="AF217" s="30">
        <f>IFERROR(__xludf.DUMMYFUNCTION("""COMPUTED_VALUE"""),24.0)</f>
        <v>24</v>
      </c>
      <c r="AG217" s="12" t="str">
        <f>IFERROR(__xludf.DUMMYFUNCTION("""COMPUTED_VALUE"""),"PRODUCTO TERMINADO")</f>
        <v>PRODUCTO TERMINADO</v>
      </c>
      <c r="AH217" s="12"/>
      <c r="AI217" s="12" t="str">
        <f>IFERROR(__xludf.DUMMYFUNCTION("""COMPUTED_VALUE"""),"3")</f>
        <v>3</v>
      </c>
      <c r="AJ217" s="12" t="str">
        <f>IFERROR(__xludf.DUMMYFUNCTION("""COMPUTED_VALUE"""),"2")</f>
        <v>2</v>
      </c>
      <c r="AK217" s="12">
        <f>IFERROR(__xludf.DUMMYFUNCTION("""COMPUTED_VALUE"""),388.0)</f>
        <v>388</v>
      </c>
      <c r="AL217" s="12" t="str">
        <f>IFERROR(__xludf.DUMMYFUNCTION("""COMPUTED_VALUE"""),"SUMMIT")</f>
        <v>SUMMIT</v>
      </c>
      <c r="AM217" s="12"/>
      <c r="AN217" s="12"/>
      <c r="AO217" s="12"/>
      <c r="AP217" s="12"/>
      <c r="AQ217" s="12"/>
      <c r="BC217" s="12"/>
      <c r="BD217" s="12"/>
      <c r="BE217" s="14"/>
      <c r="BF217" s="12"/>
      <c r="BG217" s="12"/>
      <c r="BH217" s="12" t="str">
        <f>IFERROR(__xludf.DUMMYFUNCTION("IFERROR(INDEX(QUERY(IMPORTRANGE(""1T7HG8KEs-Ob7f3M5atEVN9Yn7IeORGp0QGvggB62ELw"",""Maestro!A:I""),""SELECT Col8 WHERE Col3 = '""&amp;BE217&amp;""'"", 0), 1, 1),""NO ENCONTRADO"")"),"")</f>
        <v/>
      </c>
      <c r="BI217" s="12" t="str">
        <f>IFERROR(__xludf.DUMMYFUNCTION("IFERROR(INDEX(QUERY(IMPORTRANGE(""1T7HG8KEs-Ob7f3M5atEVN9Yn7IeORGp0QGvggB62ELw"",""Maestro!A:I""),""SELECT Col7 WHERE Col3 = '""&amp;BE217&amp;""'"", 0), 1, 1),""NO ENCONTRADO"")"),"")</f>
        <v/>
      </c>
      <c r="BJ217" s="16">
        <f t="shared" si="9"/>
        <v>0</v>
      </c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4"/>
      <c r="BX217" s="14"/>
      <c r="BY217" s="14"/>
      <c r="BZ217" s="14"/>
      <c r="CA217" s="14"/>
      <c r="CB217" s="14"/>
      <c r="CC217" s="14"/>
      <c r="CD217" s="14"/>
      <c r="CE217" s="14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</row>
    <row r="218">
      <c r="A218" s="158">
        <v>4.0</v>
      </c>
      <c r="B218" s="159" t="s">
        <v>254</v>
      </c>
      <c r="C218" s="160" t="s">
        <v>573</v>
      </c>
      <c r="D218" s="161" t="str">
        <f t="shared" si="1"/>
        <v>4-R-6B</v>
      </c>
      <c r="E218" s="162">
        <v>45730.0</v>
      </c>
      <c r="F218" s="163" t="s">
        <v>776</v>
      </c>
      <c r="G218" s="164" t="s">
        <v>294</v>
      </c>
      <c r="H218" s="165" t="s">
        <v>295</v>
      </c>
      <c r="I218" s="166">
        <v>29.0</v>
      </c>
      <c r="J218" s="167" t="s">
        <v>274</v>
      </c>
      <c r="K218" s="27" t="str">
        <f t="shared" si="2"/>
        <v>OCUPADO</v>
      </c>
      <c r="L218" s="28">
        <f t="shared" si="10"/>
        <v>217</v>
      </c>
      <c r="M218" s="28" t="s">
        <v>501</v>
      </c>
      <c r="N218" s="109"/>
      <c r="O218" s="168" t="s">
        <v>270</v>
      </c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 t="str">
        <f>IFERROR(__xludf.DUMMYFUNCTION("""COMPUTED_VALUE"""),"ZEST-3-3")</f>
        <v>ZEST-3-3</v>
      </c>
      <c r="AD218" s="12" t="str">
        <f>IFERROR(__xludf.DUMMYFUNCTION("""COMPUTED_VALUE"""),"PDQSEPARADORPLATO")</f>
        <v>PDQSEPARADORPLATO</v>
      </c>
      <c r="AE218" s="12" t="str">
        <f>IFERROR(__xludf.DUMMYFUNCTION("""COMPUTED_VALUE"""),"PDQ SEPARADOR PLATO")</f>
        <v>PDQ SEPARADOR PLATO</v>
      </c>
      <c r="AF218" s="30">
        <f>IFERROR(__xludf.DUMMYFUNCTION("""COMPUTED_VALUE"""),1.0)</f>
        <v>1</v>
      </c>
      <c r="AG218" s="12" t="str">
        <f>IFERROR(__xludf.DUMMYFUNCTION("""COMPUTED_VALUE"""),"PROVEEDOR")</f>
        <v>PROVEEDOR</v>
      </c>
      <c r="AH218" s="12"/>
      <c r="AI218" s="12" t="str">
        <f>IFERROR(__xludf.DUMMYFUNCTION("""COMPUTED_VALUE"""),"3")</f>
        <v>3</v>
      </c>
      <c r="AJ218" s="12" t="str">
        <f>IFERROR(__xludf.DUMMYFUNCTION("""COMPUTED_VALUE"""),"3")</f>
        <v>3</v>
      </c>
      <c r="AK218" s="12">
        <f>IFERROR(__xludf.DUMMYFUNCTION("""COMPUTED_VALUE"""),389.0)</f>
        <v>389</v>
      </c>
      <c r="AL218" s="12" t="str">
        <f>IFERROR(__xludf.DUMMYFUNCTION("""COMPUTED_VALUE"""),"SUMMIT")</f>
        <v>SUMMIT</v>
      </c>
      <c r="AM218" s="12"/>
      <c r="AN218" s="12"/>
      <c r="AO218" s="12"/>
      <c r="AP218" s="12"/>
      <c r="AQ218" s="12"/>
      <c r="BC218" s="12"/>
      <c r="BD218" s="12"/>
      <c r="BE218" s="14"/>
      <c r="BF218" s="12"/>
      <c r="BG218" s="12"/>
      <c r="BH218" s="12" t="str">
        <f>IFERROR(__xludf.DUMMYFUNCTION("IFERROR(INDEX(QUERY(IMPORTRANGE(""1T7HG8KEs-Ob7f3M5atEVN9Yn7IeORGp0QGvggB62ELw"",""Maestro!A:I""),""SELECT Col8 WHERE Col3 = '""&amp;BE218&amp;""'"", 0), 1, 1),""NO ENCONTRADO"")"),"")</f>
        <v/>
      </c>
      <c r="BI218" s="12" t="str">
        <f>IFERROR(__xludf.DUMMYFUNCTION("IFERROR(INDEX(QUERY(IMPORTRANGE(""1T7HG8KEs-Ob7f3M5atEVN9Yn7IeORGp0QGvggB62ELw"",""Maestro!A:I""),""SELECT Col7 WHERE Col3 = '""&amp;BE218&amp;""'"", 0), 1, 1),""NO ENCONTRADO"")"),"")</f>
        <v/>
      </c>
      <c r="BJ218" s="16">
        <f t="shared" si="9"/>
        <v>0</v>
      </c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4"/>
      <c r="BX218" s="14"/>
      <c r="BY218" s="14"/>
      <c r="BZ218" s="14"/>
      <c r="CA218" s="14"/>
      <c r="CB218" s="14"/>
      <c r="CC218" s="14"/>
      <c r="CD218" s="14"/>
      <c r="CE218" s="14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</row>
    <row r="219">
      <c r="A219" s="158">
        <v>4.0</v>
      </c>
      <c r="B219" s="159" t="s">
        <v>254</v>
      </c>
      <c r="C219" s="160" t="s">
        <v>576</v>
      </c>
      <c r="D219" s="161" t="str">
        <f t="shared" si="1"/>
        <v>4-R-7A</v>
      </c>
      <c r="E219" s="162">
        <v>45721.0</v>
      </c>
      <c r="F219" s="163" t="s">
        <v>705</v>
      </c>
      <c r="G219" s="164" t="s">
        <v>238</v>
      </c>
      <c r="H219" s="165" t="s">
        <v>239</v>
      </c>
      <c r="I219" s="166">
        <v>4.0</v>
      </c>
      <c r="J219" s="167" t="s">
        <v>43</v>
      </c>
      <c r="K219" s="32" t="str">
        <f t="shared" si="2"/>
        <v>OCUPADO</v>
      </c>
      <c r="L219" s="33">
        <f t="shared" si="10"/>
        <v>218</v>
      </c>
      <c r="M219" s="33" t="s">
        <v>501</v>
      </c>
      <c r="N219" s="122"/>
      <c r="O219" s="169" t="s">
        <v>270</v>
      </c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 t="str">
        <f>IFERROR(__xludf.DUMMYFUNCTION("""COMPUTED_VALUE"""),"ZEST-3-4")</f>
        <v>ZEST-3-4</v>
      </c>
      <c r="AD219" s="12" t="str">
        <f>IFERROR(__xludf.DUMMYFUNCTION("""COMPUTED_VALUE"""),"PDQ BOTELLAS VASOS")</f>
        <v>PDQ BOTELLAS VASOS</v>
      </c>
      <c r="AE219" s="12" t="str">
        <f>IFERROR(__xludf.DUMMYFUNCTION("""COMPUTED_VALUE"""),"PDQ BOTELLAS VASOS")</f>
        <v>PDQ BOTELLAS VASOS</v>
      </c>
      <c r="AF219" s="30">
        <f>IFERROR(__xludf.DUMMYFUNCTION("""COMPUTED_VALUE"""),2.0)</f>
        <v>2</v>
      </c>
      <c r="AG219" s="12" t="str">
        <f>IFERROR(__xludf.DUMMYFUNCTION("""COMPUTED_VALUE"""),"PROVEEDOR")</f>
        <v>PROVEEDOR</v>
      </c>
      <c r="AH219" s="12"/>
      <c r="AI219" s="12" t="str">
        <f>IFERROR(__xludf.DUMMYFUNCTION("""COMPUTED_VALUE"""),"3")</f>
        <v>3</v>
      </c>
      <c r="AJ219" s="12" t="str">
        <f>IFERROR(__xludf.DUMMYFUNCTION("""COMPUTED_VALUE"""),"4")</f>
        <v>4</v>
      </c>
      <c r="AK219" s="12">
        <f>IFERROR(__xludf.DUMMYFUNCTION("""COMPUTED_VALUE"""),390.0)</f>
        <v>390</v>
      </c>
      <c r="AL219" s="12" t="str">
        <f>IFERROR(__xludf.DUMMYFUNCTION("""COMPUTED_VALUE"""),"SUMMIT")</f>
        <v>SUMMIT</v>
      </c>
      <c r="AM219" s="12"/>
      <c r="AN219" s="12"/>
      <c r="AO219" s="12"/>
      <c r="AP219" s="12"/>
      <c r="AQ219" s="12"/>
      <c r="BC219" s="12"/>
      <c r="BD219" s="12"/>
      <c r="BE219" s="14"/>
      <c r="BF219" s="12"/>
      <c r="BG219" s="12"/>
      <c r="BH219" s="12" t="str">
        <f>IFERROR(__xludf.DUMMYFUNCTION("IFERROR(INDEX(QUERY(IMPORTRANGE(""1T7HG8KEs-Ob7f3M5atEVN9Yn7IeORGp0QGvggB62ELw"",""Maestro!A:I""),""SELECT Col8 WHERE Col3 = '""&amp;BE219&amp;""'"", 0), 1, 1),""NO ENCONTRADO"")"),"")</f>
        <v/>
      </c>
      <c r="BI219" s="12" t="str">
        <f>IFERROR(__xludf.DUMMYFUNCTION("IFERROR(INDEX(QUERY(IMPORTRANGE(""1T7HG8KEs-Ob7f3M5atEVN9Yn7IeORGp0QGvggB62ELw"",""Maestro!A:I""),""SELECT Col7 WHERE Col3 = '""&amp;BE219&amp;""'"", 0), 1, 1),""NO ENCONTRADO"")"),"")</f>
        <v/>
      </c>
      <c r="BJ219" s="16">
        <f t="shared" si="9"/>
        <v>0</v>
      </c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4"/>
      <c r="BX219" s="14"/>
      <c r="BY219" s="14"/>
      <c r="BZ219" s="14"/>
      <c r="CA219" s="14"/>
      <c r="CB219" s="14"/>
      <c r="CC219" s="14"/>
      <c r="CD219" s="14"/>
      <c r="CE219" s="14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</row>
    <row r="220">
      <c r="A220" s="158">
        <v>4.0</v>
      </c>
      <c r="B220" s="159" t="s">
        <v>254</v>
      </c>
      <c r="C220" s="160" t="s">
        <v>580</v>
      </c>
      <c r="D220" s="161" t="str">
        <f t="shared" si="1"/>
        <v>4-R-7B</v>
      </c>
      <c r="E220" s="78">
        <v>45721.0</v>
      </c>
      <c r="F220" s="88" t="s">
        <v>705</v>
      </c>
      <c r="G220" s="80" t="s">
        <v>238</v>
      </c>
      <c r="H220" s="81" t="s">
        <v>239</v>
      </c>
      <c r="I220" s="82">
        <v>116.0</v>
      </c>
      <c r="J220" s="179" t="s">
        <v>43</v>
      </c>
      <c r="K220" s="27" t="str">
        <f t="shared" si="2"/>
        <v>OCUPADO</v>
      </c>
      <c r="L220" s="28">
        <f t="shared" si="10"/>
        <v>219</v>
      </c>
      <c r="M220" s="28" t="s">
        <v>501</v>
      </c>
      <c r="N220" s="109"/>
      <c r="O220" s="168" t="s">
        <v>270</v>
      </c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 t="str">
        <f>IFERROR(__xludf.DUMMYFUNCTION("""COMPUTED_VALUE"""),"ZEST-3-5")</f>
        <v>ZEST-3-5</v>
      </c>
      <c r="AD220" s="12" t="str">
        <f>IFERROR(__xludf.DUMMYFUNCTION("""COMPUTED_VALUE"""),"PDQ FUNDA PANAL")</f>
        <v>PDQ FUNDA PANAL</v>
      </c>
      <c r="AE220" s="12" t="str">
        <f>IFERROR(__xludf.DUMMYFUNCTION("""COMPUTED_VALUE"""),"PDQ FUNDA PANAL")</f>
        <v>PDQ FUNDA PANAL</v>
      </c>
      <c r="AF220" s="30">
        <f>IFERROR(__xludf.DUMMYFUNCTION("""COMPUTED_VALUE"""),8.0)</f>
        <v>8</v>
      </c>
      <c r="AG220" s="12" t="str">
        <f>IFERROR(__xludf.DUMMYFUNCTION("""COMPUTED_VALUE"""),"PROVEEDOR")</f>
        <v>PROVEEDOR</v>
      </c>
      <c r="AH220" s="12"/>
      <c r="AI220" s="12" t="str">
        <f>IFERROR(__xludf.DUMMYFUNCTION("""COMPUTED_VALUE"""),"3")</f>
        <v>3</v>
      </c>
      <c r="AJ220" s="12" t="str">
        <f>IFERROR(__xludf.DUMMYFUNCTION("""COMPUTED_VALUE"""),"5")</f>
        <v>5</v>
      </c>
      <c r="AK220" s="12">
        <f>IFERROR(__xludf.DUMMYFUNCTION("""COMPUTED_VALUE"""),391.0)</f>
        <v>391</v>
      </c>
      <c r="AL220" s="12" t="str">
        <f>IFERROR(__xludf.DUMMYFUNCTION("""COMPUTED_VALUE"""),"SUMMIT")</f>
        <v>SUMMIT</v>
      </c>
      <c r="AM220" s="12"/>
      <c r="AN220" s="12"/>
      <c r="AO220" s="12"/>
      <c r="AP220" s="12"/>
      <c r="AQ220" s="12"/>
      <c r="BC220" s="12"/>
      <c r="BD220" s="12"/>
      <c r="BE220" s="14"/>
      <c r="BF220" s="12"/>
      <c r="BG220" s="12"/>
      <c r="BH220" s="12" t="str">
        <f>IFERROR(__xludf.DUMMYFUNCTION("IFERROR(INDEX(QUERY(IMPORTRANGE(""1T7HG8KEs-Ob7f3M5atEVN9Yn7IeORGp0QGvggB62ELw"",""Maestro!A:I""),""SELECT Col8 WHERE Col3 = '""&amp;BE220&amp;""'"", 0), 1, 1),""NO ENCONTRADO"")"),"")</f>
        <v/>
      </c>
      <c r="BI220" s="12" t="str">
        <f>IFERROR(__xludf.DUMMYFUNCTION("IFERROR(INDEX(QUERY(IMPORTRANGE(""1T7HG8KEs-Ob7f3M5atEVN9Yn7IeORGp0QGvggB62ELw"",""Maestro!A:I""),""SELECT Col7 WHERE Col3 = '""&amp;BE220&amp;""'"", 0), 1, 1),""NO ENCONTRADO"")"),"")</f>
        <v/>
      </c>
      <c r="BJ220" s="16">
        <f t="shared" si="9"/>
        <v>0</v>
      </c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4"/>
      <c r="BX220" s="14"/>
      <c r="BY220" s="14"/>
      <c r="BZ220" s="14"/>
      <c r="CA220" s="14"/>
      <c r="CB220" s="14"/>
      <c r="CC220" s="14"/>
      <c r="CD220" s="14"/>
      <c r="CE220" s="14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</row>
    <row r="221">
      <c r="A221" s="158">
        <v>4.0</v>
      </c>
      <c r="B221" s="159" t="s">
        <v>254</v>
      </c>
      <c r="C221" s="160" t="s">
        <v>583</v>
      </c>
      <c r="D221" s="161" t="str">
        <f t="shared" si="1"/>
        <v>4-R-9A</v>
      </c>
      <c r="E221" s="78">
        <v>45751.0</v>
      </c>
      <c r="F221" s="88" t="s">
        <v>19</v>
      </c>
      <c r="G221" s="80" t="s">
        <v>41</v>
      </c>
      <c r="H221" s="81" t="s">
        <v>42</v>
      </c>
      <c r="I221" s="82">
        <v>6.0</v>
      </c>
      <c r="J221" s="179" t="s">
        <v>43</v>
      </c>
      <c r="K221" s="32" t="str">
        <f t="shared" si="2"/>
        <v>OCUPADO</v>
      </c>
      <c r="L221" s="33">
        <f t="shared" si="10"/>
        <v>220</v>
      </c>
      <c r="M221" s="33" t="s">
        <v>501</v>
      </c>
      <c r="N221" s="122"/>
      <c r="O221" s="169" t="s">
        <v>270</v>
      </c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 t="str">
        <f>IFERROR(__xludf.DUMMYFUNCTION("""COMPUTED_VALUE"""),"ZEST-4-2")</f>
        <v>ZEST-4-2</v>
      </c>
      <c r="AD221" s="12" t="str">
        <f>IFERROR(__xludf.DUMMYFUNCTION("""COMPUTED_VALUE"""),"600574")</f>
        <v>600574</v>
      </c>
      <c r="AE221" s="12" t="str">
        <f>IFERROR(__xludf.DUMMYFUNCTION("""COMPUTED_VALUE"""),"SEPARADOR VASOS BOTELLAS 32X23X32")</f>
        <v>SEPARADOR VASOS BOTELLAS 32X23X32</v>
      </c>
      <c r="AF221" s="30">
        <f>IFERROR(__xludf.DUMMYFUNCTION("""COMPUTED_VALUE"""),12.0)</f>
        <v>12</v>
      </c>
      <c r="AG221" s="12" t="str">
        <f>IFERROR(__xludf.DUMMYFUNCTION("""COMPUTED_VALUE"""),"PRODUCTO TERMINADO")</f>
        <v>PRODUCTO TERMINADO</v>
      </c>
      <c r="AH221" s="12"/>
      <c r="AI221" s="12" t="str">
        <f>IFERROR(__xludf.DUMMYFUNCTION("""COMPUTED_VALUE"""),"4")</f>
        <v>4</v>
      </c>
      <c r="AJ221" s="12" t="str">
        <f>IFERROR(__xludf.DUMMYFUNCTION("""COMPUTED_VALUE"""),"2")</f>
        <v>2</v>
      </c>
      <c r="AK221" s="12">
        <f>IFERROR(__xludf.DUMMYFUNCTION("""COMPUTED_VALUE"""),393.0)</f>
        <v>393</v>
      </c>
      <c r="AL221" s="12" t="str">
        <f>IFERROR(__xludf.DUMMYFUNCTION("""COMPUTED_VALUE"""),"SUMMIT")</f>
        <v>SUMMIT</v>
      </c>
      <c r="AM221" s="12"/>
      <c r="AN221" s="12"/>
      <c r="AO221" s="12"/>
      <c r="AP221" s="12"/>
      <c r="AQ221" s="12"/>
      <c r="BC221" s="12"/>
      <c r="BD221" s="12"/>
      <c r="BE221" s="14"/>
      <c r="BF221" s="12"/>
      <c r="BG221" s="12"/>
      <c r="BH221" s="12" t="str">
        <f>IFERROR(__xludf.DUMMYFUNCTION("IFERROR(INDEX(QUERY(IMPORTRANGE(""1T7HG8KEs-Ob7f3M5atEVN9Yn7IeORGp0QGvggB62ELw"",""Maestro!A:I""),""SELECT Col8 WHERE Col3 = '""&amp;BE221&amp;""'"", 0), 1, 1),""NO ENCONTRADO"")"),"")</f>
        <v/>
      </c>
      <c r="BI221" s="12" t="str">
        <f>IFERROR(__xludf.DUMMYFUNCTION("IFERROR(INDEX(QUERY(IMPORTRANGE(""1T7HG8KEs-Ob7f3M5atEVN9Yn7IeORGp0QGvggB62ELw"",""Maestro!A:I""),""SELECT Col7 WHERE Col3 = '""&amp;BE221&amp;""'"", 0), 1, 1),""NO ENCONTRADO"")"),"")</f>
        <v/>
      </c>
      <c r="BJ221" s="16">
        <f t="shared" si="9"/>
        <v>0</v>
      </c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4"/>
      <c r="BX221" s="14"/>
      <c r="BY221" s="14"/>
      <c r="BZ221" s="14"/>
      <c r="CA221" s="14"/>
      <c r="CB221" s="14"/>
      <c r="CC221" s="14"/>
      <c r="CD221" s="14"/>
      <c r="CE221" s="14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</row>
    <row r="222">
      <c r="A222" s="158">
        <v>4.0</v>
      </c>
      <c r="B222" s="159" t="s">
        <v>254</v>
      </c>
      <c r="C222" s="160" t="s">
        <v>586</v>
      </c>
      <c r="D222" s="161" t="str">
        <f t="shared" si="1"/>
        <v>4-R-9B</v>
      </c>
      <c r="E222" s="78">
        <v>45625.0</v>
      </c>
      <c r="F222" s="88" t="s">
        <v>19</v>
      </c>
      <c r="G222" s="80" t="s">
        <v>41</v>
      </c>
      <c r="H222" s="81" t="s">
        <v>42</v>
      </c>
      <c r="I222" s="82">
        <v>40.0</v>
      </c>
      <c r="J222" s="179" t="s">
        <v>43</v>
      </c>
      <c r="K222" s="27" t="str">
        <f t="shared" si="2"/>
        <v>OCUPADO</v>
      </c>
      <c r="L222" s="28">
        <f t="shared" si="10"/>
        <v>221</v>
      </c>
      <c r="M222" s="28" t="s">
        <v>501</v>
      </c>
      <c r="N222" s="109"/>
      <c r="O222" s="168" t="s">
        <v>270</v>
      </c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4"/>
      <c r="BF222" s="12"/>
      <c r="BG222" s="12"/>
      <c r="BH222" s="12" t="str">
        <f>IFERROR(__xludf.DUMMYFUNCTION("IFERROR(INDEX(QUERY(IMPORTRANGE(""1T7HG8KEs-Ob7f3M5atEVN9Yn7IeORGp0QGvggB62ELw"",""Maestro!A:I""),""SELECT Col8 WHERE Col3 = '""&amp;BE222&amp;""'"", 0), 1, 1),""NO ENCONTRADO"")"),"")</f>
        <v/>
      </c>
      <c r="BI222" s="12" t="str">
        <f>IFERROR(__xludf.DUMMYFUNCTION("IFERROR(INDEX(QUERY(IMPORTRANGE(""1T7HG8KEs-Ob7f3M5atEVN9Yn7IeORGp0QGvggB62ELw"",""Maestro!A:I""),""SELECT Col7 WHERE Col3 = '""&amp;BE222&amp;""'"", 0), 1, 1),""NO ENCONTRADO"")"),"")</f>
        <v/>
      </c>
      <c r="BJ222" s="16">
        <f t="shared" si="9"/>
        <v>0</v>
      </c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4"/>
      <c r="BX222" s="14"/>
      <c r="BY222" s="14"/>
      <c r="BZ222" s="14"/>
      <c r="CA222" s="14"/>
      <c r="CB222" s="14"/>
      <c r="CC222" s="14"/>
      <c r="CD222" s="14"/>
      <c r="CE222" s="14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</row>
    <row r="223">
      <c r="A223" s="158">
        <v>4.0</v>
      </c>
      <c r="B223" s="159" t="s">
        <v>254</v>
      </c>
      <c r="C223" s="160" t="s">
        <v>554</v>
      </c>
      <c r="D223" s="161" t="str">
        <f t="shared" si="1"/>
        <v>4-R-10A</v>
      </c>
      <c r="E223" s="78">
        <v>45751.0</v>
      </c>
      <c r="F223" s="88" t="s">
        <v>600</v>
      </c>
      <c r="G223" s="80" t="s">
        <v>325</v>
      </c>
      <c r="H223" s="81" t="s">
        <v>326</v>
      </c>
      <c r="I223" s="82">
        <v>80.0</v>
      </c>
      <c r="J223" s="81" t="s">
        <v>43</v>
      </c>
      <c r="K223" s="32" t="str">
        <f t="shared" si="2"/>
        <v>OCUPADO</v>
      </c>
      <c r="L223" s="33">
        <f t="shared" si="10"/>
        <v>222</v>
      </c>
      <c r="M223" s="33" t="s">
        <v>501</v>
      </c>
      <c r="N223" s="122"/>
      <c r="O223" s="169" t="s">
        <v>270</v>
      </c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4"/>
      <c r="BF223" s="12"/>
      <c r="BG223" s="12"/>
      <c r="BH223" s="12" t="str">
        <f>IFERROR(__xludf.DUMMYFUNCTION("IFERROR(INDEX(QUERY(IMPORTRANGE(""1T7HG8KEs-Ob7f3M5atEVN9Yn7IeORGp0QGvggB62ELw"",""Maestro!A:I""),""SELECT Col8 WHERE Col3 = '""&amp;BE223&amp;""'"", 0), 1, 1),""NO ENCONTRADO"")"),"")</f>
        <v/>
      </c>
      <c r="BI223" s="12" t="str">
        <f>IFERROR(__xludf.DUMMYFUNCTION("IFERROR(INDEX(QUERY(IMPORTRANGE(""1T7HG8KEs-Ob7f3M5atEVN9Yn7IeORGp0QGvggB62ELw"",""Maestro!A:I""),""SELECT Col7 WHERE Col3 = '""&amp;BE223&amp;""'"", 0), 1, 1),""NO ENCONTRADO"")"),"")</f>
        <v/>
      </c>
      <c r="BJ223" s="16">
        <f t="shared" si="9"/>
        <v>0</v>
      </c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4"/>
      <c r="BX223" s="14"/>
      <c r="BY223" s="14"/>
      <c r="BZ223" s="14"/>
      <c r="CA223" s="14"/>
      <c r="CB223" s="14"/>
      <c r="CC223" s="14"/>
      <c r="CD223" s="14"/>
      <c r="CE223" s="14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</row>
    <row r="224">
      <c r="A224" s="180">
        <v>4.0</v>
      </c>
      <c r="B224" s="181" t="s">
        <v>254</v>
      </c>
      <c r="C224" s="182" t="s">
        <v>556</v>
      </c>
      <c r="D224" s="183" t="str">
        <f t="shared" si="1"/>
        <v>4-R-10B</v>
      </c>
      <c r="E224" s="184">
        <v>45751.0</v>
      </c>
      <c r="F224" s="185" t="s">
        <v>600</v>
      </c>
      <c r="G224" s="186" t="s">
        <v>325</v>
      </c>
      <c r="H224" s="187" t="s">
        <v>326</v>
      </c>
      <c r="I224" s="188">
        <v>160.0</v>
      </c>
      <c r="J224" s="187" t="s">
        <v>43</v>
      </c>
      <c r="K224" s="63" t="str">
        <f t="shared" si="2"/>
        <v>OCUPADO</v>
      </c>
      <c r="L224" s="64">
        <f t="shared" si="10"/>
        <v>223</v>
      </c>
      <c r="M224" s="64" t="s">
        <v>501</v>
      </c>
      <c r="N224" s="65"/>
      <c r="O224" s="66" t="s">
        <v>270</v>
      </c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4"/>
      <c r="BF224" s="12"/>
      <c r="BG224" s="12"/>
      <c r="BH224" s="12" t="str">
        <f>IFERROR(__xludf.DUMMYFUNCTION("IFERROR(INDEX(QUERY(IMPORTRANGE(""1T7HG8KEs-Ob7f3M5atEVN9Yn7IeORGp0QGvggB62ELw"",""Maestro!A:I""),""SELECT Col8 WHERE Col3 = '""&amp;BE224&amp;""'"", 0), 1, 1),""NO ENCONTRADO"")"),"")</f>
        <v/>
      </c>
      <c r="BI224" s="12" t="str">
        <f>IFERROR(__xludf.DUMMYFUNCTION("IFERROR(INDEX(QUERY(IMPORTRANGE(""1T7HG8KEs-Ob7f3M5atEVN9Yn7IeORGp0QGvggB62ELw"",""Maestro!A:I""),""SELECT Col7 WHERE Col3 = '""&amp;BE224&amp;""'"", 0), 1, 1),""NO ENCONTRADO"")"),"")</f>
        <v/>
      </c>
      <c r="BJ224" s="16">
        <f t="shared" si="9"/>
        <v>0</v>
      </c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4"/>
      <c r="BX224" s="14"/>
      <c r="BY224" s="14"/>
      <c r="BZ224" s="14"/>
      <c r="CA224" s="14"/>
      <c r="CB224" s="14"/>
      <c r="CC224" s="14"/>
      <c r="CD224" s="14"/>
      <c r="CE224" s="14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</row>
    <row r="225">
      <c r="A225" s="189" t="s">
        <v>480</v>
      </c>
      <c r="B225" s="190" t="s">
        <v>18</v>
      </c>
      <c r="C225" s="190" t="s">
        <v>18</v>
      </c>
      <c r="D225" s="191" t="str">
        <f t="shared" si="1"/>
        <v>ANDEN-1-1</v>
      </c>
      <c r="E225" s="35">
        <v>45751.0</v>
      </c>
      <c r="F225" s="36" t="s">
        <v>766</v>
      </c>
      <c r="G225" s="23" t="s">
        <v>137</v>
      </c>
      <c r="H225" s="38" t="s">
        <v>138</v>
      </c>
      <c r="I225" s="39">
        <v>166.0</v>
      </c>
      <c r="J225" s="38" t="s">
        <v>22</v>
      </c>
      <c r="K225" s="32" t="str">
        <f t="shared" si="2"/>
        <v>OCUPADO</v>
      </c>
      <c r="L225" s="33">
        <f t="shared" si="10"/>
        <v>224</v>
      </c>
      <c r="M225" s="33" t="s">
        <v>23</v>
      </c>
      <c r="N225" s="53"/>
      <c r="O225" s="34" t="s">
        <v>24</v>
      </c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4"/>
      <c r="BF225" s="12"/>
      <c r="BG225" s="12"/>
      <c r="BH225" s="12" t="str">
        <f>IFERROR(__xludf.DUMMYFUNCTION("IFERROR(INDEX(QUERY(IMPORTRANGE(""1T7HG8KEs-Ob7f3M5atEVN9Yn7IeORGp0QGvggB62ELw"",""Maestro!A:I""),""SELECT Col8 WHERE Col3 = '""&amp;BE225&amp;""'"", 0), 1, 1),""NO ENCONTRADO"")"),"")</f>
        <v/>
      </c>
      <c r="BI225" s="12" t="str">
        <f>IFERROR(__xludf.DUMMYFUNCTION("IFERROR(INDEX(QUERY(IMPORTRANGE(""1T7HG8KEs-Ob7f3M5atEVN9Yn7IeORGp0QGvggB62ELw"",""Maestro!A:I""),""SELECT Col7 WHERE Col3 = '""&amp;BE225&amp;""'"", 0), 1, 1),""NO ENCONTRADO"")"),"")</f>
        <v/>
      </c>
      <c r="BJ225" s="16">
        <f t="shared" si="9"/>
        <v>0</v>
      </c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4"/>
      <c r="BX225" s="14"/>
      <c r="BY225" s="14"/>
      <c r="BZ225" s="14"/>
      <c r="CA225" s="14"/>
      <c r="CB225" s="14"/>
      <c r="CC225" s="14"/>
      <c r="CD225" s="14"/>
      <c r="CE225" s="14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</row>
    <row r="226">
      <c r="A226" s="189" t="s">
        <v>480</v>
      </c>
      <c r="B226" s="190" t="s">
        <v>18</v>
      </c>
      <c r="C226" s="190" t="s">
        <v>32</v>
      </c>
      <c r="D226" s="191" t="str">
        <f t="shared" si="1"/>
        <v>ANDEN-1-2</v>
      </c>
      <c r="E226" s="35">
        <v>45751.0</v>
      </c>
      <c r="F226" s="36" t="s">
        <v>716</v>
      </c>
      <c r="G226" s="37" t="s">
        <v>46</v>
      </c>
      <c r="H226" s="38" t="s">
        <v>47</v>
      </c>
      <c r="I226" s="39">
        <v>795.0</v>
      </c>
      <c r="J226" s="38" t="s">
        <v>22</v>
      </c>
      <c r="K226" s="27" t="str">
        <f t="shared" si="2"/>
        <v>OCUPADO</v>
      </c>
      <c r="L226" s="28">
        <f t="shared" si="10"/>
        <v>225</v>
      </c>
      <c r="M226" s="28" t="s">
        <v>23</v>
      </c>
      <c r="N226" s="70"/>
      <c r="O226" s="29" t="s">
        <v>24</v>
      </c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4"/>
      <c r="BF226" s="12"/>
      <c r="BG226" s="12"/>
      <c r="BH226" s="12" t="str">
        <f>IFERROR(__xludf.DUMMYFUNCTION("IFERROR(INDEX(QUERY(IMPORTRANGE(""1T7HG8KEs-Ob7f3M5atEVN9Yn7IeORGp0QGvggB62ELw"",""Maestro!A:I""),""SELECT Col8 WHERE Col3 = '""&amp;BE226&amp;""'"", 0), 1, 1),""NO ENCONTRADO"")"),"")</f>
        <v/>
      </c>
      <c r="BI226" s="12" t="str">
        <f>IFERROR(__xludf.DUMMYFUNCTION("IFERROR(INDEX(QUERY(IMPORTRANGE(""1T7HG8KEs-Ob7f3M5atEVN9Yn7IeORGp0QGvggB62ELw"",""Maestro!A:I""),""SELECT Col7 WHERE Col3 = '""&amp;BE226&amp;""'"", 0), 1, 1),""NO ENCONTRADO"")"),"")</f>
        <v/>
      </c>
      <c r="BJ226" s="16">
        <f t="shared" si="9"/>
        <v>0</v>
      </c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4"/>
      <c r="BX226" s="14"/>
      <c r="BY226" s="14"/>
      <c r="BZ226" s="14"/>
      <c r="CA226" s="14"/>
      <c r="CB226" s="14"/>
      <c r="CC226" s="14"/>
      <c r="CD226" s="14"/>
      <c r="CE226" s="14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</row>
    <row r="227">
      <c r="A227" s="189" t="s">
        <v>480</v>
      </c>
      <c r="B227" s="190" t="s">
        <v>18</v>
      </c>
      <c r="C227" s="190" t="s">
        <v>44</v>
      </c>
      <c r="D227" s="191" t="str">
        <f t="shared" si="1"/>
        <v>ANDEN-1-3</v>
      </c>
      <c r="E227" s="83"/>
      <c r="F227" s="150"/>
      <c r="G227" s="85"/>
      <c r="H227" s="49"/>
      <c r="I227" s="86"/>
      <c r="J227" s="49"/>
      <c r="K227" s="32" t="str">
        <f t="shared" si="2"/>
        <v>DISPONIBLE</v>
      </c>
      <c r="L227" s="33">
        <f t="shared" si="10"/>
        <v>226</v>
      </c>
      <c r="M227" s="33" t="s">
        <v>23</v>
      </c>
      <c r="N227" s="53"/>
      <c r="O227" s="34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4"/>
      <c r="BF227" s="12"/>
      <c r="BG227" s="12"/>
      <c r="BH227" s="12" t="str">
        <f>IFERROR(__xludf.DUMMYFUNCTION("IFERROR(INDEX(QUERY(IMPORTRANGE(""1T7HG8KEs-Ob7f3M5atEVN9Yn7IeORGp0QGvggB62ELw"",""Maestro!A:I""),""SELECT Col8 WHERE Col3 = '""&amp;BE227&amp;""'"", 0), 1, 1),""NO ENCONTRADO"")"),"")</f>
        <v/>
      </c>
      <c r="BI227" s="12" t="str">
        <f>IFERROR(__xludf.DUMMYFUNCTION("IFERROR(INDEX(QUERY(IMPORTRANGE(""1T7HG8KEs-Ob7f3M5atEVN9Yn7IeORGp0QGvggB62ELw"",""Maestro!A:I""),""SELECT Col7 WHERE Col3 = '""&amp;BE227&amp;""'"", 0), 1, 1),""NO ENCONTRADO"")"),"")</f>
        <v/>
      </c>
      <c r="BJ227" s="16">
        <f t="shared" si="9"/>
        <v>0</v>
      </c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4"/>
      <c r="BX227" s="14"/>
      <c r="BY227" s="14"/>
      <c r="BZ227" s="14"/>
      <c r="CA227" s="14"/>
      <c r="CB227" s="14"/>
      <c r="CC227" s="14"/>
      <c r="CD227" s="14"/>
      <c r="CE227" s="14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</row>
    <row r="228">
      <c r="A228" s="189" t="s">
        <v>480</v>
      </c>
      <c r="B228" s="190" t="s">
        <v>18</v>
      </c>
      <c r="C228" s="190" t="s">
        <v>53</v>
      </c>
      <c r="D228" s="191" t="str">
        <f t="shared" si="1"/>
        <v>ANDEN-1-4</v>
      </c>
      <c r="E228" s="21">
        <v>45751.0</v>
      </c>
      <c r="F228" s="36" t="s">
        <v>766</v>
      </c>
      <c r="G228" s="23" t="s">
        <v>137</v>
      </c>
      <c r="H228" s="38" t="s">
        <v>138</v>
      </c>
      <c r="I228" s="39">
        <v>225.0</v>
      </c>
      <c r="J228" s="38" t="s">
        <v>22</v>
      </c>
      <c r="K228" s="27" t="str">
        <f t="shared" si="2"/>
        <v>OCUPADO</v>
      </c>
      <c r="L228" s="28">
        <f t="shared" si="10"/>
        <v>227</v>
      </c>
      <c r="M228" s="28" t="s">
        <v>23</v>
      </c>
      <c r="N228" s="70"/>
      <c r="O228" s="29" t="s">
        <v>24</v>
      </c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4"/>
      <c r="BF228" s="12"/>
      <c r="BG228" s="12"/>
      <c r="BH228" s="12" t="str">
        <f>IFERROR(__xludf.DUMMYFUNCTION("IFERROR(INDEX(QUERY(IMPORTRANGE(""1T7HG8KEs-Ob7f3M5atEVN9Yn7IeORGp0QGvggB62ELw"",""Maestro!A:I""),""SELECT Col8 WHERE Col3 = '""&amp;BE228&amp;""'"", 0), 1, 1),""NO ENCONTRADO"")"),"")</f>
        <v/>
      </c>
      <c r="BI228" s="12" t="str">
        <f>IFERROR(__xludf.DUMMYFUNCTION("IFERROR(INDEX(QUERY(IMPORTRANGE(""1T7HG8KEs-Ob7f3M5atEVN9Yn7IeORGp0QGvggB62ELw"",""Maestro!A:I""),""SELECT Col7 WHERE Col3 = '""&amp;BE228&amp;""'"", 0), 1, 1),""NO ENCONTRADO"")"),"")</f>
        <v/>
      </c>
      <c r="BJ228" s="16">
        <f t="shared" si="9"/>
        <v>0</v>
      </c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4"/>
      <c r="BX228" s="14"/>
      <c r="BY228" s="14"/>
      <c r="BZ228" s="14"/>
      <c r="CA228" s="14"/>
      <c r="CB228" s="14"/>
      <c r="CC228" s="14"/>
      <c r="CD228" s="14"/>
      <c r="CE228" s="14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</row>
    <row r="229">
      <c r="A229" s="189" t="s">
        <v>480</v>
      </c>
      <c r="B229" s="190" t="s">
        <v>18</v>
      </c>
      <c r="C229" s="190" t="s">
        <v>25</v>
      </c>
      <c r="D229" s="191" t="str">
        <f t="shared" si="1"/>
        <v>ANDEN-1-5</v>
      </c>
      <c r="E229" s="193">
        <v>45751.0</v>
      </c>
      <c r="F229" s="194" t="s">
        <v>98</v>
      </c>
      <c r="G229" s="195" t="s">
        <v>63</v>
      </c>
      <c r="H229" s="196" t="s">
        <v>64</v>
      </c>
      <c r="I229" s="197">
        <v>718.0</v>
      </c>
      <c r="J229" s="196" t="s">
        <v>22</v>
      </c>
      <c r="K229" s="32" t="str">
        <f t="shared" si="2"/>
        <v>OCUPADO</v>
      </c>
      <c r="L229" s="33">
        <f t="shared" si="10"/>
        <v>228</v>
      </c>
      <c r="M229" s="33" t="s">
        <v>23</v>
      </c>
      <c r="N229" s="53"/>
      <c r="O229" s="34" t="s">
        <v>24</v>
      </c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4"/>
      <c r="BF229" s="12"/>
      <c r="BG229" s="12"/>
      <c r="BH229" s="12" t="str">
        <f>IFERROR(__xludf.DUMMYFUNCTION("IFERROR(INDEX(QUERY(IMPORTRANGE(""1T7HG8KEs-Ob7f3M5atEVN9Yn7IeORGp0QGvggB62ELw"",""Maestro!A:I""),""SELECT Col8 WHERE Col3 = '""&amp;BE229&amp;""'"", 0), 1, 1),""NO ENCONTRADO"")"),"")</f>
        <v/>
      </c>
      <c r="BI229" s="12" t="str">
        <f>IFERROR(__xludf.DUMMYFUNCTION("IFERROR(INDEX(QUERY(IMPORTRANGE(""1T7HG8KEs-Ob7f3M5atEVN9Yn7IeORGp0QGvggB62ELw"",""Maestro!A:I""),""SELECT Col7 WHERE Col3 = '""&amp;BE229&amp;""'"", 0), 1, 1),""NO ENCONTRADO"")"),"")</f>
        <v/>
      </c>
      <c r="BJ229" s="16">
        <f t="shared" si="9"/>
        <v>0</v>
      </c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4"/>
      <c r="BX229" s="14"/>
      <c r="BY229" s="14"/>
      <c r="BZ229" s="14"/>
      <c r="CA229" s="14"/>
      <c r="CB229" s="14"/>
      <c r="CC229" s="14"/>
      <c r="CD229" s="14"/>
      <c r="CE229" s="14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</row>
    <row r="230">
      <c r="A230" s="189" t="s">
        <v>480</v>
      </c>
      <c r="B230" s="190" t="s">
        <v>18</v>
      </c>
      <c r="C230" s="190" t="s">
        <v>36</v>
      </c>
      <c r="D230" s="191" t="str">
        <f t="shared" si="1"/>
        <v>ANDEN-1-6</v>
      </c>
      <c r="E230" s="193">
        <v>45751.0</v>
      </c>
      <c r="F230" s="194" t="s">
        <v>98</v>
      </c>
      <c r="G230" s="195" t="s">
        <v>63</v>
      </c>
      <c r="H230" s="196" t="s">
        <v>64</v>
      </c>
      <c r="I230" s="197">
        <v>716.0</v>
      </c>
      <c r="J230" s="196" t="s">
        <v>22</v>
      </c>
      <c r="K230" s="27" t="str">
        <f t="shared" si="2"/>
        <v>OCUPADO</v>
      </c>
      <c r="L230" s="28">
        <f t="shared" si="10"/>
        <v>229</v>
      </c>
      <c r="M230" s="28" t="s">
        <v>23</v>
      </c>
      <c r="N230" s="70"/>
      <c r="O230" s="29" t="s">
        <v>24</v>
      </c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4"/>
      <c r="BF230" s="12"/>
      <c r="BG230" s="12"/>
      <c r="BH230" s="12" t="str">
        <f>IFERROR(__xludf.DUMMYFUNCTION("IFERROR(INDEX(QUERY(IMPORTRANGE(""1T7HG8KEs-Ob7f3M5atEVN9Yn7IeORGp0QGvggB62ELw"",""Maestro!A:I""),""SELECT Col8 WHERE Col3 = '""&amp;BE230&amp;""'"", 0), 1, 1),""NO ENCONTRADO"")"),"")</f>
        <v/>
      </c>
      <c r="BI230" s="12" t="str">
        <f>IFERROR(__xludf.DUMMYFUNCTION("IFERROR(INDEX(QUERY(IMPORTRANGE(""1T7HG8KEs-Ob7f3M5atEVN9Yn7IeORGp0QGvggB62ELw"",""Maestro!A:I""),""SELECT Col7 WHERE Col3 = '""&amp;BE230&amp;""'"", 0), 1, 1),""NO ENCONTRADO"")"),"")</f>
        <v/>
      </c>
      <c r="BJ230" s="16">
        <f t="shared" si="9"/>
        <v>0</v>
      </c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4"/>
      <c r="BX230" s="14"/>
      <c r="BY230" s="14"/>
      <c r="BZ230" s="14"/>
      <c r="CA230" s="14"/>
      <c r="CB230" s="14"/>
      <c r="CC230" s="14"/>
      <c r="CD230" s="14"/>
      <c r="CE230" s="14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</row>
    <row r="231">
      <c r="A231" s="189" t="s">
        <v>480</v>
      </c>
      <c r="B231" s="190" t="s">
        <v>18</v>
      </c>
      <c r="C231" s="190" t="s">
        <v>48</v>
      </c>
      <c r="D231" s="191" t="str">
        <f t="shared" si="1"/>
        <v>ANDEN-1-7</v>
      </c>
      <c r="E231" s="193">
        <v>45751.0</v>
      </c>
      <c r="F231" s="194" t="s">
        <v>98</v>
      </c>
      <c r="G231" s="195" t="s">
        <v>63</v>
      </c>
      <c r="H231" s="196" t="s">
        <v>64</v>
      </c>
      <c r="I231" s="197">
        <v>716.0</v>
      </c>
      <c r="J231" s="196" t="s">
        <v>22</v>
      </c>
      <c r="K231" s="32" t="str">
        <f t="shared" si="2"/>
        <v>OCUPADO</v>
      </c>
      <c r="L231" s="33">
        <f t="shared" si="10"/>
        <v>230</v>
      </c>
      <c r="M231" s="33" t="s">
        <v>23</v>
      </c>
      <c r="N231" s="53"/>
      <c r="O231" s="34" t="s">
        <v>24</v>
      </c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4"/>
      <c r="BF231" s="12"/>
      <c r="BG231" s="12"/>
      <c r="BH231" s="12" t="str">
        <f>IFERROR(__xludf.DUMMYFUNCTION("IFERROR(INDEX(QUERY(IMPORTRANGE(""1T7HG8KEs-Ob7f3M5atEVN9Yn7IeORGp0QGvggB62ELw"",""Maestro!A:I""),""SELECT Col8 WHERE Col3 = '""&amp;BE231&amp;""'"", 0), 1, 1),""NO ENCONTRADO"")"),"")</f>
        <v/>
      </c>
      <c r="BI231" s="12" t="str">
        <f>IFERROR(__xludf.DUMMYFUNCTION("IFERROR(INDEX(QUERY(IMPORTRANGE(""1T7HG8KEs-Ob7f3M5atEVN9Yn7IeORGp0QGvggB62ELw"",""Maestro!A:I""),""SELECT Col7 WHERE Col3 = '""&amp;BE231&amp;""'"", 0), 1, 1),""NO ENCONTRADO"")"),"")</f>
        <v/>
      </c>
      <c r="BJ231" s="16">
        <f t="shared" si="9"/>
        <v>0</v>
      </c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4"/>
      <c r="BX231" s="14"/>
      <c r="BY231" s="14"/>
      <c r="BZ231" s="14"/>
      <c r="CA231" s="14"/>
      <c r="CB231" s="14"/>
      <c r="CC231" s="14"/>
      <c r="CD231" s="14"/>
      <c r="CE231" s="14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</row>
    <row r="232">
      <c r="A232" s="189" t="s">
        <v>480</v>
      </c>
      <c r="B232" s="190" t="s">
        <v>18</v>
      </c>
      <c r="C232" s="190" t="s">
        <v>465</v>
      </c>
      <c r="D232" s="191" t="str">
        <f t="shared" si="1"/>
        <v>ANDEN-1-8</v>
      </c>
      <c r="E232" s="35">
        <v>45751.0</v>
      </c>
      <c r="F232" s="36" t="s">
        <v>358</v>
      </c>
      <c r="G232" s="23" t="s">
        <v>137</v>
      </c>
      <c r="H232" s="38" t="s">
        <v>138</v>
      </c>
      <c r="I232" s="39">
        <v>225.0</v>
      </c>
      <c r="J232" s="38" t="s">
        <v>22</v>
      </c>
      <c r="K232" s="27" t="str">
        <f t="shared" si="2"/>
        <v>OCUPADO</v>
      </c>
      <c r="L232" s="28">
        <f t="shared" si="10"/>
        <v>231</v>
      </c>
      <c r="M232" s="28" t="s">
        <v>23</v>
      </c>
      <c r="N232" s="70"/>
      <c r="O232" s="29" t="s">
        <v>24</v>
      </c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4"/>
      <c r="BF232" s="12"/>
      <c r="BG232" s="12"/>
      <c r="BH232" s="12" t="str">
        <f>IFERROR(__xludf.DUMMYFUNCTION("IFERROR(INDEX(QUERY(IMPORTRANGE(""1T7HG8KEs-Ob7f3M5atEVN9Yn7IeORGp0QGvggB62ELw"",""Maestro!A:I""),""SELECT Col8 WHERE Col3 = '""&amp;BE232&amp;""'"", 0), 1, 1),""NO ENCONTRADO"")"),"")</f>
        <v/>
      </c>
      <c r="BI232" s="12" t="str">
        <f>IFERROR(__xludf.DUMMYFUNCTION("IFERROR(INDEX(QUERY(IMPORTRANGE(""1T7HG8KEs-Ob7f3M5atEVN9Yn7IeORGp0QGvggB62ELw"",""Maestro!A:I""),""SELECT Col7 WHERE Col3 = '""&amp;BE232&amp;""'"", 0), 1, 1),""NO ENCONTRADO"")"),"")</f>
        <v/>
      </c>
      <c r="BJ232" s="16">
        <f t="shared" si="9"/>
        <v>0</v>
      </c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4"/>
      <c r="BX232" s="14"/>
      <c r="BY232" s="14"/>
      <c r="BZ232" s="14"/>
      <c r="CA232" s="14"/>
      <c r="CB232" s="14"/>
      <c r="CC232" s="14"/>
      <c r="CD232" s="14"/>
      <c r="CE232" s="14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</row>
    <row r="233">
      <c r="A233" s="189" t="s">
        <v>480</v>
      </c>
      <c r="B233" s="190" t="s">
        <v>18</v>
      </c>
      <c r="C233" s="190" t="s">
        <v>511</v>
      </c>
      <c r="D233" s="191" t="str">
        <f t="shared" si="1"/>
        <v>ANDEN-1-9</v>
      </c>
      <c r="E233" s="317">
        <v>45751.0</v>
      </c>
      <c r="F233" s="318" t="s">
        <v>358</v>
      </c>
      <c r="G233" s="319" t="s">
        <v>137</v>
      </c>
      <c r="H233" s="320" t="s">
        <v>138</v>
      </c>
      <c r="I233" s="321">
        <v>225.0</v>
      </c>
      <c r="J233" s="320" t="s">
        <v>22</v>
      </c>
      <c r="K233" s="32" t="str">
        <f t="shared" si="2"/>
        <v>OCUPADO</v>
      </c>
      <c r="L233" s="33">
        <f t="shared" si="10"/>
        <v>232</v>
      </c>
      <c r="M233" s="33" t="s">
        <v>23</v>
      </c>
      <c r="N233" s="53"/>
      <c r="O233" s="34" t="s">
        <v>24</v>
      </c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4"/>
      <c r="BF233" s="12"/>
      <c r="BG233" s="12"/>
      <c r="BH233" s="12" t="str">
        <f>IFERROR(__xludf.DUMMYFUNCTION("IFERROR(INDEX(QUERY(IMPORTRANGE(""1T7HG8KEs-Ob7f3M5atEVN9Yn7IeORGp0QGvggB62ELw"",""Maestro!A:I""),""SELECT Col8 WHERE Col3 = '""&amp;BE233&amp;""'"", 0), 1, 1),""NO ENCONTRADO"")"),"")</f>
        <v/>
      </c>
      <c r="BI233" s="12" t="str">
        <f>IFERROR(__xludf.DUMMYFUNCTION("IFERROR(INDEX(QUERY(IMPORTRANGE(""1T7HG8KEs-Ob7f3M5atEVN9Yn7IeORGp0QGvggB62ELw"",""Maestro!A:I""),""SELECT Col7 WHERE Col3 = '""&amp;BE233&amp;""'"", 0), 1, 1),""NO ENCONTRADO"")"),"")</f>
        <v/>
      </c>
      <c r="BJ233" s="16">
        <f t="shared" si="9"/>
        <v>0</v>
      </c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4"/>
      <c r="BX233" s="14"/>
      <c r="BY233" s="14"/>
      <c r="BZ233" s="14"/>
      <c r="CA233" s="14"/>
      <c r="CB233" s="14"/>
      <c r="CC233" s="14"/>
      <c r="CD233" s="14"/>
      <c r="CE233" s="14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</row>
    <row r="234">
      <c r="A234" s="189" t="s">
        <v>480</v>
      </c>
      <c r="B234" s="190" t="s">
        <v>18</v>
      </c>
      <c r="C234" s="190" t="s">
        <v>296</v>
      </c>
      <c r="D234" s="191" t="str">
        <f t="shared" si="1"/>
        <v>ANDEN-1-10</v>
      </c>
      <c r="E234" s="78">
        <v>45751.0</v>
      </c>
      <c r="F234" s="88" t="s">
        <v>121</v>
      </c>
      <c r="G234" s="80" t="s">
        <v>77</v>
      </c>
      <c r="H234" s="81" t="s">
        <v>78</v>
      </c>
      <c r="I234" s="82">
        <v>700.0</v>
      </c>
      <c r="J234" s="81" t="s">
        <v>22</v>
      </c>
      <c r="K234" s="27" t="str">
        <f t="shared" si="2"/>
        <v>OCUPADO</v>
      </c>
      <c r="L234" s="28">
        <f t="shared" si="10"/>
        <v>233</v>
      </c>
      <c r="M234" s="28" t="s">
        <v>23</v>
      </c>
      <c r="N234" s="70"/>
      <c r="O234" s="29" t="s">
        <v>24</v>
      </c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4"/>
      <c r="BF234" s="12"/>
      <c r="BG234" s="12"/>
      <c r="BH234" s="12" t="str">
        <f>IFERROR(__xludf.DUMMYFUNCTION("IFERROR(INDEX(QUERY(IMPORTRANGE(""1T7HG8KEs-Ob7f3M5atEVN9Yn7IeORGp0QGvggB62ELw"",""Maestro!A:I""),""SELECT Col8 WHERE Col3 = '""&amp;BE234&amp;""'"", 0), 1, 1),""NO ENCONTRADO"")"),"")</f>
        <v/>
      </c>
      <c r="BI234" s="12" t="str">
        <f>IFERROR(__xludf.DUMMYFUNCTION("IFERROR(INDEX(QUERY(IMPORTRANGE(""1T7HG8KEs-Ob7f3M5atEVN9Yn7IeORGp0QGvggB62ELw"",""Maestro!A:I""),""SELECT Col7 WHERE Col3 = '""&amp;BE234&amp;""'"", 0), 1, 1),""NO ENCONTRADO"")"),"")</f>
        <v/>
      </c>
      <c r="BJ234" s="16">
        <f t="shared" si="9"/>
        <v>0</v>
      </c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4"/>
      <c r="BX234" s="14"/>
      <c r="BY234" s="14"/>
      <c r="BZ234" s="14"/>
      <c r="CA234" s="14"/>
      <c r="CB234" s="14"/>
      <c r="CC234" s="14"/>
      <c r="CD234" s="14"/>
      <c r="CE234" s="14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</row>
    <row r="235">
      <c r="A235" s="189" t="s">
        <v>480</v>
      </c>
      <c r="B235" s="190" t="s">
        <v>18</v>
      </c>
      <c r="C235" s="190" t="s">
        <v>316</v>
      </c>
      <c r="D235" s="203" t="str">
        <f t="shared" si="1"/>
        <v>ANDEN-1-11</v>
      </c>
      <c r="E235" s="204">
        <v>45733.0</v>
      </c>
      <c r="F235" s="36" t="s">
        <v>19</v>
      </c>
      <c r="G235" s="37" t="s">
        <v>114</v>
      </c>
      <c r="H235" s="38" t="s">
        <v>115</v>
      </c>
      <c r="I235" s="39">
        <v>510.0</v>
      </c>
      <c r="J235" s="205" t="s">
        <v>22</v>
      </c>
      <c r="K235" s="32" t="str">
        <f t="shared" si="2"/>
        <v>OCUPADO</v>
      </c>
      <c r="L235" s="33">
        <f t="shared" si="10"/>
        <v>234</v>
      </c>
      <c r="M235" s="33" t="s">
        <v>23</v>
      </c>
      <c r="N235" s="53"/>
      <c r="O235" s="34" t="s">
        <v>24</v>
      </c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4"/>
      <c r="BF235" s="12"/>
      <c r="BG235" s="12"/>
      <c r="BH235" s="12" t="str">
        <f>IFERROR(__xludf.DUMMYFUNCTION("IFERROR(INDEX(QUERY(IMPORTRANGE(""1T7HG8KEs-Ob7f3M5atEVN9Yn7IeORGp0QGvggB62ELw"",""Maestro!A:I""),""SELECT Col8 WHERE Col3 = '""&amp;BE235&amp;""'"", 0), 1, 1),""NO ENCONTRADO"")"),"")</f>
        <v/>
      </c>
      <c r="BI235" s="12" t="str">
        <f>IFERROR(__xludf.DUMMYFUNCTION("IFERROR(INDEX(QUERY(IMPORTRANGE(""1T7HG8KEs-Ob7f3M5atEVN9Yn7IeORGp0QGvggB62ELw"",""Maestro!A:I""),""SELECT Col7 WHERE Col3 = '""&amp;BE235&amp;""'"", 0), 1, 1),""NO ENCONTRADO"")"),"")</f>
        <v/>
      </c>
      <c r="BJ235" s="16">
        <f t="shared" si="9"/>
        <v>0</v>
      </c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4"/>
      <c r="BX235" s="14"/>
      <c r="BY235" s="14"/>
      <c r="BZ235" s="14"/>
      <c r="CA235" s="14"/>
      <c r="CB235" s="14"/>
      <c r="CC235" s="14"/>
      <c r="CD235" s="14"/>
      <c r="CE235" s="14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</row>
    <row r="236">
      <c r="A236" s="189" t="s">
        <v>480</v>
      </c>
      <c r="B236" s="190" t="s">
        <v>18</v>
      </c>
      <c r="C236" s="190" t="s">
        <v>336</v>
      </c>
      <c r="D236" s="191" t="str">
        <f t="shared" si="1"/>
        <v>ANDEN-1-12</v>
      </c>
      <c r="E236" s="78">
        <v>45751.0</v>
      </c>
      <c r="F236" s="88" t="s">
        <v>121</v>
      </c>
      <c r="G236" s="80" t="s">
        <v>77</v>
      </c>
      <c r="H236" s="81" t="s">
        <v>78</v>
      </c>
      <c r="I236" s="82">
        <v>600.0</v>
      </c>
      <c r="J236" s="81" t="s">
        <v>22</v>
      </c>
      <c r="K236" s="27" t="str">
        <f t="shared" si="2"/>
        <v>OCUPADO</v>
      </c>
      <c r="L236" s="28">
        <f t="shared" si="10"/>
        <v>235</v>
      </c>
      <c r="M236" s="28" t="s">
        <v>23</v>
      </c>
      <c r="N236" s="28" t="s">
        <v>777</v>
      </c>
      <c r="O236" s="29" t="s">
        <v>24</v>
      </c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4"/>
      <c r="BF236" s="12"/>
      <c r="BG236" s="12"/>
      <c r="BH236" s="12" t="str">
        <f>IFERROR(__xludf.DUMMYFUNCTION("IFERROR(INDEX(QUERY(IMPORTRANGE(""1T7HG8KEs-Ob7f3M5atEVN9Yn7IeORGp0QGvggB62ELw"",""Maestro!A:I""),""SELECT Col8 WHERE Col3 = '""&amp;BE236&amp;""'"", 0), 1, 1),""NO ENCONTRADO"")"),"")</f>
        <v/>
      </c>
      <c r="BI236" s="12" t="str">
        <f>IFERROR(__xludf.DUMMYFUNCTION("IFERROR(INDEX(QUERY(IMPORTRANGE(""1T7HG8KEs-Ob7f3M5atEVN9Yn7IeORGp0QGvggB62ELw"",""Maestro!A:I""),""SELECT Col7 WHERE Col3 = '""&amp;BE236&amp;""'"", 0), 1, 1),""NO ENCONTRADO"")"),"")</f>
        <v/>
      </c>
      <c r="BJ236" s="16">
        <f t="shared" si="9"/>
        <v>0</v>
      </c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4"/>
      <c r="BX236" s="14"/>
      <c r="BY236" s="14"/>
      <c r="BZ236" s="14"/>
      <c r="CA236" s="14"/>
      <c r="CB236" s="14"/>
      <c r="CC236" s="14"/>
      <c r="CD236" s="14"/>
      <c r="CE236" s="14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</row>
    <row r="237">
      <c r="A237" s="189" t="s">
        <v>480</v>
      </c>
      <c r="B237" s="190" t="s">
        <v>18</v>
      </c>
      <c r="C237" s="190" t="s">
        <v>350</v>
      </c>
      <c r="D237" s="191" t="str">
        <f t="shared" si="1"/>
        <v>ANDEN-1-13</v>
      </c>
      <c r="E237" s="78">
        <v>45751.0</v>
      </c>
      <c r="F237" s="88" t="s">
        <v>121</v>
      </c>
      <c r="G237" s="80" t="s">
        <v>77</v>
      </c>
      <c r="H237" s="81" t="s">
        <v>78</v>
      </c>
      <c r="I237" s="82">
        <v>996.0</v>
      </c>
      <c r="J237" s="81" t="s">
        <v>22</v>
      </c>
      <c r="K237" s="32" t="str">
        <f t="shared" si="2"/>
        <v>OCUPADO</v>
      </c>
      <c r="L237" s="33">
        <f t="shared" si="10"/>
        <v>236</v>
      </c>
      <c r="M237" s="33" t="s">
        <v>23</v>
      </c>
      <c r="N237" s="33" t="s">
        <v>777</v>
      </c>
      <c r="O237" s="34" t="s">
        <v>24</v>
      </c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4"/>
      <c r="BF237" s="12"/>
      <c r="BG237" s="12"/>
      <c r="BH237" s="12" t="str">
        <f>IFERROR(__xludf.DUMMYFUNCTION("IFERROR(INDEX(QUERY(IMPORTRANGE(""1T7HG8KEs-Ob7f3M5atEVN9Yn7IeORGp0QGvggB62ELw"",""Maestro!A:I""),""SELECT Col8 WHERE Col3 = '""&amp;BE237&amp;""'"", 0), 1, 1),""NO ENCONTRADO"")"),"")</f>
        <v/>
      </c>
      <c r="BI237" s="12" t="str">
        <f>IFERROR(__xludf.DUMMYFUNCTION("IFERROR(INDEX(QUERY(IMPORTRANGE(""1T7HG8KEs-Ob7f3M5atEVN9Yn7IeORGp0QGvggB62ELw"",""Maestro!A:I""),""SELECT Col7 WHERE Col3 = '""&amp;BE237&amp;""'"", 0), 1, 1),""NO ENCONTRADO"")"),"")</f>
        <v/>
      </c>
      <c r="BJ237" s="16">
        <f t="shared" si="9"/>
        <v>0</v>
      </c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4"/>
      <c r="BX237" s="14"/>
      <c r="BY237" s="14"/>
      <c r="BZ237" s="14"/>
      <c r="CA237" s="14"/>
      <c r="CB237" s="14"/>
      <c r="CC237" s="14"/>
      <c r="CD237" s="14"/>
      <c r="CE237" s="14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</row>
    <row r="238">
      <c r="A238" s="189" t="s">
        <v>480</v>
      </c>
      <c r="B238" s="190" t="s">
        <v>18</v>
      </c>
      <c r="C238" s="190" t="s">
        <v>362</v>
      </c>
      <c r="D238" s="191" t="str">
        <f t="shared" si="1"/>
        <v>ANDEN-1-14</v>
      </c>
      <c r="E238" s="78">
        <v>45751.0</v>
      </c>
      <c r="F238" s="88" t="s">
        <v>121</v>
      </c>
      <c r="G238" s="80" t="s">
        <v>77</v>
      </c>
      <c r="H238" s="81" t="s">
        <v>78</v>
      </c>
      <c r="I238" s="82">
        <v>790.0</v>
      </c>
      <c r="J238" s="81" t="s">
        <v>22</v>
      </c>
      <c r="K238" s="27" t="str">
        <f t="shared" si="2"/>
        <v>OCUPADO</v>
      </c>
      <c r="L238" s="28">
        <f t="shared" si="10"/>
        <v>237</v>
      </c>
      <c r="M238" s="28" t="s">
        <v>23</v>
      </c>
      <c r="N238" s="28" t="s">
        <v>777</v>
      </c>
      <c r="O238" s="29" t="s">
        <v>24</v>
      </c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4"/>
      <c r="BF238" s="12"/>
      <c r="BG238" s="12"/>
      <c r="BH238" s="12" t="str">
        <f>IFERROR(__xludf.DUMMYFUNCTION("IFERROR(INDEX(QUERY(IMPORTRANGE(""1T7HG8KEs-Ob7f3M5atEVN9Yn7IeORGp0QGvggB62ELw"",""Maestro!A:I""),""SELECT Col8 WHERE Col3 = '""&amp;BE238&amp;""'"", 0), 1, 1),""NO ENCONTRADO"")"),"")</f>
        <v/>
      </c>
      <c r="BI238" s="12" t="str">
        <f>IFERROR(__xludf.DUMMYFUNCTION("IFERROR(INDEX(QUERY(IMPORTRANGE(""1T7HG8KEs-Ob7f3M5atEVN9Yn7IeORGp0QGvggB62ELw"",""Maestro!A:I""),""SELECT Col7 WHERE Col3 = '""&amp;BE238&amp;""'"", 0), 1, 1),""NO ENCONTRADO"")"),"")</f>
        <v/>
      </c>
      <c r="BJ238" s="16">
        <f t="shared" si="9"/>
        <v>0</v>
      </c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4"/>
      <c r="BX238" s="14"/>
      <c r="BY238" s="14"/>
      <c r="BZ238" s="14"/>
      <c r="CA238" s="14"/>
      <c r="CB238" s="14"/>
      <c r="CC238" s="14"/>
      <c r="CD238" s="14"/>
      <c r="CE238" s="14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</row>
    <row r="239">
      <c r="A239" s="189" t="s">
        <v>480</v>
      </c>
      <c r="B239" s="190" t="s">
        <v>18</v>
      </c>
      <c r="C239" s="190" t="s">
        <v>372</v>
      </c>
      <c r="D239" s="191" t="str">
        <f t="shared" si="1"/>
        <v>ANDEN-1-15</v>
      </c>
      <c r="E239" s="78">
        <v>45751.0</v>
      </c>
      <c r="F239" s="88" t="s">
        <v>121</v>
      </c>
      <c r="G239" s="80" t="s">
        <v>77</v>
      </c>
      <c r="H239" s="81" t="s">
        <v>78</v>
      </c>
      <c r="I239" s="82">
        <v>600.0</v>
      </c>
      <c r="J239" s="81" t="s">
        <v>22</v>
      </c>
      <c r="K239" s="32" t="str">
        <f t="shared" si="2"/>
        <v>OCUPADO</v>
      </c>
      <c r="L239" s="33">
        <f t="shared" si="10"/>
        <v>238</v>
      </c>
      <c r="M239" s="33" t="s">
        <v>23</v>
      </c>
      <c r="N239" s="33" t="s">
        <v>777</v>
      </c>
      <c r="O239" s="34" t="s">
        <v>24</v>
      </c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4"/>
      <c r="BF239" s="12"/>
      <c r="BG239" s="12"/>
      <c r="BH239" s="12" t="str">
        <f>IFERROR(__xludf.DUMMYFUNCTION("IFERROR(INDEX(QUERY(IMPORTRANGE(""1T7HG8KEs-Ob7f3M5atEVN9Yn7IeORGp0QGvggB62ELw"",""Maestro!A:I""),""SELECT Col8 WHERE Col3 = '""&amp;BE239&amp;""'"", 0), 1, 1),""NO ENCONTRADO"")"),"")</f>
        <v/>
      </c>
      <c r="BI239" s="12" t="str">
        <f>IFERROR(__xludf.DUMMYFUNCTION("IFERROR(INDEX(QUERY(IMPORTRANGE(""1T7HG8KEs-Ob7f3M5atEVN9Yn7IeORGp0QGvggB62ELw"",""Maestro!A:I""),""SELECT Col7 WHERE Col3 = '""&amp;BE239&amp;""'"", 0), 1, 1),""NO ENCONTRADO"")"),"")</f>
        <v/>
      </c>
      <c r="BJ239" s="16">
        <f t="shared" si="9"/>
        <v>0</v>
      </c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4"/>
      <c r="BX239" s="14"/>
      <c r="BY239" s="14"/>
      <c r="BZ239" s="14"/>
      <c r="CA239" s="14"/>
      <c r="CB239" s="14"/>
      <c r="CC239" s="14"/>
      <c r="CD239" s="14"/>
      <c r="CE239" s="14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</row>
    <row r="240">
      <c r="A240" s="189" t="s">
        <v>480</v>
      </c>
      <c r="B240" s="190" t="s">
        <v>18</v>
      </c>
      <c r="C240" s="190" t="s">
        <v>382</v>
      </c>
      <c r="D240" s="191" t="str">
        <f t="shared" si="1"/>
        <v>ANDEN-1-16</v>
      </c>
      <c r="E240" s="78">
        <v>45751.0</v>
      </c>
      <c r="F240" s="88" t="s">
        <v>121</v>
      </c>
      <c r="G240" s="80" t="s">
        <v>77</v>
      </c>
      <c r="H240" s="81" t="s">
        <v>78</v>
      </c>
      <c r="I240" s="82">
        <v>600.0</v>
      </c>
      <c r="J240" s="81" t="s">
        <v>22</v>
      </c>
      <c r="K240" s="27" t="str">
        <f t="shared" si="2"/>
        <v>OCUPADO</v>
      </c>
      <c r="L240" s="28">
        <f t="shared" si="10"/>
        <v>239</v>
      </c>
      <c r="M240" s="28" t="s">
        <v>23</v>
      </c>
      <c r="N240" s="28" t="s">
        <v>777</v>
      </c>
      <c r="O240" s="29" t="s">
        <v>24</v>
      </c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4"/>
      <c r="BF240" s="12"/>
      <c r="BG240" s="12"/>
      <c r="BH240" s="12" t="str">
        <f>IFERROR(__xludf.DUMMYFUNCTION("IFERROR(INDEX(QUERY(IMPORTRANGE(""1T7HG8KEs-Ob7f3M5atEVN9Yn7IeORGp0QGvggB62ELw"",""Maestro!A:I""),""SELECT Col8 WHERE Col3 = '""&amp;BE240&amp;""'"", 0), 1, 1),""NO ENCONTRADO"")"),"")</f>
        <v/>
      </c>
      <c r="BI240" s="12" t="str">
        <f>IFERROR(__xludf.DUMMYFUNCTION("IFERROR(INDEX(QUERY(IMPORTRANGE(""1T7HG8KEs-Ob7f3M5atEVN9Yn7IeORGp0QGvggB62ELw"",""Maestro!A:I""),""SELECT Col7 WHERE Col3 = '""&amp;BE240&amp;""'"", 0), 1, 1),""NO ENCONTRADO"")"),"")</f>
        <v/>
      </c>
      <c r="BJ240" s="16">
        <f t="shared" si="9"/>
        <v>0</v>
      </c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4"/>
      <c r="BX240" s="14"/>
      <c r="BY240" s="14"/>
      <c r="BZ240" s="14"/>
      <c r="CA240" s="14"/>
      <c r="CB240" s="14"/>
      <c r="CC240" s="14"/>
      <c r="CD240" s="14"/>
      <c r="CE240" s="14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</row>
    <row r="241">
      <c r="A241" s="189" t="s">
        <v>480</v>
      </c>
      <c r="B241" s="190" t="s">
        <v>18</v>
      </c>
      <c r="C241" s="190" t="s">
        <v>396</v>
      </c>
      <c r="D241" s="191" t="str">
        <f t="shared" si="1"/>
        <v>ANDEN-1-17</v>
      </c>
      <c r="E241" s="78">
        <v>45751.0</v>
      </c>
      <c r="F241" s="88" t="s">
        <v>121</v>
      </c>
      <c r="G241" s="80" t="s">
        <v>77</v>
      </c>
      <c r="H241" s="81" t="s">
        <v>78</v>
      </c>
      <c r="I241" s="82">
        <v>600.0</v>
      </c>
      <c r="J241" s="81" t="s">
        <v>22</v>
      </c>
      <c r="K241" s="32" t="str">
        <f t="shared" si="2"/>
        <v>OCUPADO</v>
      </c>
      <c r="L241" s="33">
        <f t="shared" si="10"/>
        <v>240</v>
      </c>
      <c r="M241" s="33" t="s">
        <v>23</v>
      </c>
      <c r="N241" s="33"/>
      <c r="O241" s="34" t="s">
        <v>24</v>
      </c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4"/>
      <c r="BF241" s="12"/>
      <c r="BG241" s="12"/>
      <c r="BH241" s="12" t="str">
        <f>IFERROR(__xludf.DUMMYFUNCTION("IFERROR(INDEX(QUERY(IMPORTRANGE(""1T7HG8KEs-Ob7f3M5atEVN9Yn7IeORGp0QGvggB62ELw"",""Maestro!A:I""),""SELECT Col8 WHERE Col3 = '""&amp;BE241&amp;""'"", 0), 1, 1),""NO ENCONTRADO"")"),"")</f>
        <v/>
      </c>
      <c r="BI241" s="12" t="str">
        <f>IFERROR(__xludf.DUMMYFUNCTION("IFERROR(INDEX(QUERY(IMPORTRANGE(""1T7HG8KEs-Ob7f3M5atEVN9Yn7IeORGp0QGvggB62ELw"",""Maestro!A:I""),""SELECT Col7 WHERE Col3 = '""&amp;BE241&amp;""'"", 0), 1, 1),""NO ENCONTRADO"")"),"")</f>
        <v/>
      </c>
      <c r="BJ241" s="16">
        <f t="shared" si="9"/>
        <v>0</v>
      </c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4"/>
      <c r="BX241" s="14"/>
      <c r="BY241" s="14"/>
      <c r="BZ241" s="14"/>
      <c r="CA241" s="14"/>
      <c r="CB241" s="14"/>
      <c r="CC241" s="14"/>
      <c r="CD241" s="14"/>
      <c r="CE241" s="14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</row>
    <row r="242">
      <c r="A242" s="189" t="s">
        <v>480</v>
      </c>
      <c r="B242" s="190" t="s">
        <v>18</v>
      </c>
      <c r="C242" s="190" t="s">
        <v>411</v>
      </c>
      <c r="D242" s="191" t="str">
        <f t="shared" si="1"/>
        <v>ANDEN-1-18</v>
      </c>
      <c r="E242" s="146"/>
      <c r="F242" s="147"/>
      <c r="G242" s="148"/>
      <c r="H242" s="148"/>
      <c r="I242" s="149"/>
      <c r="J242" s="148"/>
      <c r="K242" s="27" t="str">
        <f t="shared" si="2"/>
        <v>DISPONIBLE</v>
      </c>
      <c r="L242" s="28">
        <f t="shared" si="10"/>
        <v>241</v>
      </c>
      <c r="M242" s="28" t="s">
        <v>23</v>
      </c>
      <c r="N242" s="28"/>
      <c r="O242" s="29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4"/>
      <c r="BF242" s="12"/>
      <c r="BG242" s="12"/>
      <c r="BH242" s="12" t="str">
        <f>IFERROR(__xludf.DUMMYFUNCTION("IFERROR(INDEX(QUERY(IMPORTRANGE(""1T7HG8KEs-Ob7f3M5atEVN9Yn7IeORGp0QGvggB62ELw"",""Maestro!A:I""),""SELECT Col8 WHERE Col3 = '""&amp;BE242&amp;""'"", 0), 1, 1),""NO ENCONTRADO"")"),"")</f>
        <v/>
      </c>
      <c r="BI242" s="12" t="str">
        <f>IFERROR(__xludf.DUMMYFUNCTION("IFERROR(INDEX(QUERY(IMPORTRANGE(""1T7HG8KEs-Ob7f3M5atEVN9Yn7IeORGp0QGvggB62ELw"",""Maestro!A:I""),""SELECT Col7 WHERE Col3 = '""&amp;BE242&amp;""'"", 0), 1, 1),""NO ENCONTRADO"")"),"")</f>
        <v/>
      </c>
      <c r="BJ242" s="16">
        <f t="shared" si="9"/>
        <v>0</v>
      </c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4"/>
      <c r="BX242" s="14"/>
      <c r="BY242" s="14"/>
      <c r="BZ242" s="14"/>
      <c r="CA242" s="14"/>
      <c r="CB242" s="14"/>
      <c r="CC242" s="14"/>
      <c r="CD242" s="14"/>
      <c r="CE242" s="14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</row>
    <row r="243">
      <c r="A243" s="189" t="s">
        <v>480</v>
      </c>
      <c r="B243" s="190" t="s">
        <v>18</v>
      </c>
      <c r="C243" s="190" t="s">
        <v>425</v>
      </c>
      <c r="D243" s="191" t="str">
        <f t="shared" si="1"/>
        <v>ANDEN-1-19</v>
      </c>
      <c r="E243" s="146"/>
      <c r="F243" s="147"/>
      <c r="G243" s="148"/>
      <c r="H243" s="148"/>
      <c r="I243" s="149"/>
      <c r="J243" s="148"/>
      <c r="K243" s="32" t="str">
        <f t="shared" si="2"/>
        <v>DISPONIBLE</v>
      </c>
      <c r="L243" s="33">
        <f t="shared" si="10"/>
        <v>242</v>
      </c>
      <c r="M243" s="33" t="s">
        <v>23</v>
      </c>
      <c r="N243" s="53"/>
      <c r="O243" s="34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4"/>
      <c r="BF243" s="12"/>
      <c r="BG243" s="12"/>
      <c r="BH243" s="12" t="str">
        <f>IFERROR(__xludf.DUMMYFUNCTION("IFERROR(INDEX(QUERY(IMPORTRANGE(""1T7HG8KEs-Ob7f3M5atEVN9Yn7IeORGp0QGvggB62ELw"",""Maestro!A:I""),""SELECT Col8 WHERE Col3 = '""&amp;BE243&amp;""'"", 0), 1, 1),""NO ENCONTRADO"")"),"")</f>
        <v/>
      </c>
      <c r="BI243" s="12" t="str">
        <f>IFERROR(__xludf.DUMMYFUNCTION("IFERROR(INDEX(QUERY(IMPORTRANGE(""1T7HG8KEs-Ob7f3M5atEVN9Yn7IeORGp0QGvggB62ELw"",""Maestro!A:I""),""SELECT Col7 WHERE Col3 = '""&amp;BE243&amp;""'"", 0), 1, 1),""NO ENCONTRADO"")"),"")</f>
        <v/>
      </c>
      <c r="BJ243" s="16">
        <f t="shared" si="9"/>
        <v>0</v>
      </c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4"/>
      <c r="BX243" s="14"/>
      <c r="BY243" s="14"/>
      <c r="BZ243" s="14"/>
      <c r="CA243" s="14"/>
      <c r="CB243" s="14"/>
      <c r="CC243" s="14"/>
      <c r="CD243" s="14"/>
      <c r="CE243" s="14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</row>
    <row r="244">
      <c r="A244" s="189" t="s">
        <v>480</v>
      </c>
      <c r="B244" s="190" t="s">
        <v>18</v>
      </c>
      <c r="C244" s="190" t="s">
        <v>451</v>
      </c>
      <c r="D244" s="191" t="str">
        <f t="shared" si="1"/>
        <v>ANDEN-1-20</v>
      </c>
      <c r="E244" s="146"/>
      <c r="F244" s="147"/>
      <c r="G244" s="148"/>
      <c r="H244" s="148"/>
      <c r="I244" s="149"/>
      <c r="J244" s="148"/>
      <c r="K244" s="27" t="str">
        <f t="shared" si="2"/>
        <v>DISPONIBLE</v>
      </c>
      <c r="L244" s="28">
        <f t="shared" si="10"/>
        <v>243</v>
      </c>
      <c r="M244" s="28" t="s">
        <v>23</v>
      </c>
      <c r="N244" s="28"/>
      <c r="O244" s="29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4"/>
      <c r="BF244" s="12"/>
      <c r="BG244" s="12"/>
      <c r="BH244" s="12" t="str">
        <f>IFERROR(__xludf.DUMMYFUNCTION("IFERROR(INDEX(QUERY(IMPORTRANGE(""1T7HG8KEs-Ob7f3M5atEVN9Yn7IeORGp0QGvggB62ELw"",""Maestro!A:I""),""SELECT Col8 WHERE Col3 = '""&amp;BE244&amp;""'"", 0), 1, 1),""NO ENCONTRADO"")"),"")</f>
        <v/>
      </c>
      <c r="BI244" s="12" t="str">
        <f>IFERROR(__xludf.DUMMYFUNCTION("IFERROR(INDEX(QUERY(IMPORTRANGE(""1T7HG8KEs-Ob7f3M5atEVN9Yn7IeORGp0QGvggB62ELw"",""Maestro!A:I""),""SELECT Col7 WHERE Col3 = '""&amp;BE244&amp;""'"", 0), 1, 1),""NO ENCONTRADO"")"),"")</f>
        <v/>
      </c>
      <c r="BJ244" s="16">
        <f t="shared" si="9"/>
        <v>0</v>
      </c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4"/>
      <c r="BX244" s="14"/>
      <c r="BY244" s="14"/>
      <c r="BZ244" s="14"/>
      <c r="CA244" s="14"/>
      <c r="CB244" s="14"/>
      <c r="CC244" s="14"/>
      <c r="CD244" s="14"/>
      <c r="CE244" s="14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</row>
    <row r="245">
      <c r="A245" s="210" t="s">
        <v>480</v>
      </c>
      <c r="B245" s="211" t="s">
        <v>18</v>
      </c>
      <c r="C245" s="211" t="s">
        <v>467</v>
      </c>
      <c r="D245" s="212" t="str">
        <f t="shared" si="1"/>
        <v>ANDEN-1-21</v>
      </c>
      <c r="E245" s="213"/>
      <c r="F245" s="214"/>
      <c r="G245" s="215"/>
      <c r="H245" s="215"/>
      <c r="I245" s="216"/>
      <c r="J245" s="215"/>
      <c r="K245" s="154" t="str">
        <f t="shared" si="2"/>
        <v>DISPONIBLE</v>
      </c>
      <c r="L245" s="155">
        <f t="shared" si="10"/>
        <v>244</v>
      </c>
      <c r="M245" s="155" t="s">
        <v>23</v>
      </c>
      <c r="N245" s="156"/>
      <c r="O245" s="157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4"/>
      <c r="BF245" s="12"/>
      <c r="BG245" s="12"/>
      <c r="BH245" s="12" t="str">
        <f>IFERROR(__xludf.DUMMYFUNCTION("IFERROR(INDEX(QUERY(IMPORTRANGE(""1T7HG8KEs-Ob7f3M5atEVN9Yn7IeORGp0QGvggB62ELw"",""Maestro!A:I""),""SELECT Col8 WHERE Col3 = '""&amp;BE245&amp;""'"", 0), 1, 1),""NO ENCONTRADO"")"),"")</f>
        <v/>
      </c>
      <c r="BI245" s="12" t="str">
        <f>IFERROR(__xludf.DUMMYFUNCTION("IFERROR(INDEX(QUERY(IMPORTRANGE(""1T7HG8KEs-Ob7f3M5atEVN9Yn7IeORGp0QGvggB62ELw"",""Maestro!A:I""),""SELECT Col7 WHERE Col3 = '""&amp;BE245&amp;""'"", 0), 1, 1),""NO ENCONTRADO"")"),"")</f>
        <v/>
      </c>
      <c r="BJ245" s="16">
        <f t="shared" si="9"/>
        <v>0</v>
      </c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4"/>
      <c r="BX245" s="14"/>
      <c r="BY245" s="14"/>
      <c r="BZ245" s="14"/>
      <c r="CA245" s="14"/>
      <c r="CB245" s="14"/>
      <c r="CC245" s="14"/>
      <c r="CD245" s="14"/>
      <c r="CE245" s="14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</row>
    <row r="246">
      <c r="A246" s="217" t="s">
        <v>516</v>
      </c>
      <c r="B246" s="218" t="s">
        <v>18</v>
      </c>
      <c r="C246" s="218" t="s">
        <v>18</v>
      </c>
      <c r="D246" s="219" t="str">
        <f t="shared" si="1"/>
        <v>CASINO-1-1</v>
      </c>
      <c r="E246" s="83"/>
      <c r="F246" s="150"/>
      <c r="G246" s="85"/>
      <c r="H246" s="49"/>
      <c r="I246" s="86"/>
      <c r="J246" s="49"/>
      <c r="K246" s="27" t="str">
        <f t="shared" si="2"/>
        <v>DISPONIBLE</v>
      </c>
      <c r="L246" s="28">
        <f t="shared" si="10"/>
        <v>245</v>
      </c>
      <c r="M246" s="28" t="s">
        <v>23</v>
      </c>
      <c r="N246" s="70"/>
      <c r="O246" s="29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4"/>
      <c r="BF246" s="12"/>
      <c r="BG246" s="12"/>
      <c r="BH246" s="12" t="str">
        <f>IFERROR(__xludf.DUMMYFUNCTION("IFERROR(INDEX(QUERY(IMPORTRANGE(""1T7HG8KEs-Ob7f3M5atEVN9Yn7IeORGp0QGvggB62ELw"",""Maestro!A:I""),""SELECT Col8 WHERE Col3 = '""&amp;BE246&amp;""'"", 0), 1, 1),""NO ENCONTRADO"")"),"")</f>
        <v/>
      </c>
      <c r="BI246" s="12" t="str">
        <f>IFERROR(__xludf.DUMMYFUNCTION("IFERROR(INDEX(QUERY(IMPORTRANGE(""1T7HG8KEs-Ob7f3M5atEVN9Yn7IeORGp0QGvggB62ELw"",""Maestro!A:I""),""SELECT Col7 WHERE Col3 = '""&amp;BE246&amp;""'"", 0), 1, 1),""NO ENCONTRADO"")"),"")</f>
        <v/>
      </c>
      <c r="BJ246" s="16">
        <f t="shared" si="9"/>
        <v>0</v>
      </c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4"/>
      <c r="BX246" s="14"/>
      <c r="BY246" s="14"/>
      <c r="BZ246" s="14"/>
      <c r="CA246" s="14"/>
      <c r="CB246" s="14"/>
      <c r="CC246" s="14"/>
      <c r="CD246" s="14"/>
      <c r="CE246" s="14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</row>
    <row r="247">
      <c r="A247" s="217" t="s">
        <v>516</v>
      </c>
      <c r="B247" s="218" t="s">
        <v>18</v>
      </c>
      <c r="C247" s="218" t="s">
        <v>32</v>
      </c>
      <c r="D247" s="219" t="str">
        <f t="shared" si="1"/>
        <v>CASINO-1-2</v>
      </c>
      <c r="E247" s="83"/>
      <c r="F247" s="150"/>
      <c r="G247" s="85"/>
      <c r="H247" s="49"/>
      <c r="I247" s="86"/>
      <c r="J247" s="49"/>
      <c r="K247" s="32" t="str">
        <f t="shared" si="2"/>
        <v>DISPONIBLE</v>
      </c>
      <c r="L247" s="33">
        <f t="shared" si="10"/>
        <v>246</v>
      </c>
      <c r="M247" s="33" t="s">
        <v>23</v>
      </c>
      <c r="N247" s="53"/>
      <c r="O247" s="34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4"/>
      <c r="BF247" s="12"/>
      <c r="BG247" s="12"/>
      <c r="BH247" s="12" t="str">
        <f>IFERROR(__xludf.DUMMYFUNCTION("IFERROR(INDEX(QUERY(IMPORTRANGE(""1T7HG8KEs-Ob7f3M5atEVN9Yn7IeORGp0QGvggB62ELw"",""Maestro!A:I""),""SELECT Col8 WHERE Col3 = '""&amp;BE247&amp;""'"", 0), 1, 1),""NO ENCONTRADO"")"),"")</f>
        <v/>
      </c>
      <c r="BI247" s="12" t="str">
        <f>IFERROR(__xludf.DUMMYFUNCTION("IFERROR(INDEX(QUERY(IMPORTRANGE(""1T7HG8KEs-Ob7f3M5atEVN9Yn7IeORGp0QGvggB62ELw"",""Maestro!A:I""),""SELECT Col7 WHERE Col3 = '""&amp;BE247&amp;""'"", 0), 1, 1),""NO ENCONTRADO"")"),"")</f>
        <v/>
      </c>
      <c r="BJ247" s="16">
        <f t="shared" si="9"/>
        <v>0</v>
      </c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4"/>
      <c r="BX247" s="14"/>
      <c r="BY247" s="14"/>
      <c r="BZ247" s="14"/>
      <c r="CA247" s="14"/>
      <c r="CB247" s="14"/>
      <c r="CC247" s="14"/>
      <c r="CD247" s="14"/>
      <c r="CE247" s="14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</row>
    <row r="248">
      <c r="A248" s="217" t="s">
        <v>516</v>
      </c>
      <c r="B248" s="218" t="s">
        <v>18</v>
      </c>
      <c r="C248" s="218" t="s">
        <v>44</v>
      </c>
      <c r="D248" s="219" t="str">
        <f t="shared" si="1"/>
        <v>CASINO-1-3</v>
      </c>
      <c r="E248" s="83"/>
      <c r="F248" s="150"/>
      <c r="G248" s="85"/>
      <c r="H248" s="49"/>
      <c r="I248" s="86"/>
      <c r="J248" s="49"/>
      <c r="K248" s="27" t="str">
        <f t="shared" si="2"/>
        <v>DISPONIBLE</v>
      </c>
      <c r="L248" s="28">
        <f t="shared" si="10"/>
        <v>247</v>
      </c>
      <c r="M248" s="28" t="s">
        <v>23</v>
      </c>
      <c r="N248" s="70"/>
      <c r="O248" s="29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4"/>
      <c r="BF248" s="12"/>
      <c r="BG248" s="12"/>
      <c r="BH248" s="12" t="str">
        <f>IFERROR(__xludf.DUMMYFUNCTION("IFERROR(INDEX(QUERY(IMPORTRANGE(""1T7HG8KEs-Ob7f3M5atEVN9Yn7IeORGp0QGvggB62ELw"",""Maestro!A:I""),""SELECT Col8 WHERE Col3 = '""&amp;BE248&amp;""'"", 0), 1, 1),""NO ENCONTRADO"")"),"")</f>
        <v/>
      </c>
      <c r="BI248" s="12" t="str">
        <f>IFERROR(__xludf.DUMMYFUNCTION("IFERROR(INDEX(QUERY(IMPORTRANGE(""1T7HG8KEs-Ob7f3M5atEVN9Yn7IeORGp0QGvggB62ELw"",""Maestro!A:I""),""SELECT Col7 WHERE Col3 = '""&amp;BE248&amp;""'"", 0), 1, 1),""NO ENCONTRADO"")"),"")</f>
        <v/>
      </c>
      <c r="BJ248" s="16">
        <f t="shared" si="9"/>
        <v>0</v>
      </c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4"/>
      <c r="BX248" s="14"/>
      <c r="BY248" s="14"/>
      <c r="BZ248" s="14"/>
      <c r="CA248" s="14"/>
      <c r="CB248" s="14"/>
      <c r="CC248" s="14"/>
      <c r="CD248" s="14"/>
      <c r="CE248" s="14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</row>
    <row r="249">
      <c r="A249" s="217" t="s">
        <v>516</v>
      </c>
      <c r="B249" s="218" t="s">
        <v>18</v>
      </c>
      <c r="C249" s="218" t="s">
        <v>53</v>
      </c>
      <c r="D249" s="219" t="str">
        <f t="shared" si="1"/>
        <v>CASINO-1-4</v>
      </c>
      <c r="E249" s="83"/>
      <c r="F249" s="150"/>
      <c r="G249" s="85"/>
      <c r="H249" s="49"/>
      <c r="I249" s="86"/>
      <c r="J249" s="49"/>
      <c r="K249" s="32" t="str">
        <f t="shared" si="2"/>
        <v>DISPONIBLE</v>
      </c>
      <c r="L249" s="33">
        <f t="shared" si="10"/>
        <v>248</v>
      </c>
      <c r="M249" s="33" t="s">
        <v>23</v>
      </c>
      <c r="N249" s="53"/>
      <c r="O249" s="34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4"/>
      <c r="BF249" s="12"/>
      <c r="BG249" s="12"/>
      <c r="BH249" s="12" t="str">
        <f>IFERROR(__xludf.DUMMYFUNCTION("IFERROR(INDEX(QUERY(IMPORTRANGE(""1T7HG8KEs-Ob7f3M5atEVN9Yn7IeORGp0QGvggB62ELw"",""Maestro!A:I""),""SELECT Col8 WHERE Col3 = '""&amp;BE249&amp;""'"", 0), 1, 1),""NO ENCONTRADO"")"),"")</f>
        <v/>
      </c>
      <c r="BI249" s="12" t="str">
        <f>IFERROR(__xludf.DUMMYFUNCTION("IFERROR(INDEX(QUERY(IMPORTRANGE(""1T7HG8KEs-Ob7f3M5atEVN9Yn7IeORGp0QGvggB62ELw"",""Maestro!A:I""),""SELECT Col7 WHERE Col3 = '""&amp;BE249&amp;""'"", 0), 1, 1),""NO ENCONTRADO"")"),"")</f>
        <v/>
      </c>
      <c r="BJ249" s="16">
        <f t="shared" si="9"/>
        <v>0</v>
      </c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4"/>
      <c r="BX249" s="14"/>
      <c r="BY249" s="14"/>
      <c r="BZ249" s="14"/>
      <c r="CA249" s="14"/>
      <c r="CB249" s="14"/>
      <c r="CC249" s="14"/>
      <c r="CD249" s="14"/>
      <c r="CE249" s="14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</row>
    <row r="250">
      <c r="A250" s="217" t="s">
        <v>516</v>
      </c>
      <c r="B250" s="218" t="s">
        <v>18</v>
      </c>
      <c r="C250" s="218" t="s">
        <v>25</v>
      </c>
      <c r="D250" s="219" t="str">
        <f t="shared" si="1"/>
        <v>CASINO-1-5</v>
      </c>
      <c r="E250" s="83"/>
      <c r="F250" s="150"/>
      <c r="G250" s="85"/>
      <c r="H250" s="49"/>
      <c r="I250" s="86"/>
      <c r="J250" s="49"/>
      <c r="K250" s="27" t="str">
        <f t="shared" si="2"/>
        <v>DISPONIBLE</v>
      </c>
      <c r="L250" s="28">
        <f t="shared" si="10"/>
        <v>249</v>
      </c>
      <c r="M250" s="28" t="s">
        <v>23</v>
      </c>
      <c r="N250" s="70"/>
      <c r="O250" s="29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4"/>
      <c r="BF250" s="12"/>
      <c r="BG250" s="12"/>
      <c r="BH250" s="12" t="str">
        <f>IFERROR(__xludf.DUMMYFUNCTION("IFERROR(INDEX(QUERY(IMPORTRANGE(""1T7HG8KEs-Ob7f3M5atEVN9Yn7IeORGp0QGvggB62ELw"",""Maestro!A:I""),""SELECT Col8 WHERE Col3 = '""&amp;BE250&amp;""'"", 0), 1, 1),""NO ENCONTRADO"")"),"")</f>
        <v/>
      </c>
      <c r="BI250" s="12" t="str">
        <f>IFERROR(__xludf.DUMMYFUNCTION("IFERROR(INDEX(QUERY(IMPORTRANGE(""1T7HG8KEs-Ob7f3M5atEVN9Yn7IeORGp0QGvggB62ELw"",""Maestro!A:I""),""SELECT Col7 WHERE Col3 = '""&amp;BE250&amp;""'"", 0), 1, 1),""NO ENCONTRADO"")"),"")</f>
        <v/>
      </c>
      <c r="BJ250" s="16">
        <f t="shared" si="9"/>
        <v>0</v>
      </c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4"/>
      <c r="BX250" s="14"/>
      <c r="BY250" s="14"/>
      <c r="BZ250" s="14"/>
      <c r="CA250" s="14"/>
      <c r="CB250" s="14"/>
      <c r="CC250" s="14"/>
      <c r="CD250" s="14"/>
      <c r="CE250" s="14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</row>
    <row r="251">
      <c r="A251" s="217" t="s">
        <v>516</v>
      </c>
      <c r="B251" s="218" t="s">
        <v>18</v>
      </c>
      <c r="C251" s="218" t="s">
        <v>36</v>
      </c>
      <c r="D251" s="219" t="str">
        <f t="shared" si="1"/>
        <v>CASINO-1-6</v>
      </c>
      <c r="E251" s="83"/>
      <c r="F251" s="150"/>
      <c r="G251" s="85"/>
      <c r="H251" s="49"/>
      <c r="I251" s="86"/>
      <c r="J251" s="49"/>
      <c r="K251" s="32" t="str">
        <f t="shared" si="2"/>
        <v>DISPONIBLE</v>
      </c>
      <c r="L251" s="33">
        <f t="shared" si="10"/>
        <v>250</v>
      </c>
      <c r="M251" s="33" t="s">
        <v>23</v>
      </c>
      <c r="N251" s="53"/>
      <c r="O251" s="34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4"/>
      <c r="BF251" s="12"/>
      <c r="BG251" s="12"/>
      <c r="BH251" s="12" t="str">
        <f>IFERROR(__xludf.DUMMYFUNCTION("IFERROR(INDEX(QUERY(IMPORTRANGE(""1T7HG8KEs-Ob7f3M5atEVN9Yn7IeORGp0QGvggB62ELw"",""Maestro!A:I""),""SELECT Col8 WHERE Col3 = '""&amp;BE251&amp;""'"", 0), 1, 1),""NO ENCONTRADO"")"),"")</f>
        <v/>
      </c>
      <c r="BI251" s="12" t="str">
        <f>IFERROR(__xludf.DUMMYFUNCTION("IFERROR(INDEX(QUERY(IMPORTRANGE(""1T7HG8KEs-Ob7f3M5atEVN9Yn7IeORGp0QGvggB62ELw"",""Maestro!A:I""),""SELECT Col7 WHERE Col3 = '""&amp;BE251&amp;""'"", 0), 1, 1),""NO ENCONTRADO"")"),"")</f>
        <v/>
      </c>
      <c r="BJ251" s="16">
        <f t="shared" si="9"/>
        <v>0</v>
      </c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4"/>
      <c r="BX251" s="14"/>
      <c r="BY251" s="14"/>
      <c r="BZ251" s="14"/>
      <c r="CA251" s="14"/>
      <c r="CB251" s="14"/>
      <c r="CC251" s="14"/>
      <c r="CD251" s="14"/>
      <c r="CE251" s="14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</row>
    <row r="252">
      <c r="A252" s="217" t="s">
        <v>516</v>
      </c>
      <c r="B252" s="218" t="s">
        <v>18</v>
      </c>
      <c r="C252" s="218" t="s">
        <v>48</v>
      </c>
      <c r="D252" s="219" t="str">
        <f t="shared" si="1"/>
        <v>CASINO-1-7</v>
      </c>
      <c r="E252" s="35">
        <v>45733.0</v>
      </c>
      <c r="F252" s="36" t="s">
        <v>19</v>
      </c>
      <c r="G252" s="37" t="s">
        <v>749</v>
      </c>
      <c r="H252" s="38" t="s">
        <v>750</v>
      </c>
      <c r="I252" s="39">
        <v>325.0</v>
      </c>
      <c r="J252" s="38" t="s">
        <v>22</v>
      </c>
      <c r="K252" s="27" t="str">
        <f t="shared" si="2"/>
        <v>OCUPADO</v>
      </c>
      <c r="L252" s="28">
        <f t="shared" si="10"/>
        <v>251</v>
      </c>
      <c r="M252" s="28" t="s">
        <v>23</v>
      </c>
      <c r="N252" s="70"/>
      <c r="O252" s="29" t="s">
        <v>24</v>
      </c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4"/>
      <c r="BF252" s="12"/>
      <c r="BG252" s="12"/>
      <c r="BH252" s="12" t="str">
        <f>IFERROR(__xludf.DUMMYFUNCTION("IFERROR(INDEX(QUERY(IMPORTRANGE(""1T7HG8KEs-Ob7f3M5atEVN9Yn7IeORGp0QGvggB62ELw"",""Maestro!A:I""),""SELECT Col8 WHERE Col3 = '""&amp;BE252&amp;""'"", 0), 1, 1),""NO ENCONTRADO"")"),"")</f>
        <v/>
      </c>
      <c r="BI252" s="12" t="str">
        <f>IFERROR(__xludf.DUMMYFUNCTION("IFERROR(INDEX(QUERY(IMPORTRANGE(""1T7HG8KEs-Ob7f3M5atEVN9Yn7IeORGp0QGvggB62ELw"",""Maestro!A:I""),""SELECT Col7 WHERE Col3 = '""&amp;BE252&amp;""'"", 0), 1, 1),""NO ENCONTRADO"")"),"")</f>
        <v/>
      </c>
      <c r="BJ252" s="16">
        <f t="shared" si="9"/>
        <v>0</v>
      </c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4"/>
      <c r="BX252" s="14"/>
      <c r="BY252" s="14"/>
      <c r="BZ252" s="14"/>
      <c r="CA252" s="14"/>
      <c r="CB252" s="14"/>
      <c r="CC252" s="14"/>
      <c r="CD252" s="14"/>
      <c r="CE252" s="14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</row>
    <row r="253">
      <c r="A253" s="217" t="s">
        <v>516</v>
      </c>
      <c r="B253" s="218" t="s">
        <v>18</v>
      </c>
      <c r="C253" s="218" t="s">
        <v>465</v>
      </c>
      <c r="D253" s="219" t="str">
        <f t="shared" si="1"/>
        <v>CASINO-1-8</v>
      </c>
      <c r="E253" s="35">
        <v>45733.0</v>
      </c>
      <c r="F253" s="36" t="s">
        <v>19</v>
      </c>
      <c r="G253" s="37" t="s">
        <v>749</v>
      </c>
      <c r="H253" s="38" t="s">
        <v>750</v>
      </c>
      <c r="I253" s="39">
        <v>275.0</v>
      </c>
      <c r="J253" s="38" t="s">
        <v>22</v>
      </c>
      <c r="K253" s="32" t="str">
        <f t="shared" si="2"/>
        <v>OCUPADO</v>
      </c>
      <c r="L253" s="33">
        <f t="shared" si="10"/>
        <v>252</v>
      </c>
      <c r="M253" s="33" t="s">
        <v>23</v>
      </c>
      <c r="N253" s="53"/>
      <c r="O253" s="34" t="s">
        <v>24</v>
      </c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4"/>
      <c r="BF253" s="12"/>
      <c r="BG253" s="12"/>
      <c r="BH253" s="12" t="str">
        <f>IFERROR(__xludf.DUMMYFUNCTION("IFERROR(INDEX(QUERY(IMPORTRANGE(""1T7HG8KEs-Ob7f3M5atEVN9Yn7IeORGp0QGvggB62ELw"",""Maestro!A:I""),""SELECT Col8 WHERE Col3 = '""&amp;BE253&amp;""'"", 0), 1, 1),""NO ENCONTRADO"")"),"")</f>
        <v/>
      </c>
      <c r="BI253" s="12" t="str">
        <f>IFERROR(__xludf.DUMMYFUNCTION("IFERROR(INDEX(QUERY(IMPORTRANGE(""1T7HG8KEs-Ob7f3M5atEVN9Yn7IeORGp0QGvggB62ELw"",""Maestro!A:I""),""SELECT Col7 WHERE Col3 = '""&amp;BE253&amp;""'"", 0), 1, 1),""NO ENCONTRADO"")"),"")</f>
        <v/>
      </c>
      <c r="BJ253" s="16">
        <f t="shared" si="9"/>
        <v>0</v>
      </c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4"/>
      <c r="BX253" s="14"/>
      <c r="BY253" s="14"/>
      <c r="BZ253" s="14"/>
      <c r="CA253" s="14"/>
      <c r="CB253" s="14"/>
      <c r="CC253" s="14"/>
      <c r="CD253" s="14"/>
      <c r="CE253" s="14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</row>
    <row r="254">
      <c r="A254" s="217" t="s">
        <v>516</v>
      </c>
      <c r="B254" s="218" t="s">
        <v>18</v>
      </c>
      <c r="C254" s="218" t="s">
        <v>511</v>
      </c>
      <c r="D254" s="219" t="str">
        <f t="shared" si="1"/>
        <v>CASINO-1-9</v>
      </c>
      <c r="E254" s="35">
        <v>45733.0</v>
      </c>
      <c r="F254" s="36" t="s">
        <v>19</v>
      </c>
      <c r="G254" s="37" t="s">
        <v>749</v>
      </c>
      <c r="H254" s="38" t="s">
        <v>750</v>
      </c>
      <c r="I254" s="39">
        <v>325.0</v>
      </c>
      <c r="J254" s="38" t="s">
        <v>22</v>
      </c>
      <c r="K254" s="27" t="str">
        <f t="shared" si="2"/>
        <v>OCUPADO</v>
      </c>
      <c r="L254" s="28">
        <f t="shared" si="10"/>
        <v>253</v>
      </c>
      <c r="M254" s="28" t="s">
        <v>23</v>
      </c>
      <c r="N254" s="70"/>
      <c r="O254" s="29" t="s">
        <v>24</v>
      </c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4"/>
      <c r="BF254" s="12"/>
      <c r="BG254" s="12"/>
      <c r="BH254" s="12" t="str">
        <f>IFERROR(__xludf.DUMMYFUNCTION("IFERROR(INDEX(QUERY(IMPORTRANGE(""1T7HG8KEs-Ob7f3M5atEVN9Yn7IeORGp0QGvggB62ELw"",""Maestro!A:I""),""SELECT Col8 WHERE Col3 = '""&amp;BE254&amp;""'"", 0), 1, 1),""NO ENCONTRADO"")"),"")</f>
        <v/>
      </c>
      <c r="BI254" s="12" t="str">
        <f>IFERROR(__xludf.DUMMYFUNCTION("IFERROR(INDEX(QUERY(IMPORTRANGE(""1T7HG8KEs-Ob7f3M5atEVN9Yn7IeORGp0QGvggB62ELw"",""Maestro!A:I""),""SELECT Col7 WHERE Col3 = '""&amp;BE254&amp;""'"", 0), 1, 1),""NO ENCONTRADO"")"),"")</f>
        <v/>
      </c>
      <c r="BJ254" s="16">
        <f t="shared" si="9"/>
        <v>0</v>
      </c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4"/>
      <c r="BX254" s="14"/>
      <c r="BY254" s="14"/>
      <c r="BZ254" s="14"/>
      <c r="CA254" s="14"/>
      <c r="CB254" s="14"/>
      <c r="CC254" s="14"/>
      <c r="CD254" s="14"/>
      <c r="CE254" s="14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</row>
    <row r="255">
      <c r="A255" s="217" t="s">
        <v>516</v>
      </c>
      <c r="B255" s="218" t="s">
        <v>18</v>
      </c>
      <c r="C255" s="218" t="s">
        <v>296</v>
      </c>
      <c r="D255" s="219" t="str">
        <f t="shared" si="1"/>
        <v>CASINO-1-10</v>
      </c>
      <c r="E255" s="35">
        <v>45733.0</v>
      </c>
      <c r="F255" s="36" t="s">
        <v>19</v>
      </c>
      <c r="G255" s="37" t="s">
        <v>749</v>
      </c>
      <c r="H255" s="38" t="s">
        <v>750</v>
      </c>
      <c r="I255" s="39">
        <v>325.0</v>
      </c>
      <c r="J255" s="38" t="s">
        <v>22</v>
      </c>
      <c r="K255" s="32" t="str">
        <f t="shared" si="2"/>
        <v>OCUPADO</v>
      </c>
      <c r="L255" s="33">
        <f t="shared" si="10"/>
        <v>254</v>
      </c>
      <c r="M255" s="33" t="s">
        <v>23</v>
      </c>
      <c r="N255" s="53"/>
      <c r="O255" s="34" t="s">
        <v>24</v>
      </c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4"/>
      <c r="BF255" s="12"/>
      <c r="BG255" s="12"/>
      <c r="BH255" s="12" t="str">
        <f>IFERROR(__xludf.DUMMYFUNCTION("IFERROR(INDEX(QUERY(IMPORTRANGE(""1T7HG8KEs-Ob7f3M5atEVN9Yn7IeORGp0QGvggB62ELw"",""Maestro!A:I""),""SELECT Col8 WHERE Col3 = '""&amp;BE255&amp;""'"", 0), 1, 1),""NO ENCONTRADO"")"),"")</f>
        <v/>
      </c>
      <c r="BI255" s="12" t="str">
        <f>IFERROR(__xludf.DUMMYFUNCTION("IFERROR(INDEX(QUERY(IMPORTRANGE(""1T7HG8KEs-Ob7f3M5atEVN9Yn7IeORGp0QGvggB62ELw"",""Maestro!A:I""),""SELECT Col7 WHERE Col3 = '""&amp;BE255&amp;""'"", 0), 1, 1),""NO ENCONTRADO"")"),"")</f>
        <v/>
      </c>
      <c r="BJ255" s="16">
        <f t="shared" si="9"/>
        <v>0</v>
      </c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4"/>
      <c r="BX255" s="14"/>
      <c r="BY255" s="14"/>
      <c r="BZ255" s="14"/>
      <c r="CA255" s="14"/>
      <c r="CB255" s="14"/>
      <c r="CC255" s="14"/>
      <c r="CD255" s="14"/>
      <c r="CE255" s="14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</row>
    <row r="256">
      <c r="A256" s="220" t="s">
        <v>516</v>
      </c>
      <c r="B256" s="221" t="s">
        <v>18</v>
      </c>
      <c r="C256" s="221" t="s">
        <v>316</v>
      </c>
      <c r="D256" s="222" t="str">
        <f t="shared" si="1"/>
        <v>CASINO-1-11</v>
      </c>
      <c r="E256" s="57"/>
      <c r="F256" s="58"/>
      <c r="G256" s="59"/>
      <c r="H256" s="60"/>
      <c r="I256" s="61"/>
      <c r="J256" s="60"/>
      <c r="K256" s="63" t="str">
        <f t="shared" si="2"/>
        <v>DISPONIBLE</v>
      </c>
      <c r="L256" s="64">
        <f t="shared" si="10"/>
        <v>255</v>
      </c>
      <c r="M256" s="64" t="s">
        <v>23</v>
      </c>
      <c r="N256" s="65"/>
      <c r="O256" s="66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4"/>
      <c r="BF256" s="12"/>
      <c r="BG256" s="12"/>
      <c r="BH256" s="12" t="str">
        <f>IFERROR(__xludf.DUMMYFUNCTION("IFERROR(INDEX(QUERY(IMPORTRANGE(""1T7HG8KEs-Ob7f3M5atEVN9Yn7IeORGp0QGvggB62ELw"",""Maestro!A:I""),""SELECT Col8 WHERE Col3 = '""&amp;BE256&amp;""'"", 0), 1, 1),""NO ENCONTRADO"")"),"")</f>
        <v/>
      </c>
      <c r="BI256" s="12" t="str">
        <f>IFERROR(__xludf.DUMMYFUNCTION("IFERROR(INDEX(QUERY(IMPORTRANGE(""1T7HG8KEs-Ob7f3M5atEVN9Yn7IeORGp0QGvggB62ELw"",""Maestro!A:I""),""SELECT Col7 WHERE Col3 = '""&amp;BE256&amp;""'"", 0), 1, 1),""NO ENCONTRADO"")"),"")</f>
        <v/>
      </c>
      <c r="BJ256" s="16">
        <f t="shared" si="9"/>
        <v>0</v>
      </c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4"/>
      <c r="BX256" s="14"/>
      <c r="BY256" s="14"/>
      <c r="BZ256" s="14"/>
      <c r="CA256" s="14"/>
      <c r="CB256" s="14"/>
      <c r="CC256" s="14"/>
      <c r="CD256" s="14"/>
      <c r="CE256" s="14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</row>
    <row r="257">
      <c r="A257" s="223" t="s">
        <v>546</v>
      </c>
      <c r="B257" s="224" t="s">
        <v>18</v>
      </c>
      <c r="C257" s="224" t="s">
        <v>18</v>
      </c>
      <c r="D257" s="225" t="str">
        <f t="shared" si="1"/>
        <v>DEV-1-1</v>
      </c>
      <c r="E257" s="141"/>
      <c r="F257" s="137"/>
      <c r="G257" s="138"/>
      <c r="H257" s="138"/>
      <c r="I257" s="142"/>
      <c r="J257" s="138"/>
      <c r="K257" s="32" t="str">
        <f t="shared" si="2"/>
        <v>DISPONIBLE</v>
      </c>
      <c r="L257" s="33">
        <f t="shared" si="10"/>
        <v>256</v>
      </c>
      <c r="M257" s="229" t="s">
        <v>718</v>
      </c>
      <c r="N257" s="102"/>
      <c r="O257" s="230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4"/>
      <c r="BF257" s="12"/>
      <c r="BG257" s="12"/>
      <c r="BH257" s="12" t="str">
        <f>IFERROR(__xludf.DUMMYFUNCTION("IFERROR(INDEX(QUERY(IMPORTRANGE(""1T7HG8KEs-Ob7f3M5atEVN9Yn7IeORGp0QGvggB62ELw"",""Maestro!A:I""),""SELECT Col8 WHERE Col3 = '""&amp;BE257&amp;""'"", 0), 1, 1),""NO ENCONTRADO"")"),"")</f>
        <v/>
      </c>
      <c r="BI257" s="12" t="str">
        <f>IFERROR(__xludf.DUMMYFUNCTION("IFERROR(INDEX(QUERY(IMPORTRANGE(""1T7HG8KEs-Ob7f3M5atEVN9Yn7IeORGp0QGvggB62ELw"",""Maestro!A:I""),""SELECT Col7 WHERE Col3 = '""&amp;BE257&amp;""'"", 0), 1, 1),""NO ENCONTRADO"")"),"")</f>
        <v/>
      </c>
      <c r="BJ257" s="16">
        <f t="shared" si="9"/>
        <v>0</v>
      </c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4"/>
      <c r="BX257" s="14"/>
      <c r="BY257" s="14"/>
      <c r="BZ257" s="14"/>
      <c r="CA257" s="14"/>
      <c r="CB257" s="14"/>
      <c r="CC257" s="14"/>
      <c r="CD257" s="14"/>
      <c r="CE257" s="14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</row>
    <row r="258">
      <c r="A258" s="223" t="s">
        <v>546</v>
      </c>
      <c r="B258" s="224" t="s">
        <v>18</v>
      </c>
      <c r="C258" s="224" t="s">
        <v>32</v>
      </c>
      <c r="D258" s="225" t="str">
        <f t="shared" si="1"/>
        <v>DEV-1-2</v>
      </c>
      <c r="E258" s="141"/>
      <c r="F258" s="137"/>
      <c r="G258" s="138"/>
      <c r="H258" s="138"/>
      <c r="I258" s="142"/>
      <c r="J258" s="138"/>
      <c r="K258" s="27" t="str">
        <f t="shared" si="2"/>
        <v>DISPONIBLE</v>
      </c>
      <c r="L258" s="28">
        <f t="shared" si="10"/>
        <v>257</v>
      </c>
      <c r="M258" s="226" t="s">
        <v>718</v>
      </c>
      <c r="N258" s="227"/>
      <c r="O258" s="228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4"/>
      <c r="BF258" s="12"/>
      <c r="BG258" s="12"/>
      <c r="BH258" s="12" t="str">
        <f>IFERROR(__xludf.DUMMYFUNCTION("IFERROR(INDEX(QUERY(IMPORTRANGE(""1T7HG8KEs-Ob7f3M5atEVN9Yn7IeORGp0QGvggB62ELw"",""Maestro!A:I""),""SELECT Col8 WHERE Col3 = '""&amp;BE258&amp;""'"", 0), 1, 1),""NO ENCONTRADO"")"),"")</f>
        <v/>
      </c>
      <c r="BI258" s="12" t="str">
        <f>IFERROR(__xludf.DUMMYFUNCTION("IFERROR(INDEX(QUERY(IMPORTRANGE(""1T7HG8KEs-Ob7f3M5atEVN9Yn7IeORGp0QGvggB62ELw"",""Maestro!A:I""),""SELECT Col7 WHERE Col3 = '""&amp;BE258&amp;""'"", 0), 1, 1),""NO ENCONTRADO"")"),"")</f>
        <v/>
      </c>
      <c r="BJ258" s="16">
        <f t="shared" si="9"/>
        <v>0</v>
      </c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4"/>
      <c r="BX258" s="14"/>
      <c r="BY258" s="14"/>
      <c r="BZ258" s="14"/>
      <c r="CA258" s="14"/>
      <c r="CB258" s="14"/>
      <c r="CC258" s="14"/>
      <c r="CD258" s="14"/>
      <c r="CE258" s="14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</row>
    <row r="259">
      <c r="A259" s="223" t="s">
        <v>546</v>
      </c>
      <c r="B259" s="224" t="s">
        <v>18</v>
      </c>
      <c r="C259" s="224" t="s">
        <v>44</v>
      </c>
      <c r="D259" s="225" t="str">
        <f t="shared" si="1"/>
        <v>DEV-1-3</v>
      </c>
      <c r="E259" s="72"/>
      <c r="F259" s="77"/>
      <c r="G259" s="74"/>
      <c r="H259" s="75"/>
      <c r="I259" s="76"/>
      <c r="J259" s="75"/>
      <c r="K259" s="32" t="str">
        <f t="shared" si="2"/>
        <v>DISPONIBLE</v>
      </c>
      <c r="L259" s="33">
        <f t="shared" si="10"/>
        <v>258</v>
      </c>
      <c r="M259" s="229" t="s">
        <v>718</v>
      </c>
      <c r="N259" s="102"/>
      <c r="O259" s="230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4"/>
      <c r="BF259" s="12"/>
      <c r="BG259" s="12"/>
      <c r="BH259" s="12" t="str">
        <f>IFERROR(__xludf.DUMMYFUNCTION("IFERROR(INDEX(QUERY(IMPORTRANGE(""1T7HG8KEs-Ob7f3M5atEVN9Yn7IeORGp0QGvggB62ELw"",""Maestro!A:I""),""SELECT Col8 WHERE Col3 = '""&amp;BE259&amp;""'"", 0), 1, 1),""NO ENCONTRADO"")"),"")</f>
        <v/>
      </c>
      <c r="BI259" s="12" t="str">
        <f>IFERROR(__xludf.DUMMYFUNCTION("IFERROR(INDEX(QUERY(IMPORTRANGE(""1T7HG8KEs-Ob7f3M5atEVN9Yn7IeORGp0QGvggB62ELw"",""Maestro!A:I""),""SELECT Col7 WHERE Col3 = '""&amp;BE259&amp;""'"", 0), 1, 1),""NO ENCONTRADO"")"),"")</f>
        <v/>
      </c>
      <c r="BJ259" s="16">
        <f t="shared" si="9"/>
        <v>0</v>
      </c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4"/>
      <c r="BX259" s="14"/>
      <c r="BY259" s="14"/>
      <c r="BZ259" s="14"/>
      <c r="CA259" s="14"/>
      <c r="CB259" s="14"/>
      <c r="CC259" s="14"/>
      <c r="CD259" s="14"/>
      <c r="CE259" s="14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</row>
    <row r="260">
      <c r="A260" s="223" t="s">
        <v>546</v>
      </c>
      <c r="B260" s="224" t="s">
        <v>18</v>
      </c>
      <c r="C260" s="224" t="s">
        <v>53</v>
      </c>
      <c r="D260" s="225" t="str">
        <f t="shared" si="1"/>
        <v>DEV-1-4</v>
      </c>
      <c r="E260" s="72"/>
      <c r="F260" s="77"/>
      <c r="G260" s="74"/>
      <c r="H260" s="75"/>
      <c r="I260" s="76"/>
      <c r="J260" s="75"/>
      <c r="K260" s="27" t="str">
        <f t="shared" si="2"/>
        <v>DISPONIBLE</v>
      </c>
      <c r="L260" s="28">
        <f t="shared" si="10"/>
        <v>259</v>
      </c>
      <c r="M260" s="226" t="s">
        <v>718</v>
      </c>
      <c r="N260" s="227"/>
      <c r="O260" s="228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4"/>
      <c r="BF260" s="12"/>
      <c r="BG260" s="12"/>
      <c r="BH260" s="12" t="str">
        <f>IFERROR(__xludf.DUMMYFUNCTION("IFERROR(INDEX(QUERY(IMPORTRANGE(""1T7HG8KEs-Ob7f3M5atEVN9Yn7IeORGp0QGvggB62ELw"",""Maestro!A:I""),""SELECT Col8 WHERE Col3 = '""&amp;BE260&amp;""'"", 0), 1, 1),""NO ENCONTRADO"")"),"")</f>
        <v/>
      </c>
      <c r="BI260" s="12" t="str">
        <f>IFERROR(__xludf.DUMMYFUNCTION("IFERROR(INDEX(QUERY(IMPORTRANGE(""1T7HG8KEs-Ob7f3M5atEVN9Yn7IeORGp0QGvggB62ELw"",""Maestro!A:I""),""SELECT Col7 WHERE Col3 = '""&amp;BE260&amp;""'"", 0), 1, 1),""NO ENCONTRADO"")"),"")</f>
        <v/>
      </c>
      <c r="BJ260" s="16">
        <f t="shared" si="9"/>
        <v>0</v>
      </c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4"/>
      <c r="BX260" s="14"/>
      <c r="BY260" s="14"/>
      <c r="BZ260" s="14"/>
      <c r="CA260" s="14"/>
      <c r="CB260" s="14"/>
      <c r="CC260" s="14"/>
      <c r="CD260" s="14"/>
      <c r="CE260" s="14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</row>
    <row r="261">
      <c r="A261" s="223" t="s">
        <v>546</v>
      </c>
      <c r="B261" s="224" t="s">
        <v>18</v>
      </c>
      <c r="C261" s="224" t="s">
        <v>25</v>
      </c>
      <c r="D261" s="225" t="str">
        <f t="shared" si="1"/>
        <v>DEV-1-5</v>
      </c>
      <c r="E261" s="83"/>
      <c r="F261" s="150"/>
      <c r="G261" s="85"/>
      <c r="H261" s="49"/>
      <c r="I261" s="86"/>
      <c r="J261" s="49"/>
      <c r="K261" s="32" t="str">
        <f t="shared" si="2"/>
        <v>DISPONIBLE</v>
      </c>
      <c r="L261" s="33">
        <f t="shared" si="10"/>
        <v>260</v>
      </c>
      <c r="M261" s="229" t="s">
        <v>718</v>
      </c>
      <c r="N261" s="102"/>
      <c r="O261" s="34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4"/>
      <c r="BF261" s="12"/>
      <c r="BG261" s="12"/>
      <c r="BH261" s="12" t="str">
        <f>IFERROR(__xludf.DUMMYFUNCTION("IFERROR(INDEX(QUERY(IMPORTRANGE(""1T7HG8KEs-Ob7f3M5atEVN9Yn7IeORGp0QGvggB62ELw"",""Maestro!A:I""),""SELECT Col8 WHERE Col3 = '""&amp;BE261&amp;""'"", 0), 1, 1),""NO ENCONTRADO"")"),"")</f>
        <v/>
      </c>
      <c r="BI261" s="12" t="str">
        <f>IFERROR(__xludf.DUMMYFUNCTION("IFERROR(INDEX(QUERY(IMPORTRANGE(""1T7HG8KEs-Ob7f3M5atEVN9Yn7IeORGp0QGvggB62ELw"",""Maestro!A:I""),""SELECT Col7 WHERE Col3 = '""&amp;BE261&amp;""'"", 0), 1, 1),""NO ENCONTRADO"")"),"")</f>
        <v/>
      </c>
      <c r="BJ261" s="16">
        <f t="shared" si="9"/>
        <v>0</v>
      </c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4"/>
      <c r="BX261" s="14"/>
      <c r="BY261" s="14"/>
      <c r="BZ261" s="14"/>
      <c r="CA261" s="14"/>
      <c r="CB261" s="14"/>
      <c r="CC261" s="14"/>
      <c r="CD261" s="14"/>
      <c r="CE261" s="14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</row>
    <row r="262">
      <c r="A262" s="223" t="s">
        <v>546</v>
      </c>
      <c r="B262" s="224" t="s">
        <v>18</v>
      </c>
      <c r="C262" s="224" t="s">
        <v>36</v>
      </c>
      <c r="D262" s="225" t="str">
        <f t="shared" si="1"/>
        <v>DEV-1-6</v>
      </c>
      <c r="E262" s="72"/>
      <c r="F262" s="77"/>
      <c r="G262" s="74"/>
      <c r="H262" s="75"/>
      <c r="I262" s="76"/>
      <c r="J262" s="75"/>
      <c r="K262" s="27" t="str">
        <f t="shared" si="2"/>
        <v>DISPONIBLE</v>
      </c>
      <c r="L262" s="28">
        <f t="shared" si="10"/>
        <v>261</v>
      </c>
      <c r="M262" s="226" t="s">
        <v>718</v>
      </c>
      <c r="N262" s="227"/>
      <c r="O262" s="228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4"/>
      <c r="BF262" s="12"/>
      <c r="BG262" s="12"/>
      <c r="BH262" s="12" t="str">
        <f>IFERROR(__xludf.DUMMYFUNCTION("IFERROR(INDEX(QUERY(IMPORTRANGE(""1T7HG8KEs-Ob7f3M5atEVN9Yn7IeORGp0QGvggB62ELw"",""Maestro!A:I""),""SELECT Col8 WHERE Col3 = '""&amp;BE262&amp;""'"", 0), 1, 1),""NO ENCONTRADO"")"),"")</f>
        <v/>
      </c>
      <c r="BI262" s="12" t="str">
        <f>IFERROR(__xludf.DUMMYFUNCTION("IFERROR(INDEX(QUERY(IMPORTRANGE(""1T7HG8KEs-Ob7f3M5atEVN9Yn7IeORGp0QGvggB62ELw"",""Maestro!A:I""),""SELECT Col7 WHERE Col3 = '""&amp;BE262&amp;""'"", 0), 1, 1),""NO ENCONTRADO"")"),"")</f>
        <v/>
      </c>
      <c r="BJ262" s="16">
        <f t="shared" si="9"/>
        <v>0</v>
      </c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4"/>
      <c r="BX262" s="14"/>
      <c r="BY262" s="14"/>
      <c r="BZ262" s="14"/>
      <c r="CA262" s="14"/>
      <c r="CB262" s="14"/>
      <c r="CC262" s="14"/>
      <c r="CD262" s="14"/>
      <c r="CE262" s="14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</row>
    <row r="263">
      <c r="A263" s="223" t="s">
        <v>546</v>
      </c>
      <c r="B263" s="224" t="s">
        <v>18</v>
      </c>
      <c r="C263" s="224" t="s">
        <v>48</v>
      </c>
      <c r="D263" s="225" t="str">
        <f t="shared" si="1"/>
        <v>DEV-1-7</v>
      </c>
      <c r="E263" s="72"/>
      <c r="F263" s="77"/>
      <c r="G263" s="74"/>
      <c r="H263" s="75"/>
      <c r="I263" s="76"/>
      <c r="J263" s="75"/>
      <c r="K263" s="32" t="str">
        <f t="shared" si="2"/>
        <v>DISPONIBLE</v>
      </c>
      <c r="L263" s="33">
        <f t="shared" si="10"/>
        <v>262</v>
      </c>
      <c r="M263" s="229" t="s">
        <v>718</v>
      </c>
      <c r="N263" s="102"/>
      <c r="O263" s="230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4"/>
      <c r="BF263" s="12"/>
      <c r="BG263" s="12"/>
      <c r="BH263" s="12" t="str">
        <f>IFERROR(__xludf.DUMMYFUNCTION("IFERROR(INDEX(QUERY(IMPORTRANGE(""1T7HG8KEs-Ob7f3M5atEVN9Yn7IeORGp0QGvggB62ELw"",""Maestro!A:I""),""SELECT Col8 WHERE Col3 = '""&amp;BE263&amp;""'"", 0), 1, 1),""NO ENCONTRADO"")"),"")</f>
        <v/>
      </c>
      <c r="BI263" s="12" t="str">
        <f>IFERROR(__xludf.DUMMYFUNCTION("IFERROR(INDEX(QUERY(IMPORTRANGE(""1T7HG8KEs-Ob7f3M5atEVN9Yn7IeORGp0QGvggB62ELw"",""Maestro!A:I""),""SELECT Col7 WHERE Col3 = '""&amp;BE263&amp;""'"", 0), 1, 1),""NO ENCONTRADO"")"),"")</f>
        <v/>
      </c>
      <c r="BJ263" s="16">
        <f t="shared" si="9"/>
        <v>0</v>
      </c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4"/>
      <c r="BX263" s="14"/>
      <c r="BY263" s="14"/>
      <c r="BZ263" s="14"/>
      <c r="CA263" s="14"/>
      <c r="CB263" s="14"/>
      <c r="CC263" s="14"/>
      <c r="CD263" s="14"/>
      <c r="CE263" s="14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</row>
    <row r="264">
      <c r="A264" s="223" t="s">
        <v>546</v>
      </c>
      <c r="B264" s="224" t="s">
        <v>18</v>
      </c>
      <c r="C264" s="224" t="s">
        <v>465</v>
      </c>
      <c r="D264" s="225" t="str">
        <f t="shared" si="1"/>
        <v>DEV-1-8</v>
      </c>
      <c r="E264" s="72"/>
      <c r="F264" s="77"/>
      <c r="G264" s="74"/>
      <c r="H264" s="138"/>
      <c r="I264" s="142"/>
      <c r="J264" s="75"/>
      <c r="K264" s="27" t="str">
        <f t="shared" si="2"/>
        <v>DISPONIBLE</v>
      </c>
      <c r="L264" s="28">
        <f t="shared" si="10"/>
        <v>263</v>
      </c>
      <c r="M264" s="226" t="s">
        <v>718</v>
      </c>
      <c r="N264" s="227"/>
      <c r="O264" s="228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4"/>
      <c r="BF264" s="12"/>
      <c r="BG264" s="12"/>
      <c r="BH264" s="12" t="str">
        <f>IFERROR(__xludf.DUMMYFUNCTION("IFERROR(INDEX(QUERY(IMPORTRANGE(""1T7HG8KEs-Ob7f3M5atEVN9Yn7IeORGp0QGvggB62ELw"",""Maestro!A:I""),""SELECT Col8 WHERE Col3 = '""&amp;BE264&amp;""'"", 0), 1, 1),""NO ENCONTRADO"")"),"")</f>
        <v/>
      </c>
      <c r="BI264" s="12" t="str">
        <f>IFERROR(__xludf.DUMMYFUNCTION("IFERROR(INDEX(QUERY(IMPORTRANGE(""1T7HG8KEs-Ob7f3M5atEVN9Yn7IeORGp0QGvggB62ELw"",""Maestro!A:I""),""SELECT Col7 WHERE Col3 = '""&amp;BE264&amp;""'"", 0), 1, 1),""NO ENCONTRADO"")"),"")</f>
        <v/>
      </c>
      <c r="BJ264" s="16">
        <f t="shared" si="9"/>
        <v>0</v>
      </c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4"/>
      <c r="BX264" s="14"/>
      <c r="BY264" s="14"/>
      <c r="BZ264" s="14"/>
      <c r="CA264" s="14"/>
      <c r="CB264" s="14"/>
      <c r="CC264" s="14"/>
      <c r="CD264" s="14"/>
      <c r="CE264" s="14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</row>
    <row r="265">
      <c r="A265" s="231" t="s">
        <v>546</v>
      </c>
      <c r="B265" s="232" t="s">
        <v>18</v>
      </c>
      <c r="C265" s="232" t="s">
        <v>511</v>
      </c>
      <c r="D265" s="233" t="str">
        <f t="shared" si="1"/>
        <v>DEV-1-9</v>
      </c>
      <c r="E265" s="234"/>
      <c r="F265" s="235"/>
      <c r="G265" s="236"/>
      <c r="H265" s="237"/>
      <c r="I265" s="238"/>
      <c r="J265" s="239"/>
      <c r="K265" s="154" t="str">
        <f t="shared" si="2"/>
        <v>DISPONIBLE</v>
      </c>
      <c r="L265" s="155">
        <f t="shared" si="10"/>
        <v>264</v>
      </c>
      <c r="M265" s="322" t="s">
        <v>718</v>
      </c>
      <c r="N265" s="156"/>
      <c r="O265" s="157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4"/>
      <c r="BF265" s="12"/>
      <c r="BG265" s="12"/>
      <c r="BH265" s="12" t="str">
        <f>IFERROR(__xludf.DUMMYFUNCTION("IFERROR(INDEX(QUERY(IMPORTRANGE(""1T7HG8KEs-Ob7f3M5atEVN9Yn7IeORGp0QGvggB62ELw"",""Maestro!A:I""),""SELECT Col8 WHERE Col3 = '""&amp;BE265&amp;""'"", 0), 1, 1),""NO ENCONTRADO"")"),"")</f>
        <v/>
      </c>
      <c r="BI265" s="12" t="str">
        <f>IFERROR(__xludf.DUMMYFUNCTION("IFERROR(INDEX(QUERY(IMPORTRANGE(""1T7HG8KEs-Ob7f3M5atEVN9Yn7IeORGp0QGvggB62ELw"",""Maestro!A:I""),""SELECT Col7 WHERE Col3 = '""&amp;BE265&amp;""'"", 0), 1, 1),""NO ENCONTRADO"")"),"")</f>
        <v/>
      </c>
      <c r="BJ265" s="16">
        <f t="shared" si="9"/>
        <v>0</v>
      </c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4"/>
      <c r="BX265" s="14"/>
      <c r="BY265" s="14"/>
      <c r="BZ265" s="14"/>
      <c r="CA265" s="14"/>
      <c r="CB265" s="14"/>
      <c r="CC265" s="14"/>
      <c r="CD265" s="14"/>
      <c r="CE265" s="14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</row>
    <row r="266">
      <c r="A266" s="241" t="s">
        <v>558</v>
      </c>
      <c r="B266" s="242" t="s">
        <v>18</v>
      </c>
      <c r="C266" s="242" t="s">
        <v>18</v>
      </c>
      <c r="D266" s="243" t="str">
        <f t="shared" si="1"/>
        <v>PATIO-1-1</v>
      </c>
      <c r="E266" s="40"/>
      <c r="F266" s="323"/>
      <c r="G266" s="244"/>
      <c r="H266" s="42"/>
      <c r="I266" s="43"/>
      <c r="J266" s="42"/>
      <c r="K266" s="27" t="str">
        <f t="shared" si="2"/>
        <v>DISPONIBLE</v>
      </c>
      <c r="L266" s="28">
        <f t="shared" si="10"/>
        <v>265</v>
      </c>
      <c r="M266" s="28" t="s">
        <v>23</v>
      </c>
      <c r="N266" s="28"/>
      <c r="O266" s="29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4"/>
      <c r="BF266" s="12"/>
      <c r="BG266" s="12"/>
      <c r="BH266" s="12" t="str">
        <f>IFERROR(__xludf.DUMMYFUNCTION("IFERROR(INDEX(QUERY(IMPORTRANGE(""1T7HG8KEs-Ob7f3M5atEVN9Yn7IeORGp0QGvggB62ELw"",""Maestro!A:I""),""SELECT Col8 WHERE Col3 = '""&amp;BE266&amp;""'"", 0), 1, 1),""NO ENCONTRADO"")"),"")</f>
        <v/>
      </c>
      <c r="BI266" s="12" t="str">
        <f>IFERROR(__xludf.DUMMYFUNCTION("IFERROR(INDEX(QUERY(IMPORTRANGE(""1T7HG8KEs-Ob7f3M5atEVN9Yn7IeORGp0QGvggB62ELw"",""Maestro!A:I""),""SELECT Col7 WHERE Col3 = '""&amp;BE266&amp;""'"", 0), 1, 1),""NO ENCONTRADO"")"),"")</f>
        <v/>
      </c>
      <c r="BJ266" s="16">
        <f t="shared" si="9"/>
        <v>0</v>
      </c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4"/>
      <c r="BX266" s="14"/>
      <c r="BY266" s="14"/>
      <c r="BZ266" s="14"/>
      <c r="CA266" s="14"/>
      <c r="CB266" s="14"/>
      <c r="CC266" s="14"/>
      <c r="CD266" s="14"/>
      <c r="CE266" s="14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</row>
    <row r="267">
      <c r="A267" s="241" t="s">
        <v>558</v>
      </c>
      <c r="B267" s="242" t="s">
        <v>18</v>
      </c>
      <c r="C267" s="242" t="s">
        <v>32</v>
      </c>
      <c r="D267" s="243" t="str">
        <f t="shared" si="1"/>
        <v>PATIO-1-2</v>
      </c>
      <c r="E267" s="40">
        <v>45763.0</v>
      </c>
      <c r="F267" s="41" t="s">
        <v>778</v>
      </c>
      <c r="G267" s="244" t="s">
        <v>221</v>
      </c>
      <c r="H267" s="42" t="s">
        <v>222</v>
      </c>
      <c r="I267" s="43">
        <v>5.0</v>
      </c>
      <c r="J267" s="42" t="s">
        <v>22</v>
      </c>
      <c r="K267" s="32" t="str">
        <f t="shared" si="2"/>
        <v>OCUPADO</v>
      </c>
      <c r="L267" s="33">
        <f t="shared" si="10"/>
        <v>266</v>
      </c>
      <c r="M267" s="33" t="s">
        <v>23</v>
      </c>
      <c r="N267" s="33"/>
      <c r="O267" s="34" t="s">
        <v>24</v>
      </c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4"/>
      <c r="BF267" s="12"/>
      <c r="BG267" s="12"/>
      <c r="BH267" s="12" t="str">
        <f>IFERROR(__xludf.DUMMYFUNCTION("IFERROR(INDEX(QUERY(IMPORTRANGE(""1T7HG8KEs-Ob7f3M5atEVN9Yn7IeORGp0QGvggB62ELw"",""Maestro!A:I""),""SELECT Col8 WHERE Col3 = '""&amp;BE267&amp;""'"", 0), 1, 1),""NO ENCONTRADO"")"),"")</f>
        <v/>
      </c>
      <c r="BI267" s="12" t="str">
        <f>IFERROR(__xludf.DUMMYFUNCTION("IFERROR(INDEX(QUERY(IMPORTRANGE(""1T7HG8KEs-Ob7f3M5atEVN9Yn7IeORGp0QGvggB62ELw"",""Maestro!A:I""),""SELECT Col7 WHERE Col3 = '""&amp;BE267&amp;""'"", 0), 1, 1),""NO ENCONTRADO"")"),"")</f>
        <v/>
      </c>
      <c r="BJ267" s="16">
        <f t="shared" si="9"/>
        <v>0</v>
      </c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4"/>
      <c r="BX267" s="14"/>
      <c r="BY267" s="14"/>
      <c r="BZ267" s="14"/>
      <c r="CA267" s="14"/>
      <c r="CB267" s="14"/>
      <c r="CC267" s="14"/>
      <c r="CD267" s="14"/>
      <c r="CE267" s="14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</row>
    <row r="268">
      <c r="A268" s="241" t="s">
        <v>558</v>
      </c>
      <c r="B268" s="242" t="s">
        <v>18</v>
      </c>
      <c r="C268" s="242" t="s">
        <v>44</v>
      </c>
      <c r="D268" s="243" t="str">
        <f t="shared" si="1"/>
        <v>PATIO-1-3</v>
      </c>
      <c r="E268" s="78">
        <v>45763.0</v>
      </c>
      <c r="F268" s="88" t="s">
        <v>778</v>
      </c>
      <c r="G268" s="80" t="s">
        <v>221</v>
      </c>
      <c r="H268" s="81" t="s">
        <v>222</v>
      </c>
      <c r="I268" s="82">
        <v>150.0</v>
      </c>
      <c r="J268" s="81" t="s">
        <v>22</v>
      </c>
      <c r="K268" s="27" t="str">
        <f t="shared" si="2"/>
        <v>OCUPADO</v>
      </c>
      <c r="L268" s="28">
        <f t="shared" si="10"/>
        <v>267</v>
      </c>
      <c r="M268" s="28" t="s">
        <v>23</v>
      </c>
      <c r="N268" s="70"/>
      <c r="O268" s="29" t="s">
        <v>24</v>
      </c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4"/>
      <c r="BF268" s="12"/>
      <c r="BG268" s="12"/>
      <c r="BH268" s="12" t="str">
        <f>IFERROR(__xludf.DUMMYFUNCTION("IFERROR(INDEX(QUERY(IMPORTRANGE(""1T7HG8KEs-Ob7f3M5atEVN9Yn7IeORGp0QGvggB62ELw"",""Maestro!A:I""),""SELECT Col8 WHERE Col3 = '""&amp;BE268&amp;""'"", 0), 1, 1),""NO ENCONTRADO"")"),"")</f>
        <v/>
      </c>
      <c r="BI268" s="12" t="str">
        <f>IFERROR(__xludf.DUMMYFUNCTION("IFERROR(INDEX(QUERY(IMPORTRANGE(""1T7HG8KEs-Ob7f3M5atEVN9Yn7IeORGp0QGvggB62ELw"",""Maestro!A:I""),""SELECT Col7 WHERE Col3 = '""&amp;BE268&amp;""'"", 0), 1, 1),""NO ENCONTRADO"")"),"")</f>
        <v/>
      </c>
      <c r="BJ268" s="16">
        <f t="shared" si="9"/>
        <v>0</v>
      </c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4"/>
      <c r="BX268" s="14"/>
      <c r="BY268" s="14"/>
      <c r="BZ268" s="14"/>
      <c r="CA268" s="14"/>
      <c r="CB268" s="14"/>
      <c r="CC268" s="14"/>
      <c r="CD268" s="14"/>
      <c r="CE268" s="14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</row>
    <row r="269">
      <c r="A269" s="241" t="s">
        <v>558</v>
      </c>
      <c r="B269" s="242" t="s">
        <v>18</v>
      </c>
      <c r="C269" s="242" t="s">
        <v>53</v>
      </c>
      <c r="D269" s="243" t="str">
        <f t="shared" si="1"/>
        <v>PATIO-1-4</v>
      </c>
      <c r="E269" s="78">
        <v>45763.0</v>
      </c>
      <c r="F269" s="88" t="s">
        <v>778</v>
      </c>
      <c r="G269" s="80" t="s">
        <v>221</v>
      </c>
      <c r="H269" s="81" t="s">
        <v>222</v>
      </c>
      <c r="I269" s="82">
        <v>150.0</v>
      </c>
      <c r="J269" s="81" t="s">
        <v>22</v>
      </c>
      <c r="K269" s="32" t="str">
        <f t="shared" si="2"/>
        <v>OCUPADO</v>
      </c>
      <c r="L269" s="33">
        <f t="shared" si="10"/>
        <v>268</v>
      </c>
      <c r="M269" s="33" t="s">
        <v>23</v>
      </c>
      <c r="N269" s="53"/>
      <c r="O269" s="34" t="s">
        <v>24</v>
      </c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4"/>
      <c r="BF269" s="12"/>
      <c r="BG269" s="12"/>
      <c r="BH269" s="12" t="str">
        <f>IFERROR(__xludf.DUMMYFUNCTION("IFERROR(INDEX(QUERY(IMPORTRANGE(""1T7HG8KEs-Ob7f3M5atEVN9Yn7IeORGp0QGvggB62ELw"",""Maestro!A:I""),""SELECT Col8 WHERE Col3 = '""&amp;BE269&amp;""'"", 0), 1, 1),""NO ENCONTRADO"")"),"")</f>
        <v/>
      </c>
      <c r="BI269" s="12" t="str">
        <f>IFERROR(__xludf.DUMMYFUNCTION("IFERROR(INDEX(QUERY(IMPORTRANGE(""1T7HG8KEs-Ob7f3M5atEVN9Yn7IeORGp0QGvggB62ELw"",""Maestro!A:I""),""SELECT Col7 WHERE Col3 = '""&amp;BE269&amp;""'"", 0), 1, 1),""NO ENCONTRADO"")"),"")</f>
        <v/>
      </c>
      <c r="BJ269" s="16">
        <f t="shared" si="9"/>
        <v>0</v>
      </c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4"/>
      <c r="BX269" s="14"/>
      <c r="BY269" s="14"/>
      <c r="BZ269" s="14"/>
      <c r="CA269" s="14"/>
      <c r="CB269" s="14"/>
      <c r="CC269" s="14"/>
      <c r="CD269" s="14"/>
      <c r="CE269" s="14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</row>
    <row r="270">
      <c r="A270" s="241" t="s">
        <v>558</v>
      </c>
      <c r="B270" s="242" t="s">
        <v>18</v>
      </c>
      <c r="C270" s="242" t="s">
        <v>25</v>
      </c>
      <c r="D270" s="243" t="str">
        <f t="shared" si="1"/>
        <v>PATIO-1-5</v>
      </c>
      <c r="E270" s="78">
        <v>45763.0</v>
      </c>
      <c r="F270" s="88" t="s">
        <v>778</v>
      </c>
      <c r="G270" s="80" t="s">
        <v>221</v>
      </c>
      <c r="H270" s="81" t="s">
        <v>222</v>
      </c>
      <c r="I270" s="82">
        <v>150.0</v>
      </c>
      <c r="J270" s="81" t="s">
        <v>22</v>
      </c>
      <c r="K270" s="27" t="str">
        <f t="shared" si="2"/>
        <v>OCUPADO</v>
      </c>
      <c r="L270" s="28">
        <f t="shared" si="10"/>
        <v>269</v>
      </c>
      <c r="M270" s="28" t="s">
        <v>23</v>
      </c>
      <c r="N270" s="70"/>
      <c r="O270" s="29" t="s">
        <v>24</v>
      </c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4"/>
      <c r="BF270" s="12"/>
      <c r="BG270" s="12"/>
      <c r="BH270" s="12" t="str">
        <f>IFERROR(__xludf.DUMMYFUNCTION("IFERROR(INDEX(QUERY(IMPORTRANGE(""1T7HG8KEs-Ob7f3M5atEVN9Yn7IeORGp0QGvggB62ELw"",""Maestro!A:I""),""SELECT Col8 WHERE Col3 = '""&amp;BE270&amp;""'"", 0), 1, 1),""NO ENCONTRADO"")"),"")</f>
        <v/>
      </c>
      <c r="BI270" s="12" t="str">
        <f>IFERROR(__xludf.DUMMYFUNCTION("IFERROR(INDEX(QUERY(IMPORTRANGE(""1T7HG8KEs-Ob7f3M5atEVN9Yn7IeORGp0QGvggB62ELw"",""Maestro!A:I""),""SELECT Col7 WHERE Col3 = '""&amp;BE270&amp;""'"", 0), 1, 1),""NO ENCONTRADO"")"),"")</f>
        <v/>
      </c>
      <c r="BJ270" s="16">
        <f t="shared" si="9"/>
        <v>0</v>
      </c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4"/>
      <c r="BX270" s="14"/>
      <c r="BY270" s="14"/>
      <c r="BZ270" s="14"/>
      <c r="CA270" s="14"/>
      <c r="CB270" s="14"/>
      <c r="CC270" s="14"/>
      <c r="CD270" s="14"/>
      <c r="CE270" s="14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</row>
    <row r="271">
      <c r="A271" s="241" t="s">
        <v>558</v>
      </c>
      <c r="B271" s="242" t="s">
        <v>18</v>
      </c>
      <c r="C271" s="242" t="s">
        <v>36</v>
      </c>
      <c r="D271" s="243" t="str">
        <f t="shared" si="1"/>
        <v>PATIO-1-6</v>
      </c>
      <c r="E271" s="78">
        <v>45763.0</v>
      </c>
      <c r="F271" s="88" t="s">
        <v>778</v>
      </c>
      <c r="G271" s="80" t="s">
        <v>221</v>
      </c>
      <c r="H271" s="81" t="s">
        <v>222</v>
      </c>
      <c r="I271" s="82">
        <v>150.0</v>
      </c>
      <c r="J271" s="81" t="s">
        <v>22</v>
      </c>
      <c r="K271" s="32" t="str">
        <f t="shared" si="2"/>
        <v>OCUPADO</v>
      </c>
      <c r="L271" s="33">
        <f t="shared" si="10"/>
        <v>270</v>
      </c>
      <c r="M271" s="33" t="s">
        <v>23</v>
      </c>
      <c r="N271" s="53"/>
      <c r="O271" s="34" t="s">
        <v>24</v>
      </c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4"/>
      <c r="BF271" s="12"/>
      <c r="BG271" s="12"/>
      <c r="BH271" s="12" t="str">
        <f>IFERROR(__xludf.DUMMYFUNCTION("IFERROR(INDEX(QUERY(IMPORTRANGE(""1T7HG8KEs-Ob7f3M5atEVN9Yn7IeORGp0QGvggB62ELw"",""Maestro!A:I""),""SELECT Col8 WHERE Col3 = '""&amp;BE271&amp;""'"", 0), 1, 1),""NO ENCONTRADO"")"),"")</f>
        <v/>
      </c>
      <c r="BI271" s="12" t="str">
        <f>IFERROR(__xludf.DUMMYFUNCTION("IFERROR(INDEX(QUERY(IMPORTRANGE(""1T7HG8KEs-Ob7f3M5atEVN9Yn7IeORGp0QGvggB62ELw"",""Maestro!A:I""),""SELECT Col7 WHERE Col3 = '""&amp;BE271&amp;""'"", 0), 1, 1),""NO ENCONTRADO"")"),"")</f>
        <v/>
      </c>
      <c r="BJ271" s="16">
        <f t="shared" si="9"/>
        <v>0</v>
      </c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4"/>
      <c r="BX271" s="14"/>
      <c r="BY271" s="14"/>
      <c r="BZ271" s="14"/>
      <c r="CA271" s="14"/>
      <c r="CB271" s="14"/>
      <c r="CC271" s="14"/>
      <c r="CD271" s="14"/>
      <c r="CE271" s="14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</row>
    <row r="272">
      <c r="A272" s="241" t="s">
        <v>558</v>
      </c>
      <c r="B272" s="242" t="s">
        <v>18</v>
      </c>
      <c r="C272" s="242" t="s">
        <v>48</v>
      </c>
      <c r="D272" s="243" t="str">
        <f t="shared" si="1"/>
        <v>PATIO-1-7</v>
      </c>
      <c r="E272" s="78">
        <v>45763.0</v>
      </c>
      <c r="F272" s="79" t="s">
        <v>778</v>
      </c>
      <c r="G272" s="246">
        <v>692043.0</v>
      </c>
      <c r="H272" s="81" t="s">
        <v>222</v>
      </c>
      <c r="I272" s="82">
        <v>150.0</v>
      </c>
      <c r="J272" s="81" t="s">
        <v>22</v>
      </c>
      <c r="K272" s="27" t="str">
        <f t="shared" si="2"/>
        <v>OCUPADO</v>
      </c>
      <c r="L272" s="28">
        <f t="shared" si="10"/>
        <v>271</v>
      </c>
      <c r="M272" s="28" t="s">
        <v>23</v>
      </c>
      <c r="N272" s="70"/>
      <c r="O272" s="29" t="s">
        <v>24</v>
      </c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4"/>
      <c r="BF272" s="12"/>
      <c r="BG272" s="12"/>
      <c r="BH272" s="12" t="str">
        <f>IFERROR(__xludf.DUMMYFUNCTION("IFERROR(INDEX(QUERY(IMPORTRANGE(""1T7HG8KEs-Ob7f3M5atEVN9Yn7IeORGp0QGvggB62ELw"",""Maestro!A:I""),""SELECT Col8 WHERE Col3 = '""&amp;BE272&amp;""'"", 0), 1, 1),""NO ENCONTRADO"")"),"")</f>
        <v/>
      </c>
      <c r="BI272" s="12" t="str">
        <f>IFERROR(__xludf.DUMMYFUNCTION("IFERROR(INDEX(QUERY(IMPORTRANGE(""1T7HG8KEs-Ob7f3M5atEVN9Yn7IeORGp0QGvggB62ELw"",""Maestro!A:I""),""SELECT Col7 WHERE Col3 = '""&amp;BE272&amp;""'"", 0), 1, 1),""NO ENCONTRADO"")"),"")</f>
        <v/>
      </c>
      <c r="BJ272" s="16">
        <f t="shared" si="9"/>
        <v>0</v>
      </c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4"/>
      <c r="BX272" s="14"/>
      <c r="BY272" s="14"/>
      <c r="BZ272" s="14"/>
      <c r="CA272" s="14"/>
      <c r="CB272" s="14"/>
      <c r="CC272" s="14"/>
      <c r="CD272" s="14"/>
      <c r="CE272" s="14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</row>
    <row r="273">
      <c r="A273" s="241" t="s">
        <v>558</v>
      </c>
      <c r="B273" s="242" t="s">
        <v>18</v>
      </c>
      <c r="C273" s="242" t="s">
        <v>465</v>
      </c>
      <c r="D273" s="243" t="str">
        <f t="shared" si="1"/>
        <v>PATIO-1-8</v>
      </c>
      <c r="E273" s="35">
        <v>45763.0</v>
      </c>
      <c r="F273" s="36" t="s">
        <v>778</v>
      </c>
      <c r="G273" s="37" t="s">
        <v>221</v>
      </c>
      <c r="H273" s="38" t="s">
        <v>222</v>
      </c>
      <c r="I273" s="39">
        <v>150.0</v>
      </c>
      <c r="J273" s="38" t="s">
        <v>22</v>
      </c>
      <c r="K273" s="32" t="str">
        <f t="shared" si="2"/>
        <v>OCUPADO</v>
      </c>
      <c r="L273" s="33">
        <f t="shared" si="10"/>
        <v>272</v>
      </c>
      <c r="M273" s="33" t="s">
        <v>23</v>
      </c>
      <c r="N273" s="53"/>
      <c r="O273" s="34" t="s">
        <v>24</v>
      </c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4"/>
      <c r="BF273" s="12"/>
      <c r="BG273" s="12"/>
      <c r="BH273" s="12" t="str">
        <f>IFERROR(__xludf.DUMMYFUNCTION("IFERROR(INDEX(QUERY(IMPORTRANGE(""1T7HG8KEs-Ob7f3M5atEVN9Yn7IeORGp0QGvggB62ELw"",""Maestro!A:I""),""SELECT Col8 WHERE Col3 = '""&amp;BE273&amp;""'"", 0), 1, 1),""NO ENCONTRADO"")"),"")</f>
        <v/>
      </c>
      <c r="BI273" s="12" t="str">
        <f>IFERROR(__xludf.DUMMYFUNCTION("IFERROR(INDEX(QUERY(IMPORTRANGE(""1T7HG8KEs-Ob7f3M5atEVN9Yn7IeORGp0QGvggB62ELw"",""Maestro!A:I""),""SELECT Col7 WHERE Col3 = '""&amp;BE273&amp;""'"", 0), 1, 1),""NO ENCONTRADO"")"),"")</f>
        <v/>
      </c>
      <c r="BJ273" s="16">
        <f t="shared" si="9"/>
        <v>0</v>
      </c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4"/>
      <c r="BX273" s="14"/>
      <c r="BY273" s="14"/>
      <c r="BZ273" s="14"/>
      <c r="CA273" s="14"/>
      <c r="CB273" s="14"/>
      <c r="CC273" s="14"/>
      <c r="CD273" s="14"/>
      <c r="CE273" s="14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</row>
    <row r="274">
      <c r="A274" s="241" t="s">
        <v>558</v>
      </c>
      <c r="B274" s="242" t="s">
        <v>18</v>
      </c>
      <c r="C274" s="242" t="s">
        <v>511</v>
      </c>
      <c r="D274" s="243" t="str">
        <f t="shared" si="1"/>
        <v>PATIO-1-9</v>
      </c>
      <c r="E274" s="35">
        <v>45763.0</v>
      </c>
      <c r="F274" s="36" t="s">
        <v>778</v>
      </c>
      <c r="G274" s="37" t="s">
        <v>221</v>
      </c>
      <c r="H274" s="38" t="s">
        <v>222</v>
      </c>
      <c r="I274" s="39">
        <v>150.0</v>
      </c>
      <c r="J274" s="38" t="s">
        <v>22</v>
      </c>
      <c r="K274" s="27" t="str">
        <f t="shared" si="2"/>
        <v>OCUPADO</v>
      </c>
      <c r="L274" s="28">
        <f t="shared" si="10"/>
        <v>273</v>
      </c>
      <c r="M274" s="28" t="s">
        <v>23</v>
      </c>
      <c r="N274" s="70"/>
      <c r="O274" s="29" t="s">
        <v>24</v>
      </c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4"/>
      <c r="BF274" s="12"/>
      <c r="BG274" s="12"/>
      <c r="BH274" s="12" t="str">
        <f>IFERROR(__xludf.DUMMYFUNCTION("IFERROR(INDEX(QUERY(IMPORTRANGE(""1T7HG8KEs-Ob7f3M5atEVN9Yn7IeORGp0QGvggB62ELw"",""Maestro!A:I""),""SELECT Col8 WHERE Col3 = '""&amp;BE274&amp;""'"", 0), 1, 1),""NO ENCONTRADO"")"),"")</f>
        <v/>
      </c>
      <c r="BI274" s="12" t="str">
        <f>IFERROR(__xludf.DUMMYFUNCTION("IFERROR(INDEX(QUERY(IMPORTRANGE(""1T7HG8KEs-Ob7f3M5atEVN9Yn7IeORGp0QGvggB62ELw"",""Maestro!A:I""),""SELECT Col7 WHERE Col3 = '""&amp;BE274&amp;""'"", 0), 1, 1),""NO ENCONTRADO"")"),"")</f>
        <v/>
      </c>
      <c r="BJ274" s="16">
        <f t="shared" si="9"/>
        <v>0</v>
      </c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4"/>
      <c r="BX274" s="14"/>
      <c r="BY274" s="14"/>
      <c r="BZ274" s="14"/>
      <c r="CA274" s="14"/>
      <c r="CB274" s="14"/>
      <c r="CC274" s="14"/>
      <c r="CD274" s="14"/>
      <c r="CE274" s="14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</row>
    <row r="275">
      <c r="A275" s="241" t="s">
        <v>558</v>
      </c>
      <c r="B275" s="242" t="s">
        <v>18</v>
      </c>
      <c r="C275" s="242" t="s">
        <v>296</v>
      </c>
      <c r="D275" s="243" t="str">
        <f t="shared" si="1"/>
        <v>PATIO-1-10</v>
      </c>
      <c r="E275" s="78">
        <v>45763.0</v>
      </c>
      <c r="F275" s="79" t="s">
        <v>778</v>
      </c>
      <c r="G275" s="246">
        <v>692043.0</v>
      </c>
      <c r="H275" s="81" t="s">
        <v>222</v>
      </c>
      <c r="I275" s="82">
        <v>150.0</v>
      </c>
      <c r="J275" s="81" t="s">
        <v>22</v>
      </c>
      <c r="K275" s="32" t="str">
        <f t="shared" si="2"/>
        <v>OCUPADO</v>
      </c>
      <c r="L275" s="33">
        <f t="shared" si="10"/>
        <v>274</v>
      </c>
      <c r="M275" s="33" t="s">
        <v>23</v>
      </c>
      <c r="N275" s="53"/>
      <c r="O275" s="249" t="s">
        <v>24</v>
      </c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4"/>
      <c r="BF275" s="12"/>
      <c r="BG275" s="12"/>
      <c r="BH275" s="12" t="str">
        <f>IFERROR(__xludf.DUMMYFUNCTION("IFERROR(INDEX(QUERY(IMPORTRANGE(""1T7HG8KEs-Ob7f3M5atEVN9Yn7IeORGp0QGvggB62ELw"",""Maestro!A:I""),""SELECT Col8 WHERE Col3 = '""&amp;BE275&amp;""'"", 0), 1, 1),""NO ENCONTRADO"")"),"")</f>
        <v/>
      </c>
      <c r="BI275" s="12" t="str">
        <f>IFERROR(__xludf.DUMMYFUNCTION("IFERROR(INDEX(QUERY(IMPORTRANGE(""1T7HG8KEs-Ob7f3M5atEVN9Yn7IeORGp0QGvggB62ELw"",""Maestro!A:I""),""SELECT Col7 WHERE Col3 = '""&amp;BE275&amp;""'"", 0), 1, 1),""NO ENCONTRADO"")"),"")</f>
        <v/>
      </c>
      <c r="BJ275" s="16">
        <f t="shared" si="9"/>
        <v>0</v>
      </c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4"/>
      <c r="BX275" s="14"/>
      <c r="BY275" s="14"/>
      <c r="BZ275" s="14"/>
      <c r="CA275" s="14"/>
      <c r="CB275" s="14"/>
      <c r="CC275" s="14"/>
      <c r="CD275" s="14"/>
      <c r="CE275" s="14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</row>
    <row r="276">
      <c r="A276" s="241" t="s">
        <v>558</v>
      </c>
      <c r="B276" s="242" t="s">
        <v>18</v>
      </c>
      <c r="C276" s="242" t="s">
        <v>316</v>
      </c>
      <c r="D276" s="243" t="str">
        <f t="shared" si="1"/>
        <v>PATIO-1-11</v>
      </c>
      <c r="E276" s="78">
        <v>45763.0</v>
      </c>
      <c r="F276" s="79" t="s">
        <v>779</v>
      </c>
      <c r="G276" s="246">
        <v>692043.0</v>
      </c>
      <c r="H276" s="81" t="s">
        <v>222</v>
      </c>
      <c r="I276" s="82">
        <v>150.0</v>
      </c>
      <c r="J276" s="81" t="s">
        <v>22</v>
      </c>
      <c r="K276" s="27" t="str">
        <f t="shared" si="2"/>
        <v>OCUPADO</v>
      </c>
      <c r="L276" s="28">
        <f t="shared" si="10"/>
        <v>275</v>
      </c>
      <c r="M276" s="28" t="s">
        <v>23</v>
      </c>
      <c r="N276" s="70"/>
      <c r="O276" s="248" t="s">
        <v>24</v>
      </c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4"/>
      <c r="BF276" s="12"/>
      <c r="BG276" s="12"/>
      <c r="BH276" s="12" t="str">
        <f>IFERROR(__xludf.DUMMYFUNCTION("IFERROR(INDEX(QUERY(IMPORTRANGE(""1T7HG8KEs-Ob7f3M5atEVN9Yn7IeORGp0QGvggB62ELw"",""Maestro!A:I""),""SELECT Col8 WHERE Col3 = '""&amp;BE276&amp;""'"", 0), 1, 1),""NO ENCONTRADO"")"),"")</f>
        <v/>
      </c>
      <c r="BI276" s="12" t="str">
        <f>IFERROR(__xludf.DUMMYFUNCTION("IFERROR(INDEX(QUERY(IMPORTRANGE(""1T7HG8KEs-Ob7f3M5atEVN9Yn7IeORGp0QGvggB62ELw"",""Maestro!A:I""),""SELECT Col7 WHERE Col3 = '""&amp;BE276&amp;""'"", 0), 1, 1),""NO ENCONTRADO"")"),"")</f>
        <v/>
      </c>
      <c r="BJ276" s="16">
        <f t="shared" si="9"/>
        <v>0</v>
      </c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4"/>
      <c r="BX276" s="14"/>
      <c r="BY276" s="14"/>
      <c r="BZ276" s="14"/>
      <c r="CA276" s="14"/>
      <c r="CB276" s="14"/>
      <c r="CC276" s="14"/>
      <c r="CD276" s="14"/>
      <c r="CE276" s="14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</row>
    <row r="277">
      <c r="A277" s="241" t="s">
        <v>558</v>
      </c>
      <c r="B277" s="242" t="s">
        <v>18</v>
      </c>
      <c r="C277" s="242" t="s">
        <v>336</v>
      </c>
      <c r="D277" s="243" t="str">
        <f t="shared" si="1"/>
        <v>PATIO-1-12</v>
      </c>
      <c r="E277" s="78">
        <v>45763.0</v>
      </c>
      <c r="F277" s="79" t="s">
        <v>779</v>
      </c>
      <c r="G277" s="246">
        <v>692043.0</v>
      </c>
      <c r="H277" s="81" t="s">
        <v>222</v>
      </c>
      <c r="I277" s="82">
        <v>150.0</v>
      </c>
      <c r="J277" s="81" t="s">
        <v>22</v>
      </c>
      <c r="K277" s="32" t="str">
        <f t="shared" si="2"/>
        <v>OCUPADO</v>
      </c>
      <c r="L277" s="33">
        <f t="shared" si="10"/>
        <v>276</v>
      </c>
      <c r="M277" s="33" t="s">
        <v>23</v>
      </c>
      <c r="N277" s="53"/>
      <c r="O277" s="249" t="s">
        <v>24</v>
      </c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4"/>
      <c r="BF277" s="12"/>
      <c r="BG277" s="12"/>
      <c r="BH277" s="12" t="str">
        <f>IFERROR(__xludf.DUMMYFUNCTION("IFERROR(INDEX(QUERY(IMPORTRANGE(""1T7HG8KEs-Ob7f3M5atEVN9Yn7IeORGp0QGvggB62ELw"",""Maestro!A:I""),""SELECT Col8 WHERE Col3 = '""&amp;BE277&amp;""'"", 0), 1, 1),""NO ENCONTRADO"")"),"")</f>
        <v/>
      </c>
      <c r="BI277" s="12" t="str">
        <f>IFERROR(__xludf.DUMMYFUNCTION("IFERROR(INDEX(QUERY(IMPORTRANGE(""1T7HG8KEs-Ob7f3M5atEVN9Yn7IeORGp0QGvggB62ELw"",""Maestro!A:I""),""SELECT Col7 WHERE Col3 = '""&amp;BE277&amp;""'"", 0), 1, 1),""NO ENCONTRADO"")"),"")</f>
        <v/>
      </c>
      <c r="BJ277" s="16">
        <f t="shared" si="9"/>
        <v>0</v>
      </c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4"/>
      <c r="BX277" s="14"/>
      <c r="BY277" s="14"/>
      <c r="BZ277" s="14"/>
      <c r="CA277" s="14"/>
      <c r="CB277" s="14"/>
      <c r="CC277" s="14"/>
      <c r="CD277" s="14"/>
      <c r="CE277" s="14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</row>
    <row r="278">
      <c r="A278" s="241" t="s">
        <v>558</v>
      </c>
      <c r="B278" s="242" t="s">
        <v>18</v>
      </c>
      <c r="C278" s="242" t="s">
        <v>350</v>
      </c>
      <c r="D278" s="243" t="str">
        <f t="shared" si="1"/>
        <v>PATIO-1-13</v>
      </c>
      <c r="E278" s="78">
        <v>45763.0</v>
      </c>
      <c r="F278" s="79" t="s">
        <v>779</v>
      </c>
      <c r="G278" s="246">
        <v>692043.0</v>
      </c>
      <c r="H278" s="81" t="s">
        <v>222</v>
      </c>
      <c r="I278" s="82">
        <v>150.0</v>
      </c>
      <c r="J278" s="81" t="s">
        <v>22</v>
      </c>
      <c r="K278" s="27" t="str">
        <f t="shared" si="2"/>
        <v>OCUPADO</v>
      </c>
      <c r="L278" s="28">
        <f t="shared" si="10"/>
        <v>277</v>
      </c>
      <c r="M278" s="28" t="s">
        <v>23</v>
      </c>
      <c r="N278" s="70"/>
      <c r="O278" s="248" t="s">
        <v>24</v>
      </c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4"/>
      <c r="BF278" s="12"/>
      <c r="BG278" s="12"/>
      <c r="BH278" s="12" t="str">
        <f>IFERROR(__xludf.DUMMYFUNCTION("IFERROR(INDEX(QUERY(IMPORTRANGE(""1T7HG8KEs-Ob7f3M5atEVN9Yn7IeORGp0QGvggB62ELw"",""Maestro!A:I""),""SELECT Col8 WHERE Col3 = '""&amp;BE278&amp;""'"", 0), 1, 1),""NO ENCONTRADO"")"),"")</f>
        <v/>
      </c>
      <c r="BI278" s="12" t="str">
        <f>IFERROR(__xludf.DUMMYFUNCTION("IFERROR(INDEX(QUERY(IMPORTRANGE(""1T7HG8KEs-Ob7f3M5atEVN9Yn7IeORGp0QGvggB62ELw"",""Maestro!A:I""),""SELECT Col7 WHERE Col3 = '""&amp;BE278&amp;""'"", 0), 1, 1),""NO ENCONTRADO"")"),"")</f>
        <v/>
      </c>
      <c r="BJ278" s="16">
        <f t="shared" si="9"/>
        <v>0</v>
      </c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4"/>
      <c r="BX278" s="14"/>
      <c r="BY278" s="14"/>
      <c r="BZ278" s="14"/>
      <c r="CA278" s="14"/>
      <c r="CB278" s="14"/>
      <c r="CC278" s="14"/>
      <c r="CD278" s="14"/>
      <c r="CE278" s="14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</row>
    <row r="279">
      <c r="A279" s="241" t="s">
        <v>558</v>
      </c>
      <c r="B279" s="242" t="s">
        <v>18</v>
      </c>
      <c r="C279" s="242" t="s">
        <v>362</v>
      </c>
      <c r="D279" s="243" t="str">
        <f t="shared" si="1"/>
        <v>PATIO-1-14</v>
      </c>
      <c r="E279" s="35">
        <v>45763.0</v>
      </c>
      <c r="F279" s="36" t="s">
        <v>779</v>
      </c>
      <c r="G279" s="37" t="s">
        <v>221</v>
      </c>
      <c r="H279" s="38" t="s">
        <v>222</v>
      </c>
      <c r="I279" s="39">
        <v>150.0</v>
      </c>
      <c r="J279" s="38" t="s">
        <v>22</v>
      </c>
      <c r="K279" s="32" t="str">
        <f t="shared" si="2"/>
        <v>OCUPADO</v>
      </c>
      <c r="L279" s="33">
        <f t="shared" si="10"/>
        <v>278</v>
      </c>
      <c r="M279" s="33" t="s">
        <v>23</v>
      </c>
      <c r="N279" s="53"/>
      <c r="O279" s="34" t="s">
        <v>24</v>
      </c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4"/>
      <c r="BF279" s="12"/>
      <c r="BG279" s="12"/>
      <c r="BH279" s="12" t="str">
        <f>IFERROR(__xludf.DUMMYFUNCTION("IFERROR(INDEX(QUERY(IMPORTRANGE(""1T7HG8KEs-Ob7f3M5atEVN9Yn7IeORGp0QGvggB62ELw"",""Maestro!A:I""),""SELECT Col8 WHERE Col3 = '""&amp;BE279&amp;""'"", 0), 1, 1),""NO ENCONTRADO"")"),"")</f>
        <v/>
      </c>
      <c r="BI279" s="12" t="str">
        <f>IFERROR(__xludf.DUMMYFUNCTION("IFERROR(INDEX(QUERY(IMPORTRANGE(""1T7HG8KEs-Ob7f3M5atEVN9Yn7IeORGp0QGvggB62ELw"",""Maestro!A:I""),""SELECT Col7 WHERE Col3 = '""&amp;BE279&amp;""'"", 0), 1, 1),""NO ENCONTRADO"")"),"")</f>
        <v/>
      </c>
      <c r="BJ279" s="16">
        <f t="shared" si="9"/>
        <v>0</v>
      </c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4"/>
      <c r="BX279" s="14"/>
      <c r="BY279" s="14"/>
      <c r="BZ279" s="14"/>
      <c r="CA279" s="14"/>
      <c r="CB279" s="14"/>
      <c r="CC279" s="14"/>
      <c r="CD279" s="14"/>
      <c r="CE279" s="14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</row>
    <row r="280">
      <c r="A280" s="241" t="s">
        <v>558</v>
      </c>
      <c r="B280" s="242" t="s">
        <v>18</v>
      </c>
      <c r="C280" s="242" t="s">
        <v>372</v>
      </c>
      <c r="D280" s="243" t="str">
        <f t="shared" si="1"/>
        <v>PATIO-1-15</v>
      </c>
      <c r="E280" s="35">
        <v>45763.0</v>
      </c>
      <c r="F280" s="36" t="s">
        <v>779</v>
      </c>
      <c r="G280" s="37" t="s">
        <v>221</v>
      </c>
      <c r="H280" s="38" t="s">
        <v>222</v>
      </c>
      <c r="I280" s="39">
        <v>150.0</v>
      </c>
      <c r="J280" s="38" t="s">
        <v>22</v>
      </c>
      <c r="K280" s="27" t="str">
        <f t="shared" si="2"/>
        <v>OCUPADO</v>
      </c>
      <c r="L280" s="28">
        <f t="shared" si="10"/>
        <v>279</v>
      </c>
      <c r="M280" s="28" t="s">
        <v>23</v>
      </c>
      <c r="N280" s="70"/>
      <c r="O280" s="29" t="s">
        <v>24</v>
      </c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4"/>
      <c r="BF280" s="12"/>
      <c r="BG280" s="12"/>
      <c r="BH280" s="12" t="str">
        <f>IFERROR(__xludf.DUMMYFUNCTION("IFERROR(INDEX(QUERY(IMPORTRANGE(""1T7HG8KEs-Ob7f3M5atEVN9Yn7IeORGp0QGvggB62ELw"",""Maestro!A:I""),""SELECT Col8 WHERE Col3 = '""&amp;BE280&amp;""'"", 0), 1, 1),""NO ENCONTRADO"")"),"")</f>
        <v/>
      </c>
      <c r="BI280" s="12" t="str">
        <f>IFERROR(__xludf.DUMMYFUNCTION("IFERROR(INDEX(QUERY(IMPORTRANGE(""1T7HG8KEs-Ob7f3M5atEVN9Yn7IeORGp0QGvggB62ELw"",""Maestro!A:I""),""SELECT Col7 WHERE Col3 = '""&amp;BE280&amp;""'"", 0), 1, 1),""NO ENCONTRADO"")"),"")</f>
        <v/>
      </c>
      <c r="BJ280" s="16">
        <f t="shared" si="9"/>
        <v>0</v>
      </c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4"/>
      <c r="BX280" s="14"/>
      <c r="BY280" s="14"/>
      <c r="BZ280" s="14"/>
      <c r="CA280" s="14"/>
      <c r="CB280" s="14"/>
      <c r="CC280" s="14"/>
      <c r="CD280" s="14"/>
      <c r="CE280" s="14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</row>
    <row r="281">
      <c r="A281" s="241" t="s">
        <v>558</v>
      </c>
      <c r="B281" s="242" t="s">
        <v>18</v>
      </c>
      <c r="C281" s="242" t="s">
        <v>382</v>
      </c>
      <c r="D281" s="243" t="str">
        <f t="shared" si="1"/>
        <v>PATIO-1-16</v>
      </c>
      <c r="E281" s="35">
        <v>45763.0</v>
      </c>
      <c r="F281" s="36" t="s">
        <v>779</v>
      </c>
      <c r="G281" s="37" t="s">
        <v>221</v>
      </c>
      <c r="H281" s="38" t="s">
        <v>222</v>
      </c>
      <c r="I281" s="39">
        <v>150.0</v>
      </c>
      <c r="J281" s="38" t="s">
        <v>22</v>
      </c>
      <c r="K281" s="32" t="str">
        <f t="shared" si="2"/>
        <v>OCUPADO</v>
      </c>
      <c r="L281" s="33">
        <f t="shared" si="10"/>
        <v>280</v>
      </c>
      <c r="M281" s="33" t="s">
        <v>23</v>
      </c>
      <c r="N281" s="53"/>
      <c r="O281" s="34" t="s">
        <v>24</v>
      </c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4"/>
      <c r="BF281" s="12"/>
      <c r="BG281" s="12"/>
      <c r="BH281" s="12" t="str">
        <f>IFERROR(__xludf.DUMMYFUNCTION("IFERROR(INDEX(QUERY(IMPORTRANGE(""1T7HG8KEs-Ob7f3M5atEVN9Yn7IeORGp0QGvggB62ELw"",""Maestro!A:I""),""SELECT Col8 WHERE Col3 = '""&amp;BE281&amp;""'"", 0), 1, 1),""NO ENCONTRADO"")"),"")</f>
        <v/>
      </c>
      <c r="BI281" s="12" t="str">
        <f>IFERROR(__xludf.DUMMYFUNCTION("IFERROR(INDEX(QUERY(IMPORTRANGE(""1T7HG8KEs-Ob7f3M5atEVN9Yn7IeORGp0QGvggB62ELw"",""Maestro!A:I""),""SELECT Col7 WHERE Col3 = '""&amp;BE281&amp;""'"", 0), 1, 1),""NO ENCONTRADO"")"),"")</f>
        <v/>
      </c>
      <c r="BJ281" s="16">
        <f t="shared" si="9"/>
        <v>0</v>
      </c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4"/>
      <c r="BX281" s="14"/>
      <c r="BY281" s="14"/>
      <c r="BZ281" s="14"/>
      <c r="CA281" s="14"/>
      <c r="CB281" s="14"/>
      <c r="CC281" s="14"/>
      <c r="CD281" s="14"/>
      <c r="CE281" s="14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</row>
    <row r="282">
      <c r="A282" s="241" t="s">
        <v>558</v>
      </c>
      <c r="B282" s="242" t="s">
        <v>18</v>
      </c>
      <c r="C282" s="242" t="s">
        <v>396</v>
      </c>
      <c r="D282" s="243" t="str">
        <f t="shared" si="1"/>
        <v>PATIO-1-17</v>
      </c>
      <c r="E282" s="35">
        <v>45763.0</v>
      </c>
      <c r="F282" s="36" t="s">
        <v>780</v>
      </c>
      <c r="G282" s="37" t="s">
        <v>221</v>
      </c>
      <c r="H282" s="38" t="s">
        <v>222</v>
      </c>
      <c r="I282" s="39">
        <v>150.0</v>
      </c>
      <c r="J282" s="38" t="s">
        <v>22</v>
      </c>
      <c r="K282" s="27" t="str">
        <f t="shared" si="2"/>
        <v>OCUPADO</v>
      </c>
      <c r="L282" s="28">
        <f t="shared" si="10"/>
        <v>281</v>
      </c>
      <c r="M282" s="28" t="s">
        <v>23</v>
      </c>
      <c r="N282" s="70"/>
      <c r="O282" s="29" t="s">
        <v>24</v>
      </c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4"/>
      <c r="BF282" s="12"/>
      <c r="BG282" s="12"/>
      <c r="BH282" s="12"/>
      <c r="BI282" s="12"/>
      <c r="BJ282" s="16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4"/>
      <c r="BX282" s="14"/>
      <c r="BY282" s="14"/>
      <c r="BZ282" s="14"/>
      <c r="CA282" s="14"/>
      <c r="CB282" s="14"/>
      <c r="CC282" s="14"/>
      <c r="CD282" s="14"/>
      <c r="CE282" s="14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</row>
    <row r="283">
      <c r="A283" s="241" t="s">
        <v>558</v>
      </c>
      <c r="B283" s="242" t="s">
        <v>18</v>
      </c>
      <c r="C283" s="242" t="s">
        <v>411</v>
      </c>
      <c r="D283" s="243" t="str">
        <f t="shared" si="1"/>
        <v>PATIO-1-18</v>
      </c>
      <c r="E283" s="35">
        <v>45763.0</v>
      </c>
      <c r="F283" s="36" t="s">
        <v>497</v>
      </c>
      <c r="G283" s="37" t="s">
        <v>221</v>
      </c>
      <c r="H283" s="38" t="s">
        <v>222</v>
      </c>
      <c r="I283" s="39">
        <v>205.0</v>
      </c>
      <c r="J283" s="38" t="s">
        <v>22</v>
      </c>
      <c r="K283" s="32" t="str">
        <f t="shared" si="2"/>
        <v>OCUPADO</v>
      </c>
      <c r="L283" s="33">
        <f t="shared" si="10"/>
        <v>282</v>
      </c>
      <c r="M283" s="33" t="s">
        <v>23</v>
      </c>
      <c r="N283" s="53"/>
      <c r="O283" s="34" t="s">
        <v>24</v>
      </c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4"/>
      <c r="BF283" s="12"/>
      <c r="BG283" s="12"/>
      <c r="BH283" s="12"/>
      <c r="BI283" s="12"/>
      <c r="BJ283" s="16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4"/>
      <c r="BX283" s="14"/>
      <c r="BY283" s="14"/>
      <c r="BZ283" s="14"/>
      <c r="CA283" s="14"/>
      <c r="CB283" s="14"/>
      <c r="CC283" s="14"/>
      <c r="CD283" s="14"/>
      <c r="CE283" s="14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</row>
    <row r="284">
      <c r="A284" s="241" t="s">
        <v>558</v>
      </c>
      <c r="B284" s="242" t="s">
        <v>18</v>
      </c>
      <c r="C284" s="242" t="s">
        <v>425</v>
      </c>
      <c r="D284" s="243" t="str">
        <f t="shared" si="1"/>
        <v>PATIO-1-19</v>
      </c>
      <c r="E284" s="35">
        <v>45763.0</v>
      </c>
      <c r="F284" s="36" t="s">
        <v>497</v>
      </c>
      <c r="G284" s="37" t="s">
        <v>221</v>
      </c>
      <c r="H284" s="38" t="s">
        <v>222</v>
      </c>
      <c r="I284" s="39">
        <v>150.0</v>
      </c>
      <c r="J284" s="38" t="s">
        <v>22</v>
      </c>
      <c r="K284" s="27" t="str">
        <f t="shared" si="2"/>
        <v>OCUPADO</v>
      </c>
      <c r="L284" s="28">
        <f t="shared" ref="L284:L288" si="11">IF(B279&lt;&gt;"", ROW(A279), "")
</f>
        <v>279</v>
      </c>
      <c r="M284" s="28" t="s">
        <v>23</v>
      </c>
      <c r="N284" s="70"/>
      <c r="O284" s="29" t="s">
        <v>24</v>
      </c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4"/>
      <c r="BF284" s="12"/>
      <c r="BG284" s="12"/>
      <c r="BH284" s="12"/>
      <c r="BI284" s="12"/>
      <c r="BJ284" s="16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4"/>
      <c r="BX284" s="14"/>
      <c r="BY284" s="14"/>
      <c r="BZ284" s="14"/>
      <c r="CA284" s="14"/>
      <c r="CB284" s="14"/>
      <c r="CC284" s="14"/>
      <c r="CD284" s="14"/>
      <c r="CE284" s="14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</row>
    <row r="285">
      <c r="A285" s="241" t="s">
        <v>558</v>
      </c>
      <c r="B285" s="242" t="s">
        <v>18</v>
      </c>
      <c r="C285" s="242" t="s">
        <v>451</v>
      </c>
      <c r="D285" s="243" t="str">
        <f t="shared" si="1"/>
        <v>PATIO-1-20</v>
      </c>
      <c r="E285" s="35">
        <v>45763.0</v>
      </c>
      <c r="F285" s="36" t="s">
        <v>497</v>
      </c>
      <c r="G285" s="37" t="s">
        <v>221</v>
      </c>
      <c r="H285" s="38" t="s">
        <v>222</v>
      </c>
      <c r="I285" s="39">
        <v>150.0</v>
      </c>
      <c r="J285" s="38" t="s">
        <v>22</v>
      </c>
      <c r="K285" s="32" t="str">
        <f t="shared" si="2"/>
        <v>OCUPADO</v>
      </c>
      <c r="L285" s="33">
        <f t="shared" si="11"/>
        <v>280</v>
      </c>
      <c r="M285" s="33" t="s">
        <v>23</v>
      </c>
      <c r="N285" s="53"/>
      <c r="O285" s="34" t="s">
        <v>24</v>
      </c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4"/>
      <c r="BF285" s="12"/>
      <c r="BG285" s="12"/>
      <c r="BH285" s="12"/>
      <c r="BI285" s="12"/>
      <c r="BJ285" s="16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4"/>
      <c r="BX285" s="14"/>
      <c r="BY285" s="14"/>
      <c r="BZ285" s="14"/>
      <c r="CA285" s="14"/>
      <c r="CB285" s="14"/>
      <c r="CC285" s="14"/>
      <c r="CD285" s="14"/>
      <c r="CE285" s="14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</row>
    <row r="286">
      <c r="A286" s="241" t="s">
        <v>558</v>
      </c>
      <c r="B286" s="242" t="s">
        <v>18</v>
      </c>
      <c r="C286" s="242" t="s">
        <v>467</v>
      </c>
      <c r="D286" s="243" t="str">
        <f t="shared" si="1"/>
        <v>PATIO-1-21</v>
      </c>
      <c r="E286" s="35">
        <v>45763.0</v>
      </c>
      <c r="F286" s="36" t="s">
        <v>497</v>
      </c>
      <c r="G286" s="37" t="s">
        <v>221</v>
      </c>
      <c r="H286" s="38" t="s">
        <v>222</v>
      </c>
      <c r="I286" s="39">
        <v>93.0</v>
      </c>
      <c r="J286" s="38" t="s">
        <v>22</v>
      </c>
      <c r="K286" s="27" t="str">
        <f t="shared" si="2"/>
        <v>OCUPADO</v>
      </c>
      <c r="L286" s="28">
        <f t="shared" si="11"/>
        <v>281</v>
      </c>
      <c r="M286" s="28" t="s">
        <v>23</v>
      </c>
      <c r="N286" s="70"/>
      <c r="O286" s="29" t="s">
        <v>24</v>
      </c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4"/>
      <c r="BF286" s="12"/>
      <c r="BG286" s="12"/>
      <c r="BH286" s="12"/>
      <c r="BI286" s="12"/>
      <c r="BJ286" s="16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4"/>
      <c r="BX286" s="14"/>
      <c r="BY286" s="14"/>
      <c r="BZ286" s="14"/>
      <c r="CA286" s="14"/>
      <c r="CB286" s="14"/>
      <c r="CC286" s="14"/>
      <c r="CD286" s="14"/>
      <c r="CE286" s="14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</row>
    <row r="287">
      <c r="A287" s="241" t="s">
        <v>558</v>
      </c>
      <c r="B287" s="242" t="s">
        <v>18</v>
      </c>
      <c r="C287" s="242" t="s">
        <v>620</v>
      </c>
      <c r="D287" s="243" t="str">
        <f t="shared" si="1"/>
        <v>PATIO-1-22</v>
      </c>
      <c r="E287" s="35">
        <v>45763.0</v>
      </c>
      <c r="F287" s="36" t="s">
        <v>497</v>
      </c>
      <c r="G287" s="37" t="s">
        <v>221</v>
      </c>
      <c r="H287" s="38" t="s">
        <v>222</v>
      </c>
      <c r="I287" s="39">
        <v>150.0</v>
      </c>
      <c r="J287" s="38" t="s">
        <v>22</v>
      </c>
      <c r="K287" s="32" t="str">
        <f t="shared" si="2"/>
        <v>OCUPADO</v>
      </c>
      <c r="L287" s="33">
        <f t="shared" si="11"/>
        <v>282</v>
      </c>
      <c r="M287" s="33" t="s">
        <v>23</v>
      </c>
      <c r="N287" s="53"/>
      <c r="O287" s="34" t="s">
        <v>24</v>
      </c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4"/>
      <c r="BF287" s="12"/>
      <c r="BG287" s="12"/>
      <c r="BH287" s="12"/>
      <c r="BI287" s="12"/>
      <c r="BJ287" s="16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4"/>
      <c r="BX287" s="14"/>
      <c r="BY287" s="14"/>
      <c r="BZ287" s="14"/>
      <c r="CA287" s="14"/>
      <c r="CB287" s="14"/>
      <c r="CC287" s="14"/>
      <c r="CD287" s="14"/>
      <c r="CE287" s="14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</row>
    <row r="288">
      <c r="A288" s="241" t="s">
        <v>558</v>
      </c>
      <c r="B288" s="242" t="s">
        <v>18</v>
      </c>
      <c r="C288" s="242" t="s">
        <v>561</v>
      </c>
      <c r="D288" s="243" t="str">
        <f t="shared" si="1"/>
        <v>PATIO-1-23</v>
      </c>
      <c r="E288" s="35">
        <v>45763.0</v>
      </c>
      <c r="F288" s="36" t="s">
        <v>781</v>
      </c>
      <c r="G288" s="37" t="s">
        <v>221</v>
      </c>
      <c r="H288" s="38" t="s">
        <v>222</v>
      </c>
      <c r="I288" s="39">
        <v>150.0</v>
      </c>
      <c r="J288" s="38" t="s">
        <v>22</v>
      </c>
      <c r="K288" s="27" t="str">
        <f t="shared" si="2"/>
        <v>OCUPADO</v>
      </c>
      <c r="L288" s="28">
        <f t="shared" si="11"/>
        <v>283</v>
      </c>
      <c r="M288" s="28" t="s">
        <v>23</v>
      </c>
      <c r="N288" s="70"/>
      <c r="O288" s="29" t="s">
        <v>24</v>
      </c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4"/>
      <c r="BF288" s="12"/>
      <c r="BG288" s="12"/>
      <c r="BH288" s="12"/>
      <c r="BI288" s="12"/>
      <c r="BJ288" s="16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4"/>
      <c r="BX288" s="14"/>
      <c r="BY288" s="14"/>
      <c r="BZ288" s="14"/>
      <c r="CA288" s="14"/>
      <c r="CB288" s="14"/>
      <c r="CC288" s="14"/>
      <c r="CD288" s="14"/>
      <c r="CE288" s="14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</row>
    <row r="289">
      <c r="A289" s="241" t="s">
        <v>558</v>
      </c>
      <c r="B289" s="242" t="s">
        <v>18</v>
      </c>
      <c r="C289" s="242" t="s">
        <v>563</v>
      </c>
      <c r="D289" s="243" t="str">
        <f t="shared" si="1"/>
        <v>PATIO-1-24</v>
      </c>
      <c r="E289" s="35">
        <v>45763.0</v>
      </c>
      <c r="F289" s="36" t="s">
        <v>781</v>
      </c>
      <c r="G289" s="37" t="s">
        <v>221</v>
      </c>
      <c r="H289" s="38" t="s">
        <v>222</v>
      </c>
      <c r="I289" s="39">
        <v>150.0</v>
      </c>
      <c r="J289" s="38" t="s">
        <v>22</v>
      </c>
      <c r="K289" s="32" t="str">
        <f t="shared" si="2"/>
        <v>OCUPADO</v>
      </c>
      <c r="L289" s="33">
        <f t="shared" ref="L289:L291" si="12">IF(B281&lt;&gt;"", ROW(A281), "")
</f>
        <v>281</v>
      </c>
      <c r="M289" s="33" t="s">
        <v>23</v>
      </c>
      <c r="N289" s="53"/>
      <c r="O289" s="34" t="s">
        <v>24</v>
      </c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4"/>
      <c r="BF289" s="12"/>
      <c r="BG289" s="12"/>
      <c r="BH289" s="12"/>
      <c r="BI289" s="12"/>
      <c r="BJ289" s="16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4"/>
      <c r="BX289" s="14"/>
      <c r="BY289" s="14"/>
      <c r="BZ289" s="14"/>
      <c r="CA289" s="14"/>
      <c r="CB289" s="14"/>
      <c r="CC289" s="14"/>
      <c r="CD289" s="14"/>
      <c r="CE289" s="14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</row>
    <row r="290">
      <c r="A290" s="241" t="s">
        <v>558</v>
      </c>
      <c r="B290" s="242" t="s">
        <v>18</v>
      </c>
      <c r="C290" s="242" t="s">
        <v>565</v>
      </c>
      <c r="D290" s="243" t="str">
        <f t="shared" si="1"/>
        <v>PATIO-1-25</v>
      </c>
      <c r="E290" s="35">
        <v>45763.0</v>
      </c>
      <c r="F290" s="36" t="s">
        <v>781</v>
      </c>
      <c r="G290" s="37" t="s">
        <v>221</v>
      </c>
      <c r="H290" s="38" t="s">
        <v>222</v>
      </c>
      <c r="I290" s="39">
        <v>150.0</v>
      </c>
      <c r="J290" s="38" t="s">
        <v>22</v>
      </c>
      <c r="K290" s="27" t="str">
        <f t="shared" si="2"/>
        <v>OCUPADO</v>
      </c>
      <c r="L290" s="28">
        <f t="shared" si="12"/>
        <v>282</v>
      </c>
      <c r="M290" s="28" t="s">
        <v>23</v>
      </c>
      <c r="N290" s="70"/>
      <c r="O290" s="29" t="s">
        <v>24</v>
      </c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4"/>
      <c r="BF290" s="12"/>
      <c r="BG290" s="12"/>
      <c r="BH290" s="12"/>
      <c r="BI290" s="12"/>
      <c r="BJ290" s="16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4"/>
      <c r="BX290" s="14"/>
      <c r="BY290" s="14"/>
      <c r="BZ290" s="14"/>
      <c r="CA290" s="14"/>
      <c r="CB290" s="14"/>
      <c r="CC290" s="14"/>
      <c r="CD290" s="14"/>
      <c r="CE290" s="14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</row>
    <row r="291">
      <c r="A291" s="250" t="s">
        <v>558</v>
      </c>
      <c r="B291" s="251" t="s">
        <v>18</v>
      </c>
      <c r="C291" s="251" t="s">
        <v>622</v>
      </c>
      <c r="D291" s="252" t="str">
        <f t="shared" si="1"/>
        <v>PATIO-1-26</v>
      </c>
      <c r="E291" s="253">
        <v>45763.0</v>
      </c>
      <c r="F291" s="254" t="s">
        <v>781</v>
      </c>
      <c r="G291" s="255" t="s">
        <v>221</v>
      </c>
      <c r="H291" s="256" t="s">
        <v>222</v>
      </c>
      <c r="I291" s="257">
        <v>150.0</v>
      </c>
      <c r="J291" s="256" t="s">
        <v>22</v>
      </c>
      <c r="K291" s="154" t="str">
        <f t="shared" si="2"/>
        <v>OCUPADO</v>
      </c>
      <c r="L291" s="155">
        <f t="shared" si="12"/>
        <v>283</v>
      </c>
      <c r="M291" s="156" t="s">
        <v>23</v>
      </c>
      <c r="N291" s="156"/>
      <c r="O291" s="324" t="s">
        <v>24</v>
      </c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4"/>
      <c r="BF291" s="12"/>
      <c r="BG291" s="12"/>
      <c r="BH291" s="12"/>
      <c r="BI291" s="12"/>
      <c r="BJ291" s="16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4"/>
      <c r="BX291" s="14"/>
      <c r="BY291" s="14"/>
      <c r="BZ291" s="14"/>
      <c r="CA291" s="14"/>
      <c r="CB291" s="14"/>
      <c r="CC291" s="14"/>
      <c r="CD291" s="14"/>
      <c r="CE291" s="14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</row>
    <row r="292">
      <c r="A292" s="258" t="s">
        <v>254</v>
      </c>
      <c r="B292" s="259" t="s">
        <v>465</v>
      </c>
      <c r="C292" s="259" t="s">
        <v>629</v>
      </c>
      <c r="D292" s="260" t="str">
        <f t="shared" si="1"/>
        <v>R-8-B1</v>
      </c>
      <c r="E292" s="78">
        <v>45758.0</v>
      </c>
      <c r="F292" s="88" t="s">
        <v>782</v>
      </c>
      <c r="G292" s="80" t="s">
        <v>346</v>
      </c>
      <c r="H292" s="81" t="s">
        <v>347</v>
      </c>
      <c r="I292" s="82">
        <v>6.0</v>
      </c>
      <c r="J292" s="81" t="s">
        <v>478</v>
      </c>
      <c r="K292" s="27" t="str">
        <f t="shared" si="2"/>
        <v>OCUPADO</v>
      </c>
      <c r="L292" s="28">
        <f>IF(B281&lt;&gt;"", ROW(A281), "")
</f>
        <v>281</v>
      </c>
      <c r="M292" s="261" t="s">
        <v>724</v>
      </c>
      <c r="N292" s="264"/>
      <c r="O292" s="168" t="s">
        <v>270</v>
      </c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4"/>
      <c r="BF292" s="12"/>
      <c r="BG292" s="12"/>
      <c r="BH292" s="12" t="str">
        <f>IFERROR(__xludf.DUMMYFUNCTION("IFERROR(INDEX(QUERY(IMPORTRANGE(""1T7HG8KEs-Ob7f3M5atEVN9Yn7IeORGp0QGvggB62ELw"",""Maestro!A:I""),""SELECT Col8 WHERE Col3 = '""&amp;BE292&amp;""'"", 0), 1, 1),""NO ENCONTRADO"")"),"")</f>
        <v/>
      </c>
      <c r="BI292" s="12" t="str">
        <f>IFERROR(__xludf.DUMMYFUNCTION("IFERROR(INDEX(QUERY(IMPORTRANGE(""1T7HG8KEs-Ob7f3M5atEVN9Yn7IeORGp0QGvggB62ELw"",""Maestro!A:I""),""SELECT Col7 WHERE Col3 = '""&amp;BE292&amp;""'"", 0), 1, 1),""NO ENCONTRADO"")"),"")</f>
        <v/>
      </c>
      <c r="BJ292" s="16">
        <f t="shared" ref="BJ292:BJ295" si="13">IFERROR(ROUND(IF(BH292="D",BG292/BI292,BG292*BI292),0),1)</f>
        <v>0</v>
      </c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4"/>
      <c r="BX292" s="14"/>
      <c r="BY292" s="14"/>
      <c r="BZ292" s="14"/>
      <c r="CA292" s="14"/>
      <c r="CB292" s="14"/>
      <c r="CC292" s="14"/>
      <c r="CD292" s="14"/>
      <c r="CE292" s="14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</row>
    <row r="293">
      <c r="A293" s="258" t="s">
        <v>254</v>
      </c>
      <c r="B293" s="259" t="s">
        <v>465</v>
      </c>
      <c r="C293" s="259" t="s">
        <v>633</v>
      </c>
      <c r="D293" s="260" t="str">
        <f t="shared" si="1"/>
        <v>R-8-B2</v>
      </c>
      <c r="E293" s="72"/>
      <c r="F293" s="77"/>
      <c r="G293" s="325"/>
      <c r="H293" s="75"/>
      <c r="I293" s="76"/>
      <c r="J293" s="75"/>
      <c r="K293" s="32" t="str">
        <f t="shared" si="2"/>
        <v>DISPONIBLE</v>
      </c>
      <c r="L293" s="33">
        <f t="shared" ref="L293:L439" si="14">IF(B292&lt;&gt;"", ROW(A292), "")
</f>
        <v>292</v>
      </c>
      <c r="M293" s="261" t="s">
        <v>724</v>
      </c>
      <c r="N293" s="262"/>
      <c r="O293" s="169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4"/>
      <c r="BF293" s="12"/>
      <c r="BG293" s="12"/>
      <c r="BH293" s="12" t="str">
        <f>IFERROR(__xludf.DUMMYFUNCTION("IFERROR(INDEX(QUERY(IMPORTRANGE(""1T7HG8KEs-Ob7f3M5atEVN9Yn7IeORGp0QGvggB62ELw"",""Maestro!A:I""),""SELECT Col8 WHERE Col3 = '""&amp;BE293&amp;""'"", 0), 1, 1),""NO ENCONTRADO"")"),"")</f>
        <v/>
      </c>
      <c r="BI293" s="12" t="str">
        <f>IFERROR(__xludf.DUMMYFUNCTION("IFERROR(INDEX(QUERY(IMPORTRANGE(""1T7HG8KEs-Ob7f3M5atEVN9Yn7IeORGp0QGvggB62ELw"",""Maestro!A:I""),""SELECT Col7 WHERE Col3 = '""&amp;BE293&amp;""'"", 0), 1, 1),""NO ENCONTRADO"")"),"")</f>
        <v/>
      </c>
      <c r="BJ293" s="16">
        <f t="shared" si="13"/>
        <v>0</v>
      </c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4"/>
      <c r="BX293" s="14"/>
      <c r="BY293" s="14"/>
      <c r="BZ293" s="14"/>
      <c r="CA293" s="14"/>
      <c r="CB293" s="14"/>
      <c r="CC293" s="14"/>
      <c r="CD293" s="14"/>
      <c r="CE293" s="14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</row>
    <row r="294">
      <c r="A294" s="258" t="s">
        <v>254</v>
      </c>
      <c r="B294" s="259" t="s">
        <v>465</v>
      </c>
      <c r="C294" s="259" t="s">
        <v>635</v>
      </c>
      <c r="D294" s="260" t="str">
        <f t="shared" si="1"/>
        <v>R-8-B3</v>
      </c>
      <c r="E294" s="78">
        <v>45756.0</v>
      </c>
      <c r="F294" s="88" t="s">
        <v>783</v>
      </c>
      <c r="G294" s="80" t="s">
        <v>111</v>
      </c>
      <c r="H294" s="81" t="s">
        <v>112</v>
      </c>
      <c r="I294" s="82">
        <v>4.0</v>
      </c>
      <c r="J294" s="81" t="s">
        <v>478</v>
      </c>
      <c r="K294" s="27" t="str">
        <f t="shared" si="2"/>
        <v>OCUPADO</v>
      </c>
      <c r="L294" s="28">
        <f t="shared" si="14"/>
        <v>293</v>
      </c>
      <c r="M294" s="261" t="s">
        <v>724</v>
      </c>
      <c r="N294" s="264"/>
      <c r="O294" s="168" t="s">
        <v>270</v>
      </c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4"/>
      <c r="BF294" s="12"/>
      <c r="BG294" s="12"/>
      <c r="BH294" s="12" t="str">
        <f>IFERROR(__xludf.DUMMYFUNCTION("IFERROR(INDEX(QUERY(IMPORTRANGE(""1T7HG8KEs-Ob7f3M5atEVN9Yn7IeORGp0QGvggB62ELw"",""Maestro!A:I""),""SELECT Col8 WHERE Col3 = '""&amp;BE294&amp;""'"", 0), 1, 1),""NO ENCONTRADO"")"),"")</f>
        <v/>
      </c>
      <c r="BI294" s="12" t="str">
        <f>IFERROR(__xludf.DUMMYFUNCTION("IFERROR(INDEX(QUERY(IMPORTRANGE(""1T7HG8KEs-Ob7f3M5atEVN9Yn7IeORGp0QGvggB62ELw"",""Maestro!A:I""),""SELECT Col7 WHERE Col3 = '""&amp;BE294&amp;""'"", 0), 1, 1),""NO ENCONTRADO"")"),"")</f>
        <v/>
      </c>
      <c r="BJ294" s="16">
        <f t="shared" si="13"/>
        <v>0</v>
      </c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4"/>
      <c r="BX294" s="14"/>
      <c r="BY294" s="14"/>
      <c r="BZ294" s="14"/>
      <c r="CA294" s="14"/>
      <c r="CB294" s="14"/>
      <c r="CC294" s="14"/>
      <c r="CD294" s="14"/>
      <c r="CE294" s="14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</row>
    <row r="295">
      <c r="A295" s="258" t="s">
        <v>254</v>
      </c>
      <c r="B295" s="259" t="s">
        <v>465</v>
      </c>
      <c r="C295" s="259" t="s">
        <v>637</v>
      </c>
      <c r="D295" s="260" t="str">
        <f t="shared" si="1"/>
        <v>R-8-B4</v>
      </c>
      <c r="E295" s="78">
        <v>45756.0</v>
      </c>
      <c r="F295" s="88" t="s">
        <v>784</v>
      </c>
      <c r="G295" s="80" t="s">
        <v>80</v>
      </c>
      <c r="H295" s="81" t="s">
        <v>81</v>
      </c>
      <c r="I295" s="82">
        <v>1.0</v>
      </c>
      <c r="J295" s="81" t="s">
        <v>478</v>
      </c>
      <c r="K295" s="32" t="str">
        <f t="shared" si="2"/>
        <v>OCUPADO</v>
      </c>
      <c r="L295" s="33">
        <f t="shared" si="14"/>
        <v>294</v>
      </c>
      <c r="M295" s="261" t="s">
        <v>724</v>
      </c>
      <c r="N295" s="262"/>
      <c r="O295" s="169" t="s">
        <v>270</v>
      </c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4"/>
      <c r="BF295" s="12"/>
      <c r="BG295" s="12"/>
      <c r="BH295" s="12" t="str">
        <f>IFERROR(__xludf.DUMMYFUNCTION("IFERROR(INDEX(QUERY(IMPORTRANGE(""1T7HG8KEs-Ob7f3M5atEVN9Yn7IeORGp0QGvggB62ELw"",""Maestro!A:I""),""SELECT Col8 WHERE Col3 = '""&amp;BE295&amp;""'"", 0), 1, 1),""NO ENCONTRADO"")"),"")</f>
        <v/>
      </c>
      <c r="BI295" s="12" t="str">
        <f>IFERROR(__xludf.DUMMYFUNCTION("IFERROR(INDEX(QUERY(IMPORTRANGE(""1T7HG8KEs-Ob7f3M5atEVN9Yn7IeORGp0QGvggB62ELw"",""Maestro!A:I""),""SELECT Col7 WHERE Col3 = '""&amp;BE295&amp;""'"", 0), 1, 1),""NO ENCONTRADO"")"),"")</f>
        <v/>
      </c>
      <c r="BJ295" s="16">
        <f t="shared" si="13"/>
        <v>0</v>
      </c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4"/>
      <c r="BX295" s="14"/>
      <c r="BY295" s="14"/>
      <c r="BZ295" s="14"/>
      <c r="CA295" s="14"/>
      <c r="CB295" s="14"/>
      <c r="CC295" s="14"/>
      <c r="CD295" s="14"/>
      <c r="CE295" s="14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</row>
    <row r="296">
      <c r="A296" s="258" t="s">
        <v>254</v>
      </c>
      <c r="B296" s="259" t="s">
        <v>465</v>
      </c>
      <c r="C296" s="259" t="s">
        <v>589</v>
      </c>
      <c r="D296" s="260" t="str">
        <f t="shared" si="1"/>
        <v>R-8-B5</v>
      </c>
      <c r="E296" s="78">
        <v>45758.0</v>
      </c>
      <c r="F296" s="88" t="s">
        <v>785</v>
      </c>
      <c r="G296" s="80" t="s">
        <v>249</v>
      </c>
      <c r="H296" s="81" t="s">
        <v>250</v>
      </c>
      <c r="I296" s="82">
        <v>2.0</v>
      </c>
      <c r="J296" s="81" t="s">
        <v>478</v>
      </c>
      <c r="K296" s="27" t="str">
        <f t="shared" si="2"/>
        <v>OCUPADO</v>
      </c>
      <c r="L296" s="28">
        <f t="shared" si="14"/>
        <v>295</v>
      </c>
      <c r="M296" s="261" t="s">
        <v>724</v>
      </c>
      <c r="N296" s="264"/>
      <c r="O296" s="168" t="s">
        <v>270</v>
      </c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4"/>
      <c r="BF296" s="12"/>
      <c r="BG296" s="12"/>
      <c r="BH296" s="12"/>
      <c r="BI296" s="12"/>
      <c r="BJ296" s="16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4"/>
      <c r="BX296" s="14"/>
      <c r="BY296" s="14"/>
      <c r="BZ296" s="14"/>
      <c r="CA296" s="14"/>
      <c r="CB296" s="14"/>
      <c r="CC296" s="14"/>
      <c r="CD296" s="14"/>
      <c r="CE296" s="14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</row>
    <row r="297">
      <c r="A297" s="258" t="s">
        <v>254</v>
      </c>
      <c r="B297" s="259" t="s">
        <v>465</v>
      </c>
      <c r="C297" s="259" t="s">
        <v>639</v>
      </c>
      <c r="D297" s="260" t="str">
        <f t="shared" si="1"/>
        <v>R-8-B6</v>
      </c>
      <c r="E297" s="78">
        <v>45758.0</v>
      </c>
      <c r="F297" s="88" t="s">
        <v>786</v>
      </c>
      <c r="G297" s="80" t="s">
        <v>196</v>
      </c>
      <c r="H297" s="81" t="s">
        <v>197</v>
      </c>
      <c r="I297" s="82">
        <v>24.0</v>
      </c>
      <c r="J297" s="81" t="s">
        <v>478</v>
      </c>
      <c r="K297" s="32" t="str">
        <f t="shared" si="2"/>
        <v>OCUPADO</v>
      </c>
      <c r="L297" s="33">
        <f t="shared" si="14"/>
        <v>296</v>
      </c>
      <c r="M297" s="261" t="s">
        <v>724</v>
      </c>
      <c r="N297" s="262"/>
      <c r="O297" s="169" t="s">
        <v>270</v>
      </c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4"/>
      <c r="BF297" s="12"/>
      <c r="BG297" s="12"/>
      <c r="BH297" s="12" t="str">
        <f>IFERROR(__xludf.DUMMYFUNCTION("IFERROR(INDEX(QUERY(IMPORTRANGE(""1T7HG8KEs-Ob7f3M5atEVN9Yn7IeORGp0QGvggB62ELw"",""Maestro!A:I""),""SELECT Col8 WHERE Col3 = '""&amp;BE297&amp;""'"", 0), 1, 1),""NO ENCONTRADO"")"),"")</f>
        <v/>
      </c>
      <c r="BI297" s="12" t="str">
        <f>IFERROR(__xludf.DUMMYFUNCTION("IFERROR(INDEX(QUERY(IMPORTRANGE(""1T7HG8KEs-Ob7f3M5atEVN9Yn7IeORGp0QGvggB62ELw"",""Maestro!A:I""),""SELECT Col7 WHERE Col3 = '""&amp;BE297&amp;""'"", 0), 1, 1),""NO ENCONTRADO"")"),"")</f>
        <v/>
      </c>
      <c r="BJ297" s="16">
        <f t="shared" ref="BJ297:BJ936" si="15">IFERROR(ROUND(IF(BH297="D",BG297/BI297,BG297*BI297),0),1)</f>
        <v>0</v>
      </c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4"/>
      <c r="BX297" s="14"/>
      <c r="BY297" s="14"/>
      <c r="BZ297" s="14"/>
      <c r="CA297" s="14"/>
      <c r="CB297" s="14"/>
      <c r="CC297" s="14"/>
      <c r="CD297" s="14"/>
      <c r="CE297" s="14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</row>
    <row r="298">
      <c r="A298" s="258" t="s">
        <v>254</v>
      </c>
      <c r="B298" s="259" t="s">
        <v>465</v>
      </c>
      <c r="C298" s="259" t="s">
        <v>641</v>
      </c>
      <c r="D298" s="260" t="str">
        <f t="shared" si="1"/>
        <v>R-8-B7</v>
      </c>
      <c r="E298" s="78">
        <v>45758.0</v>
      </c>
      <c r="F298" s="88" t="s">
        <v>787</v>
      </c>
      <c r="G298" s="80" t="s">
        <v>87</v>
      </c>
      <c r="H298" s="81" t="s">
        <v>88</v>
      </c>
      <c r="I298" s="82">
        <v>8.0</v>
      </c>
      <c r="J298" s="81" t="s">
        <v>478</v>
      </c>
      <c r="K298" s="27" t="str">
        <f t="shared" si="2"/>
        <v>OCUPADO</v>
      </c>
      <c r="L298" s="28">
        <f t="shared" si="14"/>
        <v>297</v>
      </c>
      <c r="M298" s="261" t="s">
        <v>724</v>
      </c>
      <c r="N298" s="264"/>
      <c r="O298" s="168" t="s">
        <v>270</v>
      </c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4"/>
      <c r="BF298" s="12"/>
      <c r="BG298" s="12"/>
      <c r="BH298" s="12" t="str">
        <f>IFERROR(__xludf.DUMMYFUNCTION("IFERROR(INDEX(QUERY(IMPORTRANGE(""1T7HG8KEs-Ob7f3M5atEVN9Yn7IeORGp0QGvggB62ELw"",""Maestro!A:I""),""SELECT Col8 WHERE Col3 = '""&amp;BE298&amp;""'"", 0), 1, 1),""NO ENCONTRADO"")"),"")</f>
        <v/>
      </c>
      <c r="BI298" s="12" t="str">
        <f>IFERROR(__xludf.DUMMYFUNCTION("IFERROR(INDEX(QUERY(IMPORTRANGE(""1T7HG8KEs-Ob7f3M5atEVN9Yn7IeORGp0QGvggB62ELw"",""Maestro!A:I""),""SELECT Col7 WHERE Col3 = '""&amp;BE298&amp;""'"", 0), 1, 1),""NO ENCONTRADO"")"),"")</f>
        <v/>
      </c>
      <c r="BJ298" s="16">
        <f t="shared" si="15"/>
        <v>0</v>
      </c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4"/>
      <c r="BX298" s="14"/>
      <c r="BY298" s="14"/>
      <c r="BZ298" s="14"/>
      <c r="CA298" s="14"/>
      <c r="CB298" s="14"/>
      <c r="CC298" s="14"/>
      <c r="CD298" s="14"/>
      <c r="CE298" s="14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</row>
    <row r="299">
      <c r="A299" s="258" t="s">
        <v>254</v>
      </c>
      <c r="B299" s="259" t="s">
        <v>465</v>
      </c>
      <c r="C299" s="259" t="s">
        <v>591</v>
      </c>
      <c r="D299" s="260" t="str">
        <f t="shared" si="1"/>
        <v>R-8-B8</v>
      </c>
      <c r="E299" s="78">
        <v>45699.0</v>
      </c>
      <c r="F299" s="88" t="s">
        <v>788</v>
      </c>
      <c r="G299" s="80" t="s">
        <v>301</v>
      </c>
      <c r="H299" s="81" t="s">
        <v>302</v>
      </c>
      <c r="I299" s="82">
        <v>4.0</v>
      </c>
      <c r="J299" s="81" t="s">
        <v>463</v>
      </c>
      <c r="K299" s="32" t="str">
        <f t="shared" si="2"/>
        <v>OCUPADO</v>
      </c>
      <c r="L299" s="33">
        <f t="shared" si="14"/>
        <v>298</v>
      </c>
      <c r="M299" s="261" t="s">
        <v>724</v>
      </c>
      <c r="N299" s="262"/>
      <c r="O299" s="169" t="s">
        <v>270</v>
      </c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4"/>
      <c r="BF299" s="12"/>
      <c r="BG299" s="12"/>
      <c r="BH299" s="12" t="str">
        <f>IFERROR(__xludf.DUMMYFUNCTION("IFERROR(INDEX(QUERY(IMPORTRANGE(""1T7HG8KEs-Ob7f3M5atEVN9Yn7IeORGp0QGvggB62ELw"",""Maestro!A:I""),""SELECT Col8 WHERE Col3 = '""&amp;BE299&amp;""'"", 0), 1, 1),""NO ENCONTRADO"")"),"")</f>
        <v/>
      </c>
      <c r="BI299" s="12" t="str">
        <f>IFERROR(__xludf.DUMMYFUNCTION("IFERROR(INDEX(QUERY(IMPORTRANGE(""1T7HG8KEs-Ob7f3M5atEVN9Yn7IeORGp0QGvggB62ELw"",""Maestro!A:I""),""SELECT Col7 WHERE Col3 = '""&amp;BE299&amp;""'"", 0), 1, 1),""NO ENCONTRADO"")"),"")</f>
        <v/>
      </c>
      <c r="BJ299" s="16">
        <f t="shared" si="15"/>
        <v>0</v>
      </c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4"/>
      <c r="BX299" s="14"/>
      <c r="BY299" s="14"/>
      <c r="BZ299" s="14"/>
      <c r="CA299" s="14"/>
      <c r="CB299" s="14"/>
      <c r="CC299" s="14"/>
      <c r="CD299" s="14"/>
      <c r="CE299" s="14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</row>
    <row r="300">
      <c r="A300" s="258" t="s">
        <v>254</v>
      </c>
      <c r="B300" s="259" t="s">
        <v>465</v>
      </c>
      <c r="C300" s="259" t="s">
        <v>643</v>
      </c>
      <c r="D300" s="260" t="str">
        <f t="shared" si="1"/>
        <v>R-8-B9</v>
      </c>
      <c r="E300" s="78">
        <v>45735.0</v>
      </c>
      <c r="F300" s="88" t="s">
        <v>786</v>
      </c>
      <c r="G300" s="80" t="s">
        <v>238</v>
      </c>
      <c r="H300" s="81" t="s">
        <v>239</v>
      </c>
      <c r="I300" s="82">
        <v>1.0</v>
      </c>
      <c r="J300" s="81" t="s">
        <v>478</v>
      </c>
      <c r="K300" s="27" t="str">
        <f t="shared" si="2"/>
        <v>OCUPADO</v>
      </c>
      <c r="L300" s="28">
        <f t="shared" si="14"/>
        <v>299</v>
      </c>
      <c r="M300" s="261" t="s">
        <v>724</v>
      </c>
      <c r="N300" s="264"/>
      <c r="O300" s="168" t="s">
        <v>270</v>
      </c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4"/>
      <c r="BF300" s="12"/>
      <c r="BG300" s="12"/>
      <c r="BH300" s="12" t="str">
        <f>IFERROR(__xludf.DUMMYFUNCTION("IFERROR(INDEX(QUERY(IMPORTRANGE(""1T7HG8KEs-Ob7f3M5atEVN9Yn7IeORGp0QGvggB62ELw"",""Maestro!A:I""),""SELECT Col8 WHERE Col3 = '""&amp;BE300&amp;""'"", 0), 1, 1),""NO ENCONTRADO"")"),"")</f>
        <v/>
      </c>
      <c r="BI300" s="12" t="str">
        <f>IFERROR(__xludf.DUMMYFUNCTION("IFERROR(INDEX(QUERY(IMPORTRANGE(""1T7HG8KEs-Ob7f3M5atEVN9Yn7IeORGp0QGvggB62ELw"",""Maestro!A:I""),""SELECT Col7 WHERE Col3 = '""&amp;BE300&amp;""'"", 0), 1, 1),""NO ENCONTRADO"")"),"")</f>
        <v/>
      </c>
      <c r="BJ300" s="16">
        <f t="shared" si="15"/>
        <v>0</v>
      </c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4"/>
      <c r="BX300" s="14"/>
      <c r="BY300" s="14"/>
      <c r="BZ300" s="14"/>
      <c r="CA300" s="14"/>
      <c r="CB300" s="14"/>
      <c r="CC300" s="14"/>
      <c r="CD300" s="14"/>
      <c r="CE300" s="14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</row>
    <row r="301">
      <c r="A301" s="258" t="s">
        <v>254</v>
      </c>
      <c r="B301" s="259" t="s">
        <v>465</v>
      </c>
      <c r="C301" s="259" t="s">
        <v>631</v>
      </c>
      <c r="D301" s="260" t="str">
        <f t="shared" si="1"/>
        <v>R-8-B10</v>
      </c>
      <c r="E301" s="78">
        <v>45744.0</v>
      </c>
      <c r="F301" s="88" t="s">
        <v>731</v>
      </c>
      <c r="G301" s="80" t="s">
        <v>320</v>
      </c>
      <c r="H301" s="81" t="s">
        <v>321</v>
      </c>
      <c r="I301" s="82">
        <v>11.0</v>
      </c>
      <c r="J301" s="81" t="s">
        <v>478</v>
      </c>
      <c r="K301" s="32" t="str">
        <f t="shared" si="2"/>
        <v>OCUPADO</v>
      </c>
      <c r="L301" s="33">
        <f t="shared" si="14"/>
        <v>300</v>
      </c>
      <c r="M301" s="261" t="s">
        <v>724</v>
      </c>
      <c r="N301" s="262"/>
      <c r="O301" s="169" t="s">
        <v>270</v>
      </c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4"/>
      <c r="BF301" s="12"/>
      <c r="BG301" s="12"/>
      <c r="BH301" s="12" t="str">
        <f>IFERROR(__xludf.DUMMYFUNCTION("IFERROR(INDEX(QUERY(IMPORTRANGE(""1T7HG8KEs-Ob7f3M5atEVN9Yn7IeORGp0QGvggB62ELw"",""Maestro!A:I""),""SELECT Col8 WHERE Col3 = '""&amp;BE301&amp;""'"", 0), 1, 1),""NO ENCONTRADO"")"),"")</f>
        <v/>
      </c>
      <c r="BI301" s="12" t="str">
        <f>IFERROR(__xludf.DUMMYFUNCTION("IFERROR(INDEX(QUERY(IMPORTRANGE(""1T7HG8KEs-Ob7f3M5atEVN9Yn7IeORGp0QGvggB62ELw"",""Maestro!A:I""),""SELECT Col7 WHERE Col3 = '""&amp;BE301&amp;""'"", 0), 1, 1),""NO ENCONTRADO"")"),"")</f>
        <v/>
      </c>
      <c r="BJ301" s="16">
        <f t="shared" si="15"/>
        <v>0</v>
      </c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4"/>
      <c r="BX301" s="14"/>
      <c r="BY301" s="14"/>
      <c r="BZ301" s="14"/>
      <c r="CA301" s="14"/>
      <c r="CB301" s="14"/>
      <c r="CC301" s="14"/>
      <c r="CD301" s="14"/>
      <c r="CE301" s="14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</row>
    <row r="302">
      <c r="A302" s="258" t="s">
        <v>254</v>
      </c>
      <c r="B302" s="259" t="s">
        <v>465</v>
      </c>
      <c r="C302" s="259" t="s">
        <v>571</v>
      </c>
      <c r="D302" s="260" t="str">
        <f t="shared" si="1"/>
        <v>R-8-B11</v>
      </c>
      <c r="E302" s="78">
        <v>45737.0</v>
      </c>
      <c r="F302" s="88" t="s">
        <v>786</v>
      </c>
      <c r="G302" s="80" t="s">
        <v>294</v>
      </c>
      <c r="H302" s="81" t="s">
        <v>295</v>
      </c>
      <c r="I302" s="82">
        <v>3.0</v>
      </c>
      <c r="J302" s="81" t="s">
        <v>478</v>
      </c>
      <c r="K302" s="27" t="str">
        <f t="shared" si="2"/>
        <v>OCUPADO</v>
      </c>
      <c r="L302" s="28">
        <f t="shared" si="14"/>
        <v>301</v>
      </c>
      <c r="M302" s="261" t="s">
        <v>724</v>
      </c>
      <c r="N302" s="264"/>
      <c r="O302" s="168" t="s">
        <v>270</v>
      </c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4"/>
      <c r="BF302" s="12"/>
      <c r="BG302" s="12"/>
      <c r="BH302" s="12" t="str">
        <f>IFERROR(__xludf.DUMMYFUNCTION("IFERROR(INDEX(QUERY(IMPORTRANGE(""1T7HG8KEs-Ob7f3M5atEVN9Yn7IeORGp0QGvggB62ELw"",""Maestro!A:I""),""SELECT Col8 WHERE Col3 = '""&amp;BE302&amp;""'"", 0), 1, 1),""NO ENCONTRADO"")"),"")</f>
        <v/>
      </c>
      <c r="BI302" s="12" t="str">
        <f>IFERROR(__xludf.DUMMYFUNCTION("IFERROR(INDEX(QUERY(IMPORTRANGE(""1T7HG8KEs-Ob7f3M5atEVN9Yn7IeORGp0QGvggB62ELw"",""Maestro!A:I""),""SELECT Col7 WHERE Col3 = '""&amp;BE302&amp;""'"", 0), 1, 1),""NO ENCONTRADO"")"),"")</f>
        <v/>
      </c>
      <c r="BJ302" s="16">
        <f t="shared" si="15"/>
        <v>0</v>
      </c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4"/>
      <c r="BX302" s="14"/>
      <c r="BY302" s="14"/>
      <c r="BZ302" s="14"/>
      <c r="CA302" s="14"/>
      <c r="CB302" s="14"/>
      <c r="CC302" s="14"/>
      <c r="CD302" s="14"/>
      <c r="CE302" s="14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</row>
    <row r="303">
      <c r="A303" s="258" t="s">
        <v>254</v>
      </c>
      <c r="B303" s="259" t="s">
        <v>465</v>
      </c>
      <c r="C303" s="259" t="s">
        <v>574</v>
      </c>
      <c r="D303" s="260" t="str">
        <f t="shared" si="1"/>
        <v>R-8-B12</v>
      </c>
      <c r="E303" s="72"/>
      <c r="F303" s="77"/>
      <c r="G303" s="265"/>
      <c r="H303" s="75"/>
      <c r="I303" s="76"/>
      <c r="J303" s="75"/>
      <c r="K303" s="32" t="str">
        <f t="shared" si="2"/>
        <v>DISPONIBLE</v>
      </c>
      <c r="L303" s="33">
        <f t="shared" si="14"/>
        <v>302</v>
      </c>
      <c r="M303" s="261" t="s">
        <v>724</v>
      </c>
      <c r="N303" s="262"/>
      <c r="O303" s="267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4"/>
      <c r="BF303" s="12"/>
      <c r="BG303" s="12"/>
      <c r="BH303" s="12" t="str">
        <f>IFERROR(__xludf.DUMMYFUNCTION("IFERROR(INDEX(QUERY(IMPORTRANGE(""1T7HG8KEs-Ob7f3M5atEVN9Yn7IeORGp0QGvggB62ELw"",""Maestro!A:I""),""SELECT Col8 WHERE Col3 = '""&amp;BE303&amp;""'"", 0), 1, 1),""NO ENCONTRADO"")"),"")</f>
        <v/>
      </c>
      <c r="BI303" s="12" t="str">
        <f>IFERROR(__xludf.DUMMYFUNCTION("IFERROR(INDEX(QUERY(IMPORTRANGE(""1T7HG8KEs-Ob7f3M5atEVN9Yn7IeORGp0QGvggB62ELw"",""Maestro!A:I""),""SELECT Col7 WHERE Col3 = '""&amp;BE303&amp;""'"", 0), 1, 1),""NO ENCONTRADO"")"),"")</f>
        <v/>
      </c>
      <c r="BJ303" s="16">
        <f t="shared" si="15"/>
        <v>0</v>
      </c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4"/>
      <c r="BX303" s="14"/>
      <c r="BY303" s="14"/>
      <c r="BZ303" s="14"/>
      <c r="CA303" s="14"/>
      <c r="CB303" s="14"/>
      <c r="CC303" s="14"/>
      <c r="CD303" s="14"/>
      <c r="CE303" s="14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</row>
    <row r="304">
      <c r="A304" s="258" t="s">
        <v>254</v>
      </c>
      <c r="B304" s="259" t="s">
        <v>465</v>
      </c>
      <c r="C304" s="259" t="s">
        <v>578</v>
      </c>
      <c r="D304" s="260" t="str">
        <f t="shared" si="1"/>
        <v>R-8-B13</v>
      </c>
      <c r="E304" s="72"/>
      <c r="F304" s="77"/>
      <c r="G304" s="265"/>
      <c r="H304" s="75"/>
      <c r="I304" s="76"/>
      <c r="J304" s="75"/>
      <c r="K304" s="27" t="str">
        <f t="shared" si="2"/>
        <v>DISPONIBLE</v>
      </c>
      <c r="L304" s="28">
        <f t="shared" si="14"/>
        <v>303</v>
      </c>
      <c r="M304" s="261" t="s">
        <v>724</v>
      </c>
      <c r="N304" s="264"/>
      <c r="O304" s="266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4"/>
      <c r="BF304" s="12"/>
      <c r="BG304" s="12"/>
      <c r="BH304" s="12" t="str">
        <f>IFERROR(__xludf.DUMMYFUNCTION("IFERROR(INDEX(QUERY(IMPORTRANGE(""1T7HG8KEs-Ob7f3M5atEVN9Yn7IeORGp0QGvggB62ELw"",""Maestro!A:I""),""SELECT Col8 WHERE Col3 = '""&amp;BE304&amp;""'"", 0), 1, 1),""NO ENCONTRADO"")"),"")</f>
        <v/>
      </c>
      <c r="BI304" s="12" t="str">
        <f>IFERROR(__xludf.DUMMYFUNCTION("IFERROR(INDEX(QUERY(IMPORTRANGE(""1T7HG8KEs-Ob7f3M5atEVN9Yn7IeORGp0QGvggB62ELw"",""Maestro!A:I""),""SELECT Col7 WHERE Col3 = '""&amp;BE304&amp;""'"", 0), 1, 1),""NO ENCONTRADO"")"),"")</f>
        <v/>
      </c>
      <c r="BJ304" s="16">
        <f t="shared" si="15"/>
        <v>0</v>
      </c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4"/>
      <c r="BX304" s="14"/>
      <c r="BY304" s="14"/>
      <c r="BZ304" s="14"/>
      <c r="CA304" s="14"/>
      <c r="CB304" s="14"/>
      <c r="CC304" s="14"/>
      <c r="CD304" s="14"/>
      <c r="CE304" s="14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</row>
    <row r="305">
      <c r="A305" s="258" t="s">
        <v>254</v>
      </c>
      <c r="B305" s="259" t="s">
        <v>465</v>
      </c>
      <c r="C305" s="259" t="s">
        <v>581</v>
      </c>
      <c r="D305" s="260" t="str">
        <f t="shared" si="1"/>
        <v>R-8-B14</v>
      </c>
      <c r="E305" s="72"/>
      <c r="F305" s="77"/>
      <c r="G305" s="265"/>
      <c r="H305" s="75"/>
      <c r="I305" s="76"/>
      <c r="J305" s="75"/>
      <c r="K305" s="32" t="str">
        <f t="shared" si="2"/>
        <v>DISPONIBLE</v>
      </c>
      <c r="L305" s="33">
        <f t="shared" si="14"/>
        <v>304</v>
      </c>
      <c r="M305" s="261" t="s">
        <v>724</v>
      </c>
      <c r="N305" s="262"/>
      <c r="O305" s="267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4"/>
      <c r="BF305" s="12"/>
      <c r="BG305" s="12"/>
      <c r="BH305" s="12" t="str">
        <f>IFERROR(__xludf.DUMMYFUNCTION("IFERROR(INDEX(QUERY(IMPORTRANGE(""1T7HG8KEs-Ob7f3M5atEVN9Yn7IeORGp0QGvggB62ELw"",""Maestro!A:I""),""SELECT Col8 WHERE Col3 = '""&amp;BE305&amp;""'"", 0), 1, 1),""NO ENCONTRADO"")"),"")</f>
        <v/>
      </c>
      <c r="BI305" s="12" t="str">
        <f>IFERROR(__xludf.DUMMYFUNCTION("IFERROR(INDEX(QUERY(IMPORTRANGE(""1T7HG8KEs-Ob7f3M5atEVN9Yn7IeORGp0QGvggB62ELw"",""Maestro!A:I""),""SELECT Col7 WHERE Col3 = '""&amp;BE305&amp;""'"", 0), 1, 1),""NO ENCONTRADO"")"),"")</f>
        <v/>
      </c>
      <c r="BJ305" s="16">
        <f t="shared" si="15"/>
        <v>0</v>
      </c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4"/>
      <c r="BX305" s="14"/>
      <c r="BY305" s="14"/>
      <c r="BZ305" s="14"/>
      <c r="CA305" s="14"/>
      <c r="CB305" s="14"/>
      <c r="CC305" s="14"/>
      <c r="CD305" s="14"/>
      <c r="CE305" s="14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</row>
    <row r="306">
      <c r="A306" s="258" t="s">
        <v>254</v>
      </c>
      <c r="B306" s="259" t="s">
        <v>465</v>
      </c>
      <c r="C306" s="259" t="s">
        <v>584</v>
      </c>
      <c r="D306" s="260" t="str">
        <f t="shared" si="1"/>
        <v>R-8-B15</v>
      </c>
      <c r="E306" s="72"/>
      <c r="F306" s="77"/>
      <c r="G306" s="265"/>
      <c r="H306" s="75"/>
      <c r="I306" s="76"/>
      <c r="J306" s="75"/>
      <c r="K306" s="27" t="str">
        <f t="shared" si="2"/>
        <v>DISPONIBLE</v>
      </c>
      <c r="L306" s="28">
        <f t="shared" si="14"/>
        <v>305</v>
      </c>
      <c r="M306" s="261" t="s">
        <v>724</v>
      </c>
      <c r="N306" s="264"/>
      <c r="O306" s="266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4"/>
      <c r="BF306" s="12"/>
      <c r="BG306" s="12"/>
      <c r="BH306" s="12" t="str">
        <f>IFERROR(__xludf.DUMMYFUNCTION("IFERROR(INDEX(QUERY(IMPORTRANGE(""1T7HG8KEs-Ob7f3M5atEVN9Yn7IeORGp0QGvggB62ELw"",""Maestro!A:I""),""SELECT Col8 WHERE Col3 = '""&amp;BE306&amp;""'"", 0), 1, 1),""NO ENCONTRADO"")"),"")</f>
        <v/>
      </c>
      <c r="BI306" s="12" t="str">
        <f>IFERROR(__xludf.DUMMYFUNCTION("IFERROR(INDEX(QUERY(IMPORTRANGE(""1T7HG8KEs-Ob7f3M5atEVN9Yn7IeORGp0QGvggB62ELw"",""Maestro!A:I""),""SELECT Col7 WHERE Col3 = '""&amp;BE306&amp;""'"", 0), 1, 1),""NO ENCONTRADO"")"),"")</f>
        <v/>
      </c>
      <c r="BJ306" s="16">
        <f t="shared" si="15"/>
        <v>0</v>
      </c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4"/>
      <c r="BX306" s="14"/>
      <c r="BY306" s="14"/>
      <c r="BZ306" s="14"/>
      <c r="CA306" s="14"/>
      <c r="CB306" s="14"/>
      <c r="CC306" s="14"/>
      <c r="CD306" s="14"/>
      <c r="CE306" s="14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</row>
    <row r="307">
      <c r="A307" s="268" t="s">
        <v>254</v>
      </c>
      <c r="B307" s="269" t="s">
        <v>465</v>
      </c>
      <c r="C307" s="269" t="s">
        <v>587</v>
      </c>
      <c r="D307" s="270" t="str">
        <f t="shared" si="1"/>
        <v>R-8-B16</v>
      </c>
      <c r="E307" s="234"/>
      <c r="F307" s="235"/>
      <c r="G307" s="271"/>
      <c r="H307" s="239"/>
      <c r="I307" s="272"/>
      <c r="J307" s="239"/>
      <c r="K307" s="154" t="str">
        <f t="shared" si="2"/>
        <v>DISPONIBLE</v>
      </c>
      <c r="L307" s="155">
        <f t="shared" si="14"/>
        <v>306</v>
      </c>
      <c r="M307" s="273" t="s">
        <v>724</v>
      </c>
      <c r="N307" s="156"/>
      <c r="O307" s="157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4"/>
      <c r="BF307" s="12"/>
      <c r="BG307" s="12"/>
      <c r="BH307" s="12" t="str">
        <f>IFERROR(__xludf.DUMMYFUNCTION("IFERROR(INDEX(QUERY(IMPORTRANGE(""1T7HG8KEs-Ob7f3M5atEVN9Yn7IeORGp0QGvggB62ELw"",""Maestro!A:I""),""SELECT Col8 WHERE Col3 = '""&amp;BE307&amp;""'"", 0), 1, 1),""NO ENCONTRADO"")"),"")</f>
        <v/>
      </c>
      <c r="BI307" s="12" t="str">
        <f>IFERROR(__xludf.DUMMYFUNCTION("IFERROR(INDEX(QUERY(IMPORTRANGE(""1T7HG8KEs-Ob7f3M5atEVN9Yn7IeORGp0QGvggB62ELw"",""Maestro!A:I""),""SELECT Col7 WHERE Col3 = '""&amp;BE307&amp;""'"", 0), 1, 1),""NO ENCONTRADO"")"),"")</f>
        <v/>
      </c>
      <c r="BJ307" s="16">
        <f t="shared" si="15"/>
        <v>0</v>
      </c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4"/>
      <c r="BX307" s="14"/>
      <c r="BY307" s="14"/>
      <c r="BZ307" s="14"/>
      <c r="CA307" s="14"/>
      <c r="CB307" s="14"/>
      <c r="CC307" s="14"/>
      <c r="CD307" s="14"/>
      <c r="CE307" s="14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</row>
    <row r="308">
      <c r="A308" s="274" t="s">
        <v>645</v>
      </c>
      <c r="B308" s="275" t="s">
        <v>18</v>
      </c>
      <c r="C308" s="275" t="s">
        <v>18</v>
      </c>
      <c r="D308" s="276" t="str">
        <f t="shared" si="1"/>
        <v>T-1-1</v>
      </c>
      <c r="E308" s="78">
        <v>45723.0</v>
      </c>
      <c r="F308" s="88" t="s">
        <v>789</v>
      </c>
      <c r="G308" s="80" t="s">
        <v>80</v>
      </c>
      <c r="H308" s="81" t="s">
        <v>81</v>
      </c>
      <c r="I308" s="82">
        <v>2.0</v>
      </c>
      <c r="J308" s="81" t="s">
        <v>463</v>
      </c>
      <c r="K308" s="27" t="str">
        <f t="shared" si="2"/>
        <v>OCUPADO</v>
      </c>
      <c r="L308" s="28">
        <f t="shared" si="14"/>
        <v>307</v>
      </c>
      <c r="M308" s="28" t="s">
        <v>733</v>
      </c>
      <c r="N308" s="109"/>
      <c r="O308" s="168" t="s">
        <v>270</v>
      </c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4"/>
      <c r="BF308" s="12"/>
      <c r="BG308" s="12"/>
      <c r="BH308" s="12" t="str">
        <f>IFERROR(__xludf.DUMMYFUNCTION("IFERROR(INDEX(QUERY(IMPORTRANGE(""1T7HG8KEs-Ob7f3M5atEVN9Yn7IeORGp0QGvggB62ELw"",""Maestro!A:I""),""SELECT Col8 WHERE Col3 = '""&amp;BE308&amp;""'"", 0), 1, 1),""NO ENCONTRADO"")"),"")</f>
        <v/>
      </c>
      <c r="BI308" s="12" t="str">
        <f>IFERROR(__xludf.DUMMYFUNCTION("IFERROR(INDEX(QUERY(IMPORTRANGE(""1T7HG8KEs-Ob7f3M5atEVN9Yn7IeORGp0QGvggB62ELw"",""Maestro!A:I""),""SELECT Col7 WHERE Col3 = '""&amp;BE308&amp;""'"", 0), 1, 1),""NO ENCONTRADO"")"),"")</f>
        <v/>
      </c>
      <c r="BJ308" s="16">
        <f t="shared" si="15"/>
        <v>0</v>
      </c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4"/>
      <c r="BX308" s="14"/>
      <c r="BY308" s="14"/>
      <c r="BZ308" s="14"/>
      <c r="CA308" s="14"/>
      <c r="CB308" s="14"/>
      <c r="CC308" s="14"/>
      <c r="CD308" s="14"/>
      <c r="CE308" s="14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</row>
    <row r="309">
      <c r="A309" s="274" t="s">
        <v>645</v>
      </c>
      <c r="B309" s="275" t="s">
        <v>18</v>
      </c>
      <c r="C309" s="275" t="s">
        <v>32</v>
      </c>
      <c r="D309" s="276" t="str">
        <f t="shared" si="1"/>
        <v>T-1-2</v>
      </c>
      <c r="E309" s="78">
        <v>45726.0</v>
      </c>
      <c r="F309" s="88" t="s">
        <v>772</v>
      </c>
      <c r="G309" s="80" t="s">
        <v>111</v>
      </c>
      <c r="H309" s="81" t="s">
        <v>112</v>
      </c>
      <c r="I309" s="82">
        <v>5.0</v>
      </c>
      <c r="J309" s="81" t="s">
        <v>43</v>
      </c>
      <c r="K309" s="32" t="str">
        <f t="shared" si="2"/>
        <v>OCUPADO</v>
      </c>
      <c r="L309" s="33">
        <f t="shared" si="14"/>
        <v>308</v>
      </c>
      <c r="M309" s="33" t="s">
        <v>733</v>
      </c>
      <c r="N309" s="122"/>
      <c r="O309" s="169" t="s">
        <v>270</v>
      </c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4"/>
      <c r="BF309" s="12"/>
      <c r="BG309" s="12"/>
      <c r="BH309" s="12" t="str">
        <f>IFERROR(__xludf.DUMMYFUNCTION("IFERROR(INDEX(QUERY(IMPORTRANGE(""1T7HG8KEs-Ob7f3M5atEVN9Yn7IeORGp0QGvggB62ELw"",""Maestro!A:I""),""SELECT Col8 WHERE Col3 = '""&amp;BE309&amp;""'"", 0), 1, 1),""NO ENCONTRADO"")"),"")</f>
        <v/>
      </c>
      <c r="BI309" s="12" t="str">
        <f>IFERROR(__xludf.DUMMYFUNCTION("IFERROR(INDEX(QUERY(IMPORTRANGE(""1T7HG8KEs-Ob7f3M5atEVN9Yn7IeORGp0QGvggB62ELw"",""Maestro!A:I""),""SELECT Col7 WHERE Col3 = '""&amp;BE309&amp;""'"", 0), 1, 1),""NO ENCONTRADO"")"),"")</f>
        <v/>
      </c>
      <c r="BJ309" s="16">
        <f t="shared" si="15"/>
        <v>0</v>
      </c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4"/>
      <c r="BX309" s="14"/>
      <c r="BY309" s="14"/>
      <c r="BZ309" s="14"/>
      <c r="CA309" s="14"/>
      <c r="CB309" s="14"/>
      <c r="CC309" s="14"/>
      <c r="CD309" s="14"/>
      <c r="CE309" s="14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</row>
    <row r="310">
      <c r="A310" s="274" t="s">
        <v>645</v>
      </c>
      <c r="B310" s="275" t="s">
        <v>18</v>
      </c>
      <c r="C310" s="275" t="s">
        <v>44</v>
      </c>
      <c r="D310" s="276" t="str">
        <f t="shared" si="1"/>
        <v>T-1-3</v>
      </c>
      <c r="E310" s="78">
        <v>45735.0</v>
      </c>
      <c r="F310" s="88" t="s">
        <v>19</v>
      </c>
      <c r="G310" s="80" t="s">
        <v>87</v>
      </c>
      <c r="H310" s="81" t="s">
        <v>88</v>
      </c>
      <c r="I310" s="82">
        <v>6.0</v>
      </c>
      <c r="J310" s="81" t="s">
        <v>43</v>
      </c>
      <c r="K310" s="27" t="str">
        <f t="shared" si="2"/>
        <v>OCUPADO</v>
      </c>
      <c r="L310" s="28">
        <f t="shared" si="14"/>
        <v>309</v>
      </c>
      <c r="M310" s="28" t="s">
        <v>733</v>
      </c>
      <c r="N310" s="109"/>
      <c r="O310" s="168" t="s">
        <v>270</v>
      </c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4"/>
      <c r="BF310" s="12"/>
      <c r="BG310" s="12"/>
      <c r="BH310" s="12" t="str">
        <f>IFERROR(__xludf.DUMMYFUNCTION("IFERROR(INDEX(QUERY(IMPORTRANGE(""1T7HG8KEs-Ob7f3M5atEVN9Yn7IeORGp0QGvggB62ELw"",""Maestro!A:I""),""SELECT Col8 WHERE Col3 = '""&amp;BE310&amp;""'"", 0), 1, 1),""NO ENCONTRADO"")"),"")</f>
        <v/>
      </c>
      <c r="BI310" s="12" t="str">
        <f>IFERROR(__xludf.DUMMYFUNCTION("IFERROR(INDEX(QUERY(IMPORTRANGE(""1T7HG8KEs-Ob7f3M5atEVN9Yn7IeORGp0QGvggB62ELw"",""Maestro!A:I""),""SELECT Col7 WHERE Col3 = '""&amp;BE310&amp;""'"", 0), 1, 1),""NO ENCONTRADO"")"),"")</f>
        <v/>
      </c>
      <c r="BJ310" s="16">
        <f t="shared" si="15"/>
        <v>0</v>
      </c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4"/>
      <c r="BX310" s="14"/>
      <c r="BY310" s="14"/>
      <c r="BZ310" s="14"/>
      <c r="CA310" s="14"/>
      <c r="CB310" s="14"/>
      <c r="CC310" s="14"/>
      <c r="CD310" s="14"/>
      <c r="CE310" s="14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</row>
    <row r="311">
      <c r="A311" s="274" t="s">
        <v>645</v>
      </c>
      <c r="B311" s="275" t="s">
        <v>18</v>
      </c>
      <c r="C311" s="275" t="s">
        <v>53</v>
      </c>
      <c r="D311" s="276" t="str">
        <f t="shared" si="1"/>
        <v>T-1-4</v>
      </c>
      <c r="E311" s="78">
        <v>45758.0</v>
      </c>
      <c r="F311" s="88" t="s">
        <v>790</v>
      </c>
      <c r="G311" s="80" t="s">
        <v>196</v>
      </c>
      <c r="H311" s="81" t="s">
        <v>197</v>
      </c>
      <c r="I311" s="82">
        <v>8.0</v>
      </c>
      <c r="J311" s="81" t="s">
        <v>43</v>
      </c>
      <c r="K311" s="32" t="str">
        <f t="shared" si="2"/>
        <v>OCUPADO</v>
      </c>
      <c r="L311" s="33">
        <f t="shared" si="14"/>
        <v>310</v>
      </c>
      <c r="M311" s="33" t="s">
        <v>733</v>
      </c>
      <c r="N311" s="122"/>
      <c r="O311" s="169" t="s">
        <v>270</v>
      </c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4"/>
      <c r="BF311" s="12"/>
      <c r="BG311" s="12"/>
      <c r="BH311" s="12" t="str">
        <f>IFERROR(__xludf.DUMMYFUNCTION("IFERROR(INDEX(QUERY(IMPORTRANGE(""1T7HG8KEs-Ob7f3M5atEVN9Yn7IeORGp0QGvggB62ELw"",""Maestro!A:I""),""SELECT Col8 WHERE Col3 = '""&amp;BE311&amp;""'"", 0), 1, 1),""NO ENCONTRADO"")"),"")</f>
        <v/>
      </c>
      <c r="BI311" s="12" t="str">
        <f>IFERROR(__xludf.DUMMYFUNCTION("IFERROR(INDEX(QUERY(IMPORTRANGE(""1T7HG8KEs-Ob7f3M5atEVN9Yn7IeORGp0QGvggB62ELw"",""Maestro!A:I""),""SELECT Col7 WHERE Col3 = '""&amp;BE311&amp;""'"", 0), 1, 1),""NO ENCONTRADO"")"),"")</f>
        <v/>
      </c>
      <c r="BJ311" s="16">
        <f t="shared" si="15"/>
        <v>0</v>
      </c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4"/>
      <c r="BX311" s="14"/>
      <c r="BY311" s="14"/>
      <c r="BZ311" s="14"/>
      <c r="CA311" s="14"/>
      <c r="CB311" s="14"/>
      <c r="CC311" s="14"/>
      <c r="CD311" s="14"/>
      <c r="CE311" s="14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</row>
    <row r="312">
      <c r="A312" s="274" t="s">
        <v>645</v>
      </c>
      <c r="B312" s="275" t="s">
        <v>18</v>
      </c>
      <c r="C312" s="275" t="s">
        <v>25</v>
      </c>
      <c r="D312" s="276" t="str">
        <f t="shared" si="1"/>
        <v>T-1-5</v>
      </c>
      <c r="E312" s="78">
        <v>45751.0</v>
      </c>
      <c r="F312" s="88" t="s">
        <v>600</v>
      </c>
      <c r="G312" s="80" t="s">
        <v>325</v>
      </c>
      <c r="H312" s="81" t="s">
        <v>326</v>
      </c>
      <c r="I312" s="82">
        <v>206.0</v>
      </c>
      <c r="J312" s="81" t="s">
        <v>43</v>
      </c>
      <c r="K312" s="27" t="str">
        <f t="shared" si="2"/>
        <v>OCUPADO</v>
      </c>
      <c r="L312" s="28">
        <f t="shared" si="14"/>
        <v>311</v>
      </c>
      <c r="M312" s="28" t="s">
        <v>733</v>
      </c>
      <c r="N312" s="109"/>
      <c r="O312" s="168" t="s">
        <v>270</v>
      </c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4"/>
      <c r="BF312" s="12"/>
      <c r="BG312" s="12"/>
      <c r="BH312" s="12" t="str">
        <f>IFERROR(__xludf.DUMMYFUNCTION("IFERROR(INDEX(QUERY(IMPORTRANGE(""1T7HG8KEs-Ob7f3M5atEVN9Yn7IeORGp0QGvggB62ELw"",""Maestro!A:I""),""SELECT Col8 WHERE Col3 = '""&amp;BE312&amp;""'"", 0), 1, 1),""NO ENCONTRADO"")"),"")</f>
        <v/>
      </c>
      <c r="BI312" s="12" t="str">
        <f>IFERROR(__xludf.DUMMYFUNCTION("IFERROR(INDEX(QUERY(IMPORTRANGE(""1T7HG8KEs-Ob7f3M5atEVN9Yn7IeORGp0QGvggB62ELw"",""Maestro!A:I""),""SELECT Col7 WHERE Col3 = '""&amp;BE312&amp;""'"", 0), 1, 1),""NO ENCONTRADO"")"),"")</f>
        <v/>
      </c>
      <c r="BJ312" s="16">
        <f t="shared" si="15"/>
        <v>0</v>
      </c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4"/>
      <c r="BX312" s="14"/>
      <c r="BY312" s="14"/>
      <c r="BZ312" s="14"/>
      <c r="CA312" s="14"/>
      <c r="CB312" s="14"/>
      <c r="CC312" s="14"/>
      <c r="CD312" s="14"/>
      <c r="CE312" s="14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</row>
    <row r="313">
      <c r="A313" s="274" t="s">
        <v>645</v>
      </c>
      <c r="B313" s="275" t="s">
        <v>18</v>
      </c>
      <c r="C313" s="275" t="s">
        <v>36</v>
      </c>
      <c r="D313" s="276" t="str">
        <f t="shared" si="1"/>
        <v>T-1-6</v>
      </c>
      <c r="E313" s="72"/>
      <c r="F313" s="77"/>
      <c r="G313" s="75"/>
      <c r="H313" s="75"/>
      <c r="I313" s="76"/>
      <c r="J313" s="75"/>
      <c r="K313" s="32" t="str">
        <f t="shared" si="2"/>
        <v>DISPONIBLE</v>
      </c>
      <c r="L313" s="33">
        <f t="shared" si="14"/>
        <v>312</v>
      </c>
      <c r="M313" s="33" t="s">
        <v>733</v>
      </c>
      <c r="N313" s="122"/>
      <c r="O313" s="249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4"/>
      <c r="BF313" s="12"/>
      <c r="BG313" s="12"/>
      <c r="BH313" s="12" t="str">
        <f>IFERROR(__xludf.DUMMYFUNCTION("IFERROR(INDEX(QUERY(IMPORTRANGE(""1T7HG8KEs-Ob7f3M5atEVN9Yn7IeORGp0QGvggB62ELw"",""Maestro!A:I""),""SELECT Col8 WHERE Col3 = '""&amp;BE313&amp;""'"", 0), 1, 1),""NO ENCONTRADO"")"),"")</f>
        <v/>
      </c>
      <c r="BI313" s="12" t="str">
        <f>IFERROR(__xludf.DUMMYFUNCTION("IFERROR(INDEX(QUERY(IMPORTRANGE(""1T7HG8KEs-Ob7f3M5atEVN9Yn7IeORGp0QGvggB62ELw"",""Maestro!A:I""),""SELECT Col7 WHERE Col3 = '""&amp;BE313&amp;""'"", 0), 1, 1),""NO ENCONTRADO"")"),"")</f>
        <v/>
      </c>
      <c r="BJ313" s="16">
        <f t="shared" si="15"/>
        <v>0</v>
      </c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4"/>
      <c r="BX313" s="14"/>
      <c r="BY313" s="14"/>
      <c r="BZ313" s="14"/>
      <c r="CA313" s="14"/>
      <c r="CB313" s="14"/>
      <c r="CC313" s="14"/>
      <c r="CD313" s="14"/>
      <c r="CE313" s="14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</row>
    <row r="314">
      <c r="A314" s="274" t="s">
        <v>645</v>
      </c>
      <c r="B314" s="275" t="s">
        <v>18</v>
      </c>
      <c r="C314" s="275" t="s">
        <v>48</v>
      </c>
      <c r="D314" s="276" t="str">
        <f t="shared" si="1"/>
        <v>T-1-7</v>
      </c>
      <c r="E314" s="72"/>
      <c r="F314" s="77"/>
      <c r="G314" s="75"/>
      <c r="H314" s="75"/>
      <c r="I314" s="76"/>
      <c r="J314" s="75"/>
      <c r="K314" s="27" t="str">
        <f t="shared" si="2"/>
        <v>DISPONIBLE</v>
      </c>
      <c r="L314" s="28">
        <f t="shared" si="14"/>
        <v>313</v>
      </c>
      <c r="M314" s="28" t="s">
        <v>733</v>
      </c>
      <c r="N314" s="109"/>
      <c r="O314" s="248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4"/>
      <c r="BF314" s="12"/>
      <c r="BG314" s="12"/>
      <c r="BH314" s="12" t="str">
        <f>IFERROR(__xludf.DUMMYFUNCTION("IFERROR(INDEX(QUERY(IMPORTRANGE(""1T7HG8KEs-Ob7f3M5atEVN9Yn7IeORGp0QGvggB62ELw"",""Maestro!A:I""),""SELECT Col8 WHERE Col3 = '""&amp;BE314&amp;""'"", 0), 1, 1),""NO ENCONTRADO"")"),"")</f>
        <v/>
      </c>
      <c r="BI314" s="12" t="str">
        <f>IFERROR(__xludf.DUMMYFUNCTION("IFERROR(INDEX(QUERY(IMPORTRANGE(""1T7HG8KEs-Ob7f3M5atEVN9Yn7IeORGp0QGvggB62ELw"",""Maestro!A:I""),""SELECT Col7 WHERE Col3 = '""&amp;BE314&amp;""'"", 0), 1, 1),""NO ENCONTRADO"")"),"")</f>
        <v/>
      </c>
      <c r="BJ314" s="16">
        <f t="shared" si="15"/>
        <v>0</v>
      </c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4"/>
      <c r="BX314" s="14"/>
      <c r="BY314" s="14"/>
      <c r="BZ314" s="14"/>
      <c r="CA314" s="14"/>
      <c r="CB314" s="14"/>
      <c r="CC314" s="14"/>
      <c r="CD314" s="14"/>
      <c r="CE314" s="14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</row>
    <row r="315">
      <c r="A315" s="274" t="s">
        <v>645</v>
      </c>
      <c r="B315" s="275" t="s">
        <v>18</v>
      </c>
      <c r="C315" s="275" t="s">
        <v>465</v>
      </c>
      <c r="D315" s="276" t="str">
        <f t="shared" si="1"/>
        <v>T-1-8</v>
      </c>
      <c r="E315" s="103"/>
      <c r="F315" s="77"/>
      <c r="G315" s="265"/>
      <c r="H315" s="75"/>
      <c r="I315" s="76"/>
      <c r="J315" s="75"/>
      <c r="K315" s="32" t="str">
        <f t="shared" si="2"/>
        <v>DISPONIBLE</v>
      </c>
      <c r="L315" s="33">
        <f t="shared" si="14"/>
        <v>314</v>
      </c>
      <c r="M315" s="33" t="s">
        <v>733</v>
      </c>
      <c r="N315" s="122"/>
      <c r="O315" s="316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4"/>
      <c r="BF315" s="12"/>
      <c r="BG315" s="12"/>
      <c r="BH315" s="12" t="str">
        <f>IFERROR(__xludf.DUMMYFUNCTION("IFERROR(INDEX(QUERY(IMPORTRANGE(""1T7HG8KEs-Ob7f3M5atEVN9Yn7IeORGp0QGvggB62ELw"",""Maestro!A:I""),""SELECT Col8 WHERE Col3 = '""&amp;BE315&amp;""'"", 0), 1, 1),""NO ENCONTRADO"")"),"")</f>
        <v/>
      </c>
      <c r="BI315" s="12" t="str">
        <f>IFERROR(__xludf.DUMMYFUNCTION("IFERROR(INDEX(QUERY(IMPORTRANGE(""1T7HG8KEs-Ob7f3M5atEVN9Yn7IeORGp0QGvggB62ELw"",""Maestro!A:I""),""SELECT Col7 WHERE Col3 = '""&amp;BE315&amp;""'"", 0), 1, 1),""NO ENCONTRADO"")"),"")</f>
        <v/>
      </c>
      <c r="BJ315" s="16">
        <f t="shared" si="15"/>
        <v>0</v>
      </c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4"/>
      <c r="BX315" s="14"/>
      <c r="BY315" s="14"/>
      <c r="BZ315" s="14"/>
      <c r="CA315" s="14"/>
      <c r="CB315" s="14"/>
      <c r="CC315" s="14"/>
      <c r="CD315" s="14"/>
      <c r="CE315" s="14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</row>
    <row r="316">
      <c r="A316" s="274" t="s">
        <v>645</v>
      </c>
      <c r="B316" s="275" t="s">
        <v>18</v>
      </c>
      <c r="C316" s="275" t="s">
        <v>511</v>
      </c>
      <c r="D316" s="276" t="str">
        <f t="shared" si="1"/>
        <v>T-1-9</v>
      </c>
      <c r="E316" s="72"/>
      <c r="F316" s="77"/>
      <c r="G316" s="74"/>
      <c r="H316" s="75"/>
      <c r="I316" s="76"/>
      <c r="J316" s="75"/>
      <c r="K316" s="27" t="str">
        <f t="shared" si="2"/>
        <v>DISPONIBLE</v>
      </c>
      <c r="L316" s="28">
        <f t="shared" si="14"/>
        <v>315</v>
      </c>
      <c r="M316" s="28" t="s">
        <v>733</v>
      </c>
      <c r="N316" s="109"/>
      <c r="O316" s="168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4"/>
      <c r="BF316" s="12"/>
      <c r="BG316" s="12"/>
      <c r="BH316" s="12" t="str">
        <f>IFERROR(__xludf.DUMMYFUNCTION("IFERROR(INDEX(QUERY(IMPORTRANGE(""1T7HG8KEs-Ob7f3M5atEVN9Yn7IeORGp0QGvggB62ELw"",""Maestro!A:I""),""SELECT Col8 WHERE Col3 = '""&amp;BE316&amp;""'"", 0), 1, 1),""NO ENCONTRADO"")"),"")</f>
        <v/>
      </c>
      <c r="BI316" s="12" t="str">
        <f>IFERROR(__xludf.DUMMYFUNCTION("IFERROR(INDEX(QUERY(IMPORTRANGE(""1T7HG8KEs-Ob7f3M5atEVN9Yn7IeORGp0QGvggB62ELw"",""Maestro!A:I""),""SELECT Col7 WHERE Col3 = '""&amp;BE316&amp;""'"", 0), 1, 1),""NO ENCONTRADO"")"),"")</f>
        <v/>
      </c>
      <c r="BJ316" s="16">
        <f t="shared" si="15"/>
        <v>0</v>
      </c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4"/>
      <c r="BX316" s="14"/>
      <c r="BY316" s="14"/>
      <c r="BZ316" s="14"/>
      <c r="CA316" s="14"/>
      <c r="CB316" s="14"/>
      <c r="CC316" s="14"/>
      <c r="CD316" s="14"/>
      <c r="CE316" s="14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</row>
    <row r="317">
      <c r="A317" s="274" t="s">
        <v>645</v>
      </c>
      <c r="B317" s="275" t="s">
        <v>18</v>
      </c>
      <c r="C317" s="275" t="s">
        <v>296</v>
      </c>
      <c r="D317" s="276" t="str">
        <f t="shared" si="1"/>
        <v>T-1-10</v>
      </c>
      <c r="E317" s="277">
        <v>45768.0</v>
      </c>
      <c r="F317" s="278" t="s">
        <v>675</v>
      </c>
      <c r="G317" s="279" t="s">
        <v>314</v>
      </c>
      <c r="H317" s="279" t="s">
        <v>315</v>
      </c>
      <c r="I317" s="280">
        <v>3.0</v>
      </c>
      <c r="J317" s="279" t="s">
        <v>43</v>
      </c>
      <c r="K317" s="32" t="str">
        <f t="shared" si="2"/>
        <v>OCUPADO</v>
      </c>
      <c r="L317" s="33">
        <f t="shared" si="14"/>
        <v>316</v>
      </c>
      <c r="M317" s="33" t="s">
        <v>733</v>
      </c>
      <c r="N317" s="33"/>
      <c r="O317" s="169" t="s">
        <v>270</v>
      </c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4"/>
      <c r="BF317" s="12"/>
      <c r="BG317" s="12"/>
      <c r="BH317" s="12" t="str">
        <f>IFERROR(__xludf.DUMMYFUNCTION("IFERROR(INDEX(QUERY(IMPORTRANGE(""1T7HG8KEs-Ob7f3M5atEVN9Yn7IeORGp0QGvggB62ELw"",""Maestro!A:I""),""SELECT Col8 WHERE Col3 = '""&amp;BE317&amp;""'"", 0), 1, 1),""NO ENCONTRADO"")"),"")</f>
        <v/>
      </c>
      <c r="BI317" s="12" t="str">
        <f>IFERROR(__xludf.DUMMYFUNCTION("IFERROR(INDEX(QUERY(IMPORTRANGE(""1T7HG8KEs-Ob7f3M5atEVN9Yn7IeORGp0QGvggB62ELw"",""Maestro!A:I""),""SELECT Col7 WHERE Col3 = '""&amp;BE317&amp;""'"", 0), 1, 1),""NO ENCONTRADO"")"),"")</f>
        <v/>
      </c>
      <c r="BJ317" s="16">
        <f t="shared" si="15"/>
        <v>0</v>
      </c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4"/>
      <c r="BX317" s="14"/>
      <c r="BY317" s="14"/>
      <c r="BZ317" s="14"/>
      <c r="CA317" s="14"/>
      <c r="CB317" s="14"/>
      <c r="CC317" s="14"/>
      <c r="CD317" s="14"/>
      <c r="CE317" s="14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</row>
    <row r="318">
      <c r="A318" s="274" t="s">
        <v>645</v>
      </c>
      <c r="B318" s="275" t="s">
        <v>18</v>
      </c>
      <c r="C318" s="275" t="s">
        <v>316</v>
      </c>
      <c r="D318" s="276" t="str">
        <f t="shared" si="1"/>
        <v>T-1-11</v>
      </c>
      <c r="E318" s="78">
        <v>45754.0</v>
      </c>
      <c r="F318" s="79" t="s">
        <v>675</v>
      </c>
      <c r="G318" s="81" t="s">
        <v>272</v>
      </c>
      <c r="H318" s="81" t="s">
        <v>273</v>
      </c>
      <c r="I318" s="82">
        <v>76.0</v>
      </c>
      <c r="J318" s="81" t="s">
        <v>43</v>
      </c>
      <c r="K318" s="27" t="str">
        <f t="shared" si="2"/>
        <v>OCUPADO</v>
      </c>
      <c r="L318" s="28">
        <f t="shared" si="14"/>
        <v>317</v>
      </c>
      <c r="M318" s="28" t="s">
        <v>733</v>
      </c>
      <c r="N318" s="109"/>
      <c r="O318" s="248" t="s">
        <v>270</v>
      </c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4"/>
      <c r="BF318" s="12"/>
      <c r="BG318" s="12"/>
      <c r="BH318" s="12" t="str">
        <f>IFERROR(__xludf.DUMMYFUNCTION("IFERROR(INDEX(QUERY(IMPORTRANGE(""1T7HG8KEs-Ob7f3M5atEVN9Yn7IeORGp0QGvggB62ELw"",""Maestro!A:I""),""SELECT Col8 WHERE Col3 = '""&amp;BE318&amp;""'"", 0), 1, 1),""NO ENCONTRADO"")"),"")</f>
        <v/>
      </c>
      <c r="BI318" s="12" t="str">
        <f>IFERROR(__xludf.DUMMYFUNCTION("IFERROR(INDEX(QUERY(IMPORTRANGE(""1T7HG8KEs-Ob7f3M5atEVN9Yn7IeORGp0QGvggB62ELw"",""Maestro!A:I""),""SELECT Col7 WHERE Col3 = '""&amp;BE318&amp;""'"", 0), 1, 1),""NO ENCONTRADO"")"),"")</f>
        <v/>
      </c>
      <c r="BJ318" s="16">
        <f t="shared" si="15"/>
        <v>0</v>
      </c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4"/>
      <c r="BX318" s="14"/>
      <c r="BY318" s="14"/>
      <c r="BZ318" s="14"/>
      <c r="CA318" s="14"/>
      <c r="CB318" s="14"/>
      <c r="CC318" s="14"/>
      <c r="CD318" s="14"/>
      <c r="CE318" s="14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</row>
    <row r="319">
      <c r="A319" s="274" t="s">
        <v>645</v>
      </c>
      <c r="B319" s="275" t="s">
        <v>18</v>
      </c>
      <c r="C319" s="275" t="s">
        <v>336</v>
      </c>
      <c r="D319" s="276" t="str">
        <f t="shared" si="1"/>
        <v>T-1-12</v>
      </c>
      <c r="E319" s="78">
        <v>45762.0</v>
      </c>
      <c r="F319" s="88" t="s">
        <v>791</v>
      </c>
      <c r="G319" s="80" t="s">
        <v>96</v>
      </c>
      <c r="H319" s="81" t="s">
        <v>97</v>
      </c>
      <c r="I319" s="82">
        <v>44.0</v>
      </c>
      <c r="J319" s="81" t="s">
        <v>463</v>
      </c>
      <c r="K319" s="32" t="str">
        <f t="shared" si="2"/>
        <v>OCUPADO</v>
      </c>
      <c r="L319" s="33">
        <f t="shared" si="14"/>
        <v>318</v>
      </c>
      <c r="M319" s="33" t="s">
        <v>733</v>
      </c>
      <c r="N319" s="122"/>
      <c r="O319" s="169" t="s">
        <v>270</v>
      </c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4"/>
      <c r="BF319" s="12"/>
      <c r="BG319" s="12"/>
      <c r="BH319" s="12" t="str">
        <f>IFERROR(__xludf.DUMMYFUNCTION("IFERROR(INDEX(QUERY(IMPORTRANGE(""1T7HG8KEs-Ob7f3M5atEVN9Yn7IeORGp0QGvggB62ELw"",""Maestro!A:I""),""SELECT Col8 WHERE Col3 = '""&amp;BE319&amp;""'"", 0), 1, 1),""NO ENCONTRADO"")"),"")</f>
        <v/>
      </c>
      <c r="BI319" s="12" t="str">
        <f>IFERROR(__xludf.DUMMYFUNCTION("IFERROR(INDEX(QUERY(IMPORTRANGE(""1T7HG8KEs-Ob7f3M5atEVN9Yn7IeORGp0QGvggB62ELw"",""Maestro!A:I""),""SELECT Col7 WHERE Col3 = '""&amp;BE319&amp;""'"", 0), 1, 1),""NO ENCONTRADO"")"),"")</f>
        <v/>
      </c>
      <c r="BJ319" s="16">
        <f t="shared" si="15"/>
        <v>0</v>
      </c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4"/>
      <c r="BX319" s="14"/>
      <c r="BY319" s="14"/>
      <c r="BZ319" s="14"/>
      <c r="CA319" s="14"/>
      <c r="CB319" s="14"/>
      <c r="CC319" s="14"/>
      <c r="CD319" s="14"/>
      <c r="CE319" s="14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</row>
    <row r="320">
      <c r="A320" s="274" t="s">
        <v>645</v>
      </c>
      <c r="B320" s="275" t="s">
        <v>18</v>
      </c>
      <c r="C320" s="275" t="s">
        <v>350</v>
      </c>
      <c r="D320" s="276" t="str">
        <f t="shared" si="1"/>
        <v>T-1-13</v>
      </c>
      <c r="E320" s="78">
        <v>45762.0</v>
      </c>
      <c r="F320" s="88" t="s">
        <v>792</v>
      </c>
      <c r="G320" s="80" t="s">
        <v>330</v>
      </c>
      <c r="H320" s="81" t="s">
        <v>331</v>
      </c>
      <c r="I320" s="82">
        <v>10.0</v>
      </c>
      <c r="J320" s="81" t="s">
        <v>274</v>
      </c>
      <c r="K320" s="27" t="str">
        <f t="shared" si="2"/>
        <v>OCUPADO</v>
      </c>
      <c r="L320" s="28">
        <f t="shared" si="14"/>
        <v>319</v>
      </c>
      <c r="M320" s="28" t="s">
        <v>733</v>
      </c>
      <c r="N320" s="109"/>
      <c r="O320" s="168" t="s">
        <v>270</v>
      </c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4"/>
      <c r="BF320" s="12"/>
      <c r="BG320" s="12"/>
      <c r="BH320" s="12" t="str">
        <f>IFERROR(__xludf.DUMMYFUNCTION("IFERROR(INDEX(QUERY(IMPORTRANGE(""1T7HG8KEs-Ob7f3M5atEVN9Yn7IeORGp0QGvggB62ELw"",""Maestro!A:I""),""SELECT Col8 WHERE Col3 = '""&amp;BE320&amp;""'"", 0), 1, 1),""NO ENCONTRADO"")"),"")</f>
        <v/>
      </c>
      <c r="BI320" s="12" t="str">
        <f>IFERROR(__xludf.DUMMYFUNCTION("IFERROR(INDEX(QUERY(IMPORTRANGE(""1T7HG8KEs-Ob7f3M5atEVN9Yn7IeORGp0QGvggB62ELw"",""Maestro!A:I""),""SELECT Col7 WHERE Col3 = '""&amp;BE320&amp;""'"", 0), 1, 1),""NO ENCONTRADO"")"),"")</f>
        <v/>
      </c>
      <c r="BJ320" s="16">
        <f t="shared" si="15"/>
        <v>0</v>
      </c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4"/>
      <c r="BX320" s="14"/>
      <c r="BY320" s="14"/>
      <c r="BZ320" s="14"/>
      <c r="CA320" s="14"/>
      <c r="CB320" s="14"/>
      <c r="CC320" s="14"/>
      <c r="CD320" s="14"/>
      <c r="CE320" s="14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</row>
    <row r="321">
      <c r="A321" s="274" t="s">
        <v>645</v>
      </c>
      <c r="B321" s="275" t="s">
        <v>18</v>
      </c>
      <c r="C321" s="275" t="s">
        <v>362</v>
      </c>
      <c r="D321" s="276" t="str">
        <f t="shared" si="1"/>
        <v>T-1-14</v>
      </c>
      <c r="E321" s="78">
        <v>45762.0</v>
      </c>
      <c r="F321" s="88" t="s">
        <v>792</v>
      </c>
      <c r="G321" s="80" t="s">
        <v>325</v>
      </c>
      <c r="H321" s="81" t="s">
        <v>326</v>
      </c>
      <c r="I321" s="82">
        <v>10.0</v>
      </c>
      <c r="J321" s="81" t="s">
        <v>274</v>
      </c>
      <c r="K321" s="32" t="str">
        <f t="shared" si="2"/>
        <v>OCUPADO</v>
      </c>
      <c r="L321" s="33">
        <f t="shared" si="14"/>
        <v>320</v>
      </c>
      <c r="M321" s="33" t="s">
        <v>733</v>
      </c>
      <c r="N321" s="122"/>
      <c r="O321" s="169" t="s">
        <v>270</v>
      </c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4"/>
      <c r="BF321" s="12"/>
      <c r="BG321" s="12"/>
      <c r="BH321" s="12" t="str">
        <f>IFERROR(__xludf.DUMMYFUNCTION("IFERROR(INDEX(QUERY(IMPORTRANGE(""1T7HG8KEs-Ob7f3M5atEVN9Yn7IeORGp0QGvggB62ELw"",""Maestro!A:I""),""SELECT Col8 WHERE Col3 = '""&amp;BE321&amp;""'"", 0), 1, 1),""NO ENCONTRADO"")"),"")</f>
        <v/>
      </c>
      <c r="BI321" s="12" t="str">
        <f>IFERROR(__xludf.DUMMYFUNCTION("IFERROR(INDEX(QUERY(IMPORTRANGE(""1T7HG8KEs-Ob7f3M5atEVN9Yn7IeORGp0QGvggB62ELw"",""Maestro!A:I""),""SELECT Col7 WHERE Col3 = '""&amp;BE321&amp;""'"", 0), 1, 1),""NO ENCONTRADO"")"),"")</f>
        <v/>
      </c>
      <c r="BJ321" s="16">
        <f t="shared" si="15"/>
        <v>0</v>
      </c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4"/>
      <c r="BX321" s="14"/>
      <c r="BY321" s="14"/>
      <c r="BZ321" s="14"/>
      <c r="CA321" s="14"/>
      <c r="CB321" s="14"/>
      <c r="CC321" s="14"/>
      <c r="CD321" s="14"/>
      <c r="CE321" s="14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</row>
    <row r="322">
      <c r="A322" s="274" t="s">
        <v>645</v>
      </c>
      <c r="B322" s="275" t="s">
        <v>18</v>
      </c>
      <c r="C322" s="275" t="s">
        <v>372</v>
      </c>
      <c r="D322" s="276" t="str">
        <f t="shared" si="1"/>
        <v>T-1-15</v>
      </c>
      <c r="E322" s="78">
        <v>45763.0</v>
      </c>
      <c r="F322" s="88" t="s">
        <v>770</v>
      </c>
      <c r="G322" s="80" t="s">
        <v>196</v>
      </c>
      <c r="H322" s="81" t="s">
        <v>197</v>
      </c>
      <c r="I322" s="82">
        <v>89.0</v>
      </c>
      <c r="J322" s="81" t="s">
        <v>43</v>
      </c>
      <c r="K322" s="27" t="str">
        <f t="shared" si="2"/>
        <v>OCUPADO</v>
      </c>
      <c r="L322" s="28">
        <f t="shared" si="14"/>
        <v>321</v>
      </c>
      <c r="M322" s="28" t="s">
        <v>733</v>
      </c>
      <c r="N322" s="109"/>
      <c r="O322" s="168" t="s">
        <v>270</v>
      </c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4"/>
      <c r="BF322" s="12"/>
      <c r="BG322" s="12"/>
      <c r="BH322" s="12" t="str">
        <f>IFERROR(__xludf.DUMMYFUNCTION("IFERROR(INDEX(QUERY(IMPORTRANGE(""1T7HG8KEs-Ob7f3M5atEVN9Yn7IeORGp0QGvggB62ELw"",""Maestro!A:I""),""SELECT Col8 WHERE Col3 = '""&amp;BE322&amp;""'"", 0), 1, 1),""NO ENCONTRADO"")"),"")</f>
        <v/>
      </c>
      <c r="BI322" s="12" t="str">
        <f>IFERROR(__xludf.DUMMYFUNCTION("IFERROR(INDEX(QUERY(IMPORTRANGE(""1T7HG8KEs-Ob7f3M5atEVN9Yn7IeORGp0QGvggB62ELw"",""Maestro!A:I""),""SELECT Col7 WHERE Col3 = '""&amp;BE322&amp;""'"", 0), 1, 1),""NO ENCONTRADO"")"),"")</f>
        <v/>
      </c>
      <c r="BJ322" s="16">
        <f t="shared" si="15"/>
        <v>0</v>
      </c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4"/>
      <c r="BX322" s="14"/>
      <c r="BY322" s="14"/>
      <c r="BZ322" s="14"/>
      <c r="CA322" s="14"/>
      <c r="CB322" s="14"/>
      <c r="CC322" s="14"/>
      <c r="CD322" s="14"/>
      <c r="CE322" s="14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</row>
    <row r="323">
      <c r="A323" s="274" t="s">
        <v>645</v>
      </c>
      <c r="B323" s="275" t="s">
        <v>18</v>
      </c>
      <c r="C323" s="275" t="s">
        <v>382</v>
      </c>
      <c r="D323" s="276" t="str">
        <f t="shared" si="1"/>
        <v>T-1-16</v>
      </c>
      <c r="E323" s="72"/>
      <c r="F323" s="77"/>
      <c r="G323" s="85"/>
      <c r="H323" s="75"/>
      <c r="I323" s="76"/>
      <c r="J323" s="75"/>
      <c r="K323" s="32" t="str">
        <f t="shared" si="2"/>
        <v>DISPONIBLE</v>
      </c>
      <c r="L323" s="33">
        <f t="shared" si="14"/>
        <v>322</v>
      </c>
      <c r="M323" s="33" t="s">
        <v>733</v>
      </c>
      <c r="N323" s="122"/>
      <c r="O323" s="169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4"/>
      <c r="BF323" s="12"/>
      <c r="BG323" s="12"/>
      <c r="BH323" s="12" t="str">
        <f>IFERROR(__xludf.DUMMYFUNCTION("IFERROR(INDEX(QUERY(IMPORTRANGE(""1T7HG8KEs-Ob7f3M5atEVN9Yn7IeORGp0QGvggB62ELw"",""Maestro!A:I""),""SELECT Col8 WHERE Col3 = '""&amp;BE323&amp;""'"", 0), 1, 1),""NO ENCONTRADO"")"),"")</f>
        <v/>
      </c>
      <c r="BI323" s="12" t="str">
        <f>IFERROR(__xludf.DUMMYFUNCTION("IFERROR(INDEX(QUERY(IMPORTRANGE(""1T7HG8KEs-Ob7f3M5atEVN9Yn7IeORGp0QGvggB62ELw"",""Maestro!A:I""),""SELECT Col7 WHERE Col3 = '""&amp;BE323&amp;""'"", 0), 1, 1),""NO ENCONTRADO"")"),"")</f>
        <v/>
      </c>
      <c r="BJ323" s="16">
        <f t="shared" si="15"/>
        <v>0</v>
      </c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4"/>
      <c r="BX323" s="14"/>
      <c r="BY323" s="14"/>
      <c r="BZ323" s="14"/>
      <c r="CA323" s="14"/>
      <c r="CB323" s="14"/>
      <c r="CC323" s="14"/>
      <c r="CD323" s="14"/>
      <c r="CE323" s="14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</row>
    <row r="324">
      <c r="A324" s="274" t="s">
        <v>645</v>
      </c>
      <c r="B324" s="275" t="s">
        <v>18</v>
      </c>
      <c r="C324" s="275" t="s">
        <v>396</v>
      </c>
      <c r="D324" s="276" t="str">
        <f t="shared" si="1"/>
        <v>T-1-17</v>
      </c>
      <c r="E324" s="72"/>
      <c r="F324" s="77"/>
      <c r="G324" s="74"/>
      <c r="H324" s="75"/>
      <c r="I324" s="76"/>
      <c r="J324" s="87"/>
      <c r="K324" s="27" t="str">
        <f t="shared" si="2"/>
        <v>DISPONIBLE</v>
      </c>
      <c r="L324" s="28">
        <f t="shared" si="14"/>
        <v>323</v>
      </c>
      <c r="M324" s="28" t="s">
        <v>733</v>
      </c>
      <c r="N324" s="109"/>
      <c r="O324" s="168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4"/>
      <c r="BF324" s="12"/>
      <c r="BG324" s="12"/>
      <c r="BH324" s="12" t="str">
        <f>IFERROR(__xludf.DUMMYFUNCTION("IFERROR(INDEX(QUERY(IMPORTRANGE(""1T7HG8KEs-Ob7f3M5atEVN9Yn7IeORGp0QGvggB62ELw"",""Maestro!A:I""),""SELECT Col8 WHERE Col3 = '""&amp;BE324&amp;""'"", 0), 1, 1),""NO ENCONTRADO"")"),"")</f>
        <v/>
      </c>
      <c r="BI324" s="12" t="str">
        <f>IFERROR(__xludf.DUMMYFUNCTION("IFERROR(INDEX(QUERY(IMPORTRANGE(""1T7HG8KEs-Ob7f3M5atEVN9Yn7IeORGp0QGvggB62ELw"",""Maestro!A:I""),""SELECT Col7 WHERE Col3 = '""&amp;BE324&amp;""'"", 0), 1, 1),""NO ENCONTRADO"")"),"")</f>
        <v/>
      </c>
      <c r="BJ324" s="16">
        <f t="shared" si="15"/>
        <v>0</v>
      </c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4"/>
      <c r="BX324" s="14"/>
      <c r="BY324" s="14"/>
      <c r="BZ324" s="14"/>
      <c r="CA324" s="14"/>
      <c r="CB324" s="14"/>
      <c r="CC324" s="14"/>
      <c r="CD324" s="14"/>
      <c r="CE324" s="14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</row>
    <row r="325">
      <c r="A325" s="274" t="s">
        <v>645</v>
      </c>
      <c r="B325" s="275" t="s">
        <v>18</v>
      </c>
      <c r="C325" s="275" t="s">
        <v>411</v>
      </c>
      <c r="D325" s="276" t="str">
        <f t="shared" si="1"/>
        <v>T-1-18</v>
      </c>
      <c r="E325" s="146"/>
      <c r="F325" s="147"/>
      <c r="G325" s="148"/>
      <c r="H325" s="148"/>
      <c r="I325" s="149"/>
      <c r="J325" s="148"/>
      <c r="K325" s="32" t="str">
        <f t="shared" si="2"/>
        <v>DISPONIBLE</v>
      </c>
      <c r="L325" s="33">
        <f t="shared" si="14"/>
        <v>324</v>
      </c>
      <c r="M325" s="33" t="s">
        <v>733</v>
      </c>
      <c r="N325" s="122"/>
      <c r="O325" s="169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4"/>
      <c r="BF325" s="12"/>
      <c r="BG325" s="12"/>
      <c r="BH325" s="12" t="str">
        <f>IFERROR(__xludf.DUMMYFUNCTION("IFERROR(INDEX(QUERY(IMPORTRANGE(""1T7HG8KEs-Ob7f3M5atEVN9Yn7IeORGp0QGvggB62ELw"",""Maestro!A:I""),""SELECT Col8 WHERE Col3 = '""&amp;BE325&amp;""'"", 0), 1, 1),""NO ENCONTRADO"")"),"")</f>
        <v/>
      </c>
      <c r="BI325" s="12" t="str">
        <f>IFERROR(__xludf.DUMMYFUNCTION("IFERROR(INDEX(QUERY(IMPORTRANGE(""1T7HG8KEs-Ob7f3M5atEVN9Yn7IeORGp0QGvggB62ELw"",""Maestro!A:I""),""SELECT Col7 WHERE Col3 = '""&amp;BE325&amp;""'"", 0), 1, 1),""NO ENCONTRADO"")"),"")</f>
        <v/>
      </c>
      <c r="BJ325" s="16">
        <f t="shared" si="15"/>
        <v>0</v>
      </c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4"/>
      <c r="BX325" s="14"/>
      <c r="BY325" s="14"/>
      <c r="BZ325" s="14"/>
      <c r="CA325" s="14"/>
      <c r="CB325" s="14"/>
      <c r="CC325" s="14"/>
      <c r="CD325" s="14"/>
      <c r="CE325" s="14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</row>
    <row r="326">
      <c r="A326" s="274" t="s">
        <v>645</v>
      </c>
      <c r="B326" s="275" t="s">
        <v>18</v>
      </c>
      <c r="C326" s="275" t="s">
        <v>425</v>
      </c>
      <c r="D326" s="276" t="str">
        <f t="shared" si="1"/>
        <v>T-1-19</v>
      </c>
      <c r="E326" s="146"/>
      <c r="F326" s="147"/>
      <c r="G326" s="148"/>
      <c r="H326" s="148"/>
      <c r="I326" s="149"/>
      <c r="J326" s="148"/>
      <c r="K326" s="27" t="str">
        <f t="shared" si="2"/>
        <v>DISPONIBLE</v>
      </c>
      <c r="L326" s="28">
        <f t="shared" si="14"/>
        <v>325</v>
      </c>
      <c r="M326" s="28" t="s">
        <v>733</v>
      </c>
      <c r="N326" s="109"/>
      <c r="O326" s="168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4"/>
      <c r="BF326" s="12"/>
      <c r="BG326" s="12"/>
      <c r="BH326" s="12" t="str">
        <f>IFERROR(__xludf.DUMMYFUNCTION("IFERROR(INDEX(QUERY(IMPORTRANGE(""1T7HG8KEs-Ob7f3M5atEVN9Yn7IeORGp0QGvggB62ELw"",""Maestro!A:I""),""SELECT Col8 WHERE Col3 = '""&amp;BE326&amp;""'"", 0), 1, 1),""NO ENCONTRADO"")"),"")</f>
        <v/>
      </c>
      <c r="BI326" s="12" t="str">
        <f>IFERROR(__xludf.DUMMYFUNCTION("IFERROR(INDEX(QUERY(IMPORTRANGE(""1T7HG8KEs-Ob7f3M5atEVN9Yn7IeORGp0QGvggB62ELw"",""Maestro!A:I""),""SELECT Col7 WHERE Col3 = '""&amp;BE326&amp;""'"", 0), 1, 1),""NO ENCONTRADO"")"),"")</f>
        <v/>
      </c>
      <c r="BJ326" s="16">
        <f t="shared" si="15"/>
        <v>0</v>
      </c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4"/>
      <c r="BX326" s="14"/>
      <c r="BY326" s="14"/>
      <c r="BZ326" s="14"/>
      <c r="CA326" s="14"/>
      <c r="CB326" s="14"/>
      <c r="CC326" s="14"/>
      <c r="CD326" s="14"/>
      <c r="CE326" s="14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</row>
    <row r="327">
      <c r="A327" s="274" t="s">
        <v>645</v>
      </c>
      <c r="B327" s="275" t="s">
        <v>18</v>
      </c>
      <c r="C327" s="275" t="s">
        <v>451</v>
      </c>
      <c r="D327" s="276" t="str">
        <f t="shared" si="1"/>
        <v>T-1-20</v>
      </c>
      <c r="E327" s="146"/>
      <c r="F327" s="147"/>
      <c r="G327" s="148"/>
      <c r="H327" s="148"/>
      <c r="I327" s="149"/>
      <c r="J327" s="148"/>
      <c r="K327" s="32" t="str">
        <f t="shared" si="2"/>
        <v>DISPONIBLE</v>
      </c>
      <c r="L327" s="33">
        <f t="shared" si="14"/>
        <v>326</v>
      </c>
      <c r="M327" s="33" t="s">
        <v>733</v>
      </c>
      <c r="N327" s="122"/>
      <c r="O327" s="169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4"/>
      <c r="BF327" s="12"/>
      <c r="BG327" s="12"/>
      <c r="BH327" s="12" t="str">
        <f>IFERROR(__xludf.DUMMYFUNCTION("IFERROR(INDEX(QUERY(IMPORTRANGE(""1T7HG8KEs-Ob7f3M5atEVN9Yn7IeORGp0QGvggB62ELw"",""Maestro!A:I""),""SELECT Col8 WHERE Col3 = '""&amp;BE327&amp;""'"", 0), 1, 1),""NO ENCONTRADO"")"),"")</f>
        <v/>
      </c>
      <c r="BI327" s="12" t="str">
        <f>IFERROR(__xludf.DUMMYFUNCTION("IFERROR(INDEX(QUERY(IMPORTRANGE(""1T7HG8KEs-Ob7f3M5atEVN9Yn7IeORGp0QGvggB62ELw"",""Maestro!A:I""),""SELECT Col7 WHERE Col3 = '""&amp;BE327&amp;""'"", 0), 1, 1),""NO ENCONTRADO"")"),"")</f>
        <v/>
      </c>
      <c r="BJ327" s="16">
        <f t="shared" si="15"/>
        <v>0</v>
      </c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4"/>
      <c r="BX327" s="14"/>
      <c r="BY327" s="14"/>
      <c r="BZ327" s="14"/>
      <c r="CA327" s="14"/>
      <c r="CB327" s="14"/>
      <c r="CC327" s="14"/>
      <c r="CD327" s="14"/>
      <c r="CE327" s="14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</row>
    <row r="328">
      <c r="A328" s="274" t="s">
        <v>645</v>
      </c>
      <c r="B328" s="275" t="s">
        <v>18</v>
      </c>
      <c r="C328" s="275" t="s">
        <v>467</v>
      </c>
      <c r="D328" s="276" t="str">
        <f t="shared" si="1"/>
        <v>T-1-21</v>
      </c>
      <c r="E328" s="146"/>
      <c r="F328" s="147"/>
      <c r="G328" s="148"/>
      <c r="H328" s="148"/>
      <c r="I328" s="149"/>
      <c r="J328" s="148"/>
      <c r="K328" s="27" t="str">
        <f t="shared" si="2"/>
        <v>DISPONIBLE</v>
      </c>
      <c r="L328" s="28">
        <f t="shared" si="14"/>
        <v>327</v>
      </c>
      <c r="M328" s="28" t="s">
        <v>733</v>
      </c>
      <c r="N328" s="109"/>
      <c r="O328" s="168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4"/>
      <c r="BF328" s="12"/>
      <c r="BG328" s="12"/>
      <c r="BH328" s="12" t="str">
        <f>IFERROR(__xludf.DUMMYFUNCTION("IFERROR(INDEX(QUERY(IMPORTRANGE(""1T7HG8KEs-Ob7f3M5atEVN9Yn7IeORGp0QGvggB62ELw"",""Maestro!A:I""),""SELECT Col8 WHERE Col3 = '""&amp;BE328&amp;""'"", 0), 1, 1),""NO ENCONTRADO"")"),"")</f>
        <v/>
      </c>
      <c r="BI328" s="12" t="str">
        <f>IFERROR(__xludf.DUMMYFUNCTION("IFERROR(INDEX(QUERY(IMPORTRANGE(""1T7HG8KEs-Ob7f3M5atEVN9Yn7IeORGp0QGvggB62ELw"",""Maestro!A:I""),""SELECT Col7 WHERE Col3 = '""&amp;BE328&amp;""'"", 0), 1, 1),""NO ENCONTRADO"")"),"")</f>
        <v/>
      </c>
      <c r="BJ328" s="16">
        <f t="shared" si="15"/>
        <v>0</v>
      </c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4"/>
      <c r="BX328" s="14"/>
      <c r="BY328" s="14"/>
      <c r="BZ328" s="14"/>
      <c r="CA328" s="14"/>
      <c r="CB328" s="14"/>
      <c r="CC328" s="14"/>
      <c r="CD328" s="14"/>
      <c r="CE328" s="14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</row>
    <row r="329">
      <c r="A329" s="274" t="s">
        <v>645</v>
      </c>
      <c r="B329" s="275" t="s">
        <v>18</v>
      </c>
      <c r="C329" s="275" t="s">
        <v>620</v>
      </c>
      <c r="D329" s="276" t="str">
        <f t="shared" si="1"/>
        <v>T-1-22</v>
      </c>
      <c r="E329" s="146"/>
      <c r="F329" s="147"/>
      <c r="G329" s="148"/>
      <c r="H329" s="148"/>
      <c r="I329" s="149"/>
      <c r="J329" s="148"/>
      <c r="K329" s="32" t="str">
        <f t="shared" si="2"/>
        <v>DISPONIBLE</v>
      </c>
      <c r="L329" s="33">
        <f t="shared" si="14"/>
        <v>328</v>
      </c>
      <c r="M329" s="33" t="s">
        <v>733</v>
      </c>
      <c r="N329" s="122"/>
      <c r="O329" s="169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4"/>
      <c r="BF329" s="12"/>
      <c r="BG329" s="12"/>
      <c r="BH329" s="12" t="str">
        <f>IFERROR(__xludf.DUMMYFUNCTION("IFERROR(INDEX(QUERY(IMPORTRANGE(""1T7HG8KEs-Ob7f3M5atEVN9Yn7IeORGp0QGvggB62ELw"",""Maestro!A:I""),""SELECT Col8 WHERE Col3 = '""&amp;BE329&amp;""'"", 0), 1, 1),""NO ENCONTRADO"")"),"")</f>
        <v/>
      </c>
      <c r="BI329" s="12" t="str">
        <f>IFERROR(__xludf.DUMMYFUNCTION("IFERROR(INDEX(QUERY(IMPORTRANGE(""1T7HG8KEs-Ob7f3M5atEVN9Yn7IeORGp0QGvggB62ELw"",""Maestro!A:I""),""SELECT Col7 WHERE Col3 = '""&amp;BE329&amp;""'"", 0), 1, 1),""NO ENCONTRADO"")"),"")</f>
        <v/>
      </c>
      <c r="BJ329" s="16">
        <f t="shared" si="15"/>
        <v>0</v>
      </c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4"/>
      <c r="BX329" s="14"/>
      <c r="BY329" s="14"/>
      <c r="BZ329" s="14"/>
      <c r="CA329" s="14"/>
      <c r="CB329" s="14"/>
      <c r="CC329" s="14"/>
      <c r="CD329" s="14"/>
      <c r="CE329" s="14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</row>
    <row r="330">
      <c r="A330" s="274" t="s">
        <v>645</v>
      </c>
      <c r="B330" s="275" t="s">
        <v>18</v>
      </c>
      <c r="C330" s="275" t="s">
        <v>561</v>
      </c>
      <c r="D330" s="276" t="str">
        <f t="shared" si="1"/>
        <v>T-1-23</v>
      </c>
      <c r="E330" s="146"/>
      <c r="F330" s="147"/>
      <c r="G330" s="148"/>
      <c r="H330" s="148"/>
      <c r="I330" s="149"/>
      <c r="J330" s="148"/>
      <c r="K330" s="27" t="str">
        <f t="shared" si="2"/>
        <v>DISPONIBLE</v>
      </c>
      <c r="L330" s="28">
        <f t="shared" si="14"/>
        <v>329</v>
      </c>
      <c r="M330" s="28" t="s">
        <v>733</v>
      </c>
      <c r="N330" s="109"/>
      <c r="O330" s="168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4"/>
      <c r="BF330" s="12"/>
      <c r="BG330" s="12"/>
      <c r="BH330" s="12" t="str">
        <f>IFERROR(__xludf.DUMMYFUNCTION("IFERROR(INDEX(QUERY(IMPORTRANGE(""1T7HG8KEs-Ob7f3M5atEVN9Yn7IeORGp0QGvggB62ELw"",""Maestro!A:I""),""SELECT Col8 WHERE Col3 = '""&amp;BE330&amp;""'"", 0), 1, 1),""NO ENCONTRADO"")"),"")</f>
        <v/>
      </c>
      <c r="BI330" s="12" t="str">
        <f>IFERROR(__xludf.DUMMYFUNCTION("IFERROR(INDEX(QUERY(IMPORTRANGE(""1T7HG8KEs-Ob7f3M5atEVN9Yn7IeORGp0QGvggB62ELw"",""Maestro!A:I""),""SELECT Col7 WHERE Col3 = '""&amp;BE330&amp;""'"", 0), 1, 1),""NO ENCONTRADO"")"),"")</f>
        <v/>
      </c>
      <c r="BJ330" s="16">
        <f t="shared" si="15"/>
        <v>0</v>
      </c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4"/>
      <c r="BX330" s="14"/>
      <c r="BY330" s="14"/>
      <c r="BZ330" s="14"/>
      <c r="CA330" s="14"/>
      <c r="CB330" s="14"/>
      <c r="CC330" s="14"/>
      <c r="CD330" s="14"/>
      <c r="CE330" s="14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</row>
    <row r="331">
      <c r="A331" s="274" t="s">
        <v>645</v>
      </c>
      <c r="B331" s="275" t="s">
        <v>18</v>
      </c>
      <c r="C331" s="275" t="s">
        <v>563</v>
      </c>
      <c r="D331" s="276" t="str">
        <f t="shared" si="1"/>
        <v>T-1-24</v>
      </c>
      <c r="E331" s="146"/>
      <c r="F331" s="147"/>
      <c r="G331" s="148"/>
      <c r="H331" s="148"/>
      <c r="I331" s="149"/>
      <c r="J331" s="148"/>
      <c r="K331" s="32" t="str">
        <f t="shared" si="2"/>
        <v>DISPONIBLE</v>
      </c>
      <c r="L331" s="33">
        <f t="shared" si="14"/>
        <v>330</v>
      </c>
      <c r="M331" s="33" t="s">
        <v>733</v>
      </c>
      <c r="N331" s="122"/>
      <c r="O331" s="169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4"/>
      <c r="BF331" s="12"/>
      <c r="BG331" s="12"/>
      <c r="BH331" s="12" t="str">
        <f>IFERROR(__xludf.DUMMYFUNCTION("IFERROR(INDEX(QUERY(IMPORTRANGE(""1T7HG8KEs-Ob7f3M5atEVN9Yn7IeORGp0QGvggB62ELw"",""Maestro!A:I""),""SELECT Col8 WHERE Col3 = '""&amp;BE331&amp;""'"", 0), 1, 1),""NO ENCONTRADO"")"),"")</f>
        <v/>
      </c>
      <c r="BI331" s="12" t="str">
        <f>IFERROR(__xludf.DUMMYFUNCTION("IFERROR(INDEX(QUERY(IMPORTRANGE(""1T7HG8KEs-Ob7f3M5atEVN9Yn7IeORGp0QGvggB62ELw"",""Maestro!A:I""),""SELECT Col7 WHERE Col3 = '""&amp;BE331&amp;""'"", 0), 1, 1),""NO ENCONTRADO"")"),"")</f>
        <v/>
      </c>
      <c r="BJ331" s="16">
        <f t="shared" si="15"/>
        <v>0</v>
      </c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4"/>
      <c r="BX331" s="14"/>
      <c r="BY331" s="14"/>
      <c r="BZ331" s="14"/>
      <c r="CA331" s="14"/>
      <c r="CB331" s="14"/>
      <c r="CC331" s="14"/>
      <c r="CD331" s="14"/>
      <c r="CE331" s="14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</row>
    <row r="332">
      <c r="A332" s="274" t="s">
        <v>645</v>
      </c>
      <c r="B332" s="275" t="s">
        <v>18</v>
      </c>
      <c r="C332" s="275" t="s">
        <v>565</v>
      </c>
      <c r="D332" s="276" t="str">
        <f t="shared" si="1"/>
        <v>T-1-25</v>
      </c>
      <c r="E332" s="146"/>
      <c r="F332" s="147"/>
      <c r="G332" s="148"/>
      <c r="H332" s="148"/>
      <c r="I332" s="149"/>
      <c r="J332" s="148"/>
      <c r="K332" s="27" t="str">
        <f t="shared" si="2"/>
        <v>DISPONIBLE</v>
      </c>
      <c r="L332" s="28">
        <f t="shared" si="14"/>
        <v>331</v>
      </c>
      <c r="M332" s="28" t="s">
        <v>733</v>
      </c>
      <c r="N332" s="28"/>
      <c r="O332" s="29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4"/>
      <c r="BF332" s="12"/>
      <c r="BG332" s="12"/>
      <c r="BH332" s="12" t="str">
        <f>IFERROR(__xludf.DUMMYFUNCTION("IFERROR(INDEX(QUERY(IMPORTRANGE(""1T7HG8KEs-Ob7f3M5atEVN9Yn7IeORGp0QGvggB62ELw"",""Maestro!A:I""),""SELECT Col8 WHERE Col3 = '""&amp;BE332&amp;""'"", 0), 1, 1),""NO ENCONTRADO"")"),"")</f>
        <v/>
      </c>
      <c r="BI332" s="12" t="str">
        <f>IFERROR(__xludf.DUMMYFUNCTION("IFERROR(INDEX(QUERY(IMPORTRANGE(""1T7HG8KEs-Ob7f3M5atEVN9Yn7IeORGp0QGvggB62ELw"",""Maestro!A:I""),""SELECT Col7 WHERE Col3 = '""&amp;BE332&amp;""'"", 0), 1, 1),""NO ENCONTRADO"")"),"")</f>
        <v/>
      </c>
      <c r="BJ332" s="16">
        <f t="shared" si="15"/>
        <v>0</v>
      </c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4"/>
      <c r="BX332" s="14"/>
      <c r="BY332" s="14"/>
      <c r="BZ332" s="14"/>
      <c r="CA332" s="14"/>
      <c r="CB332" s="14"/>
      <c r="CC332" s="14"/>
      <c r="CD332" s="14"/>
      <c r="CE332" s="14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</row>
    <row r="333">
      <c r="A333" s="274" t="s">
        <v>645</v>
      </c>
      <c r="B333" s="275" t="s">
        <v>18</v>
      </c>
      <c r="C333" s="275" t="s">
        <v>622</v>
      </c>
      <c r="D333" s="276" t="str">
        <f t="shared" si="1"/>
        <v>T-1-26</v>
      </c>
      <c r="E333" s="83"/>
      <c r="F333" s="150"/>
      <c r="G333" s="85"/>
      <c r="H333" s="49"/>
      <c r="I333" s="86"/>
      <c r="J333" s="49"/>
      <c r="K333" s="32" t="str">
        <f t="shared" si="2"/>
        <v>DISPONIBLE</v>
      </c>
      <c r="L333" s="33">
        <f t="shared" si="14"/>
        <v>332</v>
      </c>
      <c r="M333" s="33" t="s">
        <v>733</v>
      </c>
      <c r="N333" s="33"/>
      <c r="O333" s="34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4"/>
      <c r="BF333" s="12"/>
      <c r="BG333" s="12"/>
      <c r="BH333" s="12" t="str">
        <f>IFERROR(__xludf.DUMMYFUNCTION("IFERROR(INDEX(QUERY(IMPORTRANGE(""1T7HG8KEs-Ob7f3M5atEVN9Yn7IeORGp0QGvggB62ELw"",""Maestro!A:I""),""SELECT Col8 WHERE Col3 = '""&amp;BE333&amp;""'"", 0), 1, 1),""NO ENCONTRADO"")"),"")</f>
        <v/>
      </c>
      <c r="BI333" s="12" t="str">
        <f>IFERROR(__xludf.DUMMYFUNCTION("IFERROR(INDEX(QUERY(IMPORTRANGE(""1T7HG8KEs-Ob7f3M5atEVN9Yn7IeORGp0QGvggB62ELw"",""Maestro!A:I""),""SELECT Col7 WHERE Col3 = '""&amp;BE333&amp;""'"", 0), 1, 1),""NO ENCONTRADO"")"),"")</f>
        <v/>
      </c>
      <c r="BJ333" s="16">
        <f t="shared" si="15"/>
        <v>0</v>
      </c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4"/>
      <c r="BX333" s="14"/>
      <c r="BY333" s="14"/>
      <c r="BZ333" s="14"/>
      <c r="CA333" s="14"/>
      <c r="CB333" s="14"/>
      <c r="CC333" s="14"/>
      <c r="CD333" s="14"/>
      <c r="CE333" s="14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</row>
    <row r="334">
      <c r="A334" s="274" t="s">
        <v>645</v>
      </c>
      <c r="B334" s="275" t="s">
        <v>18</v>
      </c>
      <c r="C334" s="275" t="s">
        <v>669</v>
      </c>
      <c r="D334" s="276" t="str">
        <f t="shared" si="1"/>
        <v>T-1-27</v>
      </c>
      <c r="E334" s="83"/>
      <c r="F334" s="150"/>
      <c r="G334" s="85"/>
      <c r="H334" s="49"/>
      <c r="I334" s="86"/>
      <c r="J334" s="49"/>
      <c r="K334" s="27" t="str">
        <f t="shared" si="2"/>
        <v>DISPONIBLE</v>
      </c>
      <c r="L334" s="28">
        <f t="shared" si="14"/>
        <v>333</v>
      </c>
      <c r="M334" s="28" t="s">
        <v>733</v>
      </c>
      <c r="N334" s="28"/>
      <c r="O334" s="29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4"/>
      <c r="BF334" s="12"/>
      <c r="BG334" s="12"/>
      <c r="BH334" s="12" t="str">
        <f>IFERROR(__xludf.DUMMYFUNCTION("IFERROR(INDEX(QUERY(IMPORTRANGE(""1T7HG8KEs-Ob7f3M5atEVN9Yn7IeORGp0QGvggB62ELw"",""Maestro!A:I""),""SELECT Col8 WHERE Col3 = '""&amp;BE334&amp;""'"", 0), 1, 1),""NO ENCONTRADO"")"),"")</f>
        <v/>
      </c>
      <c r="BI334" s="12" t="str">
        <f>IFERROR(__xludf.DUMMYFUNCTION("IFERROR(INDEX(QUERY(IMPORTRANGE(""1T7HG8KEs-Ob7f3M5atEVN9Yn7IeORGp0QGvggB62ELw"",""Maestro!A:I""),""SELECT Col7 WHERE Col3 = '""&amp;BE334&amp;""'"", 0), 1, 1),""NO ENCONTRADO"")"),"")</f>
        <v/>
      </c>
      <c r="BJ334" s="16">
        <f t="shared" si="15"/>
        <v>0</v>
      </c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4"/>
      <c r="BX334" s="14"/>
      <c r="BY334" s="14"/>
      <c r="BZ334" s="14"/>
      <c r="CA334" s="14"/>
      <c r="CB334" s="14"/>
      <c r="CC334" s="14"/>
      <c r="CD334" s="14"/>
      <c r="CE334" s="14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</row>
    <row r="335">
      <c r="A335" s="274" t="s">
        <v>645</v>
      </c>
      <c r="B335" s="275" t="s">
        <v>18</v>
      </c>
      <c r="C335" s="275" t="s">
        <v>671</v>
      </c>
      <c r="D335" s="276" t="str">
        <f t="shared" si="1"/>
        <v>T-1-28</v>
      </c>
      <c r="E335" s="83"/>
      <c r="F335" s="150"/>
      <c r="G335" s="85"/>
      <c r="H335" s="49"/>
      <c r="I335" s="86"/>
      <c r="J335" s="49"/>
      <c r="K335" s="32" t="str">
        <f t="shared" si="2"/>
        <v>DISPONIBLE</v>
      </c>
      <c r="L335" s="33">
        <f t="shared" si="14"/>
        <v>334</v>
      </c>
      <c r="M335" s="33" t="s">
        <v>733</v>
      </c>
      <c r="N335" s="33"/>
      <c r="O335" s="34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4"/>
      <c r="BF335" s="12"/>
      <c r="BG335" s="12"/>
      <c r="BH335" s="12" t="str">
        <f>IFERROR(__xludf.DUMMYFUNCTION("IFERROR(INDEX(QUERY(IMPORTRANGE(""1T7HG8KEs-Ob7f3M5atEVN9Yn7IeORGp0QGvggB62ELw"",""Maestro!A:I""),""SELECT Col8 WHERE Col3 = '""&amp;BE335&amp;""'"", 0), 1, 1),""NO ENCONTRADO"")"),"")</f>
        <v/>
      </c>
      <c r="BI335" s="12" t="str">
        <f>IFERROR(__xludf.DUMMYFUNCTION("IFERROR(INDEX(QUERY(IMPORTRANGE(""1T7HG8KEs-Ob7f3M5atEVN9Yn7IeORGp0QGvggB62ELw"",""Maestro!A:I""),""SELECT Col7 WHERE Col3 = '""&amp;BE335&amp;""'"", 0), 1, 1),""NO ENCONTRADO"")"),"")</f>
        <v/>
      </c>
      <c r="BJ335" s="16">
        <f t="shared" si="15"/>
        <v>0</v>
      </c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4"/>
      <c r="BX335" s="14"/>
      <c r="BY335" s="14"/>
      <c r="BZ335" s="14"/>
      <c r="CA335" s="14"/>
      <c r="CB335" s="14"/>
      <c r="CC335" s="14"/>
      <c r="CD335" s="14"/>
      <c r="CE335" s="14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</row>
    <row r="336">
      <c r="A336" s="274" t="s">
        <v>645</v>
      </c>
      <c r="B336" s="275" t="s">
        <v>18</v>
      </c>
      <c r="C336" s="275" t="s">
        <v>673</v>
      </c>
      <c r="D336" s="276" t="str">
        <f t="shared" si="1"/>
        <v>T-1-29</v>
      </c>
      <c r="E336" s="83"/>
      <c r="F336" s="150"/>
      <c r="G336" s="85"/>
      <c r="H336" s="49"/>
      <c r="I336" s="86"/>
      <c r="J336" s="49"/>
      <c r="K336" s="27" t="str">
        <f t="shared" si="2"/>
        <v>DISPONIBLE</v>
      </c>
      <c r="L336" s="28">
        <f t="shared" si="14"/>
        <v>335</v>
      </c>
      <c r="M336" s="28" t="s">
        <v>733</v>
      </c>
      <c r="N336" s="28"/>
      <c r="O336" s="29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4"/>
      <c r="BF336" s="12"/>
      <c r="BG336" s="12"/>
      <c r="BH336" s="12" t="str">
        <f>IFERROR(__xludf.DUMMYFUNCTION("IFERROR(INDEX(QUERY(IMPORTRANGE(""1T7HG8KEs-Ob7f3M5atEVN9Yn7IeORGp0QGvggB62ELw"",""Maestro!A:I""),""SELECT Col8 WHERE Col3 = '""&amp;BE336&amp;""'"", 0), 1, 1),""NO ENCONTRADO"")"),"")</f>
        <v/>
      </c>
      <c r="BI336" s="12" t="str">
        <f>IFERROR(__xludf.DUMMYFUNCTION("IFERROR(INDEX(QUERY(IMPORTRANGE(""1T7HG8KEs-Ob7f3M5atEVN9Yn7IeORGp0QGvggB62ELw"",""Maestro!A:I""),""SELECT Col7 WHERE Col3 = '""&amp;BE336&amp;""'"", 0), 1, 1),""NO ENCONTRADO"")"),"")</f>
        <v/>
      </c>
      <c r="BJ336" s="16">
        <f t="shared" si="15"/>
        <v>0</v>
      </c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4"/>
      <c r="BX336" s="14"/>
      <c r="BY336" s="14"/>
      <c r="BZ336" s="14"/>
      <c r="CA336" s="14"/>
      <c r="CB336" s="14"/>
      <c r="CC336" s="14"/>
      <c r="CD336" s="14"/>
      <c r="CE336" s="14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</row>
    <row r="337">
      <c r="A337" s="274" t="s">
        <v>645</v>
      </c>
      <c r="B337" s="275" t="s">
        <v>18</v>
      </c>
      <c r="C337" s="275" t="s">
        <v>677</v>
      </c>
      <c r="D337" s="276" t="str">
        <f t="shared" si="1"/>
        <v>T-1-30</v>
      </c>
      <c r="E337" s="72"/>
      <c r="F337" s="77"/>
      <c r="G337" s="74"/>
      <c r="H337" s="75"/>
      <c r="I337" s="76"/>
      <c r="J337" s="75"/>
      <c r="K337" s="32" t="str">
        <f t="shared" si="2"/>
        <v>DISPONIBLE</v>
      </c>
      <c r="L337" s="33">
        <f t="shared" si="14"/>
        <v>336</v>
      </c>
      <c r="M337" s="33" t="s">
        <v>733</v>
      </c>
      <c r="N337" s="33"/>
      <c r="O337" s="34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4"/>
      <c r="BF337" s="12"/>
      <c r="BG337" s="12"/>
      <c r="BH337" s="12" t="str">
        <f>IFERROR(__xludf.DUMMYFUNCTION("IFERROR(INDEX(QUERY(IMPORTRANGE(""1T7HG8KEs-Ob7f3M5atEVN9Yn7IeORGp0QGvggB62ELw"",""Maestro!A:I""),""SELECT Col8 WHERE Col3 = '""&amp;BE337&amp;""'"", 0), 1, 1),""NO ENCONTRADO"")"),"")</f>
        <v/>
      </c>
      <c r="BI337" s="12" t="str">
        <f>IFERROR(__xludf.DUMMYFUNCTION("IFERROR(INDEX(QUERY(IMPORTRANGE(""1T7HG8KEs-Ob7f3M5atEVN9Yn7IeORGp0QGvggB62ELw"",""Maestro!A:I""),""SELECT Col7 WHERE Col3 = '""&amp;BE337&amp;""'"", 0), 1, 1),""NO ENCONTRADO"")"),"")</f>
        <v/>
      </c>
      <c r="BJ337" s="16">
        <f t="shared" si="15"/>
        <v>0</v>
      </c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4"/>
      <c r="BX337" s="14"/>
      <c r="BY337" s="14"/>
      <c r="BZ337" s="14"/>
      <c r="CA337" s="14"/>
      <c r="CB337" s="14"/>
      <c r="CC337" s="14"/>
      <c r="CD337" s="14"/>
      <c r="CE337" s="14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</row>
    <row r="338">
      <c r="A338" s="274" t="s">
        <v>645</v>
      </c>
      <c r="B338" s="275" t="s">
        <v>18</v>
      </c>
      <c r="C338" s="275" t="s">
        <v>679</v>
      </c>
      <c r="D338" s="276" t="str">
        <f t="shared" si="1"/>
        <v>T-1-31</v>
      </c>
      <c r="E338" s="146"/>
      <c r="F338" s="147"/>
      <c r="G338" s="148"/>
      <c r="H338" s="148"/>
      <c r="I338" s="149"/>
      <c r="J338" s="148"/>
      <c r="K338" s="27" t="str">
        <f t="shared" si="2"/>
        <v>DISPONIBLE</v>
      </c>
      <c r="L338" s="28">
        <f t="shared" si="14"/>
        <v>337</v>
      </c>
      <c r="M338" s="28" t="s">
        <v>733</v>
      </c>
      <c r="N338" s="28"/>
      <c r="O338" s="29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4"/>
      <c r="BF338" s="12"/>
      <c r="BG338" s="12"/>
      <c r="BH338" s="12" t="str">
        <f>IFERROR(__xludf.DUMMYFUNCTION("IFERROR(INDEX(QUERY(IMPORTRANGE(""1T7HG8KEs-Ob7f3M5atEVN9Yn7IeORGp0QGvggB62ELw"",""Maestro!A:I""),""SELECT Col8 WHERE Col3 = '""&amp;BE338&amp;""'"", 0), 1, 1),""NO ENCONTRADO"")"),"")</f>
        <v/>
      </c>
      <c r="BI338" s="12" t="str">
        <f>IFERROR(__xludf.DUMMYFUNCTION("IFERROR(INDEX(QUERY(IMPORTRANGE(""1T7HG8KEs-Ob7f3M5atEVN9Yn7IeORGp0QGvggB62ELw"",""Maestro!A:I""),""SELECT Col7 WHERE Col3 = '""&amp;BE338&amp;""'"", 0), 1, 1),""NO ENCONTRADO"")"),"")</f>
        <v/>
      </c>
      <c r="BJ338" s="16">
        <f t="shared" si="15"/>
        <v>0</v>
      </c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4"/>
      <c r="BX338" s="14"/>
      <c r="BY338" s="14"/>
      <c r="BZ338" s="14"/>
      <c r="CA338" s="14"/>
      <c r="CB338" s="14"/>
      <c r="CC338" s="14"/>
      <c r="CD338" s="14"/>
      <c r="CE338" s="14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</row>
    <row r="339">
      <c r="A339" s="274" t="s">
        <v>645</v>
      </c>
      <c r="B339" s="275" t="s">
        <v>18</v>
      </c>
      <c r="C339" s="275" t="s">
        <v>681</v>
      </c>
      <c r="D339" s="276" t="str">
        <f t="shared" si="1"/>
        <v>T-1-32</v>
      </c>
      <c r="E339" s="146"/>
      <c r="F339" s="147"/>
      <c r="G339" s="148"/>
      <c r="H339" s="148"/>
      <c r="I339" s="149"/>
      <c r="J339" s="148"/>
      <c r="K339" s="32" t="str">
        <f t="shared" si="2"/>
        <v>DISPONIBLE</v>
      </c>
      <c r="L339" s="33">
        <f t="shared" si="14"/>
        <v>338</v>
      </c>
      <c r="M339" s="33" t="s">
        <v>733</v>
      </c>
      <c r="N339" s="33"/>
      <c r="O339" s="34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4"/>
      <c r="BF339" s="12"/>
      <c r="BG339" s="12"/>
      <c r="BH339" s="12" t="str">
        <f>IFERROR(__xludf.DUMMYFUNCTION("IFERROR(INDEX(QUERY(IMPORTRANGE(""1T7HG8KEs-Ob7f3M5atEVN9Yn7IeORGp0QGvggB62ELw"",""Maestro!A:I""),""SELECT Col8 WHERE Col3 = '""&amp;BE339&amp;""'"", 0), 1, 1),""NO ENCONTRADO"")"),"")</f>
        <v/>
      </c>
      <c r="BI339" s="12" t="str">
        <f>IFERROR(__xludf.DUMMYFUNCTION("IFERROR(INDEX(QUERY(IMPORTRANGE(""1T7HG8KEs-Ob7f3M5atEVN9Yn7IeORGp0QGvggB62ELw"",""Maestro!A:I""),""SELECT Col7 WHERE Col3 = '""&amp;BE339&amp;""'"", 0), 1, 1),""NO ENCONTRADO"")"),"")</f>
        <v/>
      </c>
      <c r="BJ339" s="16">
        <f t="shared" si="15"/>
        <v>0</v>
      </c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4"/>
      <c r="BX339" s="14"/>
      <c r="BY339" s="14"/>
      <c r="BZ339" s="14"/>
      <c r="CA339" s="14"/>
      <c r="CB339" s="14"/>
      <c r="CC339" s="14"/>
      <c r="CD339" s="14"/>
      <c r="CE339" s="14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</row>
    <row r="340">
      <c r="A340" s="274" t="s">
        <v>645</v>
      </c>
      <c r="B340" s="275" t="s">
        <v>18</v>
      </c>
      <c r="C340" s="275" t="s">
        <v>683</v>
      </c>
      <c r="D340" s="276" t="str">
        <f t="shared" si="1"/>
        <v>T-1-33</v>
      </c>
      <c r="E340" s="72"/>
      <c r="F340" s="77"/>
      <c r="G340" s="74"/>
      <c r="H340" s="138"/>
      <c r="I340" s="76"/>
      <c r="J340" s="138"/>
      <c r="K340" s="27" t="str">
        <f t="shared" si="2"/>
        <v>DISPONIBLE</v>
      </c>
      <c r="L340" s="28">
        <f t="shared" si="14"/>
        <v>339</v>
      </c>
      <c r="M340" s="28" t="s">
        <v>733</v>
      </c>
      <c r="N340" s="28"/>
      <c r="O340" s="139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4"/>
      <c r="BF340" s="12"/>
      <c r="BG340" s="12"/>
      <c r="BH340" s="12" t="str">
        <f>IFERROR(__xludf.DUMMYFUNCTION("IFERROR(INDEX(QUERY(IMPORTRANGE(""1T7HG8KEs-Ob7f3M5atEVN9Yn7IeORGp0QGvggB62ELw"",""Maestro!A:I""),""SELECT Col8 WHERE Col3 = '""&amp;BE340&amp;""'"", 0), 1, 1),""NO ENCONTRADO"")"),"")</f>
        <v/>
      </c>
      <c r="BI340" s="12" t="str">
        <f>IFERROR(__xludf.DUMMYFUNCTION("IFERROR(INDEX(QUERY(IMPORTRANGE(""1T7HG8KEs-Ob7f3M5atEVN9Yn7IeORGp0QGvggB62ELw"",""Maestro!A:I""),""SELECT Col7 WHERE Col3 = '""&amp;BE340&amp;""'"", 0), 1, 1),""NO ENCONTRADO"")"),"")</f>
        <v/>
      </c>
      <c r="BJ340" s="16">
        <f t="shared" si="15"/>
        <v>0</v>
      </c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4"/>
      <c r="BX340" s="14"/>
      <c r="BY340" s="14"/>
      <c r="BZ340" s="14"/>
      <c r="CA340" s="14"/>
      <c r="CB340" s="14"/>
      <c r="CC340" s="14"/>
      <c r="CD340" s="14"/>
      <c r="CE340" s="14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</row>
    <row r="341">
      <c r="A341" s="274" t="s">
        <v>645</v>
      </c>
      <c r="B341" s="275" t="s">
        <v>18</v>
      </c>
      <c r="C341" s="275" t="s">
        <v>685</v>
      </c>
      <c r="D341" s="276" t="str">
        <f t="shared" si="1"/>
        <v>T-1-34</v>
      </c>
      <c r="E341" s="72"/>
      <c r="F341" s="77"/>
      <c r="G341" s="74"/>
      <c r="H341" s="75"/>
      <c r="I341" s="76"/>
      <c r="J341" s="75"/>
      <c r="K341" s="32" t="str">
        <f t="shared" si="2"/>
        <v>DISPONIBLE</v>
      </c>
      <c r="L341" s="33">
        <f t="shared" si="14"/>
        <v>340</v>
      </c>
      <c r="M341" s="33" t="s">
        <v>733</v>
      </c>
      <c r="N341" s="33"/>
      <c r="O341" s="34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4"/>
      <c r="BF341" s="12"/>
      <c r="BG341" s="12"/>
      <c r="BH341" s="12" t="str">
        <f>IFERROR(__xludf.DUMMYFUNCTION("IFERROR(INDEX(QUERY(IMPORTRANGE(""1T7HG8KEs-Ob7f3M5atEVN9Yn7IeORGp0QGvggB62ELw"",""Maestro!A:I""),""SELECT Col8 WHERE Col3 = '""&amp;BE341&amp;""'"", 0), 1, 1),""NO ENCONTRADO"")"),"")</f>
        <v/>
      </c>
      <c r="BI341" s="12" t="str">
        <f>IFERROR(__xludf.DUMMYFUNCTION("IFERROR(INDEX(QUERY(IMPORTRANGE(""1T7HG8KEs-Ob7f3M5atEVN9Yn7IeORGp0QGvggB62ELw"",""Maestro!A:I""),""SELECT Col7 WHERE Col3 = '""&amp;BE341&amp;""'"", 0), 1, 1),""NO ENCONTRADO"")"),"")</f>
        <v/>
      </c>
      <c r="BJ341" s="16">
        <f t="shared" si="15"/>
        <v>0</v>
      </c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4"/>
      <c r="BX341" s="14"/>
      <c r="BY341" s="14"/>
      <c r="BZ341" s="14"/>
      <c r="CA341" s="14"/>
      <c r="CB341" s="14"/>
      <c r="CC341" s="14"/>
      <c r="CD341" s="14"/>
      <c r="CE341" s="14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</row>
    <row r="342">
      <c r="A342" s="274" t="s">
        <v>645</v>
      </c>
      <c r="B342" s="275" t="s">
        <v>18</v>
      </c>
      <c r="C342" s="275" t="s">
        <v>687</v>
      </c>
      <c r="D342" s="276" t="str">
        <f t="shared" si="1"/>
        <v>T-1-35</v>
      </c>
      <c r="E342" s="141"/>
      <c r="F342" s="137"/>
      <c r="G342" s="138"/>
      <c r="H342" s="138"/>
      <c r="I342" s="142"/>
      <c r="J342" s="138"/>
      <c r="K342" s="27" t="str">
        <f t="shared" si="2"/>
        <v>DISPONIBLE</v>
      </c>
      <c r="L342" s="28">
        <f t="shared" si="14"/>
        <v>341</v>
      </c>
      <c r="M342" s="28" t="s">
        <v>733</v>
      </c>
      <c r="N342" s="28"/>
      <c r="O342" s="168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4"/>
      <c r="BF342" s="12"/>
      <c r="BG342" s="12"/>
      <c r="BH342" s="12" t="str">
        <f>IFERROR(__xludf.DUMMYFUNCTION("IFERROR(INDEX(QUERY(IMPORTRANGE(""1T7HG8KEs-Ob7f3M5atEVN9Yn7IeORGp0QGvggB62ELw"",""Maestro!A:I""),""SELECT Col8 WHERE Col3 = '""&amp;BE342&amp;""'"", 0), 1, 1),""NO ENCONTRADO"")"),"")</f>
        <v/>
      </c>
      <c r="BI342" s="12" t="str">
        <f>IFERROR(__xludf.DUMMYFUNCTION("IFERROR(INDEX(QUERY(IMPORTRANGE(""1T7HG8KEs-Ob7f3M5atEVN9Yn7IeORGp0QGvggB62ELw"",""Maestro!A:I""),""SELECT Col7 WHERE Col3 = '""&amp;BE342&amp;""'"", 0), 1, 1),""NO ENCONTRADO"")"),"")</f>
        <v/>
      </c>
      <c r="BJ342" s="16">
        <f t="shared" si="15"/>
        <v>0</v>
      </c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4"/>
      <c r="BX342" s="14"/>
      <c r="BY342" s="14"/>
      <c r="BZ342" s="14"/>
      <c r="CA342" s="14"/>
      <c r="CB342" s="14"/>
      <c r="CC342" s="14"/>
      <c r="CD342" s="14"/>
      <c r="CE342" s="14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</row>
    <row r="343">
      <c r="A343" s="274" t="s">
        <v>645</v>
      </c>
      <c r="B343" s="275" t="s">
        <v>18</v>
      </c>
      <c r="C343" s="275" t="s">
        <v>689</v>
      </c>
      <c r="D343" s="276" t="str">
        <f t="shared" si="1"/>
        <v>T-1-36</v>
      </c>
      <c r="E343" s="72"/>
      <c r="F343" s="77"/>
      <c r="G343" s="74"/>
      <c r="H343" s="138"/>
      <c r="I343" s="76"/>
      <c r="J343" s="138"/>
      <c r="K343" s="32" t="str">
        <f t="shared" si="2"/>
        <v>DISPONIBLE</v>
      </c>
      <c r="L343" s="33">
        <f t="shared" si="14"/>
        <v>342</v>
      </c>
      <c r="M343" s="33" t="s">
        <v>733</v>
      </c>
      <c r="N343" s="33"/>
      <c r="O343" s="169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4"/>
      <c r="BF343" s="12"/>
      <c r="BG343" s="12"/>
      <c r="BH343" s="12" t="str">
        <f>IFERROR(__xludf.DUMMYFUNCTION("IFERROR(INDEX(QUERY(IMPORTRANGE(""1T7HG8KEs-Ob7f3M5atEVN9Yn7IeORGp0QGvggB62ELw"",""Maestro!A:I""),""SELECT Col8 WHERE Col3 = '""&amp;BE343&amp;""'"", 0), 1, 1),""NO ENCONTRADO"")"),"")</f>
        <v/>
      </c>
      <c r="BI343" s="12" t="str">
        <f>IFERROR(__xludf.DUMMYFUNCTION("IFERROR(INDEX(QUERY(IMPORTRANGE(""1T7HG8KEs-Ob7f3M5atEVN9Yn7IeORGp0QGvggB62ELw"",""Maestro!A:I""),""SELECT Col7 WHERE Col3 = '""&amp;BE343&amp;""'"", 0), 1, 1),""NO ENCONTRADO"")"),"")</f>
        <v/>
      </c>
      <c r="BJ343" s="16">
        <f t="shared" si="15"/>
        <v>0</v>
      </c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4"/>
      <c r="BX343" s="14"/>
      <c r="BY343" s="14"/>
      <c r="BZ343" s="14"/>
      <c r="CA343" s="14"/>
      <c r="CB343" s="14"/>
      <c r="CC343" s="14"/>
      <c r="CD343" s="14"/>
      <c r="CE343" s="14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</row>
    <row r="344">
      <c r="A344" s="274" t="s">
        <v>645</v>
      </c>
      <c r="B344" s="275" t="s">
        <v>18</v>
      </c>
      <c r="C344" s="275" t="s">
        <v>691</v>
      </c>
      <c r="D344" s="276" t="str">
        <f t="shared" si="1"/>
        <v>T-1-37</v>
      </c>
      <c r="E344" s="141"/>
      <c r="F344" s="137"/>
      <c r="G344" s="138"/>
      <c r="H344" s="138"/>
      <c r="I344" s="142"/>
      <c r="J344" s="138"/>
      <c r="K344" s="27" t="str">
        <f t="shared" si="2"/>
        <v>DISPONIBLE</v>
      </c>
      <c r="L344" s="28">
        <f t="shared" si="14"/>
        <v>343</v>
      </c>
      <c r="M344" s="28" t="s">
        <v>733</v>
      </c>
      <c r="N344" s="28"/>
      <c r="O344" s="168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4"/>
      <c r="BF344" s="12"/>
      <c r="BG344" s="12"/>
      <c r="BH344" s="12" t="str">
        <f>IFERROR(__xludf.DUMMYFUNCTION("IFERROR(INDEX(QUERY(IMPORTRANGE(""1T7HG8KEs-Ob7f3M5atEVN9Yn7IeORGp0QGvggB62ELw"",""Maestro!A:I""),""SELECT Col8 WHERE Col3 = '""&amp;BE344&amp;""'"", 0), 1, 1),""NO ENCONTRADO"")"),"")</f>
        <v/>
      </c>
      <c r="BI344" s="12" t="str">
        <f>IFERROR(__xludf.DUMMYFUNCTION("IFERROR(INDEX(QUERY(IMPORTRANGE(""1T7HG8KEs-Ob7f3M5atEVN9Yn7IeORGp0QGvggB62ELw"",""Maestro!A:I""),""SELECT Col7 WHERE Col3 = '""&amp;BE344&amp;""'"", 0), 1, 1),""NO ENCONTRADO"")"),"")</f>
        <v/>
      </c>
      <c r="BJ344" s="16">
        <f t="shared" si="15"/>
        <v>0</v>
      </c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4"/>
      <c r="BX344" s="14"/>
      <c r="BY344" s="14"/>
      <c r="BZ344" s="14"/>
      <c r="CA344" s="14"/>
      <c r="CB344" s="14"/>
      <c r="CC344" s="14"/>
      <c r="CD344" s="14"/>
      <c r="CE344" s="14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</row>
    <row r="345">
      <c r="A345" s="274" t="s">
        <v>645</v>
      </c>
      <c r="B345" s="275" t="s">
        <v>18</v>
      </c>
      <c r="C345" s="275" t="s">
        <v>693</v>
      </c>
      <c r="D345" s="276" t="str">
        <f t="shared" si="1"/>
        <v>T-1-38</v>
      </c>
      <c r="E345" s="141"/>
      <c r="F345" s="137"/>
      <c r="G345" s="138"/>
      <c r="H345" s="138"/>
      <c r="I345" s="142"/>
      <c r="J345" s="138"/>
      <c r="K345" s="32" t="str">
        <f t="shared" si="2"/>
        <v>DISPONIBLE</v>
      </c>
      <c r="L345" s="33">
        <f t="shared" si="14"/>
        <v>344</v>
      </c>
      <c r="M345" s="33" t="s">
        <v>733</v>
      </c>
      <c r="N345" s="33"/>
      <c r="O345" s="169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4"/>
      <c r="BF345" s="12"/>
      <c r="BG345" s="12"/>
      <c r="BH345" s="12" t="str">
        <f>IFERROR(__xludf.DUMMYFUNCTION("IFERROR(INDEX(QUERY(IMPORTRANGE(""1T7HG8KEs-Ob7f3M5atEVN9Yn7IeORGp0QGvggB62ELw"",""Maestro!A:I""),""SELECT Col8 WHERE Col3 = '""&amp;BE345&amp;""'"", 0), 1, 1),""NO ENCONTRADO"")"),"")</f>
        <v/>
      </c>
      <c r="BI345" s="12" t="str">
        <f>IFERROR(__xludf.DUMMYFUNCTION("IFERROR(INDEX(QUERY(IMPORTRANGE(""1T7HG8KEs-Ob7f3M5atEVN9Yn7IeORGp0QGvggB62ELw"",""Maestro!A:I""),""SELECT Col7 WHERE Col3 = '""&amp;BE345&amp;""'"", 0), 1, 1),""NO ENCONTRADO"")"),"")</f>
        <v/>
      </c>
      <c r="BJ345" s="16">
        <f t="shared" si="15"/>
        <v>0</v>
      </c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4"/>
      <c r="BX345" s="14"/>
      <c r="BY345" s="14"/>
      <c r="BZ345" s="14"/>
      <c r="CA345" s="14"/>
      <c r="CB345" s="14"/>
      <c r="CC345" s="14"/>
      <c r="CD345" s="14"/>
      <c r="CE345" s="14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</row>
    <row r="346">
      <c r="A346" s="274" t="s">
        <v>645</v>
      </c>
      <c r="B346" s="275" t="s">
        <v>18</v>
      </c>
      <c r="C346" s="275" t="s">
        <v>695</v>
      </c>
      <c r="D346" s="276" t="str">
        <f t="shared" si="1"/>
        <v>T-1-39</v>
      </c>
      <c r="E346" s="141"/>
      <c r="F346" s="137"/>
      <c r="G346" s="138"/>
      <c r="H346" s="138"/>
      <c r="I346" s="142"/>
      <c r="J346" s="138"/>
      <c r="K346" s="27" t="str">
        <f t="shared" si="2"/>
        <v>DISPONIBLE</v>
      </c>
      <c r="L346" s="28">
        <f t="shared" si="14"/>
        <v>345</v>
      </c>
      <c r="M346" s="28" t="s">
        <v>733</v>
      </c>
      <c r="N346" s="70"/>
      <c r="O346" s="168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4"/>
      <c r="BF346" s="12"/>
      <c r="BG346" s="12"/>
      <c r="BH346" s="12" t="str">
        <f>IFERROR(__xludf.DUMMYFUNCTION("IFERROR(INDEX(QUERY(IMPORTRANGE(""1T7HG8KEs-Ob7f3M5atEVN9Yn7IeORGp0QGvggB62ELw"",""Maestro!A:I""),""SELECT Col8 WHERE Col3 = '""&amp;BE346&amp;""'"", 0), 1, 1),""NO ENCONTRADO"")"),"")</f>
        <v/>
      </c>
      <c r="BI346" s="12" t="str">
        <f>IFERROR(__xludf.DUMMYFUNCTION("IFERROR(INDEX(QUERY(IMPORTRANGE(""1T7HG8KEs-Ob7f3M5atEVN9Yn7IeORGp0QGvggB62ELw"",""Maestro!A:I""),""SELECT Col7 WHERE Col3 = '""&amp;BE346&amp;""'"", 0), 1, 1),""NO ENCONTRADO"")"),"")</f>
        <v/>
      </c>
      <c r="BJ346" s="16">
        <f t="shared" si="15"/>
        <v>0</v>
      </c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4"/>
      <c r="BX346" s="14"/>
      <c r="BY346" s="14"/>
      <c r="BZ346" s="14"/>
      <c r="CA346" s="14"/>
      <c r="CB346" s="14"/>
      <c r="CC346" s="14"/>
      <c r="CD346" s="14"/>
      <c r="CE346" s="14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</row>
    <row r="347">
      <c r="A347" s="281" t="s">
        <v>645</v>
      </c>
      <c r="B347" s="282" t="s">
        <v>18</v>
      </c>
      <c r="C347" s="282" t="s">
        <v>698</v>
      </c>
      <c r="D347" s="283" t="str">
        <f t="shared" si="1"/>
        <v>T-1-40</v>
      </c>
      <c r="E347" s="234"/>
      <c r="F347" s="235"/>
      <c r="G347" s="236"/>
      <c r="H347" s="239"/>
      <c r="I347" s="272"/>
      <c r="J347" s="62"/>
      <c r="K347" s="154" t="str">
        <f t="shared" si="2"/>
        <v>DISPONIBLE</v>
      </c>
      <c r="L347" s="155">
        <f t="shared" si="14"/>
        <v>346</v>
      </c>
      <c r="M347" s="155" t="s">
        <v>733</v>
      </c>
      <c r="N347" s="156"/>
      <c r="O347" s="326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4"/>
      <c r="BF347" s="12"/>
      <c r="BG347" s="12"/>
      <c r="BH347" s="12" t="str">
        <f>IFERROR(__xludf.DUMMYFUNCTION("IFERROR(INDEX(QUERY(IMPORTRANGE(""1T7HG8KEs-Ob7f3M5atEVN9Yn7IeORGp0QGvggB62ELw"",""Maestro!A:I""),""SELECT Col8 WHERE Col3 = '""&amp;BE347&amp;""'"", 0), 1, 1),""NO ENCONTRADO"")"),"")</f>
        <v/>
      </c>
      <c r="BI347" s="12" t="str">
        <f>IFERROR(__xludf.DUMMYFUNCTION("IFERROR(INDEX(QUERY(IMPORTRANGE(""1T7HG8KEs-Ob7f3M5atEVN9Yn7IeORGp0QGvggB62ELw"",""Maestro!A:I""),""SELECT Col7 WHERE Col3 = '""&amp;BE347&amp;""'"", 0), 1, 1),""NO ENCONTRADO"")"),"")</f>
        <v/>
      </c>
      <c r="BJ347" s="16">
        <f t="shared" si="15"/>
        <v>0</v>
      </c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4"/>
      <c r="BX347" s="14"/>
      <c r="BY347" s="14"/>
      <c r="BZ347" s="14"/>
      <c r="CA347" s="14"/>
      <c r="CB347" s="14"/>
      <c r="CC347" s="14"/>
      <c r="CD347" s="14"/>
      <c r="CE347" s="14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</row>
    <row r="348">
      <c r="A348" s="287" t="s">
        <v>664</v>
      </c>
      <c r="B348" s="288" t="s">
        <v>18</v>
      </c>
      <c r="C348" s="288" t="s">
        <v>18</v>
      </c>
      <c r="D348" s="289" t="str">
        <f t="shared" si="1"/>
        <v>ZOUT-1-1</v>
      </c>
      <c r="E348" s="78">
        <v>45768.0</v>
      </c>
      <c r="F348" s="79" t="s">
        <v>19</v>
      </c>
      <c r="G348" s="80" t="s">
        <v>249</v>
      </c>
      <c r="H348" s="81" t="s">
        <v>250</v>
      </c>
      <c r="I348" s="82">
        <v>300.0</v>
      </c>
      <c r="J348" s="81" t="s">
        <v>274</v>
      </c>
      <c r="K348" s="27" t="str">
        <f t="shared" si="2"/>
        <v>OCUPADO</v>
      </c>
      <c r="L348" s="28">
        <f t="shared" si="14"/>
        <v>347</v>
      </c>
      <c r="M348" s="28" t="s">
        <v>746</v>
      </c>
      <c r="N348" s="109"/>
      <c r="O348" s="168" t="s">
        <v>270</v>
      </c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4"/>
      <c r="BF348" s="12"/>
      <c r="BG348" s="12"/>
      <c r="BH348" s="12" t="str">
        <f>IFERROR(__xludf.DUMMYFUNCTION("IFERROR(INDEX(QUERY(IMPORTRANGE(""1T7HG8KEs-Ob7f3M5atEVN9Yn7IeORGp0QGvggB62ELw"",""Maestro!A:I""),""SELECT Col8 WHERE Col3 = '""&amp;BE348&amp;""'"", 0), 1, 1),""NO ENCONTRADO"")"),"")</f>
        <v/>
      </c>
      <c r="BI348" s="12" t="str">
        <f>IFERROR(__xludf.DUMMYFUNCTION("IFERROR(INDEX(QUERY(IMPORTRANGE(""1T7HG8KEs-Ob7f3M5atEVN9Yn7IeORGp0QGvggB62ELw"",""Maestro!A:I""),""SELECT Col7 WHERE Col3 = '""&amp;BE348&amp;""'"", 0), 1, 1),""NO ENCONTRADO"")"),"")</f>
        <v/>
      </c>
      <c r="BJ348" s="16">
        <f t="shared" si="15"/>
        <v>0</v>
      </c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4"/>
      <c r="BX348" s="14"/>
      <c r="BY348" s="14"/>
      <c r="BZ348" s="14"/>
      <c r="CA348" s="14"/>
      <c r="CB348" s="14"/>
      <c r="CC348" s="14"/>
      <c r="CD348" s="14"/>
      <c r="CE348" s="14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</row>
    <row r="349">
      <c r="A349" s="287" t="s">
        <v>664</v>
      </c>
      <c r="B349" s="288" t="s">
        <v>18</v>
      </c>
      <c r="C349" s="288" t="s">
        <v>32</v>
      </c>
      <c r="D349" s="289" t="str">
        <f t="shared" si="1"/>
        <v>ZOUT-1-2</v>
      </c>
      <c r="E349" s="72"/>
      <c r="F349" s="77"/>
      <c r="G349" s="74"/>
      <c r="H349" s="75"/>
      <c r="I349" s="76"/>
      <c r="J349" s="75"/>
      <c r="K349" s="32" t="str">
        <f t="shared" si="2"/>
        <v>DISPONIBLE</v>
      </c>
      <c r="L349" s="33">
        <f t="shared" si="14"/>
        <v>348</v>
      </c>
      <c r="M349" s="33" t="s">
        <v>746</v>
      </c>
      <c r="N349" s="122"/>
      <c r="O349" s="169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4"/>
      <c r="BF349" s="12"/>
      <c r="BG349" s="12"/>
      <c r="BH349" s="12" t="str">
        <f>IFERROR(__xludf.DUMMYFUNCTION("IFERROR(INDEX(QUERY(IMPORTRANGE(""1T7HG8KEs-Ob7f3M5atEVN9Yn7IeORGp0QGvggB62ELw"",""Maestro!A:I""),""SELECT Col8 WHERE Col3 = '""&amp;BE349&amp;""'"", 0), 1, 1),""NO ENCONTRADO"")"),"")</f>
        <v/>
      </c>
      <c r="BI349" s="12" t="str">
        <f>IFERROR(__xludf.DUMMYFUNCTION("IFERROR(INDEX(QUERY(IMPORTRANGE(""1T7HG8KEs-Ob7f3M5atEVN9Yn7IeORGp0QGvggB62ELw"",""Maestro!A:I""),""SELECT Col7 WHERE Col3 = '""&amp;BE349&amp;""'"", 0), 1, 1),""NO ENCONTRADO"")"),"")</f>
        <v/>
      </c>
      <c r="BJ349" s="16">
        <f t="shared" si="15"/>
        <v>0</v>
      </c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4"/>
      <c r="BX349" s="14"/>
      <c r="BY349" s="14"/>
      <c r="BZ349" s="14"/>
      <c r="CA349" s="14"/>
      <c r="CB349" s="14"/>
      <c r="CC349" s="14"/>
      <c r="CD349" s="14"/>
      <c r="CE349" s="14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</row>
    <row r="350">
      <c r="A350" s="287" t="s">
        <v>664</v>
      </c>
      <c r="B350" s="288" t="s">
        <v>18</v>
      </c>
      <c r="C350" s="288" t="s">
        <v>44</v>
      </c>
      <c r="D350" s="289" t="str">
        <f t="shared" si="1"/>
        <v>ZOUT-1-3</v>
      </c>
      <c r="E350" s="72"/>
      <c r="F350" s="77"/>
      <c r="G350" s="74"/>
      <c r="H350" s="75"/>
      <c r="I350" s="76"/>
      <c r="J350" s="75"/>
      <c r="K350" s="27" t="str">
        <f t="shared" si="2"/>
        <v>DISPONIBLE</v>
      </c>
      <c r="L350" s="28">
        <f t="shared" si="14"/>
        <v>349</v>
      </c>
      <c r="M350" s="28" t="s">
        <v>746</v>
      </c>
      <c r="N350" s="109"/>
      <c r="O350" s="168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4"/>
      <c r="BF350" s="12"/>
      <c r="BG350" s="12"/>
      <c r="BH350" s="12" t="str">
        <f>IFERROR(__xludf.DUMMYFUNCTION("IFERROR(INDEX(QUERY(IMPORTRANGE(""1T7HG8KEs-Ob7f3M5atEVN9Yn7IeORGp0QGvggB62ELw"",""Maestro!A:I""),""SELECT Col8 WHERE Col3 = '""&amp;BE350&amp;""'"", 0), 1, 1),""NO ENCONTRADO"")"),"")</f>
        <v/>
      </c>
      <c r="BI350" s="12" t="str">
        <f>IFERROR(__xludf.DUMMYFUNCTION("IFERROR(INDEX(QUERY(IMPORTRANGE(""1T7HG8KEs-Ob7f3M5atEVN9Yn7IeORGp0QGvggB62ELw"",""Maestro!A:I""),""SELECT Col7 WHERE Col3 = '""&amp;BE350&amp;""'"", 0), 1, 1),""NO ENCONTRADO"")"),"")</f>
        <v/>
      </c>
      <c r="BJ350" s="16">
        <f t="shared" si="15"/>
        <v>0</v>
      </c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4"/>
      <c r="BX350" s="14"/>
      <c r="BY350" s="14"/>
      <c r="BZ350" s="14"/>
      <c r="CA350" s="14"/>
      <c r="CB350" s="14"/>
      <c r="CC350" s="14"/>
      <c r="CD350" s="14"/>
      <c r="CE350" s="14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</row>
    <row r="351">
      <c r="A351" s="287" t="s">
        <v>664</v>
      </c>
      <c r="B351" s="288" t="s">
        <v>18</v>
      </c>
      <c r="C351" s="288" t="s">
        <v>53</v>
      </c>
      <c r="D351" s="289" t="str">
        <f t="shared" si="1"/>
        <v>ZOUT-1-4</v>
      </c>
      <c r="E351" s="72"/>
      <c r="F351" s="77"/>
      <c r="G351" s="74"/>
      <c r="H351" s="75"/>
      <c r="I351" s="76"/>
      <c r="J351" s="75"/>
      <c r="K351" s="32" t="str">
        <f t="shared" si="2"/>
        <v>DISPONIBLE</v>
      </c>
      <c r="L351" s="33">
        <f t="shared" si="14"/>
        <v>350</v>
      </c>
      <c r="M351" s="33" t="s">
        <v>746</v>
      </c>
      <c r="N351" s="122"/>
      <c r="O351" s="169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4"/>
      <c r="BF351" s="12"/>
      <c r="BG351" s="12"/>
      <c r="BH351" s="12" t="str">
        <f>IFERROR(__xludf.DUMMYFUNCTION("IFERROR(INDEX(QUERY(IMPORTRANGE(""1T7HG8KEs-Ob7f3M5atEVN9Yn7IeORGp0QGvggB62ELw"",""Maestro!A:I""),""SELECT Col8 WHERE Col3 = '""&amp;BE351&amp;""'"", 0), 1, 1),""NO ENCONTRADO"")"),"")</f>
        <v/>
      </c>
      <c r="BI351" s="12" t="str">
        <f>IFERROR(__xludf.DUMMYFUNCTION("IFERROR(INDEX(QUERY(IMPORTRANGE(""1T7HG8KEs-Ob7f3M5atEVN9Yn7IeORGp0QGvggB62ELw"",""Maestro!A:I""),""SELECT Col7 WHERE Col3 = '""&amp;BE351&amp;""'"", 0), 1, 1),""NO ENCONTRADO"")"),"")</f>
        <v/>
      </c>
      <c r="BJ351" s="16">
        <f t="shared" si="15"/>
        <v>0</v>
      </c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4"/>
      <c r="BX351" s="14"/>
      <c r="BY351" s="14"/>
      <c r="BZ351" s="14"/>
      <c r="CA351" s="14"/>
      <c r="CB351" s="14"/>
      <c r="CC351" s="14"/>
      <c r="CD351" s="14"/>
      <c r="CE351" s="14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</row>
    <row r="352">
      <c r="A352" s="287" t="s">
        <v>664</v>
      </c>
      <c r="B352" s="288" t="s">
        <v>18</v>
      </c>
      <c r="C352" s="288" t="s">
        <v>25</v>
      </c>
      <c r="D352" s="289" t="str">
        <f t="shared" si="1"/>
        <v>ZOUT-1-5</v>
      </c>
      <c r="E352" s="72"/>
      <c r="F352" s="77"/>
      <c r="G352" s="74"/>
      <c r="H352" s="75"/>
      <c r="I352" s="76"/>
      <c r="J352" s="75"/>
      <c r="K352" s="27" t="str">
        <f t="shared" si="2"/>
        <v>DISPONIBLE</v>
      </c>
      <c r="L352" s="28">
        <f t="shared" si="14"/>
        <v>351</v>
      </c>
      <c r="M352" s="28" t="s">
        <v>746</v>
      </c>
      <c r="N352" s="109"/>
      <c r="O352" s="168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4"/>
      <c r="BF352" s="12"/>
      <c r="BG352" s="12"/>
      <c r="BH352" s="12" t="str">
        <f>IFERROR(__xludf.DUMMYFUNCTION("IFERROR(INDEX(QUERY(IMPORTRANGE(""1T7HG8KEs-Ob7f3M5atEVN9Yn7IeORGp0QGvggB62ELw"",""Maestro!A:I""),""SELECT Col8 WHERE Col3 = '""&amp;BE352&amp;""'"", 0), 1, 1),""NO ENCONTRADO"")"),"")</f>
        <v/>
      </c>
      <c r="BI352" s="12" t="str">
        <f>IFERROR(__xludf.DUMMYFUNCTION("IFERROR(INDEX(QUERY(IMPORTRANGE(""1T7HG8KEs-Ob7f3M5atEVN9Yn7IeORGp0QGvggB62ELw"",""Maestro!A:I""),""SELECT Col7 WHERE Col3 = '""&amp;BE352&amp;""'"", 0), 1, 1),""NO ENCONTRADO"")"),"")</f>
        <v/>
      </c>
      <c r="BJ352" s="16">
        <f t="shared" si="15"/>
        <v>0</v>
      </c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4"/>
      <c r="BX352" s="14"/>
      <c r="BY352" s="14"/>
      <c r="BZ352" s="14"/>
      <c r="CA352" s="14"/>
      <c r="CB352" s="14"/>
      <c r="CC352" s="14"/>
      <c r="CD352" s="14"/>
      <c r="CE352" s="14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</row>
    <row r="353">
      <c r="A353" s="287" t="s">
        <v>664</v>
      </c>
      <c r="B353" s="288" t="s">
        <v>18</v>
      </c>
      <c r="C353" s="288" t="s">
        <v>36</v>
      </c>
      <c r="D353" s="289" t="str">
        <f t="shared" si="1"/>
        <v>ZOUT-1-6</v>
      </c>
      <c r="E353" s="72"/>
      <c r="F353" s="77"/>
      <c r="G353" s="265"/>
      <c r="H353" s="75"/>
      <c r="I353" s="76"/>
      <c r="J353" s="75"/>
      <c r="K353" s="32" t="str">
        <f t="shared" si="2"/>
        <v>DISPONIBLE</v>
      </c>
      <c r="L353" s="33">
        <f t="shared" si="14"/>
        <v>352</v>
      </c>
      <c r="M353" s="33" t="s">
        <v>746</v>
      </c>
      <c r="N353" s="122"/>
      <c r="O353" s="316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4"/>
      <c r="BF353" s="12"/>
      <c r="BG353" s="12"/>
      <c r="BH353" s="12" t="str">
        <f>IFERROR(__xludf.DUMMYFUNCTION("IFERROR(INDEX(QUERY(IMPORTRANGE(""1T7HG8KEs-Ob7f3M5atEVN9Yn7IeORGp0QGvggB62ELw"",""Maestro!A:I""),""SELECT Col8 WHERE Col3 = '""&amp;BE353&amp;""'"", 0), 1, 1),""NO ENCONTRADO"")"),"")</f>
        <v/>
      </c>
      <c r="BI353" s="12" t="str">
        <f>IFERROR(__xludf.DUMMYFUNCTION("IFERROR(INDEX(QUERY(IMPORTRANGE(""1T7HG8KEs-Ob7f3M5atEVN9Yn7IeORGp0QGvggB62ELw"",""Maestro!A:I""),""SELECT Col7 WHERE Col3 = '""&amp;BE353&amp;""'"", 0), 1, 1),""NO ENCONTRADO"")"),"")</f>
        <v/>
      </c>
      <c r="BJ353" s="16">
        <f t="shared" si="15"/>
        <v>0</v>
      </c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4"/>
      <c r="BX353" s="14"/>
      <c r="BY353" s="14"/>
      <c r="BZ353" s="14"/>
      <c r="CA353" s="14"/>
      <c r="CB353" s="14"/>
      <c r="CC353" s="14"/>
      <c r="CD353" s="14"/>
      <c r="CE353" s="14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</row>
    <row r="354">
      <c r="A354" s="287" t="s">
        <v>664</v>
      </c>
      <c r="B354" s="288" t="s">
        <v>18</v>
      </c>
      <c r="C354" s="288" t="s">
        <v>48</v>
      </c>
      <c r="D354" s="289" t="str">
        <f t="shared" si="1"/>
        <v>ZOUT-1-7</v>
      </c>
      <c r="E354" s="72"/>
      <c r="F354" s="77"/>
      <c r="G354" s="75"/>
      <c r="H354" s="75"/>
      <c r="I354" s="76"/>
      <c r="J354" s="75"/>
      <c r="K354" s="27" t="str">
        <f t="shared" si="2"/>
        <v>DISPONIBLE</v>
      </c>
      <c r="L354" s="28">
        <f t="shared" si="14"/>
        <v>353</v>
      </c>
      <c r="M354" s="28" t="s">
        <v>746</v>
      </c>
      <c r="N354" s="109"/>
      <c r="O354" s="168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4"/>
      <c r="BF354" s="12"/>
      <c r="BG354" s="12"/>
      <c r="BH354" s="12" t="str">
        <f>IFERROR(__xludf.DUMMYFUNCTION("IFERROR(INDEX(QUERY(IMPORTRANGE(""1T7HG8KEs-Ob7f3M5atEVN9Yn7IeORGp0QGvggB62ELw"",""Maestro!A:I""),""SELECT Col8 WHERE Col3 = '""&amp;BE354&amp;""'"", 0), 1, 1),""NO ENCONTRADO"")"),"")</f>
        <v/>
      </c>
      <c r="BI354" s="12" t="str">
        <f>IFERROR(__xludf.DUMMYFUNCTION("IFERROR(INDEX(QUERY(IMPORTRANGE(""1T7HG8KEs-Ob7f3M5atEVN9Yn7IeORGp0QGvggB62ELw"",""Maestro!A:I""),""SELECT Col7 WHERE Col3 = '""&amp;BE354&amp;""'"", 0), 1, 1),""NO ENCONTRADO"")"),"")</f>
        <v/>
      </c>
      <c r="BJ354" s="16">
        <f t="shared" si="15"/>
        <v>0</v>
      </c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4"/>
      <c r="BX354" s="14"/>
      <c r="BY354" s="14"/>
      <c r="BZ354" s="14"/>
      <c r="CA354" s="14"/>
      <c r="CB354" s="14"/>
      <c r="CC354" s="14"/>
      <c r="CD354" s="14"/>
      <c r="CE354" s="14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</row>
    <row r="355">
      <c r="A355" s="287" t="s">
        <v>664</v>
      </c>
      <c r="B355" s="288" t="s">
        <v>18</v>
      </c>
      <c r="C355" s="288" t="s">
        <v>465</v>
      </c>
      <c r="D355" s="289" t="str">
        <f t="shared" si="1"/>
        <v>ZOUT-1-8</v>
      </c>
      <c r="E355" s="72"/>
      <c r="F355" s="77"/>
      <c r="G355" s="75"/>
      <c r="H355" s="75"/>
      <c r="I355" s="76"/>
      <c r="J355" s="75"/>
      <c r="K355" s="32" t="str">
        <f t="shared" si="2"/>
        <v>DISPONIBLE</v>
      </c>
      <c r="L355" s="33">
        <f t="shared" si="14"/>
        <v>354</v>
      </c>
      <c r="M355" s="33" t="s">
        <v>746</v>
      </c>
      <c r="N355" s="122"/>
      <c r="O355" s="169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4"/>
      <c r="BF355" s="12"/>
      <c r="BG355" s="12"/>
      <c r="BH355" s="12" t="str">
        <f>IFERROR(__xludf.DUMMYFUNCTION("IFERROR(INDEX(QUERY(IMPORTRANGE(""1T7HG8KEs-Ob7f3M5atEVN9Yn7IeORGp0QGvggB62ELw"",""Maestro!A:I""),""SELECT Col8 WHERE Col3 = '""&amp;BE355&amp;""'"", 0), 1, 1),""NO ENCONTRADO"")"),"")</f>
        <v/>
      </c>
      <c r="BI355" s="12" t="str">
        <f>IFERROR(__xludf.DUMMYFUNCTION("IFERROR(INDEX(QUERY(IMPORTRANGE(""1T7HG8KEs-Ob7f3M5atEVN9Yn7IeORGp0QGvggB62ELw"",""Maestro!A:I""),""SELECT Col7 WHERE Col3 = '""&amp;BE355&amp;""'"", 0), 1, 1),""NO ENCONTRADO"")"),"")</f>
        <v/>
      </c>
      <c r="BJ355" s="16">
        <f t="shared" si="15"/>
        <v>0</v>
      </c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4"/>
      <c r="BX355" s="14"/>
      <c r="BY355" s="14"/>
      <c r="BZ355" s="14"/>
      <c r="CA355" s="14"/>
      <c r="CB355" s="14"/>
      <c r="CC355" s="14"/>
      <c r="CD355" s="14"/>
      <c r="CE355" s="14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</row>
    <row r="356">
      <c r="A356" s="287" t="s">
        <v>664</v>
      </c>
      <c r="B356" s="288" t="s">
        <v>18</v>
      </c>
      <c r="C356" s="288" t="s">
        <v>511</v>
      </c>
      <c r="D356" s="289" t="str">
        <f t="shared" si="1"/>
        <v>ZOUT-1-9</v>
      </c>
      <c r="E356" s="72"/>
      <c r="F356" s="77"/>
      <c r="G356" s="74"/>
      <c r="H356" s="75"/>
      <c r="I356" s="76"/>
      <c r="J356" s="75"/>
      <c r="K356" s="27" t="str">
        <f t="shared" si="2"/>
        <v>DISPONIBLE</v>
      </c>
      <c r="L356" s="28">
        <f t="shared" si="14"/>
        <v>355</v>
      </c>
      <c r="M356" s="28" t="s">
        <v>746</v>
      </c>
      <c r="N356" s="109"/>
      <c r="O356" s="168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4"/>
      <c r="BF356" s="12"/>
      <c r="BG356" s="12"/>
      <c r="BH356" s="12" t="str">
        <f>IFERROR(__xludf.DUMMYFUNCTION("IFERROR(INDEX(QUERY(IMPORTRANGE(""1T7HG8KEs-Ob7f3M5atEVN9Yn7IeORGp0QGvggB62ELw"",""Maestro!A:I""),""SELECT Col8 WHERE Col3 = '""&amp;BE356&amp;""'"", 0), 1, 1),""NO ENCONTRADO"")"),"")</f>
        <v/>
      </c>
      <c r="BI356" s="12" t="str">
        <f>IFERROR(__xludf.DUMMYFUNCTION("IFERROR(INDEX(QUERY(IMPORTRANGE(""1T7HG8KEs-Ob7f3M5atEVN9Yn7IeORGp0QGvggB62ELw"",""Maestro!A:I""),""SELECT Col7 WHERE Col3 = '""&amp;BE356&amp;""'"", 0), 1, 1),""NO ENCONTRADO"")"),"")</f>
        <v/>
      </c>
      <c r="BJ356" s="16">
        <f t="shared" si="15"/>
        <v>0</v>
      </c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4"/>
      <c r="BX356" s="14"/>
      <c r="BY356" s="14"/>
      <c r="BZ356" s="14"/>
      <c r="CA356" s="14"/>
      <c r="CB356" s="14"/>
      <c r="CC356" s="14"/>
      <c r="CD356" s="14"/>
      <c r="CE356" s="14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</row>
    <row r="357">
      <c r="A357" s="287" t="s">
        <v>664</v>
      </c>
      <c r="B357" s="288" t="s">
        <v>18</v>
      </c>
      <c r="C357" s="288" t="s">
        <v>296</v>
      </c>
      <c r="D357" s="289" t="str">
        <f t="shared" si="1"/>
        <v>ZOUT-1-10</v>
      </c>
      <c r="E357" s="72"/>
      <c r="F357" s="77"/>
      <c r="G357" s="74"/>
      <c r="H357" s="75"/>
      <c r="I357" s="76"/>
      <c r="J357" s="75"/>
      <c r="K357" s="32" t="str">
        <f t="shared" si="2"/>
        <v>DISPONIBLE</v>
      </c>
      <c r="L357" s="33">
        <f t="shared" si="14"/>
        <v>356</v>
      </c>
      <c r="M357" s="33" t="s">
        <v>746</v>
      </c>
      <c r="N357" s="122"/>
      <c r="O357" s="169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4"/>
      <c r="BF357" s="12"/>
      <c r="BG357" s="12"/>
      <c r="BH357" s="12" t="str">
        <f>IFERROR(__xludf.DUMMYFUNCTION("IFERROR(INDEX(QUERY(IMPORTRANGE(""1T7HG8KEs-Ob7f3M5atEVN9Yn7IeORGp0QGvggB62ELw"",""Maestro!A:I""),""SELECT Col8 WHERE Col3 = '""&amp;BE357&amp;""'"", 0), 1, 1),""NO ENCONTRADO"")"),"")</f>
        <v/>
      </c>
      <c r="BI357" s="12" t="str">
        <f>IFERROR(__xludf.DUMMYFUNCTION("IFERROR(INDEX(QUERY(IMPORTRANGE(""1T7HG8KEs-Ob7f3M5atEVN9Yn7IeORGp0QGvggB62ELw"",""Maestro!A:I""),""SELECT Col7 WHERE Col3 = '""&amp;BE357&amp;""'"", 0), 1, 1),""NO ENCONTRADO"")"),"")</f>
        <v/>
      </c>
      <c r="BJ357" s="16">
        <f t="shared" si="15"/>
        <v>0</v>
      </c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4"/>
      <c r="BX357" s="14"/>
      <c r="BY357" s="14"/>
      <c r="BZ357" s="14"/>
      <c r="CA357" s="14"/>
      <c r="CB357" s="14"/>
      <c r="CC357" s="14"/>
      <c r="CD357" s="14"/>
      <c r="CE357" s="14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</row>
    <row r="358">
      <c r="A358" s="287" t="s">
        <v>664</v>
      </c>
      <c r="B358" s="288" t="s">
        <v>18</v>
      </c>
      <c r="C358" s="288" t="s">
        <v>316</v>
      </c>
      <c r="D358" s="289" t="str">
        <f t="shared" si="1"/>
        <v>ZOUT-1-11</v>
      </c>
      <c r="E358" s="72"/>
      <c r="F358" s="77"/>
      <c r="G358" s="74"/>
      <c r="H358" s="75"/>
      <c r="I358" s="76"/>
      <c r="J358" s="75"/>
      <c r="K358" s="27" t="str">
        <f t="shared" si="2"/>
        <v>DISPONIBLE</v>
      </c>
      <c r="L358" s="28">
        <f t="shared" si="14"/>
        <v>357</v>
      </c>
      <c r="M358" s="28" t="s">
        <v>746</v>
      </c>
      <c r="N358" s="109"/>
      <c r="O358" s="168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4"/>
      <c r="BF358" s="12"/>
      <c r="BG358" s="12"/>
      <c r="BH358" s="12" t="str">
        <f>IFERROR(__xludf.DUMMYFUNCTION("IFERROR(INDEX(QUERY(IMPORTRANGE(""1T7HG8KEs-Ob7f3M5atEVN9Yn7IeORGp0QGvggB62ELw"",""Maestro!A:I""),""SELECT Col8 WHERE Col3 = '""&amp;BE358&amp;""'"", 0), 1, 1),""NO ENCONTRADO"")"),"")</f>
        <v/>
      </c>
      <c r="BI358" s="12" t="str">
        <f>IFERROR(__xludf.DUMMYFUNCTION("IFERROR(INDEX(QUERY(IMPORTRANGE(""1T7HG8KEs-Ob7f3M5atEVN9Yn7IeORGp0QGvggB62ELw"",""Maestro!A:I""),""SELECT Col7 WHERE Col3 = '""&amp;BE358&amp;""'"", 0), 1, 1),""NO ENCONTRADO"")"),"")</f>
        <v/>
      </c>
      <c r="BJ358" s="16">
        <f t="shared" si="15"/>
        <v>0</v>
      </c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4"/>
      <c r="BX358" s="14"/>
      <c r="BY358" s="14"/>
      <c r="BZ358" s="14"/>
      <c r="CA358" s="14"/>
      <c r="CB358" s="14"/>
      <c r="CC358" s="14"/>
      <c r="CD358" s="14"/>
      <c r="CE358" s="14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</row>
    <row r="359">
      <c r="A359" s="287" t="s">
        <v>664</v>
      </c>
      <c r="B359" s="288" t="s">
        <v>18</v>
      </c>
      <c r="C359" s="288" t="s">
        <v>336</v>
      </c>
      <c r="D359" s="289" t="str">
        <f t="shared" si="1"/>
        <v>ZOUT-1-12</v>
      </c>
      <c r="E359" s="72"/>
      <c r="F359" s="77"/>
      <c r="G359" s="74"/>
      <c r="H359" s="75"/>
      <c r="I359" s="76"/>
      <c r="J359" s="75"/>
      <c r="K359" s="32" t="str">
        <f t="shared" si="2"/>
        <v>DISPONIBLE</v>
      </c>
      <c r="L359" s="33">
        <f t="shared" si="14"/>
        <v>358</v>
      </c>
      <c r="M359" s="33" t="s">
        <v>746</v>
      </c>
      <c r="N359" s="122"/>
      <c r="O359" s="169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4"/>
      <c r="BF359" s="12"/>
      <c r="BG359" s="12"/>
      <c r="BH359" s="12" t="str">
        <f>IFERROR(__xludf.DUMMYFUNCTION("IFERROR(INDEX(QUERY(IMPORTRANGE(""1T7HG8KEs-Ob7f3M5atEVN9Yn7IeORGp0QGvggB62ELw"",""Maestro!A:I""),""SELECT Col8 WHERE Col3 = '""&amp;BE359&amp;""'"", 0), 1, 1),""NO ENCONTRADO"")"),"")</f>
        <v/>
      </c>
      <c r="BI359" s="12" t="str">
        <f>IFERROR(__xludf.DUMMYFUNCTION("IFERROR(INDEX(QUERY(IMPORTRANGE(""1T7HG8KEs-Ob7f3M5atEVN9Yn7IeORGp0QGvggB62ELw"",""Maestro!A:I""),""SELECT Col7 WHERE Col3 = '""&amp;BE359&amp;""'"", 0), 1, 1),""NO ENCONTRADO"")"),"")</f>
        <v/>
      </c>
      <c r="BJ359" s="16">
        <f t="shared" si="15"/>
        <v>0</v>
      </c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4"/>
      <c r="BX359" s="14"/>
      <c r="BY359" s="14"/>
      <c r="BZ359" s="14"/>
      <c r="CA359" s="14"/>
      <c r="CB359" s="14"/>
      <c r="CC359" s="14"/>
      <c r="CD359" s="14"/>
      <c r="CE359" s="14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</row>
    <row r="360">
      <c r="A360" s="287" t="s">
        <v>664</v>
      </c>
      <c r="B360" s="288" t="s">
        <v>18</v>
      </c>
      <c r="C360" s="288" t="s">
        <v>350</v>
      </c>
      <c r="D360" s="289" t="str">
        <f t="shared" si="1"/>
        <v>ZOUT-1-13</v>
      </c>
      <c r="E360" s="72"/>
      <c r="F360" s="77"/>
      <c r="G360" s="74"/>
      <c r="H360" s="75"/>
      <c r="I360" s="76"/>
      <c r="J360" s="75"/>
      <c r="K360" s="27" t="str">
        <f t="shared" si="2"/>
        <v>DISPONIBLE</v>
      </c>
      <c r="L360" s="28">
        <f t="shared" si="14"/>
        <v>359</v>
      </c>
      <c r="M360" s="28" t="s">
        <v>746</v>
      </c>
      <c r="N360" s="109"/>
      <c r="O360" s="168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4"/>
      <c r="BF360" s="12"/>
      <c r="BG360" s="12"/>
      <c r="BH360" s="12" t="str">
        <f>IFERROR(__xludf.DUMMYFUNCTION("IFERROR(INDEX(QUERY(IMPORTRANGE(""1T7HG8KEs-Ob7f3M5atEVN9Yn7IeORGp0QGvggB62ELw"",""Maestro!A:I""),""SELECT Col8 WHERE Col3 = '""&amp;BE360&amp;""'"", 0), 1, 1),""NO ENCONTRADO"")"),"")</f>
        <v/>
      </c>
      <c r="BI360" s="12" t="str">
        <f>IFERROR(__xludf.DUMMYFUNCTION("IFERROR(INDEX(QUERY(IMPORTRANGE(""1T7HG8KEs-Ob7f3M5atEVN9Yn7IeORGp0QGvggB62ELw"",""Maestro!A:I""),""SELECT Col7 WHERE Col3 = '""&amp;BE360&amp;""'"", 0), 1, 1),""NO ENCONTRADO"")"),"")</f>
        <v/>
      </c>
      <c r="BJ360" s="16">
        <f t="shared" si="15"/>
        <v>0</v>
      </c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4"/>
      <c r="BX360" s="14"/>
      <c r="BY360" s="14"/>
      <c r="BZ360" s="14"/>
      <c r="CA360" s="14"/>
      <c r="CB360" s="14"/>
      <c r="CC360" s="14"/>
      <c r="CD360" s="14"/>
      <c r="CE360" s="14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</row>
    <row r="361">
      <c r="A361" s="287" t="s">
        <v>664</v>
      </c>
      <c r="B361" s="288" t="s">
        <v>18</v>
      </c>
      <c r="C361" s="288" t="s">
        <v>362</v>
      </c>
      <c r="D361" s="289" t="str">
        <f t="shared" si="1"/>
        <v>ZOUT-1-14</v>
      </c>
      <c r="E361" s="72"/>
      <c r="F361" s="77"/>
      <c r="G361" s="74"/>
      <c r="H361" s="75"/>
      <c r="I361" s="76"/>
      <c r="J361" s="75"/>
      <c r="K361" s="32" t="str">
        <f t="shared" si="2"/>
        <v>DISPONIBLE</v>
      </c>
      <c r="L361" s="33">
        <f t="shared" si="14"/>
        <v>360</v>
      </c>
      <c r="M361" s="33" t="s">
        <v>746</v>
      </c>
      <c r="N361" s="122"/>
      <c r="O361" s="169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4"/>
      <c r="BF361" s="12"/>
      <c r="BG361" s="12"/>
      <c r="BH361" s="12" t="str">
        <f>IFERROR(__xludf.DUMMYFUNCTION("IFERROR(INDEX(QUERY(IMPORTRANGE(""1T7HG8KEs-Ob7f3M5atEVN9Yn7IeORGp0QGvggB62ELw"",""Maestro!A:I""),""SELECT Col8 WHERE Col3 = '""&amp;BE361&amp;""'"", 0), 1, 1),""NO ENCONTRADO"")"),"")</f>
        <v/>
      </c>
      <c r="BI361" s="12" t="str">
        <f>IFERROR(__xludf.DUMMYFUNCTION("IFERROR(INDEX(QUERY(IMPORTRANGE(""1T7HG8KEs-Ob7f3M5atEVN9Yn7IeORGp0QGvggB62ELw"",""Maestro!A:I""),""SELECT Col7 WHERE Col3 = '""&amp;BE361&amp;""'"", 0), 1, 1),""NO ENCONTRADO"")"),"")</f>
        <v/>
      </c>
      <c r="BJ361" s="16">
        <f t="shared" si="15"/>
        <v>0</v>
      </c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4"/>
      <c r="BX361" s="14"/>
      <c r="BY361" s="14"/>
      <c r="BZ361" s="14"/>
      <c r="CA361" s="14"/>
      <c r="CB361" s="14"/>
      <c r="CC361" s="14"/>
      <c r="CD361" s="14"/>
      <c r="CE361" s="14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</row>
    <row r="362">
      <c r="A362" s="287" t="s">
        <v>664</v>
      </c>
      <c r="B362" s="288" t="s">
        <v>18</v>
      </c>
      <c r="C362" s="288" t="s">
        <v>372</v>
      </c>
      <c r="D362" s="289" t="str">
        <f t="shared" si="1"/>
        <v>ZOUT-1-15</v>
      </c>
      <c r="E362" s="72"/>
      <c r="F362" s="77"/>
      <c r="G362" s="74"/>
      <c r="H362" s="75"/>
      <c r="I362" s="76"/>
      <c r="J362" s="75"/>
      <c r="K362" s="27" t="str">
        <f t="shared" si="2"/>
        <v>DISPONIBLE</v>
      </c>
      <c r="L362" s="28">
        <f t="shared" si="14"/>
        <v>361</v>
      </c>
      <c r="M362" s="28" t="s">
        <v>746</v>
      </c>
      <c r="N362" s="109"/>
      <c r="O362" s="168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4"/>
      <c r="BF362" s="12"/>
      <c r="BG362" s="12"/>
      <c r="BH362" s="12" t="str">
        <f>IFERROR(__xludf.DUMMYFUNCTION("IFERROR(INDEX(QUERY(IMPORTRANGE(""1T7HG8KEs-Ob7f3M5atEVN9Yn7IeORGp0QGvggB62ELw"",""Maestro!A:I""),""SELECT Col8 WHERE Col3 = '""&amp;BE362&amp;""'"", 0), 1, 1),""NO ENCONTRADO"")"),"")</f>
        <v/>
      </c>
      <c r="BI362" s="12" t="str">
        <f>IFERROR(__xludf.DUMMYFUNCTION("IFERROR(INDEX(QUERY(IMPORTRANGE(""1T7HG8KEs-Ob7f3M5atEVN9Yn7IeORGp0QGvggB62ELw"",""Maestro!A:I""),""SELECT Col7 WHERE Col3 = '""&amp;BE362&amp;""'"", 0), 1, 1),""NO ENCONTRADO"")"),"")</f>
        <v/>
      </c>
      <c r="BJ362" s="16">
        <f t="shared" si="15"/>
        <v>0</v>
      </c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4"/>
      <c r="BX362" s="14"/>
      <c r="BY362" s="14"/>
      <c r="BZ362" s="14"/>
      <c r="CA362" s="14"/>
      <c r="CB362" s="14"/>
      <c r="CC362" s="14"/>
      <c r="CD362" s="14"/>
      <c r="CE362" s="14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</row>
    <row r="363">
      <c r="A363" s="287" t="s">
        <v>664</v>
      </c>
      <c r="B363" s="288" t="s">
        <v>18</v>
      </c>
      <c r="C363" s="288" t="s">
        <v>382</v>
      </c>
      <c r="D363" s="289" t="str">
        <f t="shared" si="1"/>
        <v>ZOUT-1-16</v>
      </c>
      <c r="E363" s="72"/>
      <c r="F363" s="77"/>
      <c r="G363" s="74"/>
      <c r="H363" s="75"/>
      <c r="I363" s="76"/>
      <c r="J363" s="75"/>
      <c r="K363" s="32" t="str">
        <f t="shared" si="2"/>
        <v>DISPONIBLE</v>
      </c>
      <c r="L363" s="33">
        <f t="shared" si="14"/>
        <v>362</v>
      </c>
      <c r="M363" s="33" t="s">
        <v>746</v>
      </c>
      <c r="N363" s="122"/>
      <c r="O363" s="169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4"/>
      <c r="BF363" s="12"/>
      <c r="BG363" s="12"/>
      <c r="BH363" s="12" t="str">
        <f>IFERROR(__xludf.DUMMYFUNCTION("IFERROR(INDEX(QUERY(IMPORTRANGE(""1T7HG8KEs-Ob7f3M5atEVN9Yn7IeORGp0QGvggB62ELw"",""Maestro!A:I""),""SELECT Col8 WHERE Col3 = '""&amp;BE363&amp;""'"", 0), 1, 1),""NO ENCONTRADO"")"),"")</f>
        <v/>
      </c>
      <c r="BI363" s="12" t="str">
        <f>IFERROR(__xludf.DUMMYFUNCTION("IFERROR(INDEX(QUERY(IMPORTRANGE(""1T7HG8KEs-Ob7f3M5atEVN9Yn7IeORGp0QGvggB62ELw"",""Maestro!A:I""),""SELECT Col7 WHERE Col3 = '""&amp;BE363&amp;""'"", 0), 1, 1),""NO ENCONTRADO"")"),"")</f>
        <v/>
      </c>
      <c r="BJ363" s="16">
        <f t="shared" si="15"/>
        <v>0</v>
      </c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4"/>
      <c r="BX363" s="14"/>
      <c r="BY363" s="14"/>
      <c r="BZ363" s="14"/>
      <c r="CA363" s="14"/>
      <c r="CB363" s="14"/>
      <c r="CC363" s="14"/>
      <c r="CD363" s="14"/>
      <c r="CE363" s="14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</row>
    <row r="364">
      <c r="A364" s="287" t="s">
        <v>664</v>
      </c>
      <c r="B364" s="288" t="s">
        <v>18</v>
      </c>
      <c r="C364" s="288" t="s">
        <v>396</v>
      </c>
      <c r="D364" s="289" t="str">
        <f t="shared" si="1"/>
        <v>ZOUT-1-17</v>
      </c>
      <c r="E364" s="72"/>
      <c r="F364" s="77"/>
      <c r="G364" s="74"/>
      <c r="H364" s="75"/>
      <c r="I364" s="76"/>
      <c r="J364" s="75"/>
      <c r="K364" s="27" t="str">
        <f t="shared" si="2"/>
        <v>DISPONIBLE</v>
      </c>
      <c r="L364" s="28">
        <f t="shared" si="14"/>
        <v>363</v>
      </c>
      <c r="M364" s="28" t="s">
        <v>746</v>
      </c>
      <c r="N364" s="109"/>
      <c r="O364" s="168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4"/>
      <c r="BF364" s="12"/>
      <c r="BG364" s="12"/>
      <c r="BH364" s="12" t="str">
        <f>IFERROR(__xludf.DUMMYFUNCTION("IFERROR(INDEX(QUERY(IMPORTRANGE(""1T7HG8KEs-Ob7f3M5atEVN9Yn7IeORGp0QGvggB62ELw"",""Maestro!A:I""),""SELECT Col8 WHERE Col3 = '""&amp;BE364&amp;""'"", 0), 1, 1),""NO ENCONTRADO"")"),"")</f>
        <v/>
      </c>
      <c r="BI364" s="12" t="str">
        <f>IFERROR(__xludf.DUMMYFUNCTION("IFERROR(INDEX(QUERY(IMPORTRANGE(""1T7HG8KEs-Ob7f3M5atEVN9Yn7IeORGp0QGvggB62ELw"",""Maestro!A:I""),""SELECT Col7 WHERE Col3 = '""&amp;BE364&amp;""'"", 0), 1, 1),""NO ENCONTRADO"")"),"")</f>
        <v/>
      </c>
      <c r="BJ364" s="16">
        <f t="shared" si="15"/>
        <v>0</v>
      </c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4"/>
      <c r="BX364" s="14"/>
      <c r="BY364" s="14"/>
      <c r="BZ364" s="14"/>
      <c r="CA364" s="14"/>
      <c r="CB364" s="14"/>
      <c r="CC364" s="14"/>
      <c r="CD364" s="14"/>
      <c r="CE364" s="14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</row>
    <row r="365">
      <c r="A365" s="287" t="s">
        <v>664</v>
      </c>
      <c r="B365" s="288" t="s">
        <v>18</v>
      </c>
      <c r="C365" s="288" t="s">
        <v>411</v>
      </c>
      <c r="D365" s="289" t="str">
        <f t="shared" si="1"/>
        <v>ZOUT-1-18</v>
      </c>
      <c r="E365" s="72"/>
      <c r="F365" s="77"/>
      <c r="G365" s="74"/>
      <c r="H365" s="75"/>
      <c r="I365" s="76"/>
      <c r="J365" s="75"/>
      <c r="K365" s="32" t="str">
        <f t="shared" si="2"/>
        <v>DISPONIBLE</v>
      </c>
      <c r="L365" s="33">
        <f t="shared" si="14"/>
        <v>364</v>
      </c>
      <c r="M365" s="33" t="s">
        <v>746</v>
      </c>
      <c r="N365" s="122"/>
      <c r="O365" s="169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4"/>
      <c r="BF365" s="12"/>
      <c r="BG365" s="12"/>
      <c r="BH365" s="12" t="str">
        <f>IFERROR(__xludf.DUMMYFUNCTION("IFERROR(INDEX(QUERY(IMPORTRANGE(""1T7HG8KEs-Ob7f3M5atEVN9Yn7IeORGp0QGvggB62ELw"",""Maestro!A:I""),""SELECT Col8 WHERE Col3 = '""&amp;BE365&amp;""'"", 0), 1, 1),""NO ENCONTRADO"")"),"")</f>
        <v/>
      </c>
      <c r="BI365" s="12" t="str">
        <f>IFERROR(__xludf.DUMMYFUNCTION("IFERROR(INDEX(QUERY(IMPORTRANGE(""1T7HG8KEs-Ob7f3M5atEVN9Yn7IeORGp0QGvggB62ELw"",""Maestro!A:I""),""SELECT Col7 WHERE Col3 = '""&amp;BE365&amp;""'"", 0), 1, 1),""NO ENCONTRADO"")"),"")</f>
        <v/>
      </c>
      <c r="BJ365" s="16">
        <f t="shared" si="15"/>
        <v>0</v>
      </c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4"/>
      <c r="BX365" s="14"/>
      <c r="BY365" s="14"/>
      <c r="BZ365" s="14"/>
      <c r="CA365" s="14"/>
      <c r="CB365" s="14"/>
      <c r="CC365" s="14"/>
      <c r="CD365" s="14"/>
      <c r="CE365" s="14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</row>
    <row r="366">
      <c r="A366" s="287" t="s">
        <v>664</v>
      </c>
      <c r="B366" s="288" t="s">
        <v>18</v>
      </c>
      <c r="C366" s="288" t="s">
        <v>425</v>
      </c>
      <c r="D366" s="289" t="str">
        <f t="shared" si="1"/>
        <v>ZOUT-1-19</v>
      </c>
      <c r="E366" s="72"/>
      <c r="F366" s="77"/>
      <c r="G366" s="74"/>
      <c r="H366" s="75"/>
      <c r="I366" s="76"/>
      <c r="J366" s="75"/>
      <c r="K366" s="27" t="str">
        <f t="shared" si="2"/>
        <v>DISPONIBLE</v>
      </c>
      <c r="L366" s="28">
        <f t="shared" si="14"/>
        <v>365</v>
      </c>
      <c r="M366" s="28" t="s">
        <v>746</v>
      </c>
      <c r="N366" s="109"/>
      <c r="O366" s="168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4"/>
      <c r="BF366" s="12"/>
      <c r="BG366" s="12"/>
      <c r="BH366" s="12" t="str">
        <f>IFERROR(__xludf.DUMMYFUNCTION("IFERROR(INDEX(QUERY(IMPORTRANGE(""1T7HG8KEs-Ob7f3M5atEVN9Yn7IeORGp0QGvggB62ELw"",""Maestro!A:I""),""SELECT Col8 WHERE Col3 = '""&amp;BE366&amp;""'"", 0), 1, 1),""NO ENCONTRADO"")"),"")</f>
        <v/>
      </c>
      <c r="BI366" s="12" t="str">
        <f>IFERROR(__xludf.DUMMYFUNCTION("IFERROR(INDEX(QUERY(IMPORTRANGE(""1T7HG8KEs-Ob7f3M5atEVN9Yn7IeORGp0QGvggB62ELw"",""Maestro!A:I""),""SELECT Col7 WHERE Col3 = '""&amp;BE366&amp;""'"", 0), 1, 1),""NO ENCONTRADO"")"),"")</f>
        <v/>
      </c>
      <c r="BJ366" s="16">
        <f t="shared" si="15"/>
        <v>0</v>
      </c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4"/>
      <c r="BX366" s="14"/>
      <c r="BY366" s="14"/>
      <c r="BZ366" s="14"/>
      <c r="CA366" s="14"/>
      <c r="CB366" s="14"/>
      <c r="CC366" s="14"/>
      <c r="CD366" s="14"/>
      <c r="CE366" s="14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</row>
    <row r="367">
      <c r="A367" s="287" t="s">
        <v>664</v>
      </c>
      <c r="B367" s="288" t="s">
        <v>18</v>
      </c>
      <c r="C367" s="288" t="s">
        <v>451</v>
      </c>
      <c r="D367" s="289" t="str">
        <f t="shared" si="1"/>
        <v>ZOUT-1-20</v>
      </c>
      <c r="E367" s="72"/>
      <c r="F367" s="77"/>
      <c r="G367" s="74"/>
      <c r="H367" s="75"/>
      <c r="I367" s="76"/>
      <c r="J367" s="75"/>
      <c r="K367" s="32" t="str">
        <f t="shared" si="2"/>
        <v>DISPONIBLE</v>
      </c>
      <c r="L367" s="33">
        <f t="shared" si="14"/>
        <v>366</v>
      </c>
      <c r="M367" s="33" t="s">
        <v>746</v>
      </c>
      <c r="N367" s="122"/>
      <c r="O367" s="169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4"/>
      <c r="BF367" s="12"/>
      <c r="BG367" s="12"/>
      <c r="BH367" s="12" t="str">
        <f>IFERROR(__xludf.DUMMYFUNCTION("IFERROR(INDEX(QUERY(IMPORTRANGE(""1T7HG8KEs-Ob7f3M5atEVN9Yn7IeORGp0QGvggB62ELw"",""Maestro!A:I""),""SELECT Col8 WHERE Col3 = '""&amp;BE367&amp;""'"", 0), 1, 1),""NO ENCONTRADO"")"),"")</f>
        <v/>
      </c>
      <c r="BI367" s="12" t="str">
        <f>IFERROR(__xludf.DUMMYFUNCTION("IFERROR(INDEX(QUERY(IMPORTRANGE(""1T7HG8KEs-Ob7f3M5atEVN9Yn7IeORGp0QGvggB62ELw"",""Maestro!A:I""),""SELECT Col7 WHERE Col3 = '""&amp;BE367&amp;""'"", 0), 1, 1),""NO ENCONTRADO"")"),"")</f>
        <v/>
      </c>
      <c r="BJ367" s="16">
        <f t="shared" si="15"/>
        <v>0</v>
      </c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4"/>
      <c r="BX367" s="14"/>
      <c r="BY367" s="14"/>
      <c r="BZ367" s="14"/>
      <c r="CA367" s="14"/>
      <c r="CB367" s="14"/>
      <c r="CC367" s="14"/>
      <c r="CD367" s="14"/>
      <c r="CE367" s="14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</row>
    <row r="368">
      <c r="A368" s="287" t="s">
        <v>664</v>
      </c>
      <c r="B368" s="288" t="s">
        <v>18</v>
      </c>
      <c r="C368" s="288" t="s">
        <v>467</v>
      </c>
      <c r="D368" s="289" t="str">
        <f t="shared" si="1"/>
        <v>ZOUT-1-21</v>
      </c>
      <c r="E368" s="72"/>
      <c r="F368" s="77"/>
      <c r="G368" s="74"/>
      <c r="H368" s="75"/>
      <c r="I368" s="76"/>
      <c r="J368" s="75"/>
      <c r="K368" s="27" t="str">
        <f t="shared" si="2"/>
        <v>DISPONIBLE</v>
      </c>
      <c r="L368" s="28">
        <f t="shared" si="14"/>
        <v>367</v>
      </c>
      <c r="M368" s="28" t="s">
        <v>746</v>
      </c>
      <c r="N368" s="109"/>
      <c r="O368" s="168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4"/>
      <c r="BF368" s="12"/>
      <c r="BG368" s="12"/>
      <c r="BH368" s="12" t="str">
        <f>IFERROR(__xludf.DUMMYFUNCTION("IFERROR(INDEX(QUERY(IMPORTRANGE(""1T7HG8KEs-Ob7f3M5atEVN9Yn7IeORGp0QGvggB62ELw"",""Maestro!A:I""),""SELECT Col8 WHERE Col3 = '""&amp;BE368&amp;""'"", 0), 1, 1),""NO ENCONTRADO"")"),"")</f>
        <v/>
      </c>
      <c r="BI368" s="12" t="str">
        <f>IFERROR(__xludf.DUMMYFUNCTION("IFERROR(INDEX(QUERY(IMPORTRANGE(""1T7HG8KEs-Ob7f3M5atEVN9Yn7IeORGp0QGvggB62ELw"",""Maestro!A:I""),""SELECT Col7 WHERE Col3 = '""&amp;BE368&amp;""'"", 0), 1, 1),""NO ENCONTRADO"")"),"")</f>
        <v/>
      </c>
      <c r="BJ368" s="16">
        <f t="shared" si="15"/>
        <v>0</v>
      </c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4"/>
      <c r="BX368" s="14"/>
      <c r="BY368" s="14"/>
      <c r="BZ368" s="14"/>
      <c r="CA368" s="14"/>
      <c r="CB368" s="14"/>
      <c r="CC368" s="14"/>
      <c r="CD368" s="14"/>
      <c r="CE368" s="14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</row>
    <row r="369">
      <c r="A369" s="287" t="s">
        <v>664</v>
      </c>
      <c r="B369" s="288" t="s">
        <v>18</v>
      </c>
      <c r="C369" s="288" t="s">
        <v>620</v>
      </c>
      <c r="D369" s="289" t="str">
        <f t="shared" si="1"/>
        <v>ZOUT-1-22</v>
      </c>
      <c r="E369" s="72"/>
      <c r="F369" s="77"/>
      <c r="G369" s="74"/>
      <c r="H369" s="75"/>
      <c r="I369" s="76"/>
      <c r="J369" s="75"/>
      <c r="K369" s="32" t="str">
        <f t="shared" si="2"/>
        <v>DISPONIBLE</v>
      </c>
      <c r="L369" s="33">
        <f t="shared" si="14"/>
        <v>368</v>
      </c>
      <c r="M369" s="33" t="s">
        <v>746</v>
      </c>
      <c r="N369" s="122"/>
      <c r="O369" s="169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4"/>
      <c r="BF369" s="12"/>
      <c r="BG369" s="12"/>
      <c r="BH369" s="12" t="str">
        <f>IFERROR(__xludf.DUMMYFUNCTION("IFERROR(INDEX(QUERY(IMPORTRANGE(""1T7HG8KEs-Ob7f3M5atEVN9Yn7IeORGp0QGvggB62ELw"",""Maestro!A:I""),""SELECT Col8 WHERE Col3 = '""&amp;BE369&amp;""'"", 0), 1, 1),""NO ENCONTRADO"")"),"")</f>
        <v/>
      </c>
      <c r="BI369" s="12" t="str">
        <f>IFERROR(__xludf.DUMMYFUNCTION("IFERROR(INDEX(QUERY(IMPORTRANGE(""1T7HG8KEs-Ob7f3M5atEVN9Yn7IeORGp0QGvggB62ELw"",""Maestro!A:I""),""SELECT Col7 WHERE Col3 = '""&amp;BE369&amp;""'"", 0), 1, 1),""NO ENCONTRADO"")"),"")</f>
        <v/>
      </c>
      <c r="BJ369" s="16">
        <f t="shared" si="15"/>
        <v>0</v>
      </c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4"/>
      <c r="BX369" s="14"/>
      <c r="BY369" s="14"/>
      <c r="BZ369" s="14"/>
      <c r="CA369" s="14"/>
      <c r="CB369" s="14"/>
      <c r="CC369" s="14"/>
      <c r="CD369" s="14"/>
      <c r="CE369" s="14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</row>
    <row r="370">
      <c r="A370" s="287" t="s">
        <v>664</v>
      </c>
      <c r="B370" s="288" t="s">
        <v>18</v>
      </c>
      <c r="C370" s="288" t="s">
        <v>561</v>
      </c>
      <c r="D370" s="289" t="str">
        <f t="shared" si="1"/>
        <v>ZOUT-1-23</v>
      </c>
      <c r="E370" s="72"/>
      <c r="F370" s="77"/>
      <c r="G370" s="74"/>
      <c r="H370" s="75"/>
      <c r="I370" s="76"/>
      <c r="J370" s="75"/>
      <c r="K370" s="27" t="str">
        <f t="shared" si="2"/>
        <v>DISPONIBLE</v>
      </c>
      <c r="L370" s="28">
        <f t="shared" si="14"/>
        <v>369</v>
      </c>
      <c r="M370" s="28" t="s">
        <v>746</v>
      </c>
      <c r="N370" s="109"/>
      <c r="O370" s="168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4"/>
      <c r="BF370" s="12"/>
      <c r="BG370" s="12"/>
      <c r="BH370" s="12" t="str">
        <f>IFERROR(__xludf.DUMMYFUNCTION("IFERROR(INDEX(QUERY(IMPORTRANGE(""1T7HG8KEs-Ob7f3M5atEVN9Yn7IeORGp0QGvggB62ELw"",""Maestro!A:I""),""SELECT Col8 WHERE Col3 = '""&amp;BE370&amp;""'"", 0), 1, 1),""NO ENCONTRADO"")"),"")</f>
        <v/>
      </c>
      <c r="BI370" s="12" t="str">
        <f>IFERROR(__xludf.DUMMYFUNCTION("IFERROR(INDEX(QUERY(IMPORTRANGE(""1T7HG8KEs-Ob7f3M5atEVN9Yn7IeORGp0QGvggB62ELw"",""Maestro!A:I""),""SELECT Col7 WHERE Col3 = '""&amp;BE370&amp;""'"", 0), 1, 1),""NO ENCONTRADO"")"),"")</f>
        <v/>
      </c>
      <c r="BJ370" s="16">
        <f t="shared" si="15"/>
        <v>0</v>
      </c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4"/>
      <c r="BX370" s="14"/>
      <c r="BY370" s="14"/>
      <c r="BZ370" s="14"/>
      <c r="CA370" s="14"/>
      <c r="CB370" s="14"/>
      <c r="CC370" s="14"/>
      <c r="CD370" s="14"/>
      <c r="CE370" s="14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</row>
    <row r="371">
      <c r="A371" s="287" t="s">
        <v>664</v>
      </c>
      <c r="B371" s="288" t="s">
        <v>18</v>
      </c>
      <c r="C371" s="288" t="s">
        <v>563</v>
      </c>
      <c r="D371" s="289" t="str">
        <f t="shared" si="1"/>
        <v>ZOUT-1-24</v>
      </c>
      <c r="E371" s="72"/>
      <c r="F371" s="77"/>
      <c r="G371" s="74"/>
      <c r="H371" s="75"/>
      <c r="I371" s="76"/>
      <c r="J371" s="75"/>
      <c r="K371" s="32" t="str">
        <f t="shared" si="2"/>
        <v>DISPONIBLE</v>
      </c>
      <c r="L371" s="33">
        <f t="shared" si="14"/>
        <v>370</v>
      </c>
      <c r="M371" s="33" t="s">
        <v>746</v>
      </c>
      <c r="N371" s="122"/>
      <c r="O371" s="169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4"/>
      <c r="BF371" s="12"/>
      <c r="BG371" s="12"/>
      <c r="BH371" s="12" t="str">
        <f>IFERROR(__xludf.DUMMYFUNCTION("IFERROR(INDEX(QUERY(IMPORTRANGE(""1T7HG8KEs-Ob7f3M5atEVN9Yn7IeORGp0QGvggB62ELw"",""Maestro!A:I""),""SELECT Col8 WHERE Col3 = '""&amp;BE371&amp;""'"", 0), 1, 1),""NO ENCONTRADO"")"),"")</f>
        <v/>
      </c>
      <c r="BI371" s="12" t="str">
        <f>IFERROR(__xludf.DUMMYFUNCTION("IFERROR(INDEX(QUERY(IMPORTRANGE(""1T7HG8KEs-Ob7f3M5atEVN9Yn7IeORGp0QGvggB62ELw"",""Maestro!A:I""),""SELECT Col7 WHERE Col3 = '""&amp;BE371&amp;""'"", 0), 1, 1),""NO ENCONTRADO"")"),"")</f>
        <v/>
      </c>
      <c r="BJ371" s="16">
        <f t="shared" si="15"/>
        <v>0</v>
      </c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4"/>
      <c r="BX371" s="14"/>
      <c r="BY371" s="14"/>
      <c r="BZ371" s="14"/>
      <c r="CA371" s="14"/>
      <c r="CB371" s="14"/>
      <c r="CC371" s="14"/>
      <c r="CD371" s="14"/>
      <c r="CE371" s="14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</row>
    <row r="372">
      <c r="A372" s="287" t="s">
        <v>664</v>
      </c>
      <c r="B372" s="288" t="s">
        <v>18</v>
      </c>
      <c r="C372" s="288" t="s">
        <v>565</v>
      </c>
      <c r="D372" s="289" t="str">
        <f t="shared" si="1"/>
        <v>ZOUT-1-25</v>
      </c>
      <c r="E372" s="72"/>
      <c r="F372" s="77"/>
      <c r="G372" s="74"/>
      <c r="H372" s="75"/>
      <c r="I372" s="76"/>
      <c r="J372" s="75"/>
      <c r="K372" s="27" t="str">
        <f t="shared" si="2"/>
        <v>DISPONIBLE</v>
      </c>
      <c r="L372" s="28">
        <f t="shared" si="14"/>
        <v>371</v>
      </c>
      <c r="M372" s="28" t="s">
        <v>746</v>
      </c>
      <c r="N372" s="109"/>
      <c r="O372" s="168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4"/>
      <c r="BF372" s="12"/>
      <c r="BG372" s="12"/>
      <c r="BH372" s="12" t="str">
        <f>IFERROR(__xludf.DUMMYFUNCTION("IFERROR(INDEX(QUERY(IMPORTRANGE(""1T7HG8KEs-Ob7f3M5atEVN9Yn7IeORGp0QGvggB62ELw"",""Maestro!A:I""),""SELECT Col8 WHERE Col3 = '""&amp;BE372&amp;""'"", 0), 1, 1),""NO ENCONTRADO"")"),"")</f>
        <v/>
      </c>
      <c r="BI372" s="12" t="str">
        <f>IFERROR(__xludf.DUMMYFUNCTION("IFERROR(INDEX(QUERY(IMPORTRANGE(""1T7HG8KEs-Ob7f3M5atEVN9Yn7IeORGp0QGvggB62ELw"",""Maestro!A:I""),""SELECT Col7 WHERE Col3 = '""&amp;BE372&amp;""'"", 0), 1, 1),""NO ENCONTRADO"")"),"")</f>
        <v/>
      </c>
      <c r="BJ372" s="16">
        <f t="shared" si="15"/>
        <v>0</v>
      </c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4"/>
      <c r="BX372" s="14"/>
      <c r="BY372" s="14"/>
      <c r="BZ372" s="14"/>
      <c r="CA372" s="14"/>
      <c r="CB372" s="14"/>
      <c r="CC372" s="14"/>
      <c r="CD372" s="14"/>
      <c r="CE372" s="14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</row>
    <row r="373">
      <c r="A373" s="287" t="s">
        <v>664</v>
      </c>
      <c r="B373" s="288" t="s">
        <v>18</v>
      </c>
      <c r="C373" s="288" t="s">
        <v>622</v>
      </c>
      <c r="D373" s="289" t="str">
        <f t="shared" si="1"/>
        <v>ZOUT-1-26</v>
      </c>
      <c r="E373" s="72"/>
      <c r="F373" s="77"/>
      <c r="G373" s="74"/>
      <c r="H373" s="75"/>
      <c r="I373" s="76"/>
      <c r="J373" s="75"/>
      <c r="K373" s="32" t="str">
        <f t="shared" si="2"/>
        <v>DISPONIBLE</v>
      </c>
      <c r="L373" s="33">
        <f t="shared" si="14"/>
        <v>372</v>
      </c>
      <c r="M373" s="33" t="s">
        <v>746</v>
      </c>
      <c r="N373" s="122"/>
      <c r="O373" s="169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4"/>
      <c r="BF373" s="12"/>
      <c r="BG373" s="12"/>
      <c r="BH373" s="12" t="str">
        <f>IFERROR(__xludf.DUMMYFUNCTION("IFERROR(INDEX(QUERY(IMPORTRANGE(""1T7HG8KEs-Ob7f3M5atEVN9Yn7IeORGp0QGvggB62ELw"",""Maestro!A:I""),""SELECT Col8 WHERE Col3 = '""&amp;BE373&amp;""'"", 0), 1, 1),""NO ENCONTRADO"")"),"")</f>
        <v/>
      </c>
      <c r="BI373" s="12" t="str">
        <f>IFERROR(__xludf.DUMMYFUNCTION("IFERROR(INDEX(QUERY(IMPORTRANGE(""1T7HG8KEs-Ob7f3M5atEVN9Yn7IeORGp0QGvggB62ELw"",""Maestro!A:I""),""SELECT Col7 WHERE Col3 = '""&amp;BE373&amp;""'"", 0), 1, 1),""NO ENCONTRADO"")"),"")</f>
        <v/>
      </c>
      <c r="BJ373" s="16">
        <f t="shared" si="15"/>
        <v>0</v>
      </c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4"/>
      <c r="BX373" s="14"/>
      <c r="BY373" s="14"/>
      <c r="BZ373" s="14"/>
      <c r="CA373" s="14"/>
      <c r="CB373" s="14"/>
      <c r="CC373" s="14"/>
      <c r="CD373" s="14"/>
      <c r="CE373" s="14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</row>
    <row r="374">
      <c r="A374" s="287" t="s">
        <v>664</v>
      </c>
      <c r="B374" s="288" t="s">
        <v>18</v>
      </c>
      <c r="C374" s="288" t="s">
        <v>669</v>
      </c>
      <c r="D374" s="289" t="str">
        <f t="shared" si="1"/>
        <v>ZOUT-1-27</v>
      </c>
      <c r="E374" s="72"/>
      <c r="F374" s="77"/>
      <c r="G374" s="265"/>
      <c r="H374" s="75"/>
      <c r="I374" s="76"/>
      <c r="J374" s="75"/>
      <c r="K374" s="27" t="str">
        <f t="shared" si="2"/>
        <v>DISPONIBLE</v>
      </c>
      <c r="L374" s="28">
        <f t="shared" si="14"/>
        <v>373</v>
      </c>
      <c r="M374" s="28" t="s">
        <v>746</v>
      </c>
      <c r="N374" s="109"/>
      <c r="O374" s="168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4"/>
      <c r="BF374" s="12"/>
      <c r="BG374" s="12"/>
      <c r="BH374" s="12" t="str">
        <f>IFERROR(__xludf.DUMMYFUNCTION("IFERROR(INDEX(QUERY(IMPORTRANGE(""1T7HG8KEs-Ob7f3M5atEVN9Yn7IeORGp0QGvggB62ELw"",""Maestro!A:I""),""SELECT Col8 WHERE Col3 = '""&amp;BE374&amp;""'"", 0), 1, 1),""NO ENCONTRADO"")"),"")</f>
        <v/>
      </c>
      <c r="BI374" s="12" t="str">
        <f>IFERROR(__xludf.DUMMYFUNCTION("IFERROR(INDEX(QUERY(IMPORTRANGE(""1T7HG8KEs-Ob7f3M5atEVN9Yn7IeORGp0QGvggB62ELw"",""Maestro!A:I""),""SELECT Col7 WHERE Col3 = '""&amp;BE374&amp;""'"", 0), 1, 1),""NO ENCONTRADO"")"),"")</f>
        <v/>
      </c>
      <c r="BJ374" s="16">
        <f t="shared" si="15"/>
        <v>0</v>
      </c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4"/>
      <c r="BX374" s="14"/>
      <c r="BY374" s="14"/>
      <c r="BZ374" s="14"/>
      <c r="CA374" s="14"/>
      <c r="CB374" s="14"/>
      <c r="CC374" s="14"/>
      <c r="CD374" s="14"/>
      <c r="CE374" s="14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</row>
    <row r="375">
      <c r="A375" s="287" t="s">
        <v>664</v>
      </c>
      <c r="B375" s="288" t="s">
        <v>18</v>
      </c>
      <c r="C375" s="288" t="s">
        <v>671</v>
      </c>
      <c r="D375" s="289" t="str">
        <f t="shared" si="1"/>
        <v>ZOUT-1-28</v>
      </c>
      <c r="E375" s="78">
        <v>45755.0</v>
      </c>
      <c r="F375" s="88" t="s">
        <v>19</v>
      </c>
      <c r="G375" s="80">
        <v>691084.0</v>
      </c>
      <c r="H375" s="81" t="s">
        <v>533</v>
      </c>
      <c r="I375" s="82">
        <v>1.0</v>
      </c>
      <c r="J375" s="81" t="s">
        <v>35</v>
      </c>
      <c r="K375" s="32" t="str">
        <f t="shared" si="2"/>
        <v>OCUPADO</v>
      </c>
      <c r="L375" s="33">
        <f t="shared" si="14"/>
        <v>374</v>
      </c>
      <c r="M375" s="33" t="s">
        <v>746</v>
      </c>
      <c r="N375" s="122"/>
      <c r="O375" s="169" t="s">
        <v>24</v>
      </c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4"/>
      <c r="BF375" s="12"/>
      <c r="BG375" s="12"/>
      <c r="BH375" s="12" t="str">
        <f>IFERROR(__xludf.DUMMYFUNCTION("IFERROR(INDEX(QUERY(IMPORTRANGE(""1T7HG8KEs-Ob7f3M5atEVN9Yn7IeORGp0QGvggB62ELw"",""Maestro!A:I""),""SELECT Col8 WHERE Col3 = '""&amp;BE375&amp;""'"", 0), 1, 1),""NO ENCONTRADO"")"),"")</f>
        <v/>
      </c>
      <c r="BI375" s="12" t="str">
        <f>IFERROR(__xludf.DUMMYFUNCTION("IFERROR(INDEX(QUERY(IMPORTRANGE(""1T7HG8KEs-Ob7f3M5atEVN9Yn7IeORGp0QGvggB62ELw"",""Maestro!A:I""),""SELECT Col7 WHERE Col3 = '""&amp;BE375&amp;""'"", 0), 1, 1),""NO ENCONTRADO"")"),"")</f>
        <v/>
      </c>
      <c r="BJ375" s="16">
        <f t="shared" si="15"/>
        <v>0</v>
      </c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4"/>
      <c r="BX375" s="14"/>
      <c r="BY375" s="14"/>
      <c r="BZ375" s="14"/>
      <c r="CA375" s="14"/>
      <c r="CB375" s="14"/>
      <c r="CC375" s="14"/>
      <c r="CD375" s="14"/>
      <c r="CE375" s="14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</row>
    <row r="376">
      <c r="A376" s="287" t="s">
        <v>664</v>
      </c>
      <c r="B376" s="288" t="s">
        <v>18</v>
      </c>
      <c r="C376" s="288" t="s">
        <v>673</v>
      </c>
      <c r="D376" s="289" t="str">
        <f t="shared" si="1"/>
        <v>ZOUT-1-29</v>
      </c>
      <c r="E376" s="78">
        <v>45755.0</v>
      </c>
      <c r="F376" s="88" t="s">
        <v>19</v>
      </c>
      <c r="G376" s="80">
        <v>691084.0</v>
      </c>
      <c r="H376" s="81" t="s">
        <v>533</v>
      </c>
      <c r="I376" s="82">
        <v>50.0</v>
      </c>
      <c r="J376" s="81" t="s">
        <v>35</v>
      </c>
      <c r="K376" s="27" t="str">
        <f t="shared" si="2"/>
        <v>OCUPADO</v>
      </c>
      <c r="L376" s="28">
        <f t="shared" si="14"/>
        <v>375</v>
      </c>
      <c r="M376" s="28" t="s">
        <v>746</v>
      </c>
      <c r="N376" s="109"/>
      <c r="O376" s="168" t="s">
        <v>24</v>
      </c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4"/>
      <c r="BF376" s="12"/>
      <c r="BG376" s="12"/>
      <c r="BH376" s="12" t="str">
        <f>IFERROR(__xludf.DUMMYFUNCTION("IFERROR(INDEX(QUERY(IMPORTRANGE(""1T7HG8KEs-Ob7f3M5atEVN9Yn7IeORGp0QGvggB62ELw"",""Maestro!A:I""),""SELECT Col8 WHERE Col3 = '""&amp;BE376&amp;""'"", 0), 1, 1),""NO ENCONTRADO"")"),"")</f>
        <v/>
      </c>
      <c r="BI376" s="12" t="str">
        <f>IFERROR(__xludf.DUMMYFUNCTION("IFERROR(INDEX(QUERY(IMPORTRANGE(""1T7HG8KEs-Ob7f3M5atEVN9Yn7IeORGp0QGvggB62ELw"",""Maestro!A:I""),""SELECT Col7 WHERE Col3 = '""&amp;BE376&amp;""'"", 0), 1, 1),""NO ENCONTRADO"")"),"")</f>
        <v/>
      </c>
      <c r="BJ376" s="16">
        <f t="shared" si="15"/>
        <v>0</v>
      </c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4"/>
      <c r="BX376" s="14"/>
      <c r="BY376" s="14"/>
      <c r="BZ376" s="14"/>
      <c r="CA376" s="14"/>
      <c r="CB376" s="14"/>
      <c r="CC376" s="14"/>
      <c r="CD376" s="14"/>
      <c r="CE376" s="14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</row>
    <row r="377">
      <c r="A377" s="290" t="s">
        <v>664</v>
      </c>
      <c r="B377" s="291" t="s">
        <v>18</v>
      </c>
      <c r="C377" s="291" t="s">
        <v>677</v>
      </c>
      <c r="D377" s="292" t="str">
        <f t="shared" si="1"/>
        <v>ZOUT-1-30</v>
      </c>
      <c r="E377" s="72"/>
      <c r="F377" s="77"/>
      <c r="G377" s="74"/>
      <c r="H377" s="75"/>
      <c r="I377" s="76"/>
      <c r="J377" s="75"/>
      <c r="K377" s="154" t="str">
        <f t="shared" si="2"/>
        <v>DISPONIBLE</v>
      </c>
      <c r="L377" s="155">
        <f t="shared" si="14"/>
        <v>376</v>
      </c>
      <c r="M377" s="155" t="s">
        <v>746</v>
      </c>
      <c r="N377" s="327"/>
      <c r="O377" s="326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4"/>
      <c r="BF377" s="12"/>
      <c r="BG377" s="12"/>
      <c r="BH377" s="12" t="str">
        <f>IFERROR(__xludf.DUMMYFUNCTION("IFERROR(INDEX(QUERY(IMPORTRANGE(""1T7HG8KEs-Ob7f3M5atEVN9Yn7IeORGp0QGvggB62ELw"",""Maestro!A:I""),""SELECT Col8 WHERE Col3 = '""&amp;BE377&amp;""'"", 0), 1, 1),""NO ENCONTRADO"")"),"")</f>
        <v/>
      </c>
      <c r="BI377" s="12" t="str">
        <f>IFERROR(__xludf.DUMMYFUNCTION("IFERROR(INDEX(QUERY(IMPORTRANGE(""1T7HG8KEs-Ob7f3M5atEVN9Yn7IeORGp0QGvggB62ELw"",""Maestro!A:I""),""SELECT Col7 WHERE Col3 = '""&amp;BE377&amp;""'"", 0), 1, 1),""NO ENCONTRADO"")"),"")</f>
        <v/>
      </c>
      <c r="BJ377" s="16">
        <f t="shared" si="15"/>
        <v>0</v>
      </c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4"/>
      <c r="BX377" s="14"/>
      <c r="BY377" s="14"/>
      <c r="BZ377" s="14"/>
      <c r="CA377" s="14"/>
      <c r="CB377" s="14"/>
      <c r="CC377" s="14"/>
      <c r="CD377" s="14"/>
      <c r="CE377" s="14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</row>
    <row r="378">
      <c r="A378" s="295" t="s">
        <v>593</v>
      </c>
      <c r="B378" s="296" t="s">
        <v>18</v>
      </c>
      <c r="C378" s="296" t="s">
        <v>18</v>
      </c>
      <c r="D378" s="297" t="str">
        <f t="shared" si="1"/>
        <v>ZEST-1-1</v>
      </c>
      <c r="E378" s="146"/>
      <c r="F378" s="147"/>
      <c r="G378" s="148"/>
      <c r="H378" s="148"/>
      <c r="I378" s="149"/>
      <c r="J378" s="148"/>
      <c r="K378" s="27" t="str">
        <f t="shared" si="2"/>
        <v>DISPONIBLE</v>
      </c>
      <c r="L378" s="28">
        <f t="shared" si="14"/>
        <v>377</v>
      </c>
      <c r="M378" s="28" t="s">
        <v>748</v>
      </c>
      <c r="N378" s="109"/>
      <c r="O378" s="29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4"/>
      <c r="BF378" s="12"/>
      <c r="BG378" s="12"/>
      <c r="BH378" s="12" t="str">
        <f>IFERROR(__xludf.DUMMYFUNCTION("IFERROR(INDEX(QUERY(IMPORTRANGE(""1T7HG8KEs-Ob7f3M5atEVN9Yn7IeORGp0QGvggB62ELw"",""Maestro!A:I""),""SELECT Col8 WHERE Col3 = '""&amp;BE378&amp;""'"", 0), 1, 1),""NO ENCONTRADO"")"),"")</f>
        <v/>
      </c>
      <c r="BI378" s="12" t="str">
        <f>IFERROR(__xludf.DUMMYFUNCTION("IFERROR(INDEX(QUERY(IMPORTRANGE(""1T7HG8KEs-Ob7f3M5atEVN9Yn7IeORGp0QGvggB62ELw"",""Maestro!A:I""),""SELECT Col7 WHERE Col3 = '""&amp;BE378&amp;""'"", 0), 1, 1),""NO ENCONTRADO"")"),"")</f>
        <v/>
      </c>
      <c r="BJ378" s="16">
        <f t="shared" si="15"/>
        <v>0</v>
      </c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4"/>
      <c r="BX378" s="14"/>
      <c r="BY378" s="14"/>
      <c r="BZ378" s="14"/>
      <c r="CA378" s="14"/>
      <c r="CB378" s="14"/>
      <c r="CC378" s="14"/>
      <c r="CD378" s="14"/>
      <c r="CE378" s="14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</row>
    <row r="379">
      <c r="A379" s="295" t="s">
        <v>593</v>
      </c>
      <c r="B379" s="296" t="s">
        <v>18</v>
      </c>
      <c r="C379" s="296" t="s">
        <v>32</v>
      </c>
      <c r="D379" s="297" t="str">
        <f t="shared" si="1"/>
        <v>ZEST-1-2</v>
      </c>
      <c r="E379" s="78">
        <v>45755.0</v>
      </c>
      <c r="F379" s="88" t="s">
        <v>19</v>
      </c>
      <c r="G379" s="80">
        <v>691084.0</v>
      </c>
      <c r="H379" s="81" t="s">
        <v>533</v>
      </c>
      <c r="I379" s="82">
        <v>3.0</v>
      </c>
      <c r="J379" s="81" t="s">
        <v>35</v>
      </c>
      <c r="K379" s="32" t="str">
        <f t="shared" si="2"/>
        <v>OCUPADO</v>
      </c>
      <c r="L379" s="33">
        <f t="shared" si="14"/>
        <v>378</v>
      </c>
      <c r="M379" s="33" t="s">
        <v>748</v>
      </c>
      <c r="N379" s="122"/>
      <c r="O379" s="34" t="s">
        <v>24</v>
      </c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4"/>
      <c r="BF379" s="12"/>
      <c r="BG379" s="12"/>
      <c r="BH379" s="12" t="str">
        <f>IFERROR(__xludf.DUMMYFUNCTION("IFERROR(INDEX(QUERY(IMPORTRANGE(""1T7HG8KEs-Ob7f3M5atEVN9Yn7IeORGp0QGvggB62ELw"",""Maestro!A:I""),""SELECT Col8 WHERE Col3 = '""&amp;BE379&amp;""'"", 0), 1, 1),""NO ENCONTRADO"")"),"")</f>
        <v/>
      </c>
      <c r="BI379" s="12" t="str">
        <f>IFERROR(__xludf.DUMMYFUNCTION("IFERROR(INDEX(QUERY(IMPORTRANGE(""1T7HG8KEs-Ob7f3M5atEVN9Yn7IeORGp0QGvggB62ELw"",""Maestro!A:I""),""SELECT Col7 WHERE Col3 = '""&amp;BE379&amp;""'"", 0), 1, 1),""NO ENCONTRADO"")"),"")</f>
        <v/>
      </c>
      <c r="BJ379" s="16">
        <f t="shared" si="15"/>
        <v>0</v>
      </c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4"/>
      <c r="BX379" s="14"/>
      <c r="BY379" s="14"/>
      <c r="BZ379" s="14"/>
      <c r="CA379" s="14"/>
      <c r="CB379" s="14"/>
      <c r="CC379" s="14"/>
      <c r="CD379" s="14"/>
      <c r="CE379" s="14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</row>
    <row r="380">
      <c r="A380" s="295" t="s">
        <v>593</v>
      </c>
      <c r="B380" s="296" t="s">
        <v>18</v>
      </c>
      <c r="C380" s="296" t="s">
        <v>44</v>
      </c>
      <c r="D380" s="297" t="str">
        <f t="shared" si="1"/>
        <v>ZEST-1-3</v>
      </c>
      <c r="E380" s="78">
        <v>45755.0</v>
      </c>
      <c r="F380" s="88" t="s">
        <v>19</v>
      </c>
      <c r="G380" s="80" t="s">
        <v>754</v>
      </c>
      <c r="H380" s="81" t="s">
        <v>755</v>
      </c>
      <c r="I380" s="82">
        <v>24.0</v>
      </c>
      <c r="J380" s="81" t="s">
        <v>35</v>
      </c>
      <c r="K380" s="27" t="str">
        <f t="shared" si="2"/>
        <v>OCUPADO</v>
      </c>
      <c r="L380" s="28">
        <f t="shared" si="14"/>
        <v>379</v>
      </c>
      <c r="M380" s="28" t="s">
        <v>748</v>
      </c>
      <c r="N380" s="109"/>
      <c r="O380" s="29" t="s">
        <v>24</v>
      </c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4"/>
      <c r="BF380" s="12"/>
      <c r="BG380" s="12"/>
      <c r="BH380" s="12" t="str">
        <f>IFERROR(__xludf.DUMMYFUNCTION("IFERROR(INDEX(QUERY(IMPORTRANGE(""1T7HG8KEs-Ob7f3M5atEVN9Yn7IeORGp0QGvggB62ELw"",""Maestro!A:I""),""SELECT Col8 WHERE Col3 = '""&amp;BE380&amp;""'"", 0), 1, 1),""NO ENCONTRADO"")"),"")</f>
        <v/>
      </c>
      <c r="BI380" s="12" t="str">
        <f>IFERROR(__xludf.DUMMYFUNCTION("IFERROR(INDEX(QUERY(IMPORTRANGE(""1T7HG8KEs-Ob7f3M5atEVN9Yn7IeORGp0QGvggB62ELw"",""Maestro!A:I""),""SELECT Col7 WHERE Col3 = '""&amp;BE380&amp;""'"", 0), 1, 1),""NO ENCONTRADO"")"),"")</f>
        <v/>
      </c>
      <c r="BJ380" s="16">
        <f t="shared" si="15"/>
        <v>0</v>
      </c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4"/>
      <c r="BX380" s="14"/>
      <c r="BY380" s="14"/>
      <c r="BZ380" s="14"/>
      <c r="CA380" s="14"/>
      <c r="CB380" s="14"/>
      <c r="CC380" s="14"/>
      <c r="CD380" s="14"/>
      <c r="CE380" s="14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</row>
    <row r="381">
      <c r="A381" s="295" t="s">
        <v>593</v>
      </c>
      <c r="B381" s="296" t="s">
        <v>18</v>
      </c>
      <c r="C381" s="296" t="s">
        <v>53</v>
      </c>
      <c r="D381" s="297" t="str">
        <f t="shared" si="1"/>
        <v>ZEST-1-4</v>
      </c>
      <c r="E381" s="78">
        <v>45755.0</v>
      </c>
      <c r="F381" s="88" t="s">
        <v>19</v>
      </c>
      <c r="G381" s="80" t="s">
        <v>754</v>
      </c>
      <c r="H381" s="81" t="s">
        <v>755</v>
      </c>
      <c r="I381" s="82">
        <v>24.0</v>
      </c>
      <c r="J381" s="81" t="s">
        <v>35</v>
      </c>
      <c r="K381" s="32" t="str">
        <f t="shared" si="2"/>
        <v>OCUPADO</v>
      </c>
      <c r="L381" s="33">
        <f t="shared" si="14"/>
        <v>380</v>
      </c>
      <c r="M381" s="33" t="s">
        <v>748</v>
      </c>
      <c r="N381" s="122"/>
      <c r="O381" s="34" t="s">
        <v>24</v>
      </c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4"/>
      <c r="BF381" s="12"/>
      <c r="BG381" s="12"/>
      <c r="BH381" s="12" t="str">
        <f>IFERROR(__xludf.DUMMYFUNCTION("IFERROR(INDEX(QUERY(IMPORTRANGE(""1T7HG8KEs-Ob7f3M5atEVN9Yn7IeORGp0QGvggB62ELw"",""Maestro!A:I""),""SELECT Col8 WHERE Col3 = '""&amp;BE381&amp;""'"", 0), 1, 1),""NO ENCONTRADO"")"),"")</f>
        <v/>
      </c>
      <c r="BI381" s="12" t="str">
        <f>IFERROR(__xludf.DUMMYFUNCTION("IFERROR(INDEX(QUERY(IMPORTRANGE(""1T7HG8KEs-Ob7f3M5atEVN9Yn7IeORGp0QGvggB62ELw"",""Maestro!A:I""),""SELECT Col7 WHERE Col3 = '""&amp;BE381&amp;""'"", 0), 1, 1),""NO ENCONTRADO"")"),"")</f>
        <v/>
      </c>
      <c r="BJ381" s="16">
        <f t="shared" si="15"/>
        <v>0</v>
      </c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4"/>
      <c r="BX381" s="14"/>
      <c r="BY381" s="14"/>
      <c r="BZ381" s="14"/>
      <c r="CA381" s="14"/>
      <c r="CB381" s="14"/>
      <c r="CC381" s="14"/>
      <c r="CD381" s="14"/>
      <c r="CE381" s="14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</row>
    <row r="382">
      <c r="A382" s="295" t="s">
        <v>593</v>
      </c>
      <c r="B382" s="296" t="s">
        <v>18</v>
      </c>
      <c r="C382" s="296" t="s">
        <v>25</v>
      </c>
      <c r="D382" s="297" t="str">
        <f t="shared" si="1"/>
        <v>ZEST-1-5</v>
      </c>
      <c r="E382" s="78">
        <v>45764.0</v>
      </c>
      <c r="F382" s="79" t="s">
        <v>19</v>
      </c>
      <c r="G382" s="80" t="s">
        <v>101</v>
      </c>
      <c r="H382" s="81" t="s">
        <v>101</v>
      </c>
      <c r="I382" s="82">
        <v>10.0</v>
      </c>
      <c r="J382" s="81" t="s">
        <v>22</v>
      </c>
      <c r="K382" s="27" t="str">
        <f t="shared" si="2"/>
        <v>OCUPADO</v>
      </c>
      <c r="L382" s="28">
        <f t="shared" si="14"/>
        <v>381</v>
      </c>
      <c r="M382" s="28" t="s">
        <v>748</v>
      </c>
      <c r="N382" s="109"/>
      <c r="O382" s="29" t="s">
        <v>24</v>
      </c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4"/>
      <c r="BF382" s="12"/>
      <c r="BG382" s="12"/>
      <c r="BH382" s="12" t="str">
        <f>IFERROR(__xludf.DUMMYFUNCTION("IFERROR(INDEX(QUERY(IMPORTRANGE(""1T7HG8KEs-Ob7f3M5atEVN9Yn7IeORGp0QGvggB62ELw"",""Maestro!A:I""),""SELECT Col8 WHERE Col3 = '""&amp;BE382&amp;""'"", 0), 1, 1),""NO ENCONTRADO"")"),"")</f>
        <v/>
      </c>
      <c r="BI382" s="12" t="str">
        <f>IFERROR(__xludf.DUMMYFUNCTION("IFERROR(INDEX(QUERY(IMPORTRANGE(""1T7HG8KEs-Ob7f3M5atEVN9Yn7IeORGp0QGvggB62ELw"",""Maestro!A:I""),""SELECT Col7 WHERE Col3 = '""&amp;BE382&amp;""'"", 0), 1, 1),""NO ENCONTRADO"")"),"")</f>
        <v/>
      </c>
      <c r="BJ382" s="16">
        <f t="shared" si="15"/>
        <v>0</v>
      </c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4"/>
      <c r="BX382" s="14"/>
      <c r="BY382" s="14"/>
      <c r="BZ382" s="14"/>
      <c r="CA382" s="14"/>
      <c r="CB382" s="14"/>
      <c r="CC382" s="14"/>
      <c r="CD382" s="14"/>
      <c r="CE382" s="14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</row>
    <row r="383">
      <c r="A383" s="295" t="s">
        <v>593</v>
      </c>
      <c r="B383" s="296" t="s">
        <v>32</v>
      </c>
      <c r="C383" s="296" t="s">
        <v>18</v>
      </c>
      <c r="D383" s="297" t="str">
        <f t="shared" si="1"/>
        <v>ZEST-2-1</v>
      </c>
      <c r="E383" s="78">
        <v>45764.0</v>
      </c>
      <c r="F383" s="79" t="s">
        <v>19</v>
      </c>
      <c r="G383" s="80" t="s">
        <v>114</v>
      </c>
      <c r="H383" s="81" t="s">
        <v>115</v>
      </c>
      <c r="I383" s="82">
        <v>18.0</v>
      </c>
      <c r="J383" s="81" t="s">
        <v>35</v>
      </c>
      <c r="K383" s="32" t="str">
        <f t="shared" si="2"/>
        <v>OCUPADO</v>
      </c>
      <c r="L383" s="33">
        <f t="shared" si="14"/>
        <v>382</v>
      </c>
      <c r="M383" s="33" t="s">
        <v>748</v>
      </c>
      <c r="N383" s="122"/>
      <c r="O383" s="34" t="s">
        <v>24</v>
      </c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4"/>
      <c r="BF383" s="12"/>
      <c r="BG383" s="12"/>
      <c r="BH383" s="12" t="str">
        <f>IFERROR(__xludf.DUMMYFUNCTION("IFERROR(INDEX(QUERY(IMPORTRANGE(""1T7HG8KEs-Ob7f3M5atEVN9Yn7IeORGp0QGvggB62ELw"",""Maestro!A:I""),""SELECT Col8 WHERE Col3 = '""&amp;BE383&amp;""'"", 0), 1, 1),""NO ENCONTRADO"")"),"")</f>
        <v/>
      </c>
      <c r="BI383" s="12" t="str">
        <f>IFERROR(__xludf.DUMMYFUNCTION("IFERROR(INDEX(QUERY(IMPORTRANGE(""1T7HG8KEs-Ob7f3M5atEVN9Yn7IeORGp0QGvggB62ELw"",""Maestro!A:I""),""SELECT Col7 WHERE Col3 = '""&amp;BE383&amp;""'"", 0), 1, 1),""NO ENCONTRADO"")"),"")</f>
        <v/>
      </c>
      <c r="BJ383" s="16">
        <f t="shared" si="15"/>
        <v>0</v>
      </c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4"/>
      <c r="BX383" s="14"/>
      <c r="BY383" s="14"/>
      <c r="BZ383" s="14"/>
      <c r="CA383" s="14"/>
      <c r="CB383" s="14"/>
      <c r="CC383" s="14"/>
      <c r="CD383" s="14"/>
      <c r="CE383" s="14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</row>
    <row r="384">
      <c r="A384" s="295" t="s">
        <v>593</v>
      </c>
      <c r="B384" s="296" t="s">
        <v>32</v>
      </c>
      <c r="C384" s="296" t="s">
        <v>32</v>
      </c>
      <c r="D384" s="297" t="str">
        <f t="shared" si="1"/>
        <v>ZEST-2-2</v>
      </c>
      <c r="E384" s="78">
        <v>45764.0</v>
      </c>
      <c r="F384" s="88" t="s">
        <v>19</v>
      </c>
      <c r="G384" s="80" t="s">
        <v>754</v>
      </c>
      <c r="H384" s="81" t="s">
        <v>755</v>
      </c>
      <c r="I384" s="82">
        <v>23.0</v>
      </c>
      <c r="J384" s="81" t="s">
        <v>35</v>
      </c>
      <c r="K384" s="27" t="str">
        <f t="shared" si="2"/>
        <v>OCUPADO</v>
      </c>
      <c r="L384" s="28">
        <f t="shared" si="14"/>
        <v>383</v>
      </c>
      <c r="M384" s="28" t="s">
        <v>748</v>
      </c>
      <c r="N384" s="109"/>
      <c r="O384" s="29" t="s">
        <v>24</v>
      </c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4"/>
      <c r="BF384" s="12"/>
      <c r="BG384" s="12"/>
      <c r="BH384" s="12" t="str">
        <f>IFERROR(__xludf.DUMMYFUNCTION("IFERROR(INDEX(QUERY(IMPORTRANGE(""1T7HG8KEs-Ob7f3M5atEVN9Yn7IeORGp0QGvggB62ELw"",""Maestro!A:I""),""SELECT Col8 WHERE Col3 = '""&amp;BE384&amp;""'"", 0), 1, 1),""NO ENCONTRADO"")"),"")</f>
        <v/>
      </c>
      <c r="BI384" s="12" t="str">
        <f>IFERROR(__xludf.DUMMYFUNCTION("IFERROR(INDEX(QUERY(IMPORTRANGE(""1T7HG8KEs-Ob7f3M5atEVN9Yn7IeORGp0QGvggB62ELw"",""Maestro!A:I""),""SELECT Col7 WHERE Col3 = '""&amp;BE384&amp;""'"", 0), 1, 1),""NO ENCONTRADO"")"),"")</f>
        <v/>
      </c>
      <c r="BJ384" s="16">
        <f t="shared" si="15"/>
        <v>0</v>
      </c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4"/>
      <c r="BX384" s="14"/>
      <c r="BY384" s="14"/>
      <c r="BZ384" s="14"/>
      <c r="CA384" s="14"/>
      <c r="CB384" s="14"/>
      <c r="CC384" s="14"/>
      <c r="CD384" s="14"/>
      <c r="CE384" s="14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</row>
    <row r="385">
      <c r="A385" s="295" t="s">
        <v>593</v>
      </c>
      <c r="B385" s="296" t="s">
        <v>32</v>
      </c>
      <c r="C385" s="296" t="s">
        <v>44</v>
      </c>
      <c r="D385" s="297" t="str">
        <f t="shared" si="1"/>
        <v>ZEST-2-3</v>
      </c>
      <c r="E385" s="78">
        <v>45764.0</v>
      </c>
      <c r="F385" s="88" t="s">
        <v>19</v>
      </c>
      <c r="G385" s="80" t="s">
        <v>754</v>
      </c>
      <c r="H385" s="81" t="s">
        <v>755</v>
      </c>
      <c r="I385" s="82">
        <v>24.0</v>
      </c>
      <c r="J385" s="81" t="s">
        <v>35</v>
      </c>
      <c r="K385" s="32" t="str">
        <f t="shared" si="2"/>
        <v>OCUPADO</v>
      </c>
      <c r="L385" s="33">
        <f t="shared" si="14"/>
        <v>384</v>
      </c>
      <c r="M385" s="33" t="s">
        <v>748</v>
      </c>
      <c r="N385" s="122"/>
      <c r="O385" s="34" t="s">
        <v>24</v>
      </c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4"/>
      <c r="BF385" s="12"/>
      <c r="BG385" s="12"/>
      <c r="BH385" s="12" t="str">
        <f>IFERROR(__xludf.DUMMYFUNCTION("IFERROR(INDEX(QUERY(IMPORTRANGE(""1T7HG8KEs-Ob7f3M5atEVN9Yn7IeORGp0QGvggB62ELw"",""Maestro!A:I""),""SELECT Col8 WHERE Col3 = '""&amp;BE385&amp;""'"", 0), 1, 1),""NO ENCONTRADO"")"),"")</f>
        <v/>
      </c>
      <c r="BI385" s="12" t="str">
        <f>IFERROR(__xludf.DUMMYFUNCTION("IFERROR(INDEX(QUERY(IMPORTRANGE(""1T7HG8KEs-Ob7f3M5atEVN9Yn7IeORGp0QGvggB62ELw"",""Maestro!A:I""),""SELECT Col7 WHERE Col3 = '""&amp;BE385&amp;""'"", 0), 1, 1),""NO ENCONTRADO"")"),"")</f>
        <v/>
      </c>
      <c r="BJ385" s="16">
        <f t="shared" si="15"/>
        <v>0</v>
      </c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4"/>
      <c r="BX385" s="14"/>
      <c r="BY385" s="14"/>
      <c r="BZ385" s="14"/>
      <c r="CA385" s="14"/>
      <c r="CB385" s="14"/>
      <c r="CC385" s="14"/>
      <c r="CD385" s="14"/>
      <c r="CE385" s="14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</row>
    <row r="386">
      <c r="A386" s="295" t="s">
        <v>593</v>
      </c>
      <c r="B386" s="296" t="s">
        <v>32</v>
      </c>
      <c r="C386" s="296" t="s">
        <v>53</v>
      </c>
      <c r="D386" s="297" t="str">
        <f t="shared" si="1"/>
        <v>ZEST-2-4</v>
      </c>
      <c r="E386" s="78">
        <v>45764.0</v>
      </c>
      <c r="F386" s="88" t="s">
        <v>19</v>
      </c>
      <c r="G386" s="80" t="s">
        <v>754</v>
      </c>
      <c r="H386" s="81" t="s">
        <v>755</v>
      </c>
      <c r="I386" s="82">
        <v>24.0</v>
      </c>
      <c r="J386" s="81" t="s">
        <v>35</v>
      </c>
      <c r="K386" s="27" t="str">
        <f t="shared" si="2"/>
        <v>OCUPADO</v>
      </c>
      <c r="L386" s="28">
        <f t="shared" si="14"/>
        <v>385</v>
      </c>
      <c r="M386" s="28" t="s">
        <v>748</v>
      </c>
      <c r="N386" s="109"/>
      <c r="O386" s="29" t="s">
        <v>24</v>
      </c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4"/>
      <c r="BF386" s="12"/>
      <c r="BG386" s="12"/>
      <c r="BH386" s="12" t="str">
        <f>IFERROR(__xludf.DUMMYFUNCTION("IFERROR(INDEX(QUERY(IMPORTRANGE(""1T7HG8KEs-Ob7f3M5atEVN9Yn7IeORGp0QGvggB62ELw"",""Maestro!A:I""),""SELECT Col8 WHERE Col3 = '""&amp;BE386&amp;""'"", 0), 1, 1),""NO ENCONTRADO"")"),"")</f>
        <v/>
      </c>
      <c r="BI386" s="12" t="str">
        <f>IFERROR(__xludf.DUMMYFUNCTION("IFERROR(INDEX(QUERY(IMPORTRANGE(""1T7HG8KEs-Ob7f3M5atEVN9Yn7IeORGp0QGvggB62ELw"",""Maestro!A:I""),""SELECT Col7 WHERE Col3 = '""&amp;BE386&amp;""'"", 0), 1, 1),""NO ENCONTRADO"")"),"")</f>
        <v/>
      </c>
      <c r="BJ386" s="16">
        <f t="shared" si="15"/>
        <v>0</v>
      </c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4"/>
      <c r="BX386" s="14"/>
      <c r="BY386" s="14"/>
      <c r="BZ386" s="14"/>
      <c r="CA386" s="14"/>
      <c r="CB386" s="14"/>
      <c r="CC386" s="14"/>
      <c r="CD386" s="14"/>
      <c r="CE386" s="14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</row>
    <row r="387">
      <c r="A387" s="295" t="s">
        <v>593</v>
      </c>
      <c r="B387" s="296" t="s">
        <v>32</v>
      </c>
      <c r="C387" s="296" t="s">
        <v>25</v>
      </c>
      <c r="D387" s="297" t="str">
        <f t="shared" si="1"/>
        <v>ZEST-2-5</v>
      </c>
      <c r="E387" s="78">
        <v>45764.0</v>
      </c>
      <c r="F387" s="79" t="s">
        <v>19</v>
      </c>
      <c r="G387" s="80" t="s">
        <v>101</v>
      </c>
      <c r="H387" s="81" t="s">
        <v>101</v>
      </c>
      <c r="I387" s="82">
        <v>10.0</v>
      </c>
      <c r="J387" s="81" t="s">
        <v>22</v>
      </c>
      <c r="K387" s="32" t="str">
        <f t="shared" si="2"/>
        <v>OCUPADO</v>
      </c>
      <c r="L387" s="33">
        <f t="shared" si="14"/>
        <v>386</v>
      </c>
      <c r="M387" s="33" t="s">
        <v>748</v>
      </c>
      <c r="N387" s="122"/>
      <c r="O387" s="34" t="s">
        <v>24</v>
      </c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4"/>
      <c r="BF387" s="12"/>
      <c r="BG387" s="12"/>
      <c r="BH387" s="12" t="str">
        <f>IFERROR(__xludf.DUMMYFUNCTION("IFERROR(INDEX(QUERY(IMPORTRANGE(""1T7HG8KEs-Ob7f3M5atEVN9Yn7IeORGp0QGvggB62ELw"",""Maestro!A:I""),""SELECT Col8 WHERE Col3 = '""&amp;BE387&amp;""'"", 0), 1, 1),""NO ENCONTRADO"")"),"")</f>
        <v/>
      </c>
      <c r="BI387" s="12" t="str">
        <f>IFERROR(__xludf.DUMMYFUNCTION("IFERROR(INDEX(QUERY(IMPORTRANGE(""1T7HG8KEs-Ob7f3M5atEVN9Yn7IeORGp0QGvggB62ELw"",""Maestro!A:I""),""SELECT Col7 WHERE Col3 = '""&amp;BE387&amp;""'"", 0), 1, 1),""NO ENCONTRADO"")"),"")</f>
        <v/>
      </c>
      <c r="BJ387" s="16">
        <f t="shared" si="15"/>
        <v>0</v>
      </c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4"/>
      <c r="BX387" s="14"/>
      <c r="BY387" s="14"/>
      <c r="BZ387" s="14"/>
      <c r="CA387" s="14"/>
      <c r="CB387" s="14"/>
      <c r="CC387" s="14"/>
      <c r="CD387" s="14"/>
      <c r="CE387" s="14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</row>
    <row r="388">
      <c r="A388" s="295" t="s">
        <v>593</v>
      </c>
      <c r="B388" s="296" t="s">
        <v>44</v>
      </c>
      <c r="C388" s="296" t="s">
        <v>18</v>
      </c>
      <c r="D388" s="297" t="str">
        <f t="shared" si="1"/>
        <v>ZEST-3-1</v>
      </c>
      <c r="E388" s="72"/>
      <c r="F388" s="77"/>
      <c r="G388" s="74"/>
      <c r="H388" s="138"/>
      <c r="I388" s="76"/>
      <c r="J388" s="138"/>
      <c r="K388" s="27" t="str">
        <f t="shared" si="2"/>
        <v>DISPONIBLE</v>
      </c>
      <c r="L388" s="28">
        <f t="shared" si="14"/>
        <v>387</v>
      </c>
      <c r="M388" s="28" t="s">
        <v>748</v>
      </c>
      <c r="N388" s="109"/>
      <c r="O388" s="168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4"/>
      <c r="BF388" s="12"/>
      <c r="BG388" s="12"/>
      <c r="BH388" s="12" t="str">
        <f>IFERROR(__xludf.DUMMYFUNCTION("IFERROR(INDEX(QUERY(IMPORTRANGE(""1T7HG8KEs-Ob7f3M5atEVN9Yn7IeORGp0QGvggB62ELw"",""Maestro!A:I""),""SELECT Col8 WHERE Col3 = '""&amp;BE388&amp;""'"", 0), 1, 1),""NO ENCONTRADO"")"),"")</f>
        <v/>
      </c>
      <c r="BI388" s="12" t="str">
        <f>IFERROR(__xludf.DUMMYFUNCTION("IFERROR(INDEX(QUERY(IMPORTRANGE(""1T7HG8KEs-Ob7f3M5atEVN9Yn7IeORGp0QGvggB62ELw"",""Maestro!A:I""),""SELECT Col7 WHERE Col3 = '""&amp;BE388&amp;""'"", 0), 1, 1),""NO ENCONTRADO"")"),"")</f>
        <v/>
      </c>
      <c r="BJ388" s="16">
        <f t="shared" si="15"/>
        <v>0</v>
      </c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4"/>
      <c r="BX388" s="14"/>
      <c r="BY388" s="14"/>
      <c r="BZ388" s="14"/>
      <c r="CA388" s="14"/>
      <c r="CB388" s="14"/>
      <c r="CC388" s="14"/>
      <c r="CD388" s="14"/>
      <c r="CE388" s="14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</row>
    <row r="389">
      <c r="A389" s="295" t="s">
        <v>593</v>
      </c>
      <c r="B389" s="296" t="s">
        <v>44</v>
      </c>
      <c r="C389" s="296" t="s">
        <v>32</v>
      </c>
      <c r="D389" s="297" t="str">
        <f t="shared" si="1"/>
        <v>ZEST-3-2</v>
      </c>
      <c r="E389" s="78">
        <v>45764.0</v>
      </c>
      <c r="F389" s="79" t="s">
        <v>19</v>
      </c>
      <c r="G389" s="80" t="s">
        <v>135</v>
      </c>
      <c r="H389" s="81" t="s">
        <v>135</v>
      </c>
      <c r="I389" s="82">
        <v>24.0</v>
      </c>
      <c r="J389" s="81" t="s">
        <v>35</v>
      </c>
      <c r="K389" s="32" t="str">
        <f t="shared" si="2"/>
        <v>OCUPADO</v>
      </c>
      <c r="L389" s="33">
        <f t="shared" si="14"/>
        <v>388</v>
      </c>
      <c r="M389" s="33" t="s">
        <v>748</v>
      </c>
      <c r="N389" s="122"/>
      <c r="O389" s="34" t="s">
        <v>24</v>
      </c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4"/>
      <c r="BF389" s="12"/>
      <c r="BG389" s="12"/>
      <c r="BH389" s="12" t="str">
        <f>IFERROR(__xludf.DUMMYFUNCTION("IFERROR(INDEX(QUERY(IMPORTRANGE(""1T7HG8KEs-Ob7f3M5atEVN9Yn7IeORGp0QGvggB62ELw"",""Maestro!A:I""),""SELECT Col8 WHERE Col3 = '""&amp;BE389&amp;""'"", 0), 1, 1),""NO ENCONTRADO"")"),"")</f>
        <v/>
      </c>
      <c r="BI389" s="12" t="str">
        <f>IFERROR(__xludf.DUMMYFUNCTION("IFERROR(INDEX(QUERY(IMPORTRANGE(""1T7HG8KEs-Ob7f3M5atEVN9Yn7IeORGp0QGvggB62ELw"",""Maestro!A:I""),""SELECT Col7 WHERE Col3 = '""&amp;BE389&amp;""'"", 0), 1, 1),""NO ENCONTRADO"")"),"")</f>
        <v/>
      </c>
      <c r="BJ389" s="16">
        <f t="shared" si="15"/>
        <v>0</v>
      </c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4"/>
      <c r="BX389" s="14"/>
      <c r="BY389" s="14"/>
      <c r="BZ389" s="14"/>
      <c r="CA389" s="14"/>
      <c r="CB389" s="14"/>
      <c r="CC389" s="14"/>
      <c r="CD389" s="14"/>
      <c r="CE389" s="14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</row>
    <row r="390">
      <c r="A390" s="295" t="s">
        <v>593</v>
      </c>
      <c r="B390" s="296" t="s">
        <v>44</v>
      </c>
      <c r="C390" s="296" t="s">
        <v>44</v>
      </c>
      <c r="D390" s="297" t="str">
        <f t="shared" si="1"/>
        <v>ZEST-3-3</v>
      </c>
      <c r="E390" s="78">
        <v>45764.0</v>
      </c>
      <c r="F390" s="79" t="s">
        <v>19</v>
      </c>
      <c r="G390" s="80" t="s">
        <v>759</v>
      </c>
      <c r="H390" s="81" t="s">
        <v>109</v>
      </c>
      <c r="I390" s="82">
        <v>1.0</v>
      </c>
      <c r="J390" s="81" t="s">
        <v>22</v>
      </c>
      <c r="K390" s="27" t="str">
        <f t="shared" si="2"/>
        <v>OCUPADO</v>
      </c>
      <c r="L390" s="28">
        <f t="shared" si="14"/>
        <v>389</v>
      </c>
      <c r="M390" s="28" t="s">
        <v>748</v>
      </c>
      <c r="N390" s="109"/>
      <c r="O390" s="29" t="s">
        <v>24</v>
      </c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4"/>
      <c r="BF390" s="12"/>
      <c r="BG390" s="12"/>
      <c r="BH390" s="12" t="str">
        <f>IFERROR(__xludf.DUMMYFUNCTION("IFERROR(INDEX(QUERY(IMPORTRANGE(""1T7HG8KEs-Ob7f3M5atEVN9Yn7IeORGp0QGvggB62ELw"",""Maestro!A:I""),""SELECT Col8 WHERE Col3 = '""&amp;BE390&amp;""'"", 0), 1, 1),""NO ENCONTRADO"")"),"")</f>
        <v/>
      </c>
      <c r="BI390" s="12" t="str">
        <f>IFERROR(__xludf.DUMMYFUNCTION("IFERROR(INDEX(QUERY(IMPORTRANGE(""1T7HG8KEs-Ob7f3M5atEVN9Yn7IeORGp0QGvggB62ELw"",""Maestro!A:I""),""SELECT Col7 WHERE Col3 = '""&amp;BE390&amp;""'"", 0), 1, 1),""NO ENCONTRADO"")"),"")</f>
        <v/>
      </c>
      <c r="BJ390" s="16">
        <f t="shared" si="15"/>
        <v>0</v>
      </c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4"/>
      <c r="BX390" s="14"/>
      <c r="BY390" s="14"/>
      <c r="BZ390" s="14"/>
      <c r="CA390" s="14"/>
      <c r="CB390" s="14"/>
      <c r="CC390" s="14"/>
      <c r="CD390" s="14"/>
      <c r="CE390" s="14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</row>
    <row r="391">
      <c r="A391" s="295" t="s">
        <v>593</v>
      </c>
      <c r="B391" s="296" t="s">
        <v>44</v>
      </c>
      <c r="C391" s="296" t="s">
        <v>53</v>
      </c>
      <c r="D391" s="297" t="str">
        <f t="shared" si="1"/>
        <v>ZEST-3-4</v>
      </c>
      <c r="E391" s="78">
        <v>45764.0</v>
      </c>
      <c r="F391" s="79" t="s">
        <v>19</v>
      </c>
      <c r="G391" s="80" t="s">
        <v>135</v>
      </c>
      <c r="H391" s="81" t="s">
        <v>135</v>
      </c>
      <c r="I391" s="82">
        <v>2.0</v>
      </c>
      <c r="J391" s="81" t="s">
        <v>22</v>
      </c>
      <c r="K391" s="32" t="str">
        <f t="shared" si="2"/>
        <v>OCUPADO</v>
      </c>
      <c r="L391" s="33">
        <f t="shared" si="14"/>
        <v>390</v>
      </c>
      <c r="M391" s="33" t="s">
        <v>748</v>
      </c>
      <c r="N391" s="122"/>
      <c r="O391" s="34" t="s">
        <v>24</v>
      </c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4"/>
      <c r="BF391" s="12"/>
      <c r="BG391" s="12"/>
      <c r="BH391" s="12" t="str">
        <f>IFERROR(__xludf.DUMMYFUNCTION("IFERROR(INDEX(QUERY(IMPORTRANGE(""1T7HG8KEs-Ob7f3M5atEVN9Yn7IeORGp0QGvggB62ELw"",""Maestro!A:I""),""SELECT Col8 WHERE Col3 = '""&amp;BE391&amp;""'"", 0), 1, 1),""NO ENCONTRADO"")"),"")</f>
        <v/>
      </c>
      <c r="BI391" s="12" t="str">
        <f>IFERROR(__xludf.DUMMYFUNCTION("IFERROR(INDEX(QUERY(IMPORTRANGE(""1T7HG8KEs-Ob7f3M5atEVN9Yn7IeORGp0QGvggB62ELw"",""Maestro!A:I""),""SELECT Col7 WHERE Col3 = '""&amp;BE391&amp;""'"", 0), 1, 1),""NO ENCONTRADO"")"),"")</f>
        <v/>
      </c>
      <c r="BJ391" s="16">
        <f t="shared" si="15"/>
        <v>0</v>
      </c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4"/>
      <c r="BX391" s="14"/>
      <c r="BY391" s="14"/>
      <c r="BZ391" s="14"/>
      <c r="CA391" s="14"/>
      <c r="CB391" s="14"/>
      <c r="CC391" s="14"/>
      <c r="CD391" s="14"/>
      <c r="CE391" s="14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</row>
    <row r="392">
      <c r="A392" s="295" t="s">
        <v>593</v>
      </c>
      <c r="B392" s="296" t="s">
        <v>44</v>
      </c>
      <c r="C392" s="296" t="s">
        <v>25</v>
      </c>
      <c r="D392" s="297" t="str">
        <f t="shared" si="1"/>
        <v>ZEST-3-5</v>
      </c>
      <c r="E392" s="78">
        <v>45764.0</v>
      </c>
      <c r="F392" s="79" t="s">
        <v>19</v>
      </c>
      <c r="G392" s="80" t="s">
        <v>101</v>
      </c>
      <c r="H392" s="81" t="s">
        <v>101</v>
      </c>
      <c r="I392" s="82">
        <v>8.0</v>
      </c>
      <c r="J392" s="81" t="s">
        <v>22</v>
      </c>
      <c r="K392" s="27" t="str">
        <f t="shared" si="2"/>
        <v>OCUPADO</v>
      </c>
      <c r="L392" s="28">
        <f t="shared" si="14"/>
        <v>391</v>
      </c>
      <c r="M392" s="28" t="s">
        <v>748</v>
      </c>
      <c r="N392" s="109"/>
      <c r="O392" s="29" t="s">
        <v>24</v>
      </c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4"/>
      <c r="BF392" s="12"/>
      <c r="BG392" s="12"/>
      <c r="BH392" s="12" t="str">
        <f>IFERROR(__xludf.DUMMYFUNCTION("IFERROR(INDEX(QUERY(IMPORTRANGE(""1T7HG8KEs-Ob7f3M5atEVN9Yn7IeORGp0QGvggB62ELw"",""Maestro!A:I""),""SELECT Col8 WHERE Col3 = '""&amp;BE392&amp;""'"", 0), 1, 1),""NO ENCONTRADO"")"),"")</f>
        <v/>
      </c>
      <c r="BI392" s="12" t="str">
        <f>IFERROR(__xludf.DUMMYFUNCTION("IFERROR(INDEX(QUERY(IMPORTRANGE(""1T7HG8KEs-Ob7f3M5atEVN9Yn7IeORGp0QGvggB62ELw"",""Maestro!A:I""),""SELECT Col7 WHERE Col3 = '""&amp;BE392&amp;""'"", 0), 1, 1),""NO ENCONTRADO"")"),"")</f>
        <v/>
      </c>
      <c r="BJ392" s="16">
        <f t="shared" si="15"/>
        <v>0</v>
      </c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4"/>
      <c r="BX392" s="14"/>
      <c r="BY392" s="14"/>
      <c r="BZ392" s="14"/>
      <c r="CA392" s="14"/>
      <c r="CB392" s="14"/>
      <c r="CC392" s="14"/>
      <c r="CD392" s="14"/>
      <c r="CE392" s="14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</row>
    <row r="393">
      <c r="A393" s="295" t="s">
        <v>593</v>
      </c>
      <c r="B393" s="296" t="s">
        <v>53</v>
      </c>
      <c r="C393" s="296" t="s">
        <v>18</v>
      </c>
      <c r="D393" s="297" t="str">
        <f t="shared" si="1"/>
        <v>ZEST-4-1</v>
      </c>
      <c r="E393" s="72"/>
      <c r="F393" s="77"/>
      <c r="G393" s="74"/>
      <c r="H393" s="138"/>
      <c r="I393" s="76"/>
      <c r="J393" s="138"/>
      <c r="K393" s="32" t="str">
        <f t="shared" si="2"/>
        <v>DISPONIBLE</v>
      </c>
      <c r="L393" s="33">
        <f t="shared" si="14"/>
        <v>392</v>
      </c>
      <c r="M393" s="33" t="s">
        <v>748</v>
      </c>
      <c r="N393" s="122"/>
      <c r="O393" s="169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4"/>
      <c r="BF393" s="12"/>
      <c r="BG393" s="12"/>
      <c r="BH393" s="12" t="str">
        <f>IFERROR(__xludf.DUMMYFUNCTION("IFERROR(INDEX(QUERY(IMPORTRANGE(""1T7HG8KEs-Ob7f3M5atEVN9Yn7IeORGp0QGvggB62ELw"",""Maestro!A:I""),""SELECT Col8 WHERE Col3 = '""&amp;BE393&amp;""'"", 0), 1, 1),""NO ENCONTRADO"")"),"")</f>
        <v/>
      </c>
      <c r="BI393" s="12" t="str">
        <f>IFERROR(__xludf.DUMMYFUNCTION("IFERROR(INDEX(QUERY(IMPORTRANGE(""1T7HG8KEs-Ob7f3M5atEVN9Yn7IeORGp0QGvggB62ELw"",""Maestro!A:I""),""SELECT Col7 WHERE Col3 = '""&amp;BE393&amp;""'"", 0), 1, 1),""NO ENCONTRADO"")"),"")</f>
        <v/>
      </c>
      <c r="BJ393" s="16">
        <f t="shared" si="15"/>
        <v>0</v>
      </c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4"/>
      <c r="BX393" s="14"/>
      <c r="BY393" s="14"/>
      <c r="BZ393" s="14"/>
      <c r="CA393" s="14"/>
      <c r="CB393" s="14"/>
      <c r="CC393" s="14"/>
      <c r="CD393" s="14"/>
      <c r="CE393" s="14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</row>
    <row r="394">
      <c r="A394" s="295" t="s">
        <v>593</v>
      </c>
      <c r="B394" s="296" t="s">
        <v>53</v>
      </c>
      <c r="C394" s="296" t="s">
        <v>32</v>
      </c>
      <c r="D394" s="297" t="str">
        <f t="shared" si="1"/>
        <v>ZEST-4-2</v>
      </c>
      <c r="E394" s="78">
        <v>45764.0</v>
      </c>
      <c r="F394" s="79" t="s">
        <v>19</v>
      </c>
      <c r="G394" s="80" t="s">
        <v>63</v>
      </c>
      <c r="H394" s="81" t="s">
        <v>64</v>
      </c>
      <c r="I394" s="82">
        <v>12.0</v>
      </c>
      <c r="J394" s="81" t="s">
        <v>35</v>
      </c>
      <c r="K394" s="27" t="str">
        <f t="shared" si="2"/>
        <v>OCUPADO</v>
      </c>
      <c r="L394" s="28">
        <f t="shared" si="14"/>
        <v>393</v>
      </c>
      <c r="M394" s="28" t="s">
        <v>748</v>
      </c>
      <c r="N394" s="109"/>
      <c r="O394" s="29" t="s">
        <v>24</v>
      </c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4"/>
      <c r="BF394" s="12"/>
      <c r="BG394" s="12"/>
      <c r="BH394" s="12" t="str">
        <f>IFERROR(__xludf.DUMMYFUNCTION("IFERROR(INDEX(QUERY(IMPORTRANGE(""1T7HG8KEs-Ob7f3M5atEVN9Yn7IeORGp0QGvggB62ELw"",""Maestro!A:I""),""SELECT Col8 WHERE Col3 = '""&amp;BE394&amp;""'"", 0), 1, 1),""NO ENCONTRADO"")"),"")</f>
        <v/>
      </c>
      <c r="BI394" s="12" t="str">
        <f>IFERROR(__xludf.DUMMYFUNCTION("IFERROR(INDEX(QUERY(IMPORTRANGE(""1T7HG8KEs-Ob7f3M5atEVN9Yn7IeORGp0QGvggB62ELw"",""Maestro!A:I""),""SELECT Col7 WHERE Col3 = '""&amp;BE394&amp;""'"", 0), 1, 1),""NO ENCONTRADO"")"),"")</f>
        <v/>
      </c>
      <c r="BJ394" s="16">
        <f t="shared" si="15"/>
        <v>0</v>
      </c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4"/>
      <c r="BX394" s="14"/>
      <c r="BY394" s="14"/>
      <c r="BZ394" s="14"/>
      <c r="CA394" s="14"/>
      <c r="CB394" s="14"/>
      <c r="CC394" s="14"/>
      <c r="CD394" s="14"/>
      <c r="CE394" s="14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</row>
    <row r="395">
      <c r="A395" s="295" t="s">
        <v>593</v>
      </c>
      <c r="B395" s="296" t="s">
        <v>53</v>
      </c>
      <c r="C395" s="296" t="s">
        <v>44</v>
      </c>
      <c r="D395" s="297" t="str">
        <f t="shared" si="1"/>
        <v>ZEST-4-3</v>
      </c>
      <c r="E395" s="72"/>
      <c r="F395" s="77"/>
      <c r="G395" s="74"/>
      <c r="H395" s="138"/>
      <c r="I395" s="76"/>
      <c r="J395" s="138"/>
      <c r="K395" s="32" t="str">
        <f t="shared" si="2"/>
        <v>DISPONIBLE</v>
      </c>
      <c r="L395" s="33">
        <f t="shared" si="14"/>
        <v>394</v>
      </c>
      <c r="M395" s="33" t="s">
        <v>748</v>
      </c>
      <c r="N395" s="122"/>
      <c r="O395" s="169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4"/>
      <c r="BF395" s="12"/>
      <c r="BG395" s="12"/>
      <c r="BH395" s="12" t="str">
        <f>IFERROR(__xludf.DUMMYFUNCTION("IFERROR(INDEX(QUERY(IMPORTRANGE(""1T7HG8KEs-Ob7f3M5atEVN9Yn7IeORGp0QGvggB62ELw"",""Maestro!A:I""),""SELECT Col8 WHERE Col3 = '""&amp;BE395&amp;""'"", 0), 1, 1),""NO ENCONTRADO"")"),"")</f>
        <v/>
      </c>
      <c r="BI395" s="12" t="str">
        <f>IFERROR(__xludf.DUMMYFUNCTION("IFERROR(INDEX(QUERY(IMPORTRANGE(""1T7HG8KEs-Ob7f3M5atEVN9Yn7IeORGp0QGvggB62ELw"",""Maestro!A:I""),""SELECT Col7 WHERE Col3 = '""&amp;BE395&amp;""'"", 0), 1, 1),""NO ENCONTRADO"")"),"")</f>
        <v/>
      </c>
      <c r="BJ395" s="16">
        <f t="shared" si="15"/>
        <v>0</v>
      </c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4"/>
      <c r="BX395" s="14"/>
      <c r="BY395" s="14"/>
      <c r="BZ395" s="14"/>
      <c r="CA395" s="14"/>
      <c r="CB395" s="14"/>
      <c r="CC395" s="14"/>
      <c r="CD395" s="14"/>
      <c r="CE395" s="14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</row>
    <row r="396">
      <c r="A396" s="295" t="s">
        <v>593</v>
      </c>
      <c r="B396" s="296" t="s">
        <v>53</v>
      </c>
      <c r="C396" s="296" t="s">
        <v>53</v>
      </c>
      <c r="D396" s="297" t="str">
        <f t="shared" si="1"/>
        <v>ZEST-4-4</v>
      </c>
      <c r="E396" s="72"/>
      <c r="F396" s="77"/>
      <c r="G396" s="74"/>
      <c r="H396" s="138"/>
      <c r="I396" s="76"/>
      <c r="J396" s="138"/>
      <c r="K396" s="27" t="str">
        <f t="shared" si="2"/>
        <v>DISPONIBLE</v>
      </c>
      <c r="L396" s="28">
        <f t="shared" si="14"/>
        <v>395</v>
      </c>
      <c r="M396" s="28" t="s">
        <v>748</v>
      </c>
      <c r="N396" s="109"/>
      <c r="O396" s="168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4"/>
      <c r="BF396" s="12"/>
      <c r="BG396" s="12"/>
      <c r="BH396" s="12" t="str">
        <f>IFERROR(__xludf.DUMMYFUNCTION("IFERROR(INDEX(QUERY(IMPORTRANGE(""1T7HG8KEs-Ob7f3M5atEVN9Yn7IeORGp0QGvggB62ELw"",""Maestro!A:I""),""SELECT Col8 WHERE Col3 = '""&amp;BE396&amp;""'"", 0), 1, 1),""NO ENCONTRADO"")"),"")</f>
        <v/>
      </c>
      <c r="BI396" s="12" t="str">
        <f>IFERROR(__xludf.DUMMYFUNCTION("IFERROR(INDEX(QUERY(IMPORTRANGE(""1T7HG8KEs-Ob7f3M5atEVN9Yn7IeORGp0QGvggB62ELw"",""Maestro!A:I""),""SELECT Col7 WHERE Col3 = '""&amp;BE396&amp;""'"", 0), 1, 1),""NO ENCONTRADO"")"),"")</f>
        <v/>
      </c>
      <c r="BJ396" s="16">
        <f t="shared" si="15"/>
        <v>0</v>
      </c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4"/>
      <c r="BX396" s="14"/>
      <c r="BY396" s="14"/>
      <c r="BZ396" s="14"/>
      <c r="CA396" s="14"/>
      <c r="CB396" s="14"/>
      <c r="CC396" s="14"/>
      <c r="CD396" s="14"/>
      <c r="CE396" s="14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</row>
    <row r="397">
      <c r="A397" s="295" t="s">
        <v>593</v>
      </c>
      <c r="B397" s="296" t="s">
        <v>53</v>
      </c>
      <c r="C397" s="296" t="s">
        <v>25</v>
      </c>
      <c r="D397" s="297" t="str">
        <f t="shared" si="1"/>
        <v>ZEST-4-5</v>
      </c>
      <c r="E397" s="72"/>
      <c r="F397" s="77"/>
      <c r="G397" s="74"/>
      <c r="H397" s="138"/>
      <c r="I397" s="76"/>
      <c r="J397" s="138"/>
      <c r="K397" s="32" t="str">
        <f t="shared" si="2"/>
        <v>DISPONIBLE</v>
      </c>
      <c r="L397" s="33">
        <f t="shared" si="14"/>
        <v>396</v>
      </c>
      <c r="M397" s="33" t="s">
        <v>748</v>
      </c>
      <c r="N397" s="122"/>
      <c r="O397" s="169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4"/>
      <c r="BF397" s="12"/>
      <c r="BG397" s="12"/>
      <c r="BH397" s="12" t="str">
        <f>IFERROR(__xludf.DUMMYFUNCTION("IFERROR(INDEX(QUERY(IMPORTRANGE(""1T7HG8KEs-Ob7f3M5atEVN9Yn7IeORGp0QGvggB62ELw"",""Maestro!A:I""),""SELECT Col8 WHERE Col3 = '""&amp;BE397&amp;""'"", 0), 1, 1),""NO ENCONTRADO"")"),"")</f>
        <v/>
      </c>
      <c r="BI397" s="12" t="str">
        <f>IFERROR(__xludf.DUMMYFUNCTION("IFERROR(INDEX(QUERY(IMPORTRANGE(""1T7HG8KEs-Ob7f3M5atEVN9Yn7IeORGp0QGvggB62ELw"",""Maestro!A:I""),""SELECT Col7 WHERE Col3 = '""&amp;BE397&amp;""'"", 0), 1, 1),""NO ENCONTRADO"")"),"")</f>
        <v/>
      </c>
      <c r="BJ397" s="16">
        <f t="shared" si="15"/>
        <v>0</v>
      </c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4"/>
      <c r="BX397" s="14"/>
      <c r="BY397" s="14"/>
      <c r="BZ397" s="14"/>
      <c r="CA397" s="14"/>
      <c r="CB397" s="14"/>
      <c r="CC397" s="14"/>
      <c r="CD397" s="14"/>
      <c r="CE397" s="14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</row>
    <row r="398">
      <c r="A398" s="295" t="s">
        <v>593</v>
      </c>
      <c r="B398" s="296" t="s">
        <v>25</v>
      </c>
      <c r="C398" s="296" t="s">
        <v>18</v>
      </c>
      <c r="D398" s="297" t="str">
        <f t="shared" si="1"/>
        <v>ZEST-5-1</v>
      </c>
      <c r="E398" s="72"/>
      <c r="F398" s="77"/>
      <c r="G398" s="74"/>
      <c r="H398" s="138"/>
      <c r="I398" s="76"/>
      <c r="J398" s="138"/>
      <c r="K398" s="27" t="str">
        <f t="shared" si="2"/>
        <v>DISPONIBLE</v>
      </c>
      <c r="L398" s="28">
        <f t="shared" si="14"/>
        <v>397</v>
      </c>
      <c r="M398" s="28" t="s">
        <v>748</v>
      </c>
      <c r="N398" s="109"/>
      <c r="O398" s="168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4"/>
      <c r="BF398" s="12"/>
      <c r="BG398" s="12"/>
      <c r="BH398" s="12" t="str">
        <f>IFERROR(__xludf.DUMMYFUNCTION("IFERROR(INDEX(QUERY(IMPORTRANGE(""1T7HG8KEs-Ob7f3M5atEVN9Yn7IeORGp0QGvggB62ELw"",""Maestro!A:I""),""SELECT Col8 WHERE Col3 = '""&amp;BE398&amp;""'"", 0), 1, 1),""NO ENCONTRADO"")"),"")</f>
        <v/>
      </c>
      <c r="BI398" s="12" t="str">
        <f>IFERROR(__xludf.DUMMYFUNCTION("IFERROR(INDEX(QUERY(IMPORTRANGE(""1T7HG8KEs-Ob7f3M5atEVN9Yn7IeORGp0QGvggB62ELw"",""Maestro!A:I""),""SELECT Col7 WHERE Col3 = '""&amp;BE398&amp;""'"", 0), 1, 1),""NO ENCONTRADO"")"),"")</f>
        <v/>
      </c>
      <c r="BJ398" s="16">
        <f t="shared" si="15"/>
        <v>0</v>
      </c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4"/>
      <c r="BX398" s="14"/>
      <c r="BY398" s="14"/>
      <c r="BZ398" s="14"/>
      <c r="CA398" s="14"/>
      <c r="CB398" s="14"/>
      <c r="CC398" s="14"/>
      <c r="CD398" s="14"/>
      <c r="CE398" s="14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</row>
    <row r="399">
      <c r="A399" s="295" t="s">
        <v>593</v>
      </c>
      <c r="B399" s="296" t="s">
        <v>25</v>
      </c>
      <c r="C399" s="296" t="s">
        <v>32</v>
      </c>
      <c r="D399" s="297" t="str">
        <f t="shared" si="1"/>
        <v>ZEST-5-2</v>
      </c>
      <c r="E399" s="72"/>
      <c r="F399" s="77"/>
      <c r="G399" s="74"/>
      <c r="H399" s="138"/>
      <c r="I399" s="76"/>
      <c r="J399" s="138"/>
      <c r="K399" s="32" t="str">
        <f t="shared" si="2"/>
        <v>DISPONIBLE</v>
      </c>
      <c r="L399" s="33">
        <f t="shared" si="14"/>
        <v>398</v>
      </c>
      <c r="M399" s="33" t="s">
        <v>748</v>
      </c>
      <c r="N399" s="122"/>
      <c r="O399" s="169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4"/>
      <c r="BF399" s="12"/>
      <c r="BG399" s="12"/>
      <c r="BH399" s="12" t="str">
        <f>IFERROR(__xludf.DUMMYFUNCTION("IFERROR(INDEX(QUERY(IMPORTRANGE(""1T7HG8KEs-Ob7f3M5atEVN9Yn7IeORGp0QGvggB62ELw"",""Maestro!A:I""),""SELECT Col8 WHERE Col3 = '""&amp;BE399&amp;""'"", 0), 1, 1),""NO ENCONTRADO"")"),"")</f>
        <v/>
      </c>
      <c r="BI399" s="12" t="str">
        <f>IFERROR(__xludf.DUMMYFUNCTION("IFERROR(INDEX(QUERY(IMPORTRANGE(""1T7HG8KEs-Ob7f3M5atEVN9Yn7IeORGp0QGvggB62ELw"",""Maestro!A:I""),""SELECT Col7 WHERE Col3 = '""&amp;BE399&amp;""'"", 0), 1, 1),""NO ENCONTRADO"")"),"")</f>
        <v/>
      </c>
      <c r="BJ399" s="16">
        <f t="shared" si="15"/>
        <v>0</v>
      </c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4"/>
      <c r="BX399" s="14"/>
      <c r="BY399" s="14"/>
      <c r="BZ399" s="14"/>
      <c r="CA399" s="14"/>
      <c r="CB399" s="14"/>
      <c r="CC399" s="14"/>
      <c r="CD399" s="14"/>
      <c r="CE399" s="14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</row>
    <row r="400">
      <c r="A400" s="295" t="s">
        <v>593</v>
      </c>
      <c r="B400" s="296" t="s">
        <v>25</v>
      </c>
      <c r="C400" s="296" t="s">
        <v>44</v>
      </c>
      <c r="D400" s="297" t="str">
        <f t="shared" si="1"/>
        <v>ZEST-5-3</v>
      </c>
      <c r="E400" s="72"/>
      <c r="F400" s="77"/>
      <c r="G400" s="74"/>
      <c r="H400" s="138"/>
      <c r="I400" s="76"/>
      <c r="J400" s="138"/>
      <c r="K400" s="27" t="str">
        <f t="shared" si="2"/>
        <v>DISPONIBLE</v>
      </c>
      <c r="L400" s="28">
        <f t="shared" si="14"/>
        <v>399</v>
      </c>
      <c r="M400" s="28" t="s">
        <v>748</v>
      </c>
      <c r="N400" s="109"/>
      <c r="O400" s="168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4"/>
      <c r="BF400" s="12"/>
      <c r="BG400" s="12"/>
      <c r="BH400" s="12" t="str">
        <f>IFERROR(__xludf.DUMMYFUNCTION("IFERROR(INDEX(QUERY(IMPORTRANGE(""1T7HG8KEs-Ob7f3M5atEVN9Yn7IeORGp0QGvggB62ELw"",""Maestro!A:I""),""SELECT Col8 WHERE Col3 = '""&amp;BE400&amp;""'"", 0), 1, 1),""NO ENCONTRADO"")"),"")</f>
        <v/>
      </c>
      <c r="BI400" s="12" t="str">
        <f>IFERROR(__xludf.DUMMYFUNCTION("IFERROR(INDEX(QUERY(IMPORTRANGE(""1T7HG8KEs-Ob7f3M5atEVN9Yn7IeORGp0QGvggB62ELw"",""Maestro!A:I""),""SELECT Col7 WHERE Col3 = '""&amp;BE400&amp;""'"", 0), 1, 1),""NO ENCONTRADO"")"),"")</f>
        <v/>
      </c>
      <c r="BJ400" s="16">
        <f t="shared" si="15"/>
        <v>0</v>
      </c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4"/>
      <c r="BX400" s="14"/>
      <c r="BY400" s="14"/>
      <c r="BZ400" s="14"/>
      <c r="CA400" s="14"/>
      <c r="CB400" s="14"/>
      <c r="CC400" s="14"/>
      <c r="CD400" s="14"/>
      <c r="CE400" s="14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</row>
    <row r="401">
      <c r="A401" s="295" t="s">
        <v>593</v>
      </c>
      <c r="B401" s="296" t="s">
        <v>25</v>
      </c>
      <c r="C401" s="296" t="s">
        <v>53</v>
      </c>
      <c r="D401" s="297" t="str">
        <f t="shared" si="1"/>
        <v>ZEST-5-4</v>
      </c>
      <c r="E401" s="72"/>
      <c r="F401" s="77"/>
      <c r="G401" s="74"/>
      <c r="H401" s="138"/>
      <c r="I401" s="76"/>
      <c r="J401" s="138"/>
      <c r="K401" s="32" t="str">
        <f t="shared" si="2"/>
        <v>DISPONIBLE</v>
      </c>
      <c r="L401" s="33">
        <f t="shared" si="14"/>
        <v>400</v>
      </c>
      <c r="M401" s="33" t="s">
        <v>748</v>
      </c>
      <c r="N401" s="122"/>
      <c r="O401" s="169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4"/>
      <c r="BF401" s="12"/>
      <c r="BG401" s="12"/>
      <c r="BH401" s="12" t="str">
        <f>IFERROR(__xludf.DUMMYFUNCTION("IFERROR(INDEX(QUERY(IMPORTRANGE(""1T7HG8KEs-Ob7f3M5atEVN9Yn7IeORGp0QGvggB62ELw"",""Maestro!A:I""),""SELECT Col8 WHERE Col3 = '""&amp;BE401&amp;""'"", 0), 1, 1),""NO ENCONTRADO"")"),"")</f>
        <v/>
      </c>
      <c r="BI401" s="12" t="str">
        <f>IFERROR(__xludf.DUMMYFUNCTION("IFERROR(INDEX(QUERY(IMPORTRANGE(""1T7HG8KEs-Ob7f3M5atEVN9Yn7IeORGp0QGvggB62ELw"",""Maestro!A:I""),""SELECT Col7 WHERE Col3 = '""&amp;BE401&amp;""'"", 0), 1, 1),""NO ENCONTRADO"")"),"")</f>
        <v/>
      </c>
      <c r="BJ401" s="16">
        <f t="shared" si="15"/>
        <v>0</v>
      </c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4"/>
      <c r="BX401" s="14"/>
      <c r="BY401" s="14"/>
      <c r="BZ401" s="14"/>
      <c r="CA401" s="14"/>
      <c r="CB401" s="14"/>
      <c r="CC401" s="14"/>
      <c r="CD401" s="14"/>
      <c r="CE401" s="14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</row>
    <row r="402">
      <c r="A402" s="295" t="s">
        <v>593</v>
      </c>
      <c r="B402" s="296" t="s">
        <v>25</v>
      </c>
      <c r="C402" s="296" t="s">
        <v>25</v>
      </c>
      <c r="D402" s="297" t="str">
        <f t="shared" si="1"/>
        <v>ZEST-5-5</v>
      </c>
      <c r="E402" s="72"/>
      <c r="F402" s="77"/>
      <c r="G402" s="74"/>
      <c r="H402" s="138"/>
      <c r="I402" s="76"/>
      <c r="J402" s="138"/>
      <c r="K402" s="27" t="str">
        <f t="shared" si="2"/>
        <v>DISPONIBLE</v>
      </c>
      <c r="L402" s="28">
        <f t="shared" si="14"/>
        <v>401</v>
      </c>
      <c r="M402" s="28" t="s">
        <v>748</v>
      </c>
      <c r="N402" s="109"/>
      <c r="O402" s="168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4"/>
      <c r="BF402" s="12"/>
      <c r="BG402" s="12"/>
      <c r="BH402" s="12" t="str">
        <f>IFERROR(__xludf.DUMMYFUNCTION("IFERROR(INDEX(QUERY(IMPORTRANGE(""1T7HG8KEs-Ob7f3M5atEVN9Yn7IeORGp0QGvggB62ELw"",""Maestro!A:I""),""SELECT Col8 WHERE Col3 = '""&amp;BE402&amp;""'"", 0), 1, 1),""NO ENCONTRADO"")"),"")</f>
        <v/>
      </c>
      <c r="BI402" s="12" t="str">
        <f>IFERROR(__xludf.DUMMYFUNCTION("IFERROR(INDEX(QUERY(IMPORTRANGE(""1T7HG8KEs-Ob7f3M5atEVN9Yn7IeORGp0QGvggB62ELw"",""Maestro!A:I""),""SELECT Col7 WHERE Col3 = '""&amp;BE402&amp;""'"", 0), 1, 1),""NO ENCONTRADO"")"),"")</f>
        <v/>
      </c>
      <c r="BJ402" s="16">
        <f t="shared" si="15"/>
        <v>0</v>
      </c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4"/>
      <c r="BX402" s="14"/>
      <c r="BY402" s="14"/>
      <c r="BZ402" s="14"/>
      <c r="CA402" s="14"/>
      <c r="CB402" s="14"/>
      <c r="CC402" s="14"/>
      <c r="CD402" s="14"/>
      <c r="CE402" s="14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</row>
    <row r="403">
      <c r="A403" s="295" t="s">
        <v>593</v>
      </c>
      <c r="B403" s="296" t="s">
        <v>25</v>
      </c>
      <c r="C403" s="296" t="s">
        <v>36</v>
      </c>
      <c r="D403" s="297" t="str">
        <f t="shared" si="1"/>
        <v>ZEST-5-6</v>
      </c>
      <c r="E403" s="72"/>
      <c r="F403" s="77"/>
      <c r="G403" s="74"/>
      <c r="H403" s="138"/>
      <c r="I403" s="76"/>
      <c r="J403" s="138"/>
      <c r="K403" s="32" t="str">
        <f t="shared" si="2"/>
        <v>DISPONIBLE</v>
      </c>
      <c r="L403" s="33">
        <f t="shared" si="14"/>
        <v>402</v>
      </c>
      <c r="M403" s="33" t="s">
        <v>748</v>
      </c>
      <c r="N403" s="122"/>
      <c r="O403" s="169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4"/>
      <c r="BF403" s="12"/>
      <c r="BG403" s="12"/>
      <c r="BH403" s="12" t="str">
        <f>IFERROR(__xludf.DUMMYFUNCTION("IFERROR(INDEX(QUERY(IMPORTRANGE(""1T7HG8KEs-Ob7f3M5atEVN9Yn7IeORGp0QGvggB62ELw"",""Maestro!A:I""),""SELECT Col8 WHERE Col3 = '""&amp;BE403&amp;""'"", 0), 1, 1),""NO ENCONTRADO"")"),"")</f>
        <v/>
      </c>
      <c r="BI403" s="12" t="str">
        <f>IFERROR(__xludf.DUMMYFUNCTION("IFERROR(INDEX(QUERY(IMPORTRANGE(""1T7HG8KEs-Ob7f3M5atEVN9Yn7IeORGp0QGvggB62ELw"",""Maestro!A:I""),""SELECT Col7 WHERE Col3 = '""&amp;BE403&amp;""'"", 0), 1, 1),""NO ENCONTRADO"")"),"")</f>
        <v/>
      </c>
      <c r="BJ403" s="16">
        <f t="shared" si="15"/>
        <v>0</v>
      </c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4"/>
      <c r="BX403" s="14"/>
      <c r="BY403" s="14"/>
      <c r="BZ403" s="14"/>
      <c r="CA403" s="14"/>
      <c r="CB403" s="14"/>
      <c r="CC403" s="14"/>
      <c r="CD403" s="14"/>
      <c r="CE403" s="14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</row>
    <row r="404">
      <c r="A404" s="295" t="s">
        <v>593</v>
      </c>
      <c r="B404" s="296" t="s">
        <v>25</v>
      </c>
      <c r="C404" s="296" t="s">
        <v>48</v>
      </c>
      <c r="D404" s="297" t="str">
        <f t="shared" si="1"/>
        <v>ZEST-5-7</v>
      </c>
      <c r="E404" s="72"/>
      <c r="F404" s="77"/>
      <c r="G404" s="74"/>
      <c r="H404" s="138"/>
      <c r="I404" s="76"/>
      <c r="J404" s="138"/>
      <c r="K404" s="27" t="str">
        <f t="shared" si="2"/>
        <v>DISPONIBLE</v>
      </c>
      <c r="L404" s="28">
        <f t="shared" si="14"/>
        <v>403</v>
      </c>
      <c r="M404" s="28" t="s">
        <v>748</v>
      </c>
      <c r="N404" s="109"/>
      <c r="O404" s="168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4"/>
      <c r="BF404" s="12"/>
      <c r="BG404" s="12"/>
      <c r="BH404" s="12" t="str">
        <f>IFERROR(__xludf.DUMMYFUNCTION("IFERROR(INDEX(QUERY(IMPORTRANGE(""1T7HG8KEs-Ob7f3M5atEVN9Yn7IeORGp0QGvggB62ELw"",""Maestro!A:I""),""SELECT Col8 WHERE Col3 = '""&amp;BE404&amp;""'"", 0), 1, 1),""NO ENCONTRADO"")"),"")</f>
        <v/>
      </c>
      <c r="BI404" s="12" t="str">
        <f>IFERROR(__xludf.DUMMYFUNCTION("IFERROR(INDEX(QUERY(IMPORTRANGE(""1T7HG8KEs-Ob7f3M5atEVN9Yn7IeORGp0QGvggB62ELw"",""Maestro!A:I""),""SELECT Col7 WHERE Col3 = '""&amp;BE404&amp;""'"", 0), 1, 1),""NO ENCONTRADO"")"),"")</f>
        <v/>
      </c>
      <c r="BJ404" s="16">
        <f t="shared" si="15"/>
        <v>0</v>
      </c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4"/>
      <c r="BX404" s="14"/>
      <c r="BY404" s="14"/>
      <c r="BZ404" s="14"/>
      <c r="CA404" s="14"/>
      <c r="CB404" s="14"/>
      <c r="CC404" s="14"/>
      <c r="CD404" s="14"/>
      <c r="CE404" s="14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</row>
    <row r="405">
      <c r="A405" s="295" t="s">
        <v>593</v>
      </c>
      <c r="B405" s="296" t="s">
        <v>36</v>
      </c>
      <c r="C405" s="296" t="s">
        <v>18</v>
      </c>
      <c r="D405" s="297" t="str">
        <f t="shared" si="1"/>
        <v>ZEST-6-1</v>
      </c>
      <c r="E405" s="72"/>
      <c r="F405" s="77"/>
      <c r="G405" s="74"/>
      <c r="H405" s="138"/>
      <c r="I405" s="76"/>
      <c r="J405" s="138"/>
      <c r="K405" s="32" t="str">
        <f t="shared" si="2"/>
        <v>DISPONIBLE</v>
      </c>
      <c r="L405" s="33">
        <f t="shared" si="14"/>
        <v>404</v>
      </c>
      <c r="M405" s="33" t="s">
        <v>748</v>
      </c>
      <c r="N405" s="122"/>
      <c r="O405" s="169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4"/>
      <c r="BF405" s="12"/>
      <c r="BG405" s="12"/>
      <c r="BH405" s="12" t="str">
        <f>IFERROR(__xludf.DUMMYFUNCTION("IFERROR(INDEX(QUERY(IMPORTRANGE(""1T7HG8KEs-Ob7f3M5atEVN9Yn7IeORGp0QGvggB62ELw"",""Maestro!A:I""),""SELECT Col8 WHERE Col3 = '""&amp;BE405&amp;""'"", 0), 1, 1),""NO ENCONTRADO"")"),"")</f>
        <v/>
      </c>
      <c r="BI405" s="12" t="str">
        <f>IFERROR(__xludf.DUMMYFUNCTION("IFERROR(INDEX(QUERY(IMPORTRANGE(""1T7HG8KEs-Ob7f3M5atEVN9Yn7IeORGp0QGvggB62ELw"",""Maestro!A:I""),""SELECT Col7 WHERE Col3 = '""&amp;BE405&amp;""'"", 0), 1, 1),""NO ENCONTRADO"")"),"")</f>
        <v/>
      </c>
      <c r="BJ405" s="16">
        <f t="shared" si="15"/>
        <v>0</v>
      </c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4"/>
      <c r="BX405" s="14"/>
      <c r="BY405" s="14"/>
      <c r="BZ405" s="14"/>
      <c r="CA405" s="14"/>
      <c r="CB405" s="14"/>
      <c r="CC405" s="14"/>
      <c r="CD405" s="14"/>
      <c r="CE405" s="14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</row>
    <row r="406">
      <c r="A406" s="295" t="s">
        <v>593</v>
      </c>
      <c r="B406" s="296" t="s">
        <v>36</v>
      </c>
      <c r="C406" s="296" t="s">
        <v>32</v>
      </c>
      <c r="D406" s="297" t="str">
        <f t="shared" si="1"/>
        <v>ZEST-6-2</v>
      </c>
      <c r="E406" s="72"/>
      <c r="F406" s="77"/>
      <c r="G406" s="74"/>
      <c r="H406" s="138"/>
      <c r="I406" s="76"/>
      <c r="J406" s="138"/>
      <c r="K406" s="27" t="str">
        <f t="shared" si="2"/>
        <v>DISPONIBLE</v>
      </c>
      <c r="L406" s="28">
        <f t="shared" si="14"/>
        <v>405</v>
      </c>
      <c r="M406" s="28" t="s">
        <v>748</v>
      </c>
      <c r="N406" s="109"/>
      <c r="O406" s="168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4"/>
      <c r="BF406" s="12"/>
      <c r="BG406" s="12"/>
      <c r="BH406" s="12" t="str">
        <f>IFERROR(__xludf.DUMMYFUNCTION("IFERROR(INDEX(QUERY(IMPORTRANGE(""1T7HG8KEs-Ob7f3M5atEVN9Yn7IeORGp0QGvggB62ELw"",""Maestro!A:I""),""SELECT Col8 WHERE Col3 = '""&amp;BE406&amp;""'"", 0), 1, 1),""NO ENCONTRADO"")"),"")</f>
        <v/>
      </c>
      <c r="BI406" s="12" t="str">
        <f>IFERROR(__xludf.DUMMYFUNCTION("IFERROR(INDEX(QUERY(IMPORTRANGE(""1T7HG8KEs-Ob7f3M5atEVN9Yn7IeORGp0QGvggB62ELw"",""Maestro!A:I""),""SELECT Col7 WHERE Col3 = '""&amp;BE406&amp;""'"", 0), 1, 1),""NO ENCONTRADO"")"),"")</f>
        <v/>
      </c>
      <c r="BJ406" s="16">
        <f t="shared" si="15"/>
        <v>0</v>
      </c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4"/>
      <c r="BX406" s="14"/>
      <c r="BY406" s="14"/>
      <c r="BZ406" s="14"/>
      <c r="CA406" s="14"/>
      <c r="CB406" s="14"/>
      <c r="CC406" s="14"/>
      <c r="CD406" s="14"/>
      <c r="CE406" s="14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</row>
    <row r="407">
      <c r="A407" s="295" t="s">
        <v>593</v>
      </c>
      <c r="B407" s="296" t="s">
        <v>36</v>
      </c>
      <c r="C407" s="296" t="s">
        <v>44</v>
      </c>
      <c r="D407" s="297" t="str">
        <f t="shared" si="1"/>
        <v>ZEST-6-3</v>
      </c>
      <c r="E407" s="72"/>
      <c r="F407" s="77"/>
      <c r="G407" s="74"/>
      <c r="H407" s="138"/>
      <c r="I407" s="76"/>
      <c r="J407" s="138"/>
      <c r="K407" s="32" t="str">
        <f t="shared" si="2"/>
        <v>DISPONIBLE</v>
      </c>
      <c r="L407" s="33">
        <f t="shared" si="14"/>
        <v>406</v>
      </c>
      <c r="M407" s="33" t="s">
        <v>748</v>
      </c>
      <c r="N407" s="122"/>
      <c r="O407" s="169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4"/>
      <c r="BF407" s="12"/>
      <c r="BG407" s="12"/>
      <c r="BH407" s="12" t="str">
        <f>IFERROR(__xludf.DUMMYFUNCTION("IFERROR(INDEX(QUERY(IMPORTRANGE(""1T7HG8KEs-Ob7f3M5atEVN9Yn7IeORGp0QGvggB62ELw"",""Maestro!A:I""),""SELECT Col8 WHERE Col3 = '""&amp;BE407&amp;""'"", 0), 1, 1),""NO ENCONTRADO"")"),"")</f>
        <v/>
      </c>
      <c r="BI407" s="12" t="str">
        <f>IFERROR(__xludf.DUMMYFUNCTION("IFERROR(INDEX(QUERY(IMPORTRANGE(""1T7HG8KEs-Ob7f3M5atEVN9Yn7IeORGp0QGvggB62ELw"",""Maestro!A:I""),""SELECT Col7 WHERE Col3 = '""&amp;BE407&amp;""'"", 0), 1, 1),""NO ENCONTRADO"")"),"")</f>
        <v/>
      </c>
      <c r="BJ407" s="16">
        <f t="shared" si="15"/>
        <v>0</v>
      </c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4"/>
      <c r="BX407" s="14"/>
      <c r="BY407" s="14"/>
      <c r="BZ407" s="14"/>
      <c r="CA407" s="14"/>
      <c r="CB407" s="14"/>
      <c r="CC407" s="14"/>
      <c r="CD407" s="14"/>
      <c r="CE407" s="14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</row>
    <row r="408">
      <c r="A408" s="295" t="s">
        <v>593</v>
      </c>
      <c r="B408" s="296" t="s">
        <v>36</v>
      </c>
      <c r="C408" s="296" t="s">
        <v>53</v>
      </c>
      <c r="D408" s="297" t="str">
        <f t="shared" si="1"/>
        <v>ZEST-6-4</v>
      </c>
      <c r="E408" s="72"/>
      <c r="F408" s="77"/>
      <c r="G408" s="74"/>
      <c r="H408" s="138"/>
      <c r="I408" s="76"/>
      <c r="J408" s="138"/>
      <c r="K408" s="27" t="str">
        <f t="shared" si="2"/>
        <v>DISPONIBLE</v>
      </c>
      <c r="L408" s="28">
        <f t="shared" si="14"/>
        <v>407</v>
      </c>
      <c r="M408" s="28" t="s">
        <v>748</v>
      </c>
      <c r="N408" s="109"/>
      <c r="O408" s="168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4"/>
      <c r="BF408" s="12"/>
      <c r="BG408" s="12"/>
      <c r="BH408" s="12" t="str">
        <f>IFERROR(__xludf.DUMMYFUNCTION("IFERROR(INDEX(QUERY(IMPORTRANGE(""1T7HG8KEs-Ob7f3M5atEVN9Yn7IeORGp0QGvggB62ELw"",""Maestro!A:I""),""SELECT Col8 WHERE Col3 = '""&amp;BE408&amp;""'"", 0), 1, 1),""NO ENCONTRADO"")"),"")</f>
        <v/>
      </c>
      <c r="BI408" s="12" t="str">
        <f>IFERROR(__xludf.DUMMYFUNCTION("IFERROR(INDEX(QUERY(IMPORTRANGE(""1T7HG8KEs-Ob7f3M5atEVN9Yn7IeORGp0QGvggB62ELw"",""Maestro!A:I""),""SELECT Col7 WHERE Col3 = '""&amp;BE408&amp;""'"", 0), 1, 1),""NO ENCONTRADO"")"),"")</f>
        <v/>
      </c>
      <c r="BJ408" s="16">
        <f t="shared" si="15"/>
        <v>0</v>
      </c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4"/>
      <c r="BX408" s="14"/>
      <c r="BY408" s="14"/>
      <c r="BZ408" s="14"/>
      <c r="CA408" s="14"/>
      <c r="CB408" s="14"/>
      <c r="CC408" s="14"/>
      <c r="CD408" s="14"/>
      <c r="CE408" s="14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</row>
    <row r="409">
      <c r="A409" s="295" t="s">
        <v>593</v>
      </c>
      <c r="B409" s="296" t="s">
        <v>36</v>
      </c>
      <c r="C409" s="296" t="s">
        <v>25</v>
      </c>
      <c r="D409" s="297" t="str">
        <f t="shared" si="1"/>
        <v>ZEST-6-5</v>
      </c>
      <c r="E409" s="72"/>
      <c r="F409" s="77"/>
      <c r="G409" s="74"/>
      <c r="H409" s="138"/>
      <c r="I409" s="76"/>
      <c r="J409" s="138"/>
      <c r="K409" s="32" t="str">
        <f t="shared" si="2"/>
        <v>DISPONIBLE</v>
      </c>
      <c r="L409" s="33">
        <f t="shared" si="14"/>
        <v>408</v>
      </c>
      <c r="M409" s="33" t="s">
        <v>748</v>
      </c>
      <c r="N409" s="122"/>
      <c r="O409" s="169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4"/>
      <c r="BF409" s="12"/>
      <c r="BG409" s="12"/>
      <c r="BH409" s="12" t="str">
        <f>IFERROR(__xludf.DUMMYFUNCTION("IFERROR(INDEX(QUERY(IMPORTRANGE(""1T7HG8KEs-Ob7f3M5atEVN9Yn7IeORGp0QGvggB62ELw"",""Maestro!A:I""),""SELECT Col8 WHERE Col3 = '""&amp;BE409&amp;""'"", 0), 1, 1),""NO ENCONTRADO"")"),"")</f>
        <v/>
      </c>
      <c r="BI409" s="12" t="str">
        <f>IFERROR(__xludf.DUMMYFUNCTION("IFERROR(INDEX(QUERY(IMPORTRANGE(""1T7HG8KEs-Ob7f3M5atEVN9Yn7IeORGp0QGvggB62ELw"",""Maestro!A:I""),""SELECT Col7 WHERE Col3 = '""&amp;BE409&amp;""'"", 0), 1, 1),""NO ENCONTRADO"")"),"")</f>
        <v/>
      </c>
      <c r="BJ409" s="16">
        <f t="shared" si="15"/>
        <v>0</v>
      </c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4"/>
      <c r="BX409" s="14"/>
      <c r="BY409" s="14"/>
      <c r="BZ409" s="14"/>
      <c r="CA409" s="14"/>
      <c r="CB409" s="14"/>
      <c r="CC409" s="14"/>
      <c r="CD409" s="14"/>
      <c r="CE409" s="14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</row>
    <row r="410">
      <c r="A410" s="295" t="s">
        <v>593</v>
      </c>
      <c r="B410" s="296" t="s">
        <v>48</v>
      </c>
      <c r="C410" s="296" t="s">
        <v>36</v>
      </c>
      <c r="D410" s="297" t="str">
        <f t="shared" si="1"/>
        <v>ZEST-7-6</v>
      </c>
      <c r="E410" s="72"/>
      <c r="F410" s="77"/>
      <c r="G410" s="74"/>
      <c r="H410" s="138"/>
      <c r="I410" s="76"/>
      <c r="J410" s="138"/>
      <c r="K410" s="27" t="str">
        <f t="shared" si="2"/>
        <v>DISPONIBLE</v>
      </c>
      <c r="L410" s="28">
        <f t="shared" si="14"/>
        <v>409</v>
      </c>
      <c r="M410" s="28" t="s">
        <v>748</v>
      </c>
      <c r="N410" s="109"/>
      <c r="O410" s="168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4"/>
      <c r="BF410" s="12"/>
      <c r="BG410" s="12"/>
      <c r="BH410" s="12" t="str">
        <f>IFERROR(__xludf.DUMMYFUNCTION("IFERROR(INDEX(QUERY(IMPORTRANGE(""1T7HG8KEs-Ob7f3M5atEVN9Yn7IeORGp0QGvggB62ELw"",""Maestro!A:I""),""SELECT Col8 WHERE Col3 = '""&amp;BE410&amp;""'"", 0), 1, 1),""NO ENCONTRADO"")"),"")</f>
        <v/>
      </c>
      <c r="BI410" s="12" t="str">
        <f>IFERROR(__xludf.DUMMYFUNCTION("IFERROR(INDEX(QUERY(IMPORTRANGE(""1T7HG8KEs-Ob7f3M5atEVN9Yn7IeORGp0QGvggB62ELw"",""Maestro!A:I""),""SELECT Col7 WHERE Col3 = '""&amp;BE410&amp;""'"", 0), 1, 1),""NO ENCONTRADO"")"),"")</f>
        <v/>
      </c>
      <c r="BJ410" s="16">
        <f t="shared" si="15"/>
        <v>0</v>
      </c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4"/>
      <c r="BX410" s="14"/>
      <c r="BY410" s="14"/>
      <c r="BZ410" s="14"/>
      <c r="CA410" s="14"/>
      <c r="CB410" s="14"/>
      <c r="CC410" s="14"/>
      <c r="CD410" s="14"/>
      <c r="CE410" s="14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</row>
    <row r="411">
      <c r="A411" s="295" t="s">
        <v>593</v>
      </c>
      <c r="B411" s="296" t="s">
        <v>48</v>
      </c>
      <c r="C411" s="296" t="s">
        <v>48</v>
      </c>
      <c r="D411" s="297" t="str">
        <f t="shared" si="1"/>
        <v>ZEST-7-7</v>
      </c>
      <c r="E411" s="72"/>
      <c r="F411" s="77"/>
      <c r="G411" s="74"/>
      <c r="H411" s="138"/>
      <c r="I411" s="76"/>
      <c r="J411" s="138"/>
      <c r="K411" s="32" t="str">
        <f t="shared" si="2"/>
        <v>DISPONIBLE</v>
      </c>
      <c r="L411" s="33">
        <f t="shared" si="14"/>
        <v>410</v>
      </c>
      <c r="M411" s="33" t="s">
        <v>748</v>
      </c>
      <c r="N411" s="122"/>
      <c r="O411" s="169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4"/>
      <c r="BF411" s="12"/>
      <c r="BG411" s="12"/>
      <c r="BH411" s="12" t="str">
        <f>IFERROR(__xludf.DUMMYFUNCTION("IFERROR(INDEX(QUERY(IMPORTRANGE(""1T7HG8KEs-Ob7f3M5atEVN9Yn7IeORGp0QGvggB62ELw"",""Maestro!A:I""),""SELECT Col8 WHERE Col3 = '""&amp;BE411&amp;""'"", 0), 1, 1),""NO ENCONTRADO"")"),"")</f>
        <v/>
      </c>
      <c r="BI411" s="12" t="str">
        <f>IFERROR(__xludf.DUMMYFUNCTION("IFERROR(INDEX(QUERY(IMPORTRANGE(""1T7HG8KEs-Ob7f3M5atEVN9Yn7IeORGp0QGvggB62ELw"",""Maestro!A:I""),""SELECT Col7 WHERE Col3 = '""&amp;BE411&amp;""'"", 0), 1, 1),""NO ENCONTRADO"")"),"")</f>
        <v/>
      </c>
      <c r="BJ411" s="16">
        <f t="shared" si="15"/>
        <v>0</v>
      </c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4"/>
      <c r="BX411" s="14"/>
      <c r="BY411" s="14"/>
      <c r="BZ411" s="14"/>
      <c r="CA411" s="14"/>
      <c r="CB411" s="14"/>
      <c r="CC411" s="14"/>
      <c r="CD411" s="14"/>
      <c r="CE411" s="14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</row>
    <row r="412">
      <c r="A412" s="295" t="s">
        <v>593</v>
      </c>
      <c r="B412" s="296" t="s">
        <v>48</v>
      </c>
      <c r="C412" s="296" t="s">
        <v>18</v>
      </c>
      <c r="D412" s="297" t="str">
        <f t="shared" si="1"/>
        <v>ZEST-7-1</v>
      </c>
      <c r="E412" s="72"/>
      <c r="F412" s="77"/>
      <c r="G412" s="74"/>
      <c r="H412" s="138"/>
      <c r="I412" s="76"/>
      <c r="J412" s="138"/>
      <c r="K412" s="27" t="str">
        <f t="shared" si="2"/>
        <v>DISPONIBLE</v>
      </c>
      <c r="L412" s="28">
        <f t="shared" si="14"/>
        <v>411</v>
      </c>
      <c r="M412" s="28" t="s">
        <v>748</v>
      </c>
      <c r="N412" s="109"/>
      <c r="O412" s="168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4"/>
      <c r="BF412" s="12"/>
      <c r="BG412" s="12"/>
      <c r="BH412" s="12" t="str">
        <f>IFERROR(__xludf.DUMMYFUNCTION("IFERROR(INDEX(QUERY(IMPORTRANGE(""1T7HG8KEs-Ob7f3M5atEVN9Yn7IeORGp0QGvggB62ELw"",""Maestro!A:I""),""SELECT Col8 WHERE Col3 = '""&amp;BE412&amp;""'"", 0), 1, 1),""NO ENCONTRADO"")"),"")</f>
        <v/>
      </c>
      <c r="BI412" s="12" t="str">
        <f>IFERROR(__xludf.DUMMYFUNCTION("IFERROR(INDEX(QUERY(IMPORTRANGE(""1T7HG8KEs-Ob7f3M5atEVN9Yn7IeORGp0QGvggB62ELw"",""Maestro!A:I""),""SELECT Col7 WHERE Col3 = '""&amp;BE412&amp;""'"", 0), 1, 1),""NO ENCONTRADO"")"),"")</f>
        <v/>
      </c>
      <c r="BJ412" s="16">
        <f t="shared" si="15"/>
        <v>0</v>
      </c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4"/>
      <c r="BX412" s="14"/>
      <c r="BY412" s="14"/>
      <c r="BZ412" s="14"/>
      <c r="CA412" s="14"/>
      <c r="CB412" s="14"/>
      <c r="CC412" s="14"/>
      <c r="CD412" s="14"/>
      <c r="CE412" s="14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</row>
    <row r="413">
      <c r="A413" s="295" t="s">
        <v>593</v>
      </c>
      <c r="B413" s="296" t="s">
        <v>48</v>
      </c>
      <c r="C413" s="296" t="s">
        <v>32</v>
      </c>
      <c r="D413" s="297" t="str">
        <f t="shared" si="1"/>
        <v>ZEST-7-2</v>
      </c>
      <c r="E413" s="72"/>
      <c r="F413" s="77"/>
      <c r="G413" s="74"/>
      <c r="H413" s="138"/>
      <c r="I413" s="76"/>
      <c r="J413" s="138"/>
      <c r="K413" s="32" t="str">
        <f t="shared" si="2"/>
        <v>DISPONIBLE</v>
      </c>
      <c r="L413" s="33">
        <f t="shared" si="14"/>
        <v>412</v>
      </c>
      <c r="M413" s="33" t="s">
        <v>748</v>
      </c>
      <c r="N413" s="122"/>
      <c r="O413" s="169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4"/>
      <c r="BF413" s="12"/>
      <c r="BG413" s="12"/>
      <c r="BH413" s="12" t="str">
        <f>IFERROR(__xludf.DUMMYFUNCTION("IFERROR(INDEX(QUERY(IMPORTRANGE(""1T7HG8KEs-Ob7f3M5atEVN9Yn7IeORGp0QGvggB62ELw"",""Maestro!A:I""),""SELECT Col8 WHERE Col3 = '""&amp;BE413&amp;""'"", 0), 1, 1),""NO ENCONTRADO"")"),"")</f>
        <v/>
      </c>
      <c r="BI413" s="12" t="str">
        <f>IFERROR(__xludf.DUMMYFUNCTION("IFERROR(INDEX(QUERY(IMPORTRANGE(""1T7HG8KEs-Ob7f3M5atEVN9Yn7IeORGp0QGvggB62ELw"",""Maestro!A:I""),""SELECT Col7 WHERE Col3 = '""&amp;BE413&amp;""'"", 0), 1, 1),""NO ENCONTRADO"")"),"")</f>
        <v/>
      </c>
      <c r="BJ413" s="16">
        <f t="shared" si="15"/>
        <v>0</v>
      </c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4"/>
      <c r="BX413" s="14"/>
      <c r="BY413" s="14"/>
      <c r="BZ413" s="14"/>
      <c r="CA413" s="14"/>
      <c r="CB413" s="14"/>
      <c r="CC413" s="14"/>
      <c r="CD413" s="14"/>
      <c r="CE413" s="14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</row>
    <row r="414">
      <c r="A414" s="295" t="s">
        <v>593</v>
      </c>
      <c r="B414" s="296" t="s">
        <v>48</v>
      </c>
      <c r="C414" s="296" t="s">
        <v>44</v>
      </c>
      <c r="D414" s="297" t="str">
        <f t="shared" si="1"/>
        <v>ZEST-7-3</v>
      </c>
      <c r="E414" s="72"/>
      <c r="F414" s="77"/>
      <c r="G414" s="74"/>
      <c r="H414" s="138"/>
      <c r="I414" s="76"/>
      <c r="J414" s="138"/>
      <c r="K414" s="27" t="str">
        <f t="shared" si="2"/>
        <v>DISPONIBLE</v>
      </c>
      <c r="L414" s="28">
        <f t="shared" si="14"/>
        <v>413</v>
      </c>
      <c r="M414" s="28" t="s">
        <v>748</v>
      </c>
      <c r="N414" s="109"/>
      <c r="O414" s="168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4"/>
      <c r="BF414" s="12"/>
      <c r="BG414" s="12"/>
      <c r="BH414" s="12" t="str">
        <f>IFERROR(__xludf.DUMMYFUNCTION("IFERROR(INDEX(QUERY(IMPORTRANGE(""1T7HG8KEs-Ob7f3M5atEVN9Yn7IeORGp0QGvggB62ELw"",""Maestro!A:I""),""SELECT Col8 WHERE Col3 = '""&amp;BE414&amp;""'"", 0), 1, 1),""NO ENCONTRADO"")"),"")</f>
        <v/>
      </c>
      <c r="BI414" s="12" t="str">
        <f>IFERROR(__xludf.DUMMYFUNCTION("IFERROR(INDEX(QUERY(IMPORTRANGE(""1T7HG8KEs-Ob7f3M5atEVN9Yn7IeORGp0QGvggB62ELw"",""Maestro!A:I""),""SELECT Col7 WHERE Col3 = '""&amp;BE414&amp;""'"", 0), 1, 1),""NO ENCONTRADO"")"),"")</f>
        <v/>
      </c>
      <c r="BJ414" s="16">
        <f t="shared" si="15"/>
        <v>0</v>
      </c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4"/>
      <c r="BX414" s="14"/>
      <c r="BY414" s="14"/>
      <c r="BZ414" s="14"/>
      <c r="CA414" s="14"/>
      <c r="CB414" s="14"/>
      <c r="CC414" s="14"/>
      <c r="CD414" s="14"/>
      <c r="CE414" s="14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</row>
    <row r="415">
      <c r="A415" s="295" t="s">
        <v>593</v>
      </c>
      <c r="B415" s="296" t="s">
        <v>48</v>
      </c>
      <c r="C415" s="296" t="s">
        <v>53</v>
      </c>
      <c r="D415" s="297" t="str">
        <f t="shared" si="1"/>
        <v>ZEST-7-4</v>
      </c>
      <c r="E415" s="72"/>
      <c r="F415" s="77"/>
      <c r="G415" s="74"/>
      <c r="H415" s="138"/>
      <c r="I415" s="76"/>
      <c r="J415" s="138"/>
      <c r="K415" s="32" t="str">
        <f t="shared" si="2"/>
        <v>DISPONIBLE</v>
      </c>
      <c r="L415" s="33">
        <f t="shared" si="14"/>
        <v>414</v>
      </c>
      <c r="M415" s="33" t="s">
        <v>748</v>
      </c>
      <c r="N415" s="122"/>
      <c r="O415" s="169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4"/>
      <c r="BF415" s="12"/>
      <c r="BG415" s="12"/>
      <c r="BH415" s="12" t="str">
        <f>IFERROR(__xludf.DUMMYFUNCTION("IFERROR(INDEX(QUERY(IMPORTRANGE(""1T7HG8KEs-Ob7f3M5atEVN9Yn7IeORGp0QGvggB62ELw"",""Maestro!A:I""),""SELECT Col8 WHERE Col3 = '""&amp;BE415&amp;""'"", 0), 1, 1),""NO ENCONTRADO"")"),"")</f>
        <v/>
      </c>
      <c r="BI415" s="12" t="str">
        <f>IFERROR(__xludf.DUMMYFUNCTION("IFERROR(INDEX(QUERY(IMPORTRANGE(""1T7HG8KEs-Ob7f3M5atEVN9Yn7IeORGp0QGvggB62ELw"",""Maestro!A:I""),""SELECT Col7 WHERE Col3 = '""&amp;BE415&amp;""'"", 0), 1, 1),""NO ENCONTRADO"")"),"")</f>
        <v/>
      </c>
      <c r="BJ415" s="16">
        <f t="shared" si="15"/>
        <v>0</v>
      </c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4"/>
      <c r="BX415" s="14"/>
      <c r="BY415" s="14"/>
      <c r="BZ415" s="14"/>
      <c r="CA415" s="14"/>
      <c r="CB415" s="14"/>
      <c r="CC415" s="14"/>
      <c r="CD415" s="14"/>
      <c r="CE415" s="14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</row>
    <row r="416">
      <c r="A416" s="295" t="s">
        <v>593</v>
      </c>
      <c r="B416" s="296" t="s">
        <v>48</v>
      </c>
      <c r="C416" s="296" t="s">
        <v>25</v>
      </c>
      <c r="D416" s="297" t="str">
        <f t="shared" si="1"/>
        <v>ZEST-7-5</v>
      </c>
      <c r="E416" s="72"/>
      <c r="F416" s="77"/>
      <c r="G416" s="74"/>
      <c r="H416" s="138"/>
      <c r="I416" s="76"/>
      <c r="J416" s="138"/>
      <c r="K416" s="27" t="str">
        <f t="shared" si="2"/>
        <v>DISPONIBLE</v>
      </c>
      <c r="L416" s="28">
        <f t="shared" si="14"/>
        <v>415</v>
      </c>
      <c r="M416" s="28" t="s">
        <v>748</v>
      </c>
      <c r="N416" s="109"/>
      <c r="O416" s="168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4"/>
      <c r="BF416" s="12"/>
      <c r="BG416" s="12"/>
      <c r="BH416" s="12" t="str">
        <f>IFERROR(__xludf.DUMMYFUNCTION("IFERROR(INDEX(QUERY(IMPORTRANGE(""1T7HG8KEs-Ob7f3M5atEVN9Yn7IeORGp0QGvggB62ELw"",""Maestro!A:I""),""SELECT Col8 WHERE Col3 = '""&amp;BE416&amp;""'"", 0), 1, 1),""NO ENCONTRADO"")"),"")</f>
        <v/>
      </c>
      <c r="BI416" s="12" t="str">
        <f>IFERROR(__xludf.DUMMYFUNCTION("IFERROR(INDEX(QUERY(IMPORTRANGE(""1T7HG8KEs-Ob7f3M5atEVN9Yn7IeORGp0QGvggB62ELw"",""Maestro!A:I""),""SELECT Col7 WHERE Col3 = '""&amp;BE416&amp;""'"", 0), 1, 1),""NO ENCONTRADO"")"),"")</f>
        <v/>
      </c>
      <c r="BJ416" s="16">
        <f t="shared" si="15"/>
        <v>0</v>
      </c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4"/>
      <c r="BX416" s="14"/>
      <c r="BY416" s="14"/>
      <c r="BZ416" s="14"/>
      <c r="CA416" s="14"/>
      <c r="CB416" s="14"/>
      <c r="CC416" s="14"/>
      <c r="CD416" s="14"/>
      <c r="CE416" s="14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</row>
    <row r="417">
      <c r="A417" s="295" t="s">
        <v>593</v>
      </c>
      <c r="B417" s="296" t="s">
        <v>48</v>
      </c>
      <c r="C417" s="296" t="s">
        <v>36</v>
      </c>
      <c r="D417" s="297" t="str">
        <f t="shared" si="1"/>
        <v>ZEST-7-6</v>
      </c>
      <c r="E417" s="72"/>
      <c r="F417" s="77"/>
      <c r="G417" s="74"/>
      <c r="H417" s="138"/>
      <c r="I417" s="76"/>
      <c r="J417" s="138"/>
      <c r="K417" s="32" t="str">
        <f t="shared" si="2"/>
        <v>DISPONIBLE</v>
      </c>
      <c r="L417" s="33">
        <f t="shared" si="14"/>
        <v>416</v>
      </c>
      <c r="M417" s="33" t="s">
        <v>748</v>
      </c>
      <c r="N417" s="122"/>
      <c r="O417" s="169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4"/>
      <c r="BF417" s="12"/>
      <c r="BG417" s="12"/>
      <c r="BH417" s="12" t="str">
        <f>IFERROR(__xludf.DUMMYFUNCTION("IFERROR(INDEX(QUERY(IMPORTRANGE(""1T7HG8KEs-Ob7f3M5atEVN9Yn7IeORGp0QGvggB62ELw"",""Maestro!A:I""),""SELECT Col8 WHERE Col3 = '""&amp;BE417&amp;""'"", 0), 1, 1),""NO ENCONTRADO"")"),"")</f>
        <v/>
      </c>
      <c r="BI417" s="12" t="str">
        <f>IFERROR(__xludf.DUMMYFUNCTION("IFERROR(INDEX(QUERY(IMPORTRANGE(""1T7HG8KEs-Ob7f3M5atEVN9Yn7IeORGp0QGvggB62ELw"",""Maestro!A:I""),""SELECT Col7 WHERE Col3 = '""&amp;BE417&amp;""'"", 0), 1, 1),""NO ENCONTRADO"")"),"")</f>
        <v/>
      </c>
      <c r="BJ417" s="16">
        <f t="shared" si="15"/>
        <v>0</v>
      </c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4"/>
      <c r="BX417" s="14"/>
      <c r="BY417" s="14"/>
      <c r="BZ417" s="14"/>
      <c r="CA417" s="14"/>
      <c r="CB417" s="14"/>
      <c r="CC417" s="14"/>
      <c r="CD417" s="14"/>
      <c r="CE417" s="14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</row>
    <row r="418">
      <c r="A418" s="295" t="s">
        <v>593</v>
      </c>
      <c r="B418" s="296" t="s">
        <v>48</v>
      </c>
      <c r="C418" s="296" t="s">
        <v>48</v>
      </c>
      <c r="D418" s="297" t="str">
        <f t="shared" si="1"/>
        <v>ZEST-7-7</v>
      </c>
      <c r="E418" s="72"/>
      <c r="F418" s="77"/>
      <c r="G418" s="74"/>
      <c r="H418" s="138"/>
      <c r="I418" s="76"/>
      <c r="J418" s="138"/>
      <c r="K418" s="27" t="str">
        <f t="shared" si="2"/>
        <v>DISPONIBLE</v>
      </c>
      <c r="L418" s="28">
        <f t="shared" si="14"/>
        <v>417</v>
      </c>
      <c r="M418" s="28" t="s">
        <v>748</v>
      </c>
      <c r="N418" s="109"/>
      <c r="O418" s="168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4"/>
      <c r="BF418" s="12"/>
      <c r="BG418" s="12"/>
      <c r="BH418" s="12" t="str">
        <f>IFERROR(__xludf.DUMMYFUNCTION("IFERROR(INDEX(QUERY(IMPORTRANGE(""1T7HG8KEs-Ob7f3M5atEVN9Yn7IeORGp0QGvggB62ELw"",""Maestro!A:I""),""SELECT Col8 WHERE Col3 = '""&amp;BE418&amp;""'"", 0), 1, 1),""NO ENCONTRADO"")"),"")</f>
        <v/>
      </c>
      <c r="BI418" s="12" t="str">
        <f>IFERROR(__xludf.DUMMYFUNCTION("IFERROR(INDEX(QUERY(IMPORTRANGE(""1T7HG8KEs-Ob7f3M5atEVN9Yn7IeORGp0QGvggB62ELw"",""Maestro!A:I""),""SELECT Col7 WHERE Col3 = '""&amp;BE418&amp;""'"", 0), 1, 1),""NO ENCONTRADO"")"),"")</f>
        <v/>
      </c>
      <c r="BJ418" s="16">
        <f t="shared" si="15"/>
        <v>0</v>
      </c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4"/>
      <c r="BX418" s="14"/>
      <c r="BY418" s="14"/>
      <c r="BZ418" s="14"/>
      <c r="CA418" s="14"/>
      <c r="CB418" s="14"/>
      <c r="CC418" s="14"/>
      <c r="CD418" s="14"/>
      <c r="CE418" s="14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</row>
    <row r="419">
      <c r="A419" s="295" t="s">
        <v>593</v>
      </c>
      <c r="B419" s="296" t="s">
        <v>465</v>
      </c>
      <c r="C419" s="296" t="s">
        <v>18</v>
      </c>
      <c r="D419" s="297" t="str">
        <f t="shared" si="1"/>
        <v>ZEST-8-1</v>
      </c>
      <c r="E419" s="72"/>
      <c r="F419" s="77"/>
      <c r="G419" s="74"/>
      <c r="H419" s="138"/>
      <c r="I419" s="76"/>
      <c r="J419" s="138"/>
      <c r="K419" s="32" t="str">
        <f t="shared" si="2"/>
        <v>DISPONIBLE</v>
      </c>
      <c r="L419" s="33">
        <f t="shared" si="14"/>
        <v>418</v>
      </c>
      <c r="M419" s="33" t="s">
        <v>748</v>
      </c>
      <c r="N419" s="122"/>
      <c r="O419" s="169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4"/>
      <c r="BF419" s="12"/>
      <c r="BG419" s="12"/>
      <c r="BH419" s="12" t="str">
        <f>IFERROR(__xludf.DUMMYFUNCTION("IFERROR(INDEX(QUERY(IMPORTRANGE(""1T7HG8KEs-Ob7f3M5atEVN9Yn7IeORGp0QGvggB62ELw"",""Maestro!A:I""),""SELECT Col8 WHERE Col3 = '""&amp;BE419&amp;""'"", 0), 1, 1),""NO ENCONTRADO"")"),"")</f>
        <v/>
      </c>
      <c r="BI419" s="12" t="str">
        <f>IFERROR(__xludf.DUMMYFUNCTION("IFERROR(INDEX(QUERY(IMPORTRANGE(""1T7HG8KEs-Ob7f3M5atEVN9Yn7IeORGp0QGvggB62ELw"",""Maestro!A:I""),""SELECT Col7 WHERE Col3 = '""&amp;BE419&amp;""'"", 0), 1, 1),""NO ENCONTRADO"")"),"")</f>
        <v/>
      </c>
      <c r="BJ419" s="16">
        <f t="shared" si="15"/>
        <v>0</v>
      </c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4"/>
      <c r="BX419" s="14"/>
      <c r="BY419" s="14"/>
      <c r="BZ419" s="14"/>
      <c r="CA419" s="14"/>
      <c r="CB419" s="14"/>
      <c r="CC419" s="14"/>
      <c r="CD419" s="14"/>
      <c r="CE419" s="14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</row>
    <row r="420">
      <c r="A420" s="295" t="s">
        <v>593</v>
      </c>
      <c r="B420" s="296" t="s">
        <v>465</v>
      </c>
      <c r="C420" s="296" t="s">
        <v>32</v>
      </c>
      <c r="D420" s="297" t="str">
        <f t="shared" si="1"/>
        <v>ZEST-8-2</v>
      </c>
      <c r="E420" s="72"/>
      <c r="F420" s="77"/>
      <c r="G420" s="74"/>
      <c r="H420" s="138"/>
      <c r="I420" s="76"/>
      <c r="J420" s="138"/>
      <c r="K420" s="27" t="str">
        <f t="shared" si="2"/>
        <v>DISPONIBLE</v>
      </c>
      <c r="L420" s="28">
        <f t="shared" si="14"/>
        <v>419</v>
      </c>
      <c r="M420" s="28" t="s">
        <v>748</v>
      </c>
      <c r="N420" s="109"/>
      <c r="O420" s="168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4"/>
      <c r="BF420" s="12"/>
      <c r="BG420" s="12"/>
      <c r="BH420" s="12" t="str">
        <f>IFERROR(__xludf.DUMMYFUNCTION("IFERROR(INDEX(QUERY(IMPORTRANGE(""1T7HG8KEs-Ob7f3M5atEVN9Yn7IeORGp0QGvggB62ELw"",""Maestro!A:I""),""SELECT Col8 WHERE Col3 = '""&amp;BE420&amp;""'"", 0), 1, 1),""NO ENCONTRADO"")"),"")</f>
        <v/>
      </c>
      <c r="BI420" s="12" t="str">
        <f>IFERROR(__xludf.DUMMYFUNCTION("IFERROR(INDEX(QUERY(IMPORTRANGE(""1T7HG8KEs-Ob7f3M5atEVN9Yn7IeORGp0QGvggB62ELw"",""Maestro!A:I""),""SELECT Col7 WHERE Col3 = '""&amp;BE420&amp;""'"", 0), 1, 1),""NO ENCONTRADO"")"),"")</f>
        <v/>
      </c>
      <c r="BJ420" s="16">
        <f t="shared" si="15"/>
        <v>0</v>
      </c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4"/>
      <c r="BX420" s="14"/>
      <c r="BY420" s="14"/>
      <c r="BZ420" s="14"/>
      <c r="CA420" s="14"/>
      <c r="CB420" s="14"/>
      <c r="CC420" s="14"/>
      <c r="CD420" s="14"/>
      <c r="CE420" s="14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</row>
    <row r="421">
      <c r="A421" s="295" t="s">
        <v>593</v>
      </c>
      <c r="B421" s="296" t="s">
        <v>465</v>
      </c>
      <c r="C421" s="296" t="s">
        <v>44</v>
      </c>
      <c r="D421" s="297" t="str">
        <f t="shared" si="1"/>
        <v>ZEST-8-3</v>
      </c>
      <c r="E421" s="72"/>
      <c r="F421" s="77"/>
      <c r="G421" s="74"/>
      <c r="H421" s="138"/>
      <c r="I421" s="76"/>
      <c r="J421" s="138"/>
      <c r="K421" s="32" t="str">
        <f t="shared" si="2"/>
        <v>DISPONIBLE</v>
      </c>
      <c r="L421" s="33">
        <f t="shared" si="14"/>
        <v>420</v>
      </c>
      <c r="M421" s="33" t="s">
        <v>748</v>
      </c>
      <c r="N421" s="122"/>
      <c r="O421" s="169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4"/>
      <c r="BF421" s="12"/>
      <c r="BG421" s="12"/>
      <c r="BH421" s="12" t="str">
        <f>IFERROR(__xludf.DUMMYFUNCTION("IFERROR(INDEX(QUERY(IMPORTRANGE(""1T7HG8KEs-Ob7f3M5atEVN9Yn7IeORGp0QGvggB62ELw"",""Maestro!A:I""),""SELECT Col8 WHERE Col3 = '""&amp;BE421&amp;""'"", 0), 1, 1),""NO ENCONTRADO"")"),"")</f>
        <v/>
      </c>
      <c r="BI421" s="12" t="str">
        <f>IFERROR(__xludf.DUMMYFUNCTION("IFERROR(INDEX(QUERY(IMPORTRANGE(""1T7HG8KEs-Ob7f3M5atEVN9Yn7IeORGp0QGvggB62ELw"",""Maestro!A:I""),""SELECT Col7 WHERE Col3 = '""&amp;BE421&amp;""'"", 0), 1, 1),""NO ENCONTRADO"")"),"")</f>
        <v/>
      </c>
      <c r="BJ421" s="16">
        <f t="shared" si="15"/>
        <v>0</v>
      </c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4"/>
      <c r="BX421" s="14"/>
      <c r="BY421" s="14"/>
      <c r="BZ421" s="14"/>
      <c r="CA421" s="14"/>
      <c r="CB421" s="14"/>
      <c r="CC421" s="14"/>
      <c r="CD421" s="14"/>
      <c r="CE421" s="14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</row>
    <row r="422">
      <c r="A422" s="295" t="s">
        <v>593</v>
      </c>
      <c r="B422" s="296" t="s">
        <v>465</v>
      </c>
      <c r="C422" s="296" t="s">
        <v>53</v>
      </c>
      <c r="D422" s="297" t="str">
        <f t="shared" si="1"/>
        <v>ZEST-8-4</v>
      </c>
      <c r="E422" s="72"/>
      <c r="F422" s="77"/>
      <c r="G422" s="74"/>
      <c r="H422" s="138"/>
      <c r="I422" s="76"/>
      <c r="J422" s="138"/>
      <c r="K422" s="27" t="str">
        <f t="shared" si="2"/>
        <v>DISPONIBLE</v>
      </c>
      <c r="L422" s="28">
        <f t="shared" si="14"/>
        <v>421</v>
      </c>
      <c r="M422" s="28" t="s">
        <v>748</v>
      </c>
      <c r="N422" s="109"/>
      <c r="O422" s="168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4"/>
      <c r="BF422" s="12"/>
      <c r="BG422" s="12"/>
      <c r="BH422" s="12" t="str">
        <f>IFERROR(__xludf.DUMMYFUNCTION("IFERROR(INDEX(QUERY(IMPORTRANGE(""1T7HG8KEs-Ob7f3M5atEVN9Yn7IeORGp0QGvggB62ELw"",""Maestro!A:I""),""SELECT Col8 WHERE Col3 = '""&amp;BE422&amp;""'"", 0), 1, 1),""NO ENCONTRADO"")"),"")</f>
        <v/>
      </c>
      <c r="BI422" s="12" t="str">
        <f>IFERROR(__xludf.DUMMYFUNCTION("IFERROR(INDEX(QUERY(IMPORTRANGE(""1T7HG8KEs-Ob7f3M5atEVN9Yn7IeORGp0QGvggB62ELw"",""Maestro!A:I""),""SELECT Col7 WHERE Col3 = '""&amp;BE422&amp;""'"", 0), 1, 1),""NO ENCONTRADO"")"),"")</f>
        <v/>
      </c>
      <c r="BJ422" s="16">
        <f t="shared" si="15"/>
        <v>0</v>
      </c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4"/>
      <c r="BX422" s="14"/>
      <c r="BY422" s="14"/>
      <c r="BZ422" s="14"/>
      <c r="CA422" s="14"/>
      <c r="CB422" s="14"/>
      <c r="CC422" s="14"/>
      <c r="CD422" s="14"/>
      <c r="CE422" s="14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</row>
    <row r="423">
      <c r="A423" s="295" t="s">
        <v>593</v>
      </c>
      <c r="B423" s="296" t="s">
        <v>465</v>
      </c>
      <c r="C423" s="296" t="s">
        <v>25</v>
      </c>
      <c r="D423" s="297" t="str">
        <f t="shared" si="1"/>
        <v>ZEST-8-5</v>
      </c>
      <c r="E423" s="72"/>
      <c r="F423" s="77"/>
      <c r="G423" s="74"/>
      <c r="H423" s="138"/>
      <c r="I423" s="76"/>
      <c r="J423" s="138"/>
      <c r="K423" s="32" t="str">
        <f t="shared" si="2"/>
        <v>DISPONIBLE</v>
      </c>
      <c r="L423" s="33">
        <f t="shared" si="14"/>
        <v>422</v>
      </c>
      <c r="M423" s="33" t="s">
        <v>748</v>
      </c>
      <c r="N423" s="122"/>
      <c r="O423" s="169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4"/>
      <c r="BF423" s="12"/>
      <c r="BG423" s="12"/>
      <c r="BH423" s="12" t="str">
        <f>IFERROR(__xludf.DUMMYFUNCTION("IFERROR(INDEX(QUERY(IMPORTRANGE(""1T7HG8KEs-Ob7f3M5atEVN9Yn7IeORGp0QGvggB62ELw"",""Maestro!A:I""),""SELECT Col8 WHERE Col3 = '""&amp;BE423&amp;""'"", 0), 1, 1),""NO ENCONTRADO"")"),"")</f>
        <v/>
      </c>
      <c r="BI423" s="12" t="str">
        <f>IFERROR(__xludf.DUMMYFUNCTION("IFERROR(INDEX(QUERY(IMPORTRANGE(""1T7HG8KEs-Ob7f3M5atEVN9Yn7IeORGp0QGvggB62ELw"",""Maestro!A:I""),""SELECT Col7 WHERE Col3 = '""&amp;BE423&amp;""'"", 0), 1, 1),""NO ENCONTRADO"")"),"")</f>
        <v/>
      </c>
      <c r="BJ423" s="16">
        <f t="shared" si="15"/>
        <v>0</v>
      </c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4"/>
      <c r="BX423" s="14"/>
      <c r="BY423" s="14"/>
      <c r="BZ423" s="14"/>
      <c r="CA423" s="14"/>
      <c r="CB423" s="14"/>
      <c r="CC423" s="14"/>
      <c r="CD423" s="14"/>
      <c r="CE423" s="14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</row>
    <row r="424">
      <c r="A424" s="295" t="s">
        <v>593</v>
      </c>
      <c r="B424" s="296" t="s">
        <v>465</v>
      </c>
      <c r="C424" s="296" t="s">
        <v>36</v>
      </c>
      <c r="D424" s="297" t="str">
        <f t="shared" si="1"/>
        <v>ZEST-8-6</v>
      </c>
      <c r="E424" s="72"/>
      <c r="F424" s="77"/>
      <c r="G424" s="74"/>
      <c r="H424" s="138"/>
      <c r="I424" s="76"/>
      <c r="J424" s="138"/>
      <c r="K424" s="27" t="str">
        <f t="shared" si="2"/>
        <v>DISPONIBLE</v>
      </c>
      <c r="L424" s="28">
        <f t="shared" si="14"/>
        <v>423</v>
      </c>
      <c r="M424" s="28" t="s">
        <v>748</v>
      </c>
      <c r="N424" s="109"/>
      <c r="O424" s="168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4"/>
      <c r="BF424" s="12"/>
      <c r="BG424" s="12"/>
      <c r="BH424" s="12" t="str">
        <f>IFERROR(__xludf.DUMMYFUNCTION("IFERROR(INDEX(QUERY(IMPORTRANGE(""1T7HG8KEs-Ob7f3M5atEVN9Yn7IeORGp0QGvggB62ELw"",""Maestro!A:I""),""SELECT Col8 WHERE Col3 = '""&amp;BE424&amp;""'"", 0), 1, 1),""NO ENCONTRADO"")"),"")</f>
        <v/>
      </c>
      <c r="BI424" s="12" t="str">
        <f>IFERROR(__xludf.DUMMYFUNCTION("IFERROR(INDEX(QUERY(IMPORTRANGE(""1T7HG8KEs-Ob7f3M5atEVN9Yn7IeORGp0QGvggB62ELw"",""Maestro!A:I""),""SELECT Col7 WHERE Col3 = '""&amp;BE424&amp;""'"", 0), 1, 1),""NO ENCONTRADO"")"),"")</f>
        <v/>
      </c>
      <c r="BJ424" s="16">
        <f t="shared" si="15"/>
        <v>0</v>
      </c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4"/>
      <c r="BX424" s="14"/>
      <c r="BY424" s="14"/>
      <c r="BZ424" s="14"/>
      <c r="CA424" s="14"/>
      <c r="CB424" s="14"/>
      <c r="CC424" s="14"/>
      <c r="CD424" s="14"/>
      <c r="CE424" s="14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</row>
    <row r="425">
      <c r="A425" s="295" t="s">
        <v>593</v>
      </c>
      <c r="B425" s="296" t="s">
        <v>465</v>
      </c>
      <c r="C425" s="296" t="s">
        <v>48</v>
      </c>
      <c r="D425" s="297" t="str">
        <f t="shared" si="1"/>
        <v>ZEST-8-7</v>
      </c>
      <c r="E425" s="72"/>
      <c r="F425" s="77"/>
      <c r="G425" s="74"/>
      <c r="H425" s="138"/>
      <c r="I425" s="76"/>
      <c r="J425" s="138"/>
      <c r="K425" s="32" t="str">
        <f t="shared" si="2"/>
        <v>DISPONIBLE</v>
      </c>
      <c r="L425" s="33">
        <f t="shared" si="14"/>
        <v>424</v>
      </c>
      <c r="M425" s="33" t="s">
        <v>748</v>
      </c>
      <c r="N425" s="122"/>
      <c r="O425" s="169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4"/>
      <c r="BF425" s="12"/>
      <c r="BG425" s="12"/>
      <c r="BH425" s="12" t="str">
        <f>IFERROR(__xludf.DUMMYFUNCTION("IFERROR(INDEX(QUERY(IMPORTRANGE(""1T7HG8KEs-Ob7f3M5atEVN9Yn7IeORGp0QGvggB62ELw"",""Maestro!A:I""),""SELECT Col8 WHERE Col3 = '""&amp;BE425&amp;""'"", 0), 1, 1),""NO ENCONTRADO"")"),"")</f>
        <v/>
      </c>
      <c r="BI425" s="12" t="str">
        <f>IFERROR(__xludf.DUMMYFUNCTION("IFERROR(INDEX(QUERY(IMPORTRANGE(""1T7HG8KEs-Ob7f3M5atEVN9Yn7IeORGp0QGvggB62ELw"",""Maestro!A:I""),""SELECT Col7 WHERE Col3 = '""&amp;BE425&amp;""'"", 0), 1, 1),""NO ENCONTRADO"")"),"")</f>
        <v/>
      </c>
      <c r="BJ425" s="16">
        <f t="shared" si="15"/>
        <v>0</v>
      </c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4"/>
      <c r="BX425" s="14"/>
      <c r="BY425" s="14"/>
      <c r="BZ425" s="14"/>
      <c r="CA425" s="14"/>
      <c r="CB425" s="14"/>
      <c r="CC425" s="14"/>
      <c r="CD425" s="14"/>
      <c r="CE425" s="14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</row>
    <row r="426">
      <c r="A426" s="295" t="s">
        <v>593</v>
      </c>
      <c r="B426" s="296" t="s">
        <v>511</v>
      </c>
      <c r="C426" s="296" t="s">
        <v>18</v>
      </c>
      <c r="D426" s="297" t="str">
        <f t="shared" si="1"/>
        <v>ZEST-9-1</v>
      </c>
      <c r="E426" s="72"/>
      <c r="F426" s="77"/>
      <c r="G426" s="74"/>
      <c r="H426" s="138"/>
      <c r="I426" s="76"/>
      <c r="J426" s="138"/>
      <c r="K426" s="27" t="str">
        <f t="shared" si="2"/>
        <v>DISPONIBLE</v>
      </c>
      <c r="L426" s="28">
        <f t="shared" si="14"/>
        <v>425</v>
      </c>
      <c r="M426" s="28" t="s">
        <v>748</v>
      </c>
      <c r="N426" s="109"/>
      <c r="O426" s="168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4"/>
      <c r="BF426" s="12"/>
      <c r="BG426" s="12"/>
      <c r="BH426" s="12" t="str">
        <f>IFERROR(__xludf.DUMMYFUNCTION("IFERROR(INDEX(QUERY(IMPORTRANGE(""1T7HG8KEs-Ob7f3M5atEVN9Yn7IeORGp0QGvggB62ELw"",""Maestro!A:I""),""SELECT Col8 WHERE Col3 = '""&amp;BE426&amp;""'"", 0), 1, 1),""NO ENCONTRADO"")"),"")</f>
        <v/>
      </c>
      <c r="BI426" s="12" t="str">
        <f>IFERROR(__xludf.DUMMYFUNCTION("IFERROR(INDEX(QUERY(IMPORTRANGE(""1T7HG8KEs-Ob7f3M5atEVN9Yn7IeORGp0QGvggB62ELw"",""Maestro!A:I""),""SELECT Col7 WHERE Col3 = '""&amp;BE426&amp;""'"", 0), 1, 1),""NO ENCONTRADO"")"),"")</f>
        <v/>
      </c>
      <c r="BJ426" s="16">
        <f t="shared" si="15"/>
        <v>0</v>
      </c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4"/>
      <c r="BX426" s="14"/>
      <c r="BY426" s="14"/>
      <c r="BZ426" s="14"/>
      <c r="CA426" s="14"/>
      <c r="CB426" s="14"/>
      <c r="CC426" s="14"/>
      <c r="CD426" s="14"/>
      <c r="CE426" s="14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</row>
    <row r="427">
      <c r="A427" s="295" t="s">
        <v>593</v>
      </c>
      <c r="B427" s="296" t="s">
        <v>511</v>
      </c>
      <c r="C427" s="296" t="s">
        <v>32</v>
      </c>
      <c r="D427" s="297" t="str">
        <f t="shared" si="1"/>
        <v>ZEST-9-2</v>
      </c>
      <c r="E427" s="72"/>
      <c r="F427" s="77"/>
      <c r="G427" s="74"/>
      <c r="H427" s="138"/>
      <c r="I427" s="76"/>
      <c r="J427" s="138"/>
      <c r="K427" s="32" t="str">
        <f t="shared" si="2"/>
        <v>DISPONIBLE</v>
      </c>
      <c r="L427" s="33">
        <f t="shared" si="14"/>
        <v>426</v>
      </c>
      <c r="M427" s="33" t="s">
        <v>748</v>
      </c>
      <c r="N427" s="122"/>
      <c r="O427" s="169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4"/>
      <c r="BF427" s="12"/>
      <c r="BG427" s="12"/>
      <c r="BH427" s="12" t="str">
        <f>IFERROR(__xludf.DUMMYFUNCTION("IFERROR(INDEX(QUERY(IMPORTRANGE(""1T7HG8KEs-Ob7f3M5atEVN9Yn7IeORGp0QGvggB62ELw"",""Maestro!A:I""),""SELECT Col8 WHERE Col3 = '""&amp;BE427&amp;""'"", 0), 1, 1),""NO ENCONTRADO"")"),"")</f>
        <v/>
      </c>
      <c r="BI427" s="12" t="str">
        <f>IFERROR(__xludf.DUMMYFUNCTION("IFERROR(INDEX(QUERY(IMPORTRANGE(""1T7HG8KEs-Ob7f3M5atEVN9Yn7IeORGp0QGvggB62ELw"",""Maestro!A:I""),""SELECT Col7 WHERE Col3 = '""&amp;BE427&amp;""'"", 0), 1, 1),""NO ENCONTRADO"")"),"")</f>
        <v/>
      </c>
      <c r="BJ427" s="16">
        <f t="shared" si="15"/>
        <v>0</v>
      </c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4"/>
      <c r="BX427" s="14"/>
      <c r="BY427" s="14"/>
      <c r="BZ427" s="14"/>
      <c r="CA427" s="14"/>
      <c r="CB427" s="14"/>
      <c r="CC427" s="14"/>
      <c r="CD427" s="14"/>
      <c r="CE427" s="14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</row>
    <row r="428">
      <c r="A428" s="295" t="s">
        <v>593</v>
      </c>
      <c r="B428" s="296" t="s">
        <v>511</v>
      </c>
      <c r="C428" s="296" t="s">
        <v>44</v>
      </c>
      <c r="D428" s="297" t="str">
        <f t="shared" si="1"/>
        <v>ZEST-9-3</v>
      </c>
      <c r="E428" s="72"/>
      <c r="F428" s="77"/>
      <c r="G428" s="74"/>
      <c r="H428" s="138"/>
      <c r="I428" s="76"/>
      <c r="J428" s="138"/>
      <c r="K428" s="27" t="str">
        <f t="shared" si="2"/>
        <v>DISPONIBLE</v>
      </c>
      <c r="L428" s="28">
        <f t="shared" si="14"/>
        <v>427</v>
      </c>
      <c r="M428" s="28" t="s">
        <v>748</v>
      </c>
      <c r="N428" s="109"/>
      <c r="O428" s="168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4"/>
      <c r="BF428" s="12"/>
      <c r="BG428" s="12"/>
      <c r="BH428" s="12" t="str">
        <f>IFERROR(__xludf.DUMMYFUNCTION("IFERROR(INDEX(QUERY(IMPORTRANGE(""1T7HG8KEs-Ob7f3M5atEVN9Yn7IeORGp0QGvggB62ELw"",""Maestro!A:I""),""SELECT Col8 WHERE Col3 = '""&amp;BE428&amp;""'"", 0), 1, 1),""NO ENCONTRADO"")"),"")</f>
        <v/>
      </c>
      <c r="BI428" s="12" t="str">
        <f>IFERROR(__xludf.DUMMYFUNCTION("IFERROR(INDEX(QUERY(IMPORTRANGE(""1T7HG8KEs-Ob7f3M5atEVN9Yn7IeORGp0QGvggB62ELw"",""Maestro!A:I""),""SELECT Col7 WHERE Col3 = '""&amp;BE428&amp;""'"", 0), 1, 1),""NO ENCONTRADO"")"),"")</f>
        <v/>
      </c>
      <c r="BJ428" s="16">
        <f t="shared" si="15"/>
        <v>0</v>
      </c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4"/>
      <c r="BX428" s="14"/>
      <c r="BY428" s="14"/>
      <c r="BZ428" s="14"/>
      <c r="CA428" s="14"/>
      <c r="CB428" s="14"/>
      <c r="CC428" s="14"/>
      <c r="CD428" s="14"/>
      <c r="CE428" s="14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</row>
    <row r="429">
      <c r="A429" s="295" t="s">
        <v>593</v>
      </c>
      <c r="B429" s="296" t="s">
        <v>511</v>
      </c>
      <c r="C429" s="296" t="s">
        <v>53</v>
      </c>
      <c r="D429" s="297" t="str">
        <f t="shared" si="1"/>
        <v>ZEST-9-4</v>
      </c>
      <c r="E429" s="72"/>
      <c r="F429" s="77"/>
      <c r="G429" s="74"/>
      <c r="H429" s="138"/>
      <c r="I429" s="76"/>
      <c r="J429" s="138"/>
      <c r="K429" s="32" t="str">
        <f t="shared" si="2"/>
        <v>DISPONIBLE</v>
      </c>
      <c r="L429" s="33">
        <f t="shared" si="14"/>
        <v>428</v>
      </c>
      <c r="M429" s="33" t="s">
        <v>748</v>
      </c>
      <c r="N429" s="122"/>
      <c r="O429" s="169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4"/>
      <c r="BF429" s="12"/>
      <c r="BG429" s="12"/>
      <c r="BH429" s="12" t="str">
        <f>IFERROR(__xludf.DUMMYFUNCTION("IFERROR(INDEX(QUERY(IMPORTRANGE(""1T7HG8KEs-Ob7f3M5atEVN9Yn7IeORGp0QGvggB62ELw"",""Maestro!A:I""),""SELECT Col8 WHERE Col3 = '""&amp;BE429&amp;""'"", 0), 1, 1),""NO ENCONTRADO"")"),"")</f>
        <v/>
      </c>
      <c r="BI429" s="12" t="str">
        <f>IFERROR(__xludf.DUMMYFUNCTION("IFERROR(INDEX(QUERY(IMPORTRANGE(""1T7HG8KEs-Ob7f3M5atEVN9Yn7IeORGp0QGvggB62ELw"",""Maestro!A:I""),""SELECT Col7 WHERE Col3 = '""&amp;BE429&amp;""'"", 0), 1, 1),""NO ENCONTRADO"")"),"")</f>
        <v/>
      </c>
      <c r="BJ429" s="16">
        <f t="shared" si="15"/>
        <v>0</v>
      </c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4"/>
      <c r="BX429" s="14"/>
      <c r="BY429" s="14"/>
      <c r="BZ429" s="14"/>
      <c r="CA429" s="14"/>
      <c r="CB429" s="14"/>
      <c r="CC429" s="14"/>
      <c r="CD429" s="14"/>
      <c r="CE429" s="14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</row>
    <row r="430">
      <c r="A430" s="295" t="s">
        <v>593</v>
      </c>
      <c r="B430" s="296" t="s">
        <v>511</v>
      </c>
      <c r="C430" s="296" t="s">
        <v>25</v>
      </c>
      <c r="D430" s="297" t="str">
        <f t="shared" si="1"/>
        <v>ZEST-9-5</v>
      </c>
      <c r="E430" s="72"/>
      <c r="F430" s="77"/>
      <c r="G430" s="74"/>
      <c r="H430" s="138"/>
      <c r="I430" s="76"/>
      <c r="J430" s="138"/>
      <c r="K430" s="27" t="str">
        <f t="shared" si="2"/>
        <v>DISPONIBLE</v>
      </c>
      <c r="L430" s="28">
        <f t="shared" si="14"/>
        <v>429</v>
      </c>
      <c r="M430" s="28" t="s">
        <v>748</v>
      </c>
      <c r="N430" s="109"/>
      <c r="O430" s="168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4"/>
      <c r="BF430" s="12"/>
      <c r="BG430" s="12"/>
      <c r="BH430" s="12" t="str">
        <f>IFERROR(__xludf.DUMMYFUNCTION("IFERROR(INDEX(QUERY(IMPORTRANGE(""1T7HG8KEs-Ob7f3M5atEVN9Yn7IeORGp0QGvggB62ELw"",""Maestro!A:I""),""SELECT Col8 WHERE Col3 = '""&amp;BE430&amp;""'"", 0), 1, 1),""NO ENCONTRADO"")"),"")</f>
        <v/>
      </c>
      <c r="BI430" s="12" t="str">
        <f>IFERROR(__xludf.DUMMYFUNCTION("IFERROR(INDEX(QUERY(IMPORTRANGE(""1T7HG8KEs-Ob7f3M5atEVN9Yn7IeORGp0QGvggB62ELw"",""Maestro!A:I""),""SELECT Col7 WHERE Col3 = '""&amp;BE430&amp;""'"", 0), 1, 1),""NO ENCONTRADO"")"),"")</f>
        <v/>
      </c>
      <c r="BJ430" s="16">
        <f t="shared" si="15"/>
        <v>0</v>
      </c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4"/>
      <c r="BX430" s="14"/>
      <c r="BY430" s="14"/>
      <c r="BZ430" s="14"/>
      <c r="CA430" s="14"/>
      <c r="CB430" s="14"/>
      <c r="CC430" s="14"/>
      <c r="CD430" s="14"/>
      <c r="CE430" s="14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</row>
    <row r="431">
      <c r="A431" s="295" t="s">
        <v>593</v>
      </c>
      <c r="B431" s="296" t="s">
        <v>511</v>
      </c>
      <c r="C431" s="296" t="s">
        <v>36</v>
      </c>
      <c r="D431" s="297" t="str">
        <f t="shared" si="1"/>
        <v>ZEST-9-6</v>
      </c>
      <c r="E431" s="72"/>
      <c r="F431" s="77"/>
      <c r="G431" s="74"/>
      <c r="H431" s="138"/>
      <c r="I431" s="76"/>
      <c r="J431" s="138"/>
      <c r="K431" s="32" t="str">
        <f t="shared" si="2"/>
        <v>DISPONIBLE</v>
      </c>
      <c r="L431" s="33">
        <f t="shared" si="14"/>
        <v>430</v>
      </c>
      <c r="M431" s="33" t="s">
        <v>748</v>
      </c>
      <c r="N431" s="122"/>
      <c r="O431" s="169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4"/>
      <c r="BF431" s="12"/>
      <c r="BG431" s="12"/>
      <c r="BH431" s="12" t="str">
        <f>IFERROR(__xludf.DUMMYFUNCTION("IFERROR(INDEX(QUERY(IMPORTRANGE(""1T7HG8KEs-Ob7f3M5atEVN9Yn7IeORGp0QGvggB62ELw"",""Maestro!A:I""),""SELECT Col8 WHERE Col3 = '""&amp;BE431&amp;""'"", 0), 1, 1),""NO ENCONTRADO"")"),"")</f>
        <v/>
      </c>
      <c r="BI431" s="12" t="str">
        <f>IFERROR(__xludf.DUMMYFUNCTION("IFERROR(INDEX(QUERY(IMPORTRANGE(""1T7HG8KEs-Ob7f3M5atEVN9Yn7IeORGp0QGvggB62ELw"",""Maestro!A:I""),""SELECT Col7 WHERE Col3 = '""&amp;BE431&amp;""'"", 0), 1, 1),""NO ENCONTRADO"")"),"")</f>
        <v/>
      </c>
      <c r="BJ431" s="16">
        <f t="shared" si="15"/>
        <v>0</v>
      </c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4"/>
      <c r="BX431" s="14"/>
      <c r="BY431" s="14"/>
      <c r="BZ431" s="14"/>
      <c r="CA431" s="14"/>
      <c r="CB431" s="14"/>
      <c r="CC431" s="14"/>
      <c r="CD431" s="14"/>
      <c r="CE431" s="14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</row>
    <row r="432">
      <c r="A432" s="295" t="s">
        <v>593</v>
      </c>
      <c r="B432" s="296" t="s">
        <v>511</v>
      </c>
      <c r="C432" s="296" t="s">
        <v>48</v>
      </c>
      <c r="D432" s="297" t="str">
        <f t="shared" si="1"/>
        <v>ZEST-9-7</v>
      </c>
      <c r="E432" s="72"/>
      <c r="F432" s="77"/>
      <c r="G432" s="74"/>
      <c r="H432" s="138"/>
      <c r="I432" s="76"/>
      <c r="J432" s="138"/>
      <c r="K432" s="27" t="str">
        <f t="shared" si="2"/>
        <v>DISPONIBLE</v>
      </c>
      <c r="L432" s="28">
        <f t="shared" si="14"/>
        <v>431</v>
      </c>
      <c r="M432" s="28" t="s">
        <v>748</v>
      </c>
      <c r="N432" s="109"/>
      <c r="O432" s="168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4"/>
      <c r="BF432" s="12"/>
      <c r="BG432" s="12"/>
      <c r="BH432" s="12" t="str">
        <f>IFERROR(__xludf.DUMMYFUNCTION("IFERROR(INDEX(QUERY(IMPORTRANGE(""1T7HG8KEs-Ob7f3M5atEVN9Yn7IeORGp0QGvggB62ELw"",""Maestro!A:I""),""SELECT Col8 WHERE Col3 = '""&amp;BE432&amp;""'"", 0), 1, 1),""NO ENCONTRADO"")"),"")</f>
        <v/>
      </c>
      <c r="BI432" s="12" t="str">
        <f>IFERROR(__xludf.DUMMYFUNCTION("IFERROR(INDEX(QUERY(IMPORTRANGE(""1T7HG8KEs-Ob7f3M5atEVN9Yn7IeORGp0QGvggB62ELw"",""Maestro!A:I""),""SELECT Col7 WHERE Col3 = '""&amp;BE432&amp;""'"", 0), 1, 1),""NO ENCONTRADO"")"),"")</f>
        <v/>
      </c>
      <c r="BJ432" s="16">
        <f t="shared" si="15"/>
        <v>0</v>
      </c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4"/>
      <c r="BX432" s="14"/>
      <c r="BY432" s="14"/>
      <c r="BZ432" s="14"/>
      <c r="CA432" s="14"/>
      <c r="CB432" s="14"/>
      <c r="CC432" s="14"/>
      <c r="CD432" s="14"/>
      <c r="CE432" s="14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</row>
    <row r="433">
      <c r="A433" s="295" t="s">
        <v>593</v>
      </c>
      <c r="B433" s="296" t="s">
        <v>296</v>
      </c>
      <c r="C433" s="296" t="s">
        <v>18</v>
      </c>
      <c r="D433" s="297" t="str">
        <f t="shared" si="1"/>
        <v>ZEST-10-1</v>
      </c>
      <c r="E433" s="72"/>
      <c r="F433" s="77"/>
      <c r="G433" s="74"/>
      <c r="H433" s="138"/>
      <c r="I433" s="76"/>
      <c r="J433" s="138"/>
      <c r="K433" s="32" t="str">
        <f t="shared" si="2"/>
        <v>DISPONIBLE</v>
      </c>
      <c r="L433" s="33">
        <f t="shared" si="14"/>
        <v>432</v>
      </c>
      <c r="M433" s="33" t="s">
        <v>748</v>
      </c>
      <c r="N433" s="122"/>
      <c r="O433" s="169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4"/>
      <c r="BF433" s="12"/>
      <c r="BG433" s="12"/>
      <c r="BH433" s="12" t="str">
        <f>IFERROR(__xludf.DUMMYFUNCTION("IFERROR(INDEX(QUERY(IMPORTRANGE(""1T7HG8KEs-Ob7f3M5atEVN9Yn7IeORGp0QGvggB62ELw"",""Maestro!A:I""),""SELECT Col8 WHERE Col3 = '""&amp;BE433&amp;""'"", 0), 1, 1),""NO ENCONTRADO"")"),"")</f>
        <v/>
      </c>
      <c r="BI433" s="12" t="str">
        <f>IFERROR(__xludf.DUMMYFUNCTION("IFERROR(INDEX(QUERY(IMPORTRANGE(""1T7HG8KEs-Ob7f3M5atEVN9Yn7IeORGp0QGvggB62ELw"",""Maestro!A:I""),""SELECT Col7 WHERE Col3 = '""&amp;BE433&amp;""'"", 0), 1, 1),""NO ENCONTRADO"")"),"")</f>
        <v/>
      </c>
      <c r="BJ433" s="16">
        <f t="shared" si="15"/>
        <v>0</v>
      </c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4"/>
      <c r="BX433" s="14"/>
      <c r="BY433" s="14"/>
      <c r="BZ433" s="14"/>
      <c r="CA433" s="14"/>
      <c r="CB433" s="14"/>
      <c r="CC433" s="14"/>
      <c r="CD433" s="14"/>
      <c r="CE433" s="14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</row>
    <row r="434">
      <c r="A434" s="295" t="s">
        <v>593</v>
      </c>
      <c r="B434" s="296" t="s">
        <v>296</v>
      </c>
      <c r="C434" s="296" t="s">
        <v>32</v>
      </c>
      <c r="D434" s="297" t="str">
        <f t="shared" si="1"/>
        <v>ZEST-10-2</v>
      </c>
      <c r="E434" s="72"/>
      <c r="F434" s="77"/>
      <c r="G434" s="74"/>
      <c r="H434" s="138"/>
      <c r="I434" s="76"/>
      <c r="J434" s="138"/>
      <c r="K434" s="27" t="str">
        <f t="shared" si="2"/>
        <v>DISPONIBLE</v>
      </c>
      <c r="L434" s="28">
        <f t="shared" si="14"/>
        <v>433</v>
      </c>
      <c r="M434" s="28" t="s">
        <v>748</v>
      </c>
      <c r="N434" s="109"/>
      <c r="O434" s="168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4"/>
      <c r="BF434" s="12"/>
      <c r="BG434" s="12"/>
      <c r="BH434" s="12" t="str">
        <f>IFERROR(__xludf.DUMMYFUNCTION("IFERROR(INDEX(QUERY(IMPORTRANGE(""1T7HG8KEs-Ob7f3M5atEVN9Yn7IeORGp0QGvggB62ELw"",""Maestro!A:I""),""SELECT Col8 WHERE Col3 = '""&amp;BE434&amp;""'"", 0), 1, 1),""NO ENCONTRADO"")"),"")</f>
        <v/>
      </c>
      <c r="BI434" s="12" t="str">
        <f>IFERROR(__xludf.DUMMYFUNCTION("IFERROR(INDEX(QUERY(IMPORTRANGE(""1T7HG8KEs-Ob7f3M5atEVN9Yn7IeORGp0QGvggB62ELw"",""Maestro!A:I""),""SELECT Col7 WHERE Col3 = '""&amp;BE434&amp;""'"", 0), 1, 1),""NO ENCONTRADO"")"),"")</f>
        <v/>
      </c>
      <c r="BJ434" s="16">
        <f t="shared" si="15"/>
        <v>0</v>
      </c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4"/>
      <c r="BX434" s="14"/>
      <c r="BY434" s="14"/>
      <c r="BZ434" s="14"/>
      <c r="CA434" s="14"/>
      <c r="CB434" s="14"/>
      <c r="CC434" s="14"/>
      <c r="CD434" s="14"/>
      <c r="CE434" s="14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</row>
    <row r="435">
      <c r="A435" s="295" t="s">
        <v>593</v>
      </c>
      <c r="B435" s="296" t="s">
        <v>296</v>
      </c>
      <c r="C435" s="296" t="s">
        <v>44</v>
      </c>
      <c r="D435" s="297" t="str">
        <f t="shared" si="1"/>
        <v>ZEST-10-3</v>
      </c>
      <c r="E435" s="72"/>
      <c r="F435" s="77"/>
      <c r="G435" s="74"/>
      <c r="H435" s="138"/>
      <c r="I435" s="76"/>
      <c r="J435" s="138"/>
      <c r="K435" s="32" t="str">
        <f t="shared" si="2"/>
        <v>DISPONIBLE</v>
      </c>
      <c r="L435" s="33">
        <f t="shared" si="14"/>
        <v>434</v>
      </c>
      <c r="M435" s="33" t="s">
        <v>748</v>
      </c>
      <c r="N435" s="122"/>
      <c r="O435" s="169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4"/>
      <c r="BF435" s="12"/>
      <c r="BG435" s="12"/>
      <c r="BH435" s="12" t="str">
        <f>IFERROR(__xludf.DUMMYFUNCTION("IFERROR(INDEX(QUERY(IMPORTRANGE(""1T7HG8KEs-Ob7f3M5atEVN9Yn7IeORGp0QGvggB62ELw"",""Maestro!A:I""),""SELECT Col8 WHERE Col3 = '""&amp;BE435&amp;""'"", 0), 1, 1),""NO ENCONTRADO"")"),"")</f>
        <v/>
      </c>
      <c r="BI435" s="12" t="str">
        <f>IFERROR(__xludf.DUMMYFUNCTION("IFERROR(INDEX(QUERY(IMPORTRANGE(""1T7HG8KEs-Ob7f3M5atEVN9Yn7IeORGp0QGvggB62ELw"",""Maestro!A:I""),""SELECT Col7 WHERE Col3 = '""&amp;BE435&amp;""'"", 0), 1, 1),""NO ENCONTRADO"")"),"")</f>
        <v/>
      </c>
      <c r="BJ435" s="16">
        <f t="shared" si="15"/>
        <v>0</v>
      </c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4"/>
      <c r="BX435" s="14"/>
      <c r="BY435" s="14"/>
      <c r="BZ435" s="14"/>
      <c r="CA435" s="14"/>
      <c r="CB435" s="14"/>
      <c r="CC435" s="14"/>
      <c r="CD435" s="14"/>
      <c r="CE435" s="14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</row>
    <row r="436">
      <c r="A436" s="295" t="s">
        <v>593</v>
      </c>
      <c r="B436" s="296" t="s">
        <v>296</v>
      </c>
      <c r="C436" s="296" t="s">
        <v>53</v>
      </c>
      <c r="D436" s="297" t="str">
        <f t="shared" si="1"/>
        <v>ZEST-10-4</v>
      </c>
      <c r="E436" s="72"/>
      <c r="F436" s="77"/>
      <c r="G436" s="74"/>
      <c r="H436" s="138"/>
      <c r="I436" s="76"/>
      <c r="J436" s="138"/>
      <c r="K436" s="27" t="str">
        <f t="shared" si="2"/>
        <v>DISPONIBLE</v>
      </c>
      <c r="L436" s="28">
        <f t="shared" si="14"/>
        <v>435</v>
      </c>
      <c r="M436" s="28" t="s">
        <v>748</v>
      </c>
      <c r="N436" s="109"/>
      <c r="O436" s="168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4"/>
      <c r="BF436" s="12"/>
      <c r="BG436" s="12"/>
      <c r="BH436" s="12" t="str">
        <f>IFERROR(__xludf.DUMMYFUNCTION("IFERROR(INDEX(QUERY(IMPORTRANGE(""1T7HG8KEs-Ob7f3M5atEVN9Yn7IeORGp0QGvggB62ELw"",""Maestro!A:I""),""SELECT Col8 WHERE Col3 = '""&amp;BE436&amp;""'"", 0), 1, 1),""NO ENCONTRADO"")"),"")</f>
        <v/>
      </c>
      <c r="BI436" s="12" t="str">
        <f>IFERROR(__xludf.DUMMYFUNCTION("IFERROR(INDEX(QUERY(IMPORTRANGE(""1T7HG8KEs-Ob7f3M5atEVN9Yn7IeORGp0QGvggB62ELw"",""Maestro!A:I""),""SELECT Col7 WHERE Col3 = '""&amp;BE436&amp;""'"", 0), 1, 1),""NO ENCONTRADO"")"),"")</f>
        <v/>
      </c>
      <c r="BJ436" s="16">
        <f t="shared" si="15"/>
        <v>0</v>
      </c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4"/>
      <c r="BX436" s="14"/>
      <c r="BY436" s="14"/>
      <c r="BZ436" s="14"/>
      <c r="CA436" s="14"/>
      <c r="CB436" s="14"/>
      <c r="CC436" s="14"/>
      <c r="CD436" s="14"/>
      <c r="CE436" s="14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</row>
    <row r="437">
      <c r="A437" s="295" t="s">
        <v>593</v>
      </c>
      <c r="B437" s="296" t="s">
        <v>296</v>
      </c>
      <c r="C437" s="296" t="s">
        <v>25</v>
      </c>
      <c r="D437" s="297" t="str">
        <f t="shared" si="1"/>
        <v>ZEST-10-5</v>
      </c>
      <c r="E437" s="72"/>
      <c r="F437" s="77"/>
      <c r="G437" s="74"/>
      <c r="H437" s="138"/>
      <c r="I437" s="76"/>
      <c r="J437" s="138"/>
      <c r="K437" s="32" t="str">
        <f t="shared" si="2"/>
        <v>DISPONIBLE</v>
      </c>
      <c r="L437" s="33">
        <f t="shared" si="14"/>
        <v>436</v>
      </c>
      <c r="M437" s="33" t="s">
        <v>748</v>
      </c>
      <c r="N437" s="122"/>
      <c r="O437" s="169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4"/>
      <c r="BF437" s="12"/>
      <c r="BG437" s="12"/>
      <c r="BH437" s="12" t="str">
        <f>IFERROR(__xludf.DUMMYFUNCTION("IFERROR(INDEX(QUERY(IMPORTRANGE(""1T7HG8KEs-Ob7f3M5atEVN9Yn7IeORGp0QGvggB62ELw"",""Maestro!A:I""),""SELECT Col8 WHERE Col3 = '""&amp;BE437&amp;""'"", 0), 1, 1),""NO ENCONTRADO"")"),"")</f>
        <v/>
      </c>
      <c r="BI437" s="12" t="str">
        <f>IFERROR(__xludf.DUMMYFUNCTION("IFERROR(INDEX(QUERY(IMPORTRANGE(""1T7HG8KEs-Ob7f3M5atEVN9Yn7IeORGp0QGvggB62ELw"",""Maestro!A:I""),""SELECT Col7 WHERE Col3 = '""&amp;BE437&amp;""'"", 0), 1, 1),""NO ENCONTRADO"")"),"")</f>
        <v/>
      </c>
      <c r="BJ437" s="16">
        <f t="shared" si="15"/>
        <v>0</v>
      </c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4"/>
      <c r="BX437" s="14"/>
      <c r="BY437" s="14"/>
      <c r="BZ437" s="14"/>
      <c r="CA437" s="14"/>
      <c r="CB437" s="14"/>
      <c r="CC437" s="14"/>
      <c r="CD437" s="14"/>
      <c r="CE437" s="14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</row>
    <row r="438">
      <c r="A438" s="295" t="s">
        <v>593</v>
      </c>
      <c r="B438" s="296" t="s">
        <v>296</v>
      </c>
      <c r="C438" s="296" t="s">
        <v>36</v>
      </c>
      <c r="D438" s="297" t="str">
        <f t="shared" si="1"/>
        <v>ZEST-10-6</v>
      </c>
      <c r="E438" s="72"/>
      <c r="F438" s="77"/>
      <c r="G438" s="74"/>
      <c r="H438" s="138"/>
      <c r="I438" s="76"/>
      <c r="J438" s="138"/>
      <c r="K438" s="27" t="str">
        <f t="shared" si="2"/>
        <v>DISPONIBLE</v>
      </c>
      <c r="L438" s="28">
        <f t="shared" si="14"/>
        <v>437</v>
      </c>
      <c r="M438" s="28" t="s">
        <v>748</v>
      </c>
      <c r="N438" s="109"/>
      <c r="O438" s="168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4"/>
      <c r="BF438" s="12"/>
      <c r="BG438" s="12"/>
      <c r="BH438" s="12" t="str">
        <f>IFERROR(__xludf.DUMMYFUNCTION("IFERROR(INDEX(QUERY(IMPORTRANGE(""1T7HG8KEs-Ob7f3M5atEVN9Yn7IeORGp0QGvggB62ELw"",""Maestro!A:I""),""SELECT Col8 WHERE Col3 = '""&amp;BE438&amp;""'"", 0), 1, 1),""NO ENCONTRADO"")"),"")</f>
        <v/>
      </c>
      <c r="BI438" s="12" t="str">
        <f>IFERROR(__xludf.DUMMYFUNCTION("IFERROR(INDEX(QUERY(IMPORTRANGE(""1T7HG8KEs-Ob7f3M5atEVN9Yn7IeORGp0QGvggB62ELw"",""Maestro!A:I""),""SELECT Col7 WHERE Col3 = '""&amp;BE438&amp;""'"", 0), 1, 1),""NO ENCONTRADO"")"),"")</f>
        <v/>
      </c>
      <c r="BJ438" s="16">
        <f t="shared" si="15"/>
        <v>0</v>
      </c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4"/>
      <c r="BX438" s="14"/>
      <c r="BY438" s="14"/>
      <c r="BZ438" s="14"/>
      <c r="CA438" s="14"/>
      <c r="CB438" s="14"/>
      <c r="CC438" s="14"/>
      <c r="CD438" s="14"/>
      <c r="CE438" s="14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</row>
    <row r="439">
      <c r="A439" s="298" t="s">
        <v>593</v>
      </c>
      <c r="B439" s="299" t="s">
        <v>296</v>
      </c>
      <c r="C439" s="299" t="s">
        <v>48</v>
      </c>
      <c r="D439" s="300" t="str">
        <f t="shared" si="1"/>
        <v>ZEST-10-7</v>
      </c>
      <c r="E439" s="234"/>
      <c r="F439" s="235"/>
      <c r="G439" s="236"/>
      <c r="H439" s="237"/>
      <c r="I439" s="272"/>
      <c r="J439" s="237"/>
      <c r="K439" s="328" t="str">
        <f t="shared" si="2"/>
        <v>DISPONIBLE</v>
      </c>
      <c r="L439" s="155">
        <f t="shared" si="14"/>
        <v>438</v>
      </c>
      <c r="M439" s="155" t="s">
        <v>748</v>
      </c>
      <c r="N439" s="327"/>
      <c r="O439" s="326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4"/>
      <c r="BF439" s="12"/>
      <c r="BG439" s="12"/>
      <c r="BH439" s="12" t="str">
        <f>IFERROR(__xludf.DUMMYFUNCTION("IFERROR(INDEX(QUERY(IMPORTRANGE(""1T7HG8KEs-Ob7f3M5atEVN9Yn7IeORGp0QGvggB62ELw"",""Maestro!A:I""),""SELECT Col8 WHERE Col3 = '""&amp;BE439&amp;""'"", 0), 1, 1),""NO ENCONTRADO"")"),"")</f>
        <v/>
      </c>
      <c r="BI439" s="12" t="str">
        <f>IFERROR(__xludf.DUMMYFUNCTION("IFERROR(INDEX(QUERY(IMPORTRANGE(""1T7HG8KEs-Ob7f3M5atEVN9Yn7IeORGp0QGvggB62ELw"",""Maestro!A:I""),""SELECT Col7 WHERE Col3 = '""&amp;BE439&amp;""'"", 0), 1, 1),""NO ENCONTRADO"")"),"")</f>
        <v/>
      </c>
      <c r="BJ439" s="16">
        <f t="shared" si="15"/>
        <v>0</v>
      </c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4"/>
      <c r="BX439" s="14"/>
      <c r="BY439" s="14"/>
      <c r="BZ439" s="14"/>
      <c r="CA439" s="14"/>
      <c r="CB439" s="14"/>
      <c r="CC439" s="14"/>
      <c r="CD439" s="14"/>
      <c r="CE439" s="14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</row>
    <row r="440">
      <c r="A440" s="12"/>
      <c r="B440" s="14"/>
      <c r="C440" s="14"/>
      <c r="D440" s="14"/>
      <c r="E440" s="12"/>
      <c r="F440" s="307"/>
      <c r="G440" s="307"/>
      <c r="H440" s="12"/>
      <c r="I440" s="30"/>
      <c r="J440" s="12"/>
      <c r="K440" s="12"/>
      <c r="L440" s="12"/>
      <c r="M440" s="12"/>
      <c r="N440" s="12"/>
      <c r="O440" s="308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4"/>
      <c r="BF440" s="12"/>
      <c r="BG440" s="12"/>
      <c r="BH440" s="12" t="str">
        <f>IFERROR(__xludf.DUMMYFUNCTION("IFERROR(INDEX(QUERY(IMPORTRANGE(""1T7HG8KEs-Ob7f3M5atEVN9Yn7IeORGp0QGvggB62ELw"",""Maestro!A:I""),""SELECT Col8 WHERE Col3 = '""&amp;BE440&amp;""'"", 0), 1, 1),""NO ENCONTRADO"")"),"")</f>
        <v/>
      </c>
      <c r="BI440" s="12" t="str">
        <f>IFERROR(__xludf.DUMMYFUNCTION("IFERROR(INDEX(QUERY(IMPORTRANGE(""1T7HG8KEs-Ob7f3M5atEVN9Yn7IeORGp0QGvggB62ELw"",""Maestro!A:I""),""SELECT Col7 WHERE Col3 = '""&amp;BE440&amp;""'"", 0), 1, 1),""NO ENCONTRADO"")"),"")</f>
        <v/>
      </c>
      <c r="BJ440" s="16">
        <f t="shared" si="15"/>
        <v>0</v>
      </c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4"/>
      <c r="BX440" s="14"/>
      <c r="BY440" s="14"/>
      <c r="BZ440" s="14"/>
      <c r="CA440" s="14"/>
      <c r="CB440" s="14"/>
      <c r="CC440" s="14"/>
      <c r="CD440" s="14"/>
      <c r="CE440" s="14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</row>
    <row r="441">
      <c r="A441" s="12"/>
      <c r="B441" s="14"/>
      <c r="C441" s="14"/>
      <c r="D441" s="14"/>
      <c r="E441" s="12"/>
      <c r="F441" s="307"/>
      <c r="G441" s="307"/>
      <c r="H441" s="12"/>
      <c r="I441" s="30"/>
      <c r="J441" s="12"/>
      <c r="K441" s="12"/>
      <c r="L441" s="12"/>
      <c r="M441" s="12"/>
      <c r="N441" s="12"/>
      <c r="O441" s="308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4"/>
      <c r="BF441" s="12"/>
      <c r="BG441" s="12"/>
      <c r="BH441" s="12" t="str">
        <f>IFERROR(__xludf.DUMMYFUNCTION("IFERROR(INDEX(QUERY(IMPORTRANGE(""1T7HG8KEs-Ob7f3M5atEVN9Yn7IeORGp0QGvggB62ELw"",""Maestro!A:I""),""SELECT Col8 WHERE Col3 = '""&amp;BE441&amp;""'"", 0), 1, 1),""NO ENCONTRADO"")"),"")</f>
        <v/>
      </c>
      <c r="BI441" s="12" t="str">
        <f>IFERROR(__xludf.DUMMYFUNCTION("IFERROR(INDEX(QUERY(IMPORTRANGE(""1T7HG8KEs-Ob7f3M5atEVN9Yn7IeORGp0QGvggB62ELw"",""Maestro!A:I""),""SELECT Col7 WHERE Col3 = '""&amp;BE441&amp;""'"", 0), 1, 1),""NO ENCONTRADO"")"),"")</f>
        <v/>
      </c>
      <c r="BJ441" s="16">
        <f t="shared" si="15"/>
        <v>0</v>
      </c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4"/>
      <c r="BX441" s="14"/>
      <c r="BY441" s="14"/>
      <c r="BZ441" s="14"/>
      <c r="CA441" s="14"/>
      <c r="CB441" s="14"/>
      <c r="CC441" s="14"/>
      <c r="CD441" s="14"/>
      <c r="CE441" s="14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</row>
    <row r="442">
      <c r="A442" s="12"/>
      <c r="B442" s="14"/>
      <c r="C442" s="14"/>
      <c r="D442" s="14"/>
      <c r="E442" s="12"/>
      <c r="F442" s="307"/>
      <c r="G442" s="307"/>
      <c r="H442" s="12"/>
      <c r="I442" s="30"/>
      <c r="J442" s="12"/>
      <c r="K442" s="12"/>
      <c r="L442" s="12"/>
      <c r="M442" s="12"/>
      <c r="N442" s="12"/>
      <c r="O442" s="308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4"/>
      <c r="BF442" s="12"/>
      <c r="BG442" s="12"/>
      <c r="BH442" s="12" t="str">
        <f>IFERROR(__xludf.DUMMYFUNCTION("IFERROR(INDEX(QUERY(IMPORTRANGE(""1T7HG8KEs-Ob7f3M5atEVN9Yn7IeORGp0QGvggB62ELw"",""Maestro!A:I""),""SELECT Col8 WHERE Col3 = '""&amp;BE442&amp;""'"", 0), 1, 1),""NO ENCONTRADO"")"),"")</f>
        <v/>
      </c>
      <c r="BI442" s="12" t="str">
        <f>IFERROR(__xludf.DUMMYFUNCTION("IFERROR(INDEX(QUERY(IMPORTRANGE(""1T7HG8KEs-Ob7f3M5atEVN9Yn7IeORGp0QGvggB62ELw"",""Maestro!A:I""),""SELECT Col7 WHERE Col3 = '""&amp;BE442&amp;""'"", 0), 1, 1),""NO ENCONTRADO"")"),"")</f>
        <v/>
      </c>
      <c r="BJ442" s="16">
        <f t="shared" si="15"/>
        <v>0</v>
      </c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4"/>
      <c r="BX442" s="14"/>
      <c r="BY442" s="14"/>
      <c r="BZ442" s="14"/>
      <c r="CA442" s="14"/>
      <c r="CB442" s="14"/>
      <c r="CC442" s="14"/>
      <c r="CD442" s="14"/>
      <c r="CE442" s="14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</row>
    <row r="443">
      <c r="A443" s="12"/>
      <c r="B443" s="14"/>
      <c r="C443" s="14"/>
      <c r="D443" s="14"/>
      <c r="E443" s="12"/>
      <c r="F443" s="307"/>
      <c r="G443" s="307"/>
      <c r="H443" s="12"/>
      <c r="I443" s="30"/>
      <c r="J443" s="12"/>
      <c r="K443" s="12"/>
      <c r="L443" s="12"/>
      <c r="M443" s="12"/>
      <c r="N443" s="12"/>
      <c r="O443" s="308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4"/>
      <c r="BF443" s="12"/>
      <c r="BG443" s="12"/>
      <c r="BH443" s="12" t="str">
        <f>IFERROR(__xludf.DUMMYFUNCTION("IFERROR(INDEX(QUERY(IMPORTRANGE(""1T7HG8KEs-Ob7f3M5atEVN9Yn7IeORGp0QGvggB62ELw"",""Maestro!A:I""),""SELECT Col8 WHERE Col3 = '""&amp;BE443&amp;""'"", 0), 1, 1),""NO ENCONTRADO"")"),"")</f>
        <v/>
      </c>
      <c r="BI443" s="12" t="str">
        <f>IFERROR(__xludf.DUMMYFUNCTION("IFERROR(INDEX(QUERY(IMPORTRANGE(""1T7HG8KEs-Ob7f3M5atEVN9Yn7IeORGp0QGvggB62ELw"",""Maestro!A:I""),""SELECT Col7 WHERE Col3 = '""&amp;BE443&amp;""'"", 0), 1, 1),""NO ENCONTRADO"")"),"")</f>
        <v/>
      </c>
      <c r="BJ443" s="16">
        <f t="shared" si="15"/>
        <v>0</v>
      </c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4"/>
      <c r="BX443" s="14"/>
      <c r="BY443" s="14"/>
      <c r="BZ443" s="14"/>
      <c r="CA443" s="14"/>
      <c r="CB443" s="14"/>
      <c r="CC443" s="14"/>
      <c r="CD443" s="14"/>
      <c r="CE443" s="14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</row>
    <row r="444">
      <c r="A444" s="12"/>
      <c r="B444" s="14"/>
      <c r="C444" s="14"/>
      <c r="D444" s="14"/>
      <c r="E444" s="12"/>
      <c r="F444" s="307"/>
      <c r="G444" s="307"/>
      <c r="H444" s="12"/>
      <c r="I444" s="30"/>
      <c r="J444" s="12"/>
      <c r="K444" s="12"/>
      <c r="L444" s="12"/>
      <c r="M444" s="12"/>
      <c r="N444" s="12"/>
      <c r="O444" s="308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4"/>
      <c r="BF444" s="12"/>
      <c r="BG444" s="12"/>
      <c r="BH444" s="12" t="str">
        <f>IFERROR(__xludf.DUMMYFUNCTION("IFERROR(INDEX(QUERY(IMPORTRANGE(""1T7HG8KEs-Ob7f3M5atEVN9Yn7IeORGp0QGvggB62ELw"",""Maestro!A:I""),""SELECT Col8 WHERE Col3 = '""&amp;BE444&amp;""'"", 0), 1, 1),""NO ENCONTRADO"")"),"")</f>
        <v/>
      </c>
      <c r="BI444" s="12" t="str">
        <f>IFERROR(__xludf.DUMMYFUNCTION("IFERROR(INDEX(QUERY(IMPORTRANGE(""1T7HG8KEs-Ob7f3M5atEVN9Yn7IeORGp0QGvggB62ELw"",""Maestro!A:I""),""SELECT Col7 WHERE Col3 = '""&amp;BE444&amp;""'"", 0), 1, 1),""NO ENCONTRADO"")"),"")</f>
        <v/>
      </c>
      <c r="BJ444" s="16">
        <f t="shared" si="15"/>
        <v>0</v>
      </c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4"/>
      <c r="BX444" s="14"/>
      <c r="BY444" s="14"/>
      <c r="BZ444" s="14"/>
      <c r="CA444" s="14"/>
      <c r="CB444" s="14"/>
      <c r="CC444" s="14"/>
      <c r="CD444" s="14"/>
      <c r="CE444" s="14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</row>
    <row r="445">
      <c r="A445" s="12"/>
      <c r="B445" s="14"/>
      <c r="C445" s="14"/>
      <c r="D445" s="14"/>
      <c r="E445" s="12"/>
      <c r="F445" s="307"/>
      <c r="G445" s="307"/>
      <c r="H445" s="12"/>
      <c r="I445" s="30"/>
      <c r="J445" s="12"/>
      <c r="K445" s="12"/>
      <c r="L445" s="12"/>
      <c r="M445" s="12"/>
      <c r="N445" s="12"/>
      <c r="O445" s="308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4"/>
      <c r="BF445" s="12"/>
      <c r="BG445" s="12"/>
      <c r="BH445" s="12" t="str">
        <f>IFERROR(__xludf.DUMMYFUNCTION("IFERROR(INDEX(QUERY(IMPORTRANGE(""1T7HG8KEs-Ob7f3M5atEVN9Yn7IeORGp0QGvggB62ELw"",""Maestro!A:I""),""SELECT Col8 WHERE Col3 = '""&amp;BE445&amp;""'"", 0), 1, 1),""NO ENCONTRADO"")"),"")</f>
        <v/>
      </c>
      <c r="BI445" s="12" t="str">
        <f>IFERROR(__xludf.DUMMYFUNCTION("IFERROR(INDEX(QUERY(IMPORTRANGE(""1T7HG8KEs-Ob7f3M5atEVN9Yn7IeORGp0QGvggB62ELw"",""Maestro!A:I""),""SELECT Col7 WHERE Col3 = '""&amp;BE445&amp;""'"", 0), 1, 1),""NO ENCONTRADO"")"),"")</f>
        <v/>
      </c>
      <c r="BJ445" s="16">
        <f t="shared" si="15"/>
        <v>0</v>
      </c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4"/>
      <c r="BX445" s="14"/>
      <c r="BY445" s="14"/>
      <c r="BZ445" s="14"/>
      <c r="CA445" s="14"/>
      <c r="CB445" s="14"/>
      <c r="CC445" s="14"/>
      <c r="CD445" s="14"/>
      <c r="CE445" s="14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</row>
    <row r="446">
      <c r="A446" s="12"/>
      <c r="B446" s="14"/>
      <c r="C446" s="14"/>
      <c r="D446" s="14"/>
      <c r="E446" s="12"/>
      <c r="F446" s="307"/>
      <c r="G446" s="307"/>
      <c r="H446" s="12"/>
      <c r="I446" s="30"/>
      <c r="J446" s="12"/>
      <c r="K446" s="12"/>
      <c r="L446" s="12"/>
      <c r="M446" s="12"/>
      <c r="N446" s="12"/>
      <c r="O446" s="308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4"/>
      <c r="BF446" s="12"/>
      <c r="BG446" s="12"/>
      <c r="BH446" s="12" t="str">
        <f>IFERROR(__xludf.DUMMYFUNCTION("IFERROR(INDEX(QUERY(IMPORTRANGE(""1T7HG8KEs-Ob7f3M5atEVN9Yn7IeORGp0QGvggB62ELw"",""Maestro!A:I""),""SELECT Col8 WHERE Col3 = '""&amp;BE446&amp;""'"", 0), 1, 1),""NO ENCONTRADO"")"),"")</f>
        <v/>
      </c>
      <c r="BI446" s="12" t="str">
        <f>IFERROR(__xludf.DUMMYFUNCTION("IFERROR(INDEX(QUERY(IMPORTRANGE(""1T7HG8KEs-Ob7f3M5atEVN9Yn7IeORGp0QGvggB62ELw"",""Maestro!A:I""),""SELECT Col7 WHERE Col3 = '""&amp;BE446&amp;""'"", 0), 1, 1),""NO ENCONTRADO"")"),"")</f>
        <v/>
      </c>
      <c r="BJ446" s="16">
        <f t="shared" si="15"/>
        <v>0</v>
      </c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4"/>
      <c r="BX446" s="14"/>
      <c r="BY446" s="14"/>
      <c r="BZ446" s="14"/>
      <c r="CA446" s="14"/>
      <c r="CB446" s="14"/>
      <c r="CC446" s="14"/>
      <c r="CD446" s="14"/>
      <c r="CE446" s="14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</row>
    <row r="447">
      <c r="A447" s="12"/>
      <c r="B447" s="14"/>
      <c r="C447" s="14"/>
      <c r="D447" s="14"/>
      <c r="E447" s="12"/>
      <c r="F447" s="307"/>
      <c r="G447" s="307"/>
      <c r="H447" s="12"/>
      <c r="I447" s="30"/>
      <c r="J447" s="12"/>
      <c r="K447" s="12"/>
      <c r="L447" s="12"/>
      <c r="M447" s="12"/>
      <c r="N447" s="12"/>
      <c r="O447" s="308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4"/>
      <c r="BF447" s="12"/>
      <c r="BG447" s="12"/>
      <c r="BH447" s="12" t="str">
        <f>IFERROR(__xludf.DUMMYFUNCTION("IFERROR(INDEX(QUERY(IMPORTRANGE(""1T7HG8KEs-Ob7f3M5atEVN9Yn7IeORGp0QGvggB62ELw"",""Maestro!A:I""),""SELECT Col8 WHERE Col3 = '""&amp;BE447&amp;""'"", 0), 1, 1),""NO ENCONTRADO"")"),"")</f>
        <v/>
      </c>
      <c r="BI447" s="12" t="str">
        <f>IFERROR(__xludf.DUMMYFUNCTION("IFERROR(INDEX(QUERY(IMPORTRANGE(""1T7HG8KEs-Ob7f3M5atEVN9Yn7IeORGp0QGvggB62ELw"",""Maestro!A:I""),""SELECT Col7 WHERE Col3 = '""&amp;BE447&amp;""'"", 0), 1, 1),""NO ENCONTRADO"")"),"")</f>
        <v/>
      </c>
      <c r="BJ447" s="16">
        <f t="shared" si="15"/>
        <v>0</v>
      </c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4"/>
      <c r="BX447" s="14"/>
      <c r="BY447" s="14"/>
      <c r="BZ447" s="14"/>
      <c r="CA447" s="14"/>
      <c r="CB447" s="14"/>
      <c r="CC447" s="14"/>
      <c r="CD447" s="14"/>
      <c r="CE447" s="14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</row>
    <row r="448">
      <c r="A448" s="12"/>
      <c r="B448" s="14"/>
      <c r="C448" s="14"/>
      <c r="D448" s="14"/>
      <c r="E448" s="12"/>
      <c r="F448" s="307"/>
      <c r="G448" s="307"/>
      <c r="H448" s="12"/>
      <c r="I448" s="30"/>
      <c r="J448" s="12"/>
      <c r="K448" s="12"/>
      <c r="L448" s="12"/>
      <c r="M448" s="12"/>
      <c r="N448" s="12"/>
      <c r="O448" s="308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4"/>
      <c r="BF448" s="12"/>
      <c r="BG448" s="12"/>
      <c r="BH448" s="12" t="str">
        <f>IFERROR(__xludf.DUMMYFUNCTION("IFERROR(INDEX(QUERY(IMPORTRANGE(""1T7HG8KEs-Ob7f3M5atEVN9Yn7IeORGp0QGvggB62ELw"",""Maestro!A:I""),""SELECT Col8 WHERE Col3 = '""&amp;BE448&amp;""'"", 0), 1, 1),""NO ENCONTRADO"")"),"")</f>
        <v/>
      </c>
      <c r="BI448" s="12" t="str">
        <f>IFERROR(__xludf.DUMMYFUNCTION("IFERROR(INDEX(QUERY(IMPORTRANGE(""1T7HG8KEs-Ob7f3M5atEVN9Yn7IeORGp0QGvggB62ELw"",""Maestro!A:I""),""SELECT Col7 WHERE Col3 = '""&amp;BE448&amp;""'"", 0), 1, 1),""NO ENCONTRADO"")"),"")</f>
        <v/>
      </c>
      <c r="BJ448" s="16">
        <f t="shared" si="15"/>
        <v>0</v>
      </c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4"/>
      <c r="BX448" s="14"/>
      <c r="BY448" s="14"/>
      <c r="BZ448" s="14"/>
      <c r="CA448" s="14"/>
      <c r="CB448" s="14"/>
      <c r="CC448" s="14"/>
      <c r="CD448" s="14"/>
      <c r="CE448" s="14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</row>
    <row r="449">
      <c r="A449" s="12"/>
      <c r="B449" s="14"/>
      <c r="C449" s="14"/>
      <c r="D449" s="14"/>
      <c r="E449" s="12"/>
      <c r="F449" s="307"/>
      <c r="G449" s="307"/>
      <c r="H449" s="12"/>
      <c r="I449" s="30"/>
      <c r="J449" s="12"/>
      <c r="K449" s="12"/>
      <c r="L449" s="12"/>
      <c r="M449" s="12"/>
      <c r="N449" s="12"/>
      <c r="O449" s="308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4"/>
      <c r="BF449" s="12"/>
      <c r="BG449" s="12"/>
      <c r="BH449" s="12" t="str">
        <f>IFERROR(__xludf.DUMMYFUNCTION("IFERROR(INDEX(QUERY(IMPORTRANGE(""1T7HG8KEs-Ob7f3M5atEVN9Yn7IeORGp0QGvggB62ELw"",""Maestro!A:I""),""SELECT Col8 WHERE Col3 = '""&amp;BE449&amp;""'"", 0), 1, 1),""NO ENCONTRADO"")"),"")</f>
        <v/>
      </c>
      <c r="BI449" s="12" t="str">
        <f>IFERROR(__xludf.DUMMYFUNCTION("IFERROR(INDEX(QUERY(IMPORTRANGE(""1T7HG8KEs-Ob7f3M5atEVN9Yn7IeORGp0QGvggB62ELw"",""Maestro!A:I""),""SELECT Col7 WHERE Col3 = '""&amp;BE449&amp;""'"", 0), 1, 1),""NO ENCONTRADO"")"),"")</f>
        <v/>
      </c>
      <c r="BJ449" s="16">
        <f t="shared" si="15"/>
        <v>0</v>
      </c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4"/>
      <c r="BX449" s="14"/>
      <c r="BY449" s="14"/>
      <c r="BZ449" s="14"/>
      <c r="CA449" s="14"/>
      <c r="CB449" s="14"/>
      <c r="CC449" s="14"/>
      <c r="CD449" s="14"/>
      <c r="CE449" s="14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</row>
    <row r="450">
      <c r="A450" s="12"/>
      <c r="B450" s="14"/>
      <c r="C450" s="14"/>
      <c r="D450" s="14"/>
      <c r="E450" s="12"/>
      <c r="F450" s="307"/>
      <c r="G450" s="307"/>
      <c r="H450" s="12"/>
      <c r="I450" s="30"/>
      <c r="J450" s="12"/>
      <c r="K450" s="12"/>
      <c r="L450" s="12"/>
      <c r="M450" s="12"/>
      <c r="N450" s="12"/>
      <c r="O450" s="308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4"/>
      <c r="BF450" s="12"/>
      <c r="BG450" s="12"/>
      <c r="BH450" s="12" t="str">
        <f>IFERROR(__xludf.DUMMYFUNCTION("IFERROR(INDEX(QUERY(IMPORTRANGE(""1T7HG8KEs-Ob7f3M5atEVN9Yn7IeORGp0QGvggB62ELw"",""Maestro!A:I""),""SELECT Col8 WHERE Col3 = '""&amp;BE450&amp;""'"", 0), 1, 1),""NO ENCONTRADO"")"),"")</f>
        <v/>
      </c>
      <c r="BI450" s="12" t="str">
        <f>IFERROR(__xludf.DUMMYFUNCTION("IFERROR(INDEX(QUERY(IMPORTRANGE(""1T7HG8KEs-Ob7f3M5atEVN9Yn7IeORGp0QGvggB62ELw"",""Maestro!A:I""),""SELECT Col7 WHERE Col3 = '""&amp;BE450&amp;""'"", 0), 1, 1),""NO ENCONTRADO"")"),"")</f>
        <v/>
      </c>
      <c r="BJ450" s="16">
        <f t="shared" si="15"/>
        <v>0</v>
      </c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4"/>
      <c r="BX450" s="14"/>
      <c r="BY450" s="14"/>
      <c r="BZ450" s="14"/>
      <c r="CA450" s="14"/>
      <c r="CB450" s="14"/>
      <c r="CC450" s="14"/>
      <c r="CD450" s="14"/>
      <c r="CE450" s="14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</row>
    <row r="451">
      <c r="A451" s="12"/>
      <c r="B451" s="14"/>
      <c r="C451" s="14"/>
      <c r="D451" s="14"/>
      <c r="E451" s="12"/>
      <c r="F451" s="307"/>
      <c r="G451" s="307"/>
      <c r="H451" s="12"/>
      <c r="I451" s="30"/>
      <c r="J451" s="12"/>
      <c r="K451" s="12"/>
      <c r="L451" s="12"/>
      <c r="M451" s="12"/>
      <c r="N451" s="12"/>
      <c r="O451" s="308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4"/>
      <c r="BF451" s="12"/>
      <c r="BG451" s="12"/>
      <c r="BH451" s="12" t="str">
        <f>IFERROR(__xludf.DUMMYFUNCTION("IFERROR(INDEX(QUERY(IMPORTRANGE(""1T7HG8KEs-Ob7f3M5atEVN9Yn7IeORGp0QGvggB62ELw"",""Maestro!A:I""),""SELECT Col8 WHERE Col3 = '""&amp;BE451&amp;""'"", 0), 1, 1),""NO ENCONTRADO"")"),"")</f>
        <v/>
      </c>
      <c r="BI451" s="12" t="str">
        <f>IFERROR(__xludf.DUMMYFUNCTION("IFERROR(INDEX(QUERY(IMPORTRANGE(""1T7HG8KEs-Ob7f3M5atEVN9Yn7IeORGp0QGvggB62ELw"",""Maestro!A:I""),""SELECT Col7 WHERE Col3 = '""&amp;BE451&amp;""'"", 0), 1, 1),""NO ENCONTRADO"")"),"")</f>
        <v/>
      </c>
      <c r="BJ451" s="16">
        <f t="shared" si="15"/>
        <v>0</v>
      </c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4"/>
      <c r="BX451" s="14"/>
      <c r="BY451" s="14"/>
      <c r="BZ451" s="14"/>
      <c r="CA451" s="14"/>
      <c r="CB451" s="14"/>
      <c r="CC451" s="14"/>
      <c r="CD451" s="14"/>
      <c r="CE451" s="14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</row>
    <row r="452">
      <c r="A452" s="12"/>
      <c r="B452" s="14"/>
      <c r="C452" s="14"/>
      <c r="D452" s="14"/>
      <c r="E452" s="12"/>
      <c r="F452" s="307"/>
      <c r="G452" s="307"/>
      <c r="H452" s="12"/>
      <c r="I452" s="30"/>
      <c r="J452" s="12"/>
      <c r="K452" s="12"/>
      <c r="L452" s="12"/>
      <c r="M452" s="12"/>
      <c r="N452" s="12"/>
      <c r="O452" s="308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4"/>
      <c r="BF452" s="12"/>
      <c r="BG452" s="12"/>
      <c r="BH452" s="12" t="str">
        <f>IFERROR(__xludf.DUMMYFUNCTION("IFERROR(INDEX(QUERY(IMPORTRANGE(""1T7HG8KEs-Ob7f3M5atEVN9Yn7IeORGp0QGvggB62ELw"",""Maestro!A:I""),""SELECT Col8 WHERE Col3 = '""&amp;BE452&amp;""'"", 0), 1, 1),""NO ENCONTRADO"")"),"")</f>
        <v/>
      </c>
      <c r="BI452" s="12" t="str">
        <f>IFERROR(__xludf.DUMMYFUNCTION("IFERROR(INDEX(QUERY(IMPORTRANGE(""1T7HG8KEs-Ob7f3M5atEVN9Yn7IeORGp0QGvggB62ELw"",""Maestro!A:I""),""SELECT Col7 WHERE Col3 = '""&amp;BE452&amp;""'"", 0), 1, 1),""NO ENCONTRADO"")"),"")</f>
        <v/>
      </c>
      <c r="BJ452" s="16">
        <f t="shared" si="15"/>
        <v>0</v>
      </c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4"/>
      <c r="BX452" s="14"/>
      <c r="BY452" s="14"/>
      <c r="BZ452" s="14"/>
      <c r="CA452" s="14"/>
      <c r="CB452" s="14"/>
      <c r="CC452" s="14"/>
      <c r="CD452" s="14"/>
      <c r="CE452" s="14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</row>
    <row r="453">
      <c r="A453" s="12"/>
      <c r="B453" s="14"/>
      <c r="C453" s="14"/>
      <c r="D453" s="14"/>
      <c r="E453" s="12"/>
      <c r="F453" s="307"/>
      <c r="G453" s="307"/>
      <c r="H453" s="12"/>
      <c r="I453" s="30"/>
      <c r="J453" s="12"/>
      <c r="K453" s="12"/>
      <c r="L453" s="12"/>
      <c r="M453" s="12"/>
      <c r="N453" s="12"/>
      <c r="O453" s="308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4"/>
      <c r="BF453" s="12"/>
      <c r="BG453" s="12"/>
      <c r="BH453" s="12" t="str">
        <f>IFERROR(__xludf.DUMMYFUNCTION("IFERROR(INDEX(QUERY(IMPORTRANGE(""1T7HG8KEs-Ob7f3M5atEVN9Yn7IeORGp0QGvggB62ELw"",""Maestro!A:I""),""SELECT Col8 WHERE Col3 = '""&amp;BE453&amp;""'"", 0), 1, 1),""NO ENCONTRADO"")"),"")</f>
        <v/>
      </c>
      <c r="BI453" s="12" t="str">
        <f>IFERROR(__xludf.DUMMYFUNCTION("IFERROR(INDEX(QUERY(IMPORTRANGE(""1T7HG8KEs-Ob7f3M5atEVN9Yn7IeORGp0QGvggB62ELw"",""Maestro!A:I""),""SELECT Col7 WHERE Col3 = '""&amp;BE453&amp;""'"", 0), 1, 1),""NO ENCONTRADO"")"),"")</f>
        <v/>
      </c>
      <c r="BJ453" s="16">
        <f t="shared" si="15"/>
        <v>0</v>
      </c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4"/>
      <c r="BX453" s="14"/>
      <c r="BY453" s="14"/>
      <c r="BZ453" s="14"/>
      <c r="CA453" s="14"/>
      <c r="CB453" s="14"/>
      <c r="CC453" s="14"/>
      <c r="CD453" s="14"/>
      <c r="CE453" s="14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</row>
    <row r="454">
      <c r="A454" s="12"/>
      <c r="B454" s="14"/>
      <c r="C454" s="14"/>
      <c r="D454" s="14"/>
      <c r="E454" s="12"/>
      <c r="F454" s="307"/>
      <c r="G454" s="307"/>
      <c r="H454" s="12"/>
      <c r="I454" s="30"/>
      <c r="J454" s="12"/>
      <c r="K454" s="12"/>
      <c r="L454" s="12"/>
      <c r="M454" s="12"/>
      <c r="N454" s="12"/>
      <c r="O454" s="308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4"/>
      <c r="BF454" s="12"/>
      <c r="BG454" s="12"/>
      <c r="BH454" s="12" t="str">
        <f>IFERROR(__xludf.DUMMYFUNCTION("IFERROR(INDEX(QUERY(IMPORTRANGE(""1T7HG8KEs-Ob7f3M5atEVN9Yn7IeORGp0QGvggB62ELw"",""Maestro!A:I""),""SELECT Col8 WHERE Col3 = '""&amp;BE454&amp;""'"", 0), 1, 1),""NO ENCONTRADO"")"),"")</f>
        <v/>
      </c>
      <c r="BI454" s="12" t="str">
        <f>IFERROR(__xludf.DUMMYFUNCTION("IFERROR(INDEX(QUERY(IMPORTRANGE(""1T7HG8KEs-Ob7f3M5atEVN9Yn7IeORGp0QGvggB62ELw"",""Maestro!A:I""),""SELECT Col7 WHERE Col3 = '""&amp;BE454&amp;""'"", 0), 1, 1),""NO ENCONTRADO"")"),"")</f>
        <v/>
      </c>
      <c r="BJ454" s="16">
        <f t="shared" si="15"/>
        <v>0</v>
      </c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4"/>
      <c r="BX454" s="14"/>
      <c r="BY454" s="14"/>
      <c r="BZ454" s="14"/>
      <c r="CA454" s="14"/>
      <c r="CB454" s="14"/>
      <c r="CC454" s="14"/>
      <c r="CD454" s="14"/>
      <c r="CE454" s="14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</row>
    <row r="455">
      <c r="A455" s="12"/>
      <c r="B455" s="14"/>
      <c r="C455" s="14"/>
      <c r="D455" s="14"/>
      <c r="E455" s="12"/>
      <c r="F455" s="307"/>
      <c r="G455" s="307"/>
      <c r="H455" s="12"/>
      <c r="I455" s="30"/>
      <c r="J455" s="12"/>
      <c r="K455" s="12"/>
      <c r="L455" s="12"/>
      <c r="M455" s="12"/>
      <c r="N455" s="12"/>
      <c r="O455" s="308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4"/>
      <c r="BF455" s="12"/>
      <c r="BG455" s="12"/>
      <c r="BH455" s="12" t="str">
        <f>IFERROR(__xludf.DUMMYFUNCTION("IFERROR(INDEX(QUERY(IMPORTRANGE(""1T7HG8KEs-Ob7f3M5atEVN9Yn7IeORGp0QGvggB62ELw"",""Maestro!A:I""),""SELECT Col8 WHERE Col3 = '""&amp;BE455&amp;""'"", 0), 1, 1),""NO ENCONTRADO"")"),"")</f>
        <v/>
      </c>
      <c r="BI455" s="12" t="str">
        <f>IFERROR(__xludf.DUMMYFUNCTION("IFERROR(INDEX(QUERY(IMPORTRANGE(""1T7HG8KEs-Ob7f3M5atEVN9Yn7IeORGp0QGvggB62ELw"",""Maestro!A:I""),""SELECT Col7 WHERE Col3 = '""&amp;BE455&amp;""'"", 0), 1, 1),""NO ENCONTRADO"")"),"")</f>
        <v/>
      </c>
      <c r="BJ455" s="16">
        <f t="shared" si="15"/>
        <v>0</v>
      </c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4"/>
      <c r="BX455" s="14"/>
      <c r="BY455" s="14"/>
      <c r="BZ455" s="14"/>
      <c r="CA455" s="14"/>
      <c r="CB455" s="14"/>
      <c r="CC455" s="14"/>
      <c r="CD455" s="14"/>
      <c r="CE455" s="14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</row>
    <row r="456">
      <c r="A456" s="12"/>
      <c r="B456" s="14"/>
      <c r="C456" s="14"/>
      <c r="D456" s="14"/>
      <c r="E456" s="12"/>
      <c r="F456" s="307"/>
      <c r="G456" s="307"/>
      <c r="H456" s="12"/>
      <c r="I456" s="30"/>
      <c r="J456" s="12"/>
      <c r="K456" s="12"/>
      <c r="L456" s="12"/>
      <c r="M456" s="12"/>
      <c r="N456" s="12"/>
      <c r="O456" s="308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4"/>
      <c r="BF456" s="12"/>
      <c r="BG456" s="12"/>
      <c r="BH456" s="12" t="str">
        <f>IFERROR(__xludf.DUMMYFUNCTION("IFERROR(INDEX(QUERY(IMPORTRANGE(""1T7HG8KEs-Ob7f3M5atEVN9Yn7IeORGp0QGvggB62ELw"",""Maestro!A:I""),""SELECT Col8 WHERE Col3 = '""&amp;BE456&amp;""'"", 0), 1, 1),""NO ENCONTRADO"")"),"")</f>
        <v/>
      </c>
      <c r="BI456" s="12" t="str">
        <f>IFERROR(__xludf.DUMMYFUNCTION("IFERROR(INDEX(QUERY(IMPORTRANGE(""1T7HG8KEs-Ob7f3M5atEVN9Yn7IeORGp0QGvggB62ELw"",""Maestro!A:I""),""SELECT Col7 WHERE Col3 = '""&amp;BE456&amp;""'"", 0), 1, 1),""NO ENCONTRADO"")"),"")</f>
        <v/>
      </c>
      <c r="BJ456" s="16">
        <f t="shared" si="15"/>
        <v>0</v>
      </c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4"/>
      <c r="BX456" s="14"/>
      <c r="BY456" s="14"/>
      <c r="BZ456" s="14"/>
      <c r="CA456" s="14"/>
      <c r="CB456" s="14"/>
      <c r="CC456" s="14"/>
      <c r="CD456" s="14"/>
      <c r="CE456" s="14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</row>
    <row r="457">
      <c r="A457" s="12"/>
      <c r="B457" s="14"/>
      <c r="C457" s="14"/>
      <c r="D457" s="14"/>
      <c r="E457" s="12"/>
      <c r="F457" s="307"/>
      <c r="G457" s="307"/>
      <c r="H457" s="12"/>
      <c r="I457" s="30"/>
      <c r="J457" s="12"/>
      <c r="K457" s="12"/>
      <c r="L457" s="12"/>
      <c r="M457" s="12"/>
      <c r="N457" s="12"/>
      <c r="O457" s="308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4"/>
      <c r="BF457" s="12"/>
      <c r="BG457" s="12"/>
      <c r="BH457" s="12" t="str">
        <f>IFERROR(__xludf.DUMMYFUNCTION("IFERROR(INDEX(QUERY(IMPORTRANGE(""1T7HG8KEs-Ob7f3M5atEVN9Yn7IeORGp0QGvggB62ELw"",""Maestro!A:I""),""SELECT Col8 WHERE Col3 = '""&amp;BE457&amp;""'"", 0), 1, 1),""NO ENCONTRADO"")"),"")</f>
        <v/>
      </c>
      <c r="BI457" s="12" t="str">
        <f>IFERROR(__xludf.DUMMYFUNCTION("IFERROR(INDEX(QUERY(IMPORTRANGE(""1T7HG8KEs-Ob7f3M5atEVN9Yn7IeORGp0QGvggB62ELw"",""Maestro!A:I""),""SELECT Col7 WHERE Col3 = '""&amp;BE457&amp;""'"", 0), 1, 1),""NO ENCONTRADO"")"),"")</f>
        <v/>
      </c>
      <c r="BJ457" s="16">
        <f t="shared" si="15"/>
        <v>0</v>
      </c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4"/>
      <c r="BX457" s="14"/>
      <c r="BY457" s="14"/>
      <c r="BZ457" s="14"/>
      <c r="CA457" s="14"/>
      <c r="CB457" s="14"/>
      <c r="CC457" s="14"/>
      <c r="CD457" s="14"/>
      <c r="CE457" s="14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</row>
    <row r="458">
      <c r="A458" s="12"/>
      <c r="B458" s="14"/>
      <c r="C458" s="14"/>
      <c r="D458" s="14"/>
      <c r="E458" s="12"/>
      <c r="F458" s="307"/>
      <c r="G458" s="307"/>
      <c r="H458" s="12"/>
      <c r="I458" s="30"/>
      <c r="J458" s="12"/>
      <c r="K458" s="12"/>
      <c r="L458" s="12"/>
      <c r="M458" s="12"/>
      <c r="N458" s="12"/>
      <c r="O458" s="308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4"/>
      <c r="BF458" s="12"/>
      <c r="BG458" s="12"/>
      <c r="BH458" s="12" t="str">
        <f>IFERROR(__xludf.DUMMYFUNCTION("IFERROR(INDEX(QUERY(IMPORTRANGE(""1T7HG8KEs-Ob7f3M5atEVN9Yn7IeORGp0QGvggB62ELw"",""Maestro!A:I""),""SELECT Col8 WHERE Col3 = '""&amp;BE458&amp;""'"", 0), 1, 1),""NO ENCONTRADO"")"),"")</f>
        <v/>
      </c>
      <c r="BI458" s="12" t="str">
        <f>IFERROR(__xludf.DUMMYFUNCTION("IFERROR(INDEX(QUERY(IMPORTRANGE(""1T7HG8KEs-Ob7f3M5atEVN9Yn7IeORGp0QGvggB62ELw"",""Maestro!A:I""),""SELECT Col7 WHERE Col3 = '""&amp;BE458&amp;""'"", 0), 1, 1),""NO ENCONTRADO"")"),"")</f>
        <v/>
      </c>
      <c r="BJ458" s="16">
        <f t="shared" si="15"/>
        <v>0</v>
      </c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4"/>
      <c r="BX458" s="14"/>
      <c r="BY458" s="14"/>
      <c r="BZ458" s="14"/>
      <c r="CA458" s="14"/>
      <c r="CB458" s="14"/>
      <c r="CC458" s="14"/>
      <c r="CD458" s="14"/>
      <c r="CE458" s="14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</row>
    <row r="459">
      <c r="A459" s="12"/>
      <c r="B459" s="14"/>
      <c r="C459" s="14"/>
      <c r="D459" s="14"/>
      <c r="E459" s="12"/>
      <c r="F459" s="307"/>
      <c r="G459" s="307"/>
      <c r="H459" s="12"/>
      <c r="I459" s="30"/>
      <c r="J459" s="12"/>
      <c r="K459" s="12"/>
      <c r="L459" s="12"/>
      <c r="M459" s="12"/>
      <c r="N459" s="12"/>
      <c r="O459" s="308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4"/>
      <c r="BF459" s="12"/>
      <c r="BG459" s="12"/>
      <c r="BH459" s="12" t="str">
        <f>IFERROR(__xludf.DUMMYFUNCTION("IFERROR(INDEX(QUERY(IMPORTRANGE(""1T7HG8KEs-Ob7f3M5atEVN9Yn7IeORGp0QGvggB62ELw"",""Maestro!A:I""),""SELECT Col8 WHERE Col3 = '""&amp;BE459&amp;""'"", 0), 1, 1),""NO ENCONTRADO"")"),"")</f>
        <v/>
      </c>
      <c r="BI459" s="12" t="str">
        <f>IFERROR(__xludf.DUMMYFUNCTION("IFERROR(INDEX(QUERY(IMPORTRANGE(""1T7HG8KEs-Ob7f3M5atEVN9Yn7IeORGp0QGvggB62ELw"",""Maestro!A:I""),""SELECT Col7 WHERE Col3 = '""&amp;BE459&amp;""'"", 0), 1, 1),""NO ENCONTRADO"")"),"")</f>
        <v/>
      </c>
      <c r="BJ459" s="16">
        <f t="shared" si="15"/>
        <v>0</v>
      </c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4"/>
      <c r="BX459" s="14"/>
      <c r="BY459" s="14"/>
      <c r="BZ459" s="14"/>
      <c r="CA459" s="14"/>
      <c r="CB459" s="14"/>
      <c r="CC459" s="14"/>
      <c r="CD459" s="14"/>
      <c r="CE459" s="14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</row>
    <row r="460">
      <c r="A460" s="12"/>
      <c r="B460" s="14"/>
      <c r="C460" s="14"/>
      <c r="D460" s="14"/>
      <c r="E460" s="12"/>
      <c r="F460" s="307"/>
      <c r="G460" s="307"/>
      <c r="H460" s="12"/>
      <c r="I460" s="30"/>
      <c r="J460" s="12"/>
      <c r="K460" s="12"/>
      <c r="L460" s="12"/>
      <c r="M460" s="12"/>
      <c r="N460" s="12"/>
      <c r="O460" s="308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4"/>
      <c r="BF460" s="12"/>
      <c r="BG460" s="12"/>
      <c r="BH460" s="12" t="str">
        <f>IFERROR(__xludf.DUMMYFUNCTION("IFERROR(INDEX(QUERY(IMPORTRANGE(""1T7HG8KEs-Ob7f3M5atEVN9Yn7IeORGp0QGvggB62ELw"",""Maestro!A:I""),""SELECT Col8 WHERE Col3 = '""&amp;BE460&amp;""'"", 0), 1, 1),""NO ENCONTRADO"")"),"")</f>
        <v/>
      </c>
      <c r="BI460" s="12" t="str">
        <f>IFERROR(__xludf.DUMMYFUNCTION("IFERROR(INDEX(QUERY(IMPORTRANGE(""1T7HG8KEs-Ob7f3M5atEVN9Yn7IeORGp0QGvggB62ELw"",""Maestro!A:I""),""SELECT Col7 WHERE Col3 = '""&amp;BE460&amp;""'"", 0), 1, 1),""NO ENCONTRADO"")"),"")</f>
        <v/>
      </c>
      <c r="BJ460" s="16">
        <f t="shared" si="15"/>
        <v>0</v>
      </c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4"/>
      <c r="BX460" s="14"/>
      <c r="BY460" s="14"/>
      <c r="BZ460" s="14"/>
      <c r="CA460" s="14"/>
      <c r="CB460" s="14"/>
      <c r="CC460" s="14"/>
      <c r="CD460" s="14"/>
      <c r="CE460" s="14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</row>
    <row r="461">
      <c r="A461" s="12"/>
      <c r="B461" s="14"/>
      <c r="C461" s="14"/>
      <c r="D461" s="14"/>
      <c r="E461" s="12"/>
      <c r="F461" s="307"/>
      <c r="G461" s="307"/>
      <c r="H461" s="12"/>
      <c r="I461" s="30"/>
      <c r="J461" s="12"/>
      <c r="K461" s="12"/>
      <c r="L461" s="12"/>
      <c r="M461" s="12"/>
      <c r="N461" s="12"/>
      <c r="O461" s="308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4"/>
      <c r="BF461" s="12"/>
      <c r="BG461" s="12"/>
      <c r="BH461" s="12" t="str">
        <f>IFERROR(__xludf.DUMMYFUNCTION("IFERROR(INDEX(QUERY(IMPORTRANGE(""1T7HG8KEs-Ob7f3M5atEVN9Yn7IeORGp0QGvggB62ELw"",""Maestro!A:I""),""SELECT Col8 WHERE Col3 = '""&amp;BE461&amp;""'"", 0), 1, 1),""NO ENCONTRADO"")"),"")</f>
        <v/>
      </c>
      <c r="BI461" s="12" t="str">
        <f>IFERROR(__xludf.DUMMYFUNCTION("IFERROR(INDEX(QUERY(IMPORTRANGE(""1T7HG8KEs-Ob7f3M5atEVN9Yn7IeORGp0QGvggB62ELw"",""Maestro!A:I""),""SELECT Col7 WHERE Col3 = '""&amp;BE461&amp;""'"", 0), 1, 1),""NO ENCONTRADO"")"),"")</f>
        <v/>
      </c>
      <c r="BJ461" s="16">
        <f t="shared" si="15"/>
        <v>0</v>
      </c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4"/>
      <c r="BX461" s="14"/>
      <c r="BY461" s="14"/>
      <c r="BZ461" s="14"/>
      <c r="CA461" s="14"/>
      <c r="CB461" s="14"/>
      <c r="CC461" s="14"/>
      <c r="CD461" s="14"/>
      <c r="CE461" s="14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</row>
    <row r="462">
      <c r="A462" s="12"/>
      <c r="B462" s="14"/>
      <c r="C462" s="14"/>
      <c r="D462" s="14"/>
      <c r="E462" s="12"/>
      <c r="F462" s="307"/>
      <c r="G462" s="307"/>
      <c r="H462" s="12"/>
      <c r="I462" s="30"/>
      <c r="J462" s="12"/>
      <c r="K462" s="12"/>
      <c r="L462" s="12"/>
      <c r="M462" s="12"/>
      <c r="N462" s="12"/>
      <c r="O462" s="308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4"/>
      <c r="BF462" s="12"/>
      <c r="BG462" s="12"/>
      <c r="BH462" s="12" t="str">
        <f>IFERROR(__xludf.DUMMYFUNCTION("IFERROR(INDEX(QUERY(IMPORTRANGE(""1T7HG8KEs-Ob7f3M5atEVN9Yn7IeORGp0QGvggB62ELw"",""Maestro!A:I""),""SELECT Col8 WHERE Col3 = '""&amp;BE462&amp;""'"", 0), 1, 1),""NO ENCONTRADO"")"),"")</f>
        <v/>
      </c>
      <c r="BI462" s="12" t="str">
        <f>IFERROR(__xludf.DUMMYFUNCTION("IFERROR(INDEX(QUERY(IMPORTRANGE(""1T7HG8KEs-Ob7f3M5atEVN9Yn7IeORGp0QGvggB62ELw"",""Maestro!A:I""),""SELECT Col7 WHERE Col3 = '""&amp;BE462&amp;""'"", 0), 1, 1),""NO ENCONTRADO"")"),"")</f>
        <v/>
      </c>
      <c r="BJ462" s="16">
        <f t="shared" si="15"/>
        <v>0</v>
      </c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4"/>
      <c r="BX462" s="14"/>
      <c r="BY462" s="14"/>
      <c r="BZ462" s="14"/>
      <c r="CA462" s="14"/>
      <c r="CB462" s="14"/>
      <c r="CC462" s="14"/>
      <c r="CD462" s="14"/>
      <c r="CE462" s="14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</row>
    <row r="463">
      <c r="A463" s="12"/>
      <c r="B463" s="14"/>
      <c r="C463" s="14"/>
      <c r="D463" s="14"/>
      <c r="E463" s="12"/>
      <c r="F463" s="307"/>
      <c r="G463" s="307"/>
      <c r="H463" s="12"/>
      <c r="I463" s="30"/>
      <c r="J463" s="12"/>
      <c r="K463" s="12"/>
      <c r="L463" s="12"/>
      <c r="M463" s="12"/>
      <c r="N463" s="12"/>
      <c r="O463" s="308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4"/>
      <c r="BF463" s="12"/>
      <c r="BG463" s="12"/>
      <c r="BH463" s="12" t="str">
        <f>IFERROR(__xludf.DUMMYFUNCTION("IFERROR(INDEX(QUERY(IMPORTRANGE(""1T7HG8KEs-Ob7f3M5atEVN9Yn7IeORGp0QGvggB62ELw"",""Maestro!A:I""),""SELECT Col8 WHERE Col3 = '""&amp;BE463&amp;""'"", 0), 1, 1),""NO ENCONTRADO"")"),"")</f>
        <v/>
      </c>
      <c r="BI463" s="12" t="str">
        <f>IFERROR(__xludf.DUMMYFUNCTION("IFERROR(INDEX(QUERY(IMPORTRANGE(""1T7HG8KEs-Ob7f3M5atEVN9Yn7IeORGp0QGvggB62ELw"",""Maestro!A:I""),""SELECT Col7 WHERE Col3 = '""&amp;BE463&amp;""'"", 0), 1, 1),""NO ENCONTRADO"")"),"")</f>
        <v/>
      </c>
      <c r="BJ463" s="16">
        <f t="shared" si="15"/>
        <v>0</v>
      </c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4"/>
      <c r="BX463" s="14"/>
      <c r="BY463" s="14"/>
      <c r="BZ463" s="14"/>
      <c r="CA463" s="14"/>
      <c r="CB463" s="14"/>
      <c r="CC463" s="14"/>
      <c r="CD463" s="14"/>
      <c r="CE463" s="14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</row>
    <row r="464">
      <c r="A464" s="12"/>
      <c r="B464" s="14"/>
      <c r="C464" s="14"/>
      <c r="D464" s="14"/>
      <c r="E464" s="12"/>
      <c r="F464" s="307"/>
      <c r="G464" s="307"/>
      <c r="H464" s="12"/>
      <c r="I464" s="30"/>
      <c r="J464" s="12"/>
      <c r="K464" s="12"/>
      <c r="L464" s="12"/>
      <c r="M464" s="12"/>
      <c r="N464" s="12"/>
      <c r="O464" s="308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4"/>
      <c r="BF464" s="12"/>
      <c r="BG464" s="12"/>
      <c r="BH464" s="12" t="str">
        <f>IFERROR(__xludf.DUMMYFUNCTION("IFERROR(INDEX(QUERY(IMPORTRANGE(""1T7HG8KEs-Ob7f3M5atEVN9Yn7IeORGp0QGvggB62ELw"",""Maestro!A:I""),""SELECT Col8 WHERE Col3 = '""&amp;BE464&amp;""'"", 0), 1, 1),""NO ENCONTRADO"")"),"")</f>
        <v/>
      </c>
      <c r="BI464" s="12" t="str">
        <f>IFERROR(__xludf.DUMMYFUNCTION("IFERROR(INDEX(QUERY(IMPORTRANGE(""1T7HG8KEs-Ob7f3M5atEVN9Yn7IeORGp0QGvggB62ELw"",""Maestro!A:I""),""SELECT Col7 WHERE Col3 = '""&amp;BE464&amp;""'"", 0), 1, 1),""NO ENCONTRADO"")"),"")</f>
        <v/>
      </c>
      <c r="BJ464" s="16">
        <f t="shared" si="15"/>
        <v>0</v>
      </c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4"/>
      <c r="BX464" s="14"/>
      <c r="BY464" s="14"/>
      <c r="BZ464" s="14"/>
      <c r="CA464" s="14"/>
      <c r="CB464" s="14"/>
      <c r="CC464" s="14"/>
      <c r="CD464" s="14"/>
      <c r="CE464" s="14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</row>
    <row r="465">
      <c r="A465" s="12"/>
      <c r="B465" s="14"/>
      <c r="C465" s="14"/>
      <c r="D465" s="14"/>
      <c r="E465" s="12"/>
      <c r="F465" s="307"/>
      <c r="G465" s="307"/>
      <c r="H465" s="12"/>
      <c r="I465" s="30"/>
      <c r="J465" s="12"/>
      <c r="K465" s="12"/>
      <c r="L465" s="12"/>
      <c r="M465" s="12"/>
      <c r="N465" s="12"/>
      <c r="O465" s="308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4"/>
      <c r="BF465" s="12"/>
      <c r="BG465" s="12"/>
      <c r="BH465" s="12" t="str">
        <f>IFERROR(__xludf.DUMMYFUNCTION("IFERROR(INDEX(QUERY(IMPORTRANGE(""1T7HG8KEs-Ob7f3M5atEVN9Yn7IeORGp0QGvggB62ELw"",""Maestro!A:I""),""SELECT Col8 WHERE Col3 = '""&amp;BE465&amp;""'"", 0), 1, 1),""NO ENCONTRADO"")"),"")</f>
        <v/>
      </c>
      <c r="BI465" s="12" t="str">
        <f>IFERROR(__xludf.DUMMYFUNCTION("IFERROR(INDEX(QUERY(IMPORTRANGE(""1T7HG8KEs-Ob7f3M5atEVN9Yn7IeORGp0QGvggB62ELw"",""Maestro!A:I""),""SELECT Col7 WHERE Col3 = '""&amp;BE465&amp;""'"", 0), 1, 1),""NO ENCONTRADO"")"),"")</f>
        <v/>
      </c>
      <c r="BJ465" s="16">
        <f t="shared" si="15"/>
        <v>0</v>
      </c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4"/>
      <c r="BX465" s="14"/>
      <c r="BY465" s="14"/>
      <c r="BZ465" s="14"/>
      <c r="CA465" s="14"/>
      <c r="CB465" s="14"/>
      <c r="CC465" s="14"/>
      <c r="CD465" s="14"/>
      <c r="CE465" s="14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</row>
    <row r="466">
      <c r="A466" s="12"/>
      <c r="B466" s="14"/>
      <c r="C466" s="14"/>
      <c r="D466" s="14"/>
      <c r="E466" s="12"/>
      <c r="F466" s="307"/>
      <c r="G466" s="307"/>
      <c r="H466" s="12"/>
      <c r="I466" s="30"/>
      <c r="J466" s="12"/>
      <c r="K466" s="12"/>
      <c r="L466" s="12"/>
      <c r="M466" s="12"/>
      <c r="N466" s="12"/>
      <c r="O466" s="308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4"/>
      <c r="BF466" s="12"/>
      <c r="BG466" s="12"/>
      <c r="BH466" s="12" t="str">
        <f>IFERROR(__xludf.DUMMYFUNCTION("IFERROR(INDEX(QUERY(IMPORTRANGE(""1T7HG8KEs-Ob7f3M5atEVN9Yn7IeORGp0QGvggB62ELw"",""Maestro!A:I""),""SELECT Col8 WHERE Col3 = '""&amp;BE466&amp;""'"", 0), 1, 1),""NO ENCONTRADO"")"),"")</f>
        <v/>
      </c>
      <c r="BI466" s="12" t="str">
        <f>IFERROR(__xludf.DUMMYFUNCTION("IFERROR(INDEX(QUERY(IMPORTRANGE(""1T7HG8KEs-Ob7f3M5atEVN9Yn7IeORGp0QGvggB62ELw"",""Maestro!A:I""),""SELECT Col7 WHERE Col3 = '""&amp;BE466&amp;""'"", 0), 1, 1),""NO ENCONTRADO"")"),"")</f>
        <v/>
      </c>
      <c r="BJ466" s="16">
        <f t="shared" si="15"/>
        <v>0</v>
      </c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4"/>
      <c r="BX466" s="14"/>
      <c r="BY466" s="14"/>
      <c r="BZ466" s="14"/>
      <c r="CA466" s="14"/>
      <c r="CB466" s="14"/>
      <c r="CC466" s="14"/>
      <c r="CD466" s="14"/>
      <c r="CE466" s="14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</row>
    <row r="467">
      <c r="A467" s="12"/>
      <c r="B467" s="14"/>
      <c r="C467" s="14"/>
      <c r="D467" s="14"/>
      <c r="E467" s="12"/>
      <c r="F467" s="307"/>
      <c r="G467" s="307"/>
      <c r="H467" s="12"/>
      <c r="I467" s="30"/>
      <c r="J467" s="12"/>
      <c r="K467" s="12"/>
      <c r="L467" s="12"/>
      <c r="M467" s="12"/>
      <c r="N467" s="12"/>
      <c r="O467" s="308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4"/>
      <c r="BF467" s="12"/>
      <c r="BG467" s="12"/>
      <c r="BH467" s="12" t="str">
        <f>IFERROR(__xludf.DUMMYFUNCTION("IFERROR(INDEX(QUERY(IMPORTRANGE(""1T7HG8KEs-Ob7f3M5atEVN9Yn7IeORGp0QGvggB62ELw"",""Maestro!A:I""),""SELECT Col8 WHERE Col3 = '""&amp;BE467&amp;""'"", 0), 1, 1),""NO ENCONTRADO"")"),"")</f>
        <v/>
      </c>
      <c r="BI467" s="12" t="str">
        <f>IFERROR(__xludf.DUMMYFUNCTION("IFERROR(INDEX(QUERY(IMPORTRANGE(""1T7HG8KEs-Ob7f3M5atEVN9Yn7IeORGp0QGvggB62ELw"",""Maestro!A:I""),""SELECT Col7 WHERE Col3 = '""&amp;BE467&amp;""'"", 0), 1, 1),""NO ENCONTRADO"")"),"")</f>
        <v/>
      </c>
      <c r="BJ467" s="16">
        <f t="shared" si="15"/>
        <v>0</v>
      </c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4"/>
      <c r="BX467" s="14"/>
      <c r="BY467" s="14"/>
      <c r="BZ467" s="14"/>
      <c r="CA467" s="14"/>
      <c r="CB467" s="14"/>
      <c r="CC467" s="14"/>
      <c r="CD467" s="14"/>
      <c r="CE467" s="14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</row>
    <row r="468">
      <c r="A468" s="12"/>
      <c r="B468" s="14"/>
      <c r="C468" s="14"/>
      <c r="D468" s="14"/>
      <c r="E468" s="12"/>
      <c r="F468" s="307"/>
      <c r="G468" s="307"/>
      <c r="H468" s="12"/>
      <c r="I468" s="30"/>
      <c r="J468" s="12"/>
      <c r="K468" s="12"/>
      <c r="L468" s="12"/>
      <c r="M468" s="12"/>
      <c r="N468" s="12"/>
      <c r="O468" s="308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4"/>
      <c r="BF468" s="12"/>
      <c r="BG468" s="12"/>
      <c r="BH468" s="12" t="str">
        <f>IFERROR(__xludf.DUMMYFUNCTION("IFERROR(INDEX(QUERY(IMPORTRANGE(""1T7HG8KEs-Ob7f3M5atEVN9Yn7IeORGp0QGvggB62ELw"",""Maestro!A:I""),""SELECT Col8 WHERE Col3 = '""&amp;BE468&amp;""'"", 0), 1, 1),""NO ENCONTRADO"")"),"")</f>
        <v/>
      </c>
      <c r="BI468" s="12" t="str">
        <f>IFERROR(__xludf.DUMMYFUNCTION("IFERROR(INDEX(QUERY(IMPORTRANGE(""1T7HG8KEs-Ob7f3M5atEVN9Yn7IeORGp0QGvggB62ELw"",""Maestro!A:I""),""SELECT Col7 WHERE Col3 = '""&amp;BE468&amp;""'"", 0), 1, 1),""NO ENCONTRADO"")"),"")</f>
        <v/>
      </c>
      <c r="BJ468" s="16">
        <f t="shared" si="15"/>
        <v>0</v>
      </c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4"/>
      <c r="BX468" s="14"/>
      <c r="BY468" s="14"/>
      <c r="BZ468" s="14"/>
      <c r="CA468" s="14"/>
      <c r="CB468" s="14"/>
      <c r="CC468" s="14"/>
      <c r="CD468" s="14"/>
      <c r="CE468" s="14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</row>
    <row r="469">
      <c r="A469" s="12"/>
      <c r="B469" s="14"/>
      <c r="C469" s="14"/>
      <c r="D469" s="14"/>
      <c r="E469" s="12"/>
      <c r="F469" s="307"/>
      <c r="G469" s="307"/>
      <c r="H469" s="12"/>
      <c r="I469" s="30"/>
      <c r="J469" s="12"/>
      <c r="K469" s="12"/>
      <c r="L469" s="12"/>
      <c r="M469" s="12"/>
      <c r="N469" s="12"/>
      <c r="O469" s="308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4"/>
      <c r="BF469" s="12"/>
      <c r="BG469" s="12"/>
      <c r="BH469" s="12" t="str">
        <f>IFERROR(__xludf.DUMMYFUNCTION("IFERROR(INDEX(QUERY(IMPORTRANGE(""1T7HG8KEs-Ob7f3M5atEVN9Yn7IeORGp0QGvggB62ELw"",""Maestro!A:I""),""SELECT Col8 WHERE Col3 = '""&amp;BE469&amp;""'"", 0), 1, 1),""NO ENCONTRADO"")"),"")</f>
        <v/>
      </c>
      <c r="BI469" s="12" t="str">
        <f>IFERROR(__xludf.DUMMYFUNCTION("IFERROR(INDEX(QUERY(IMPORTRANGE(""1T7HG8KEs-Ob7f3M5atEVN9Yn7IeORGp0QGvggB62ELw"",""Maestro!A:I""),""SELECT Col7 WHERE Col3 = '""&amp;BE469&amp;""'"", 0), 1, 1),""NO ENCONTRADO"")"),"")</f>
        <v/>
      </c>
      <c r="BJ469" s="16">
        <f t="shared" si="15"/>
        <v>0</v>
      </c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4"/>
      <c r="BX469" s="14"/>
      <c r="BY469" s="14"/>
      <c r="BZ469" s="14"/>
      <c r="CA469" s="14"/>
      <c r="CB469" s="14"/>
      <c r="CC469" s="14"/>
      <c r="CD469" s="14"/>
      <c r="CE469" s="14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</row>
    <row r="470">
      <c r="A470" s="12"/>
      <c r="B470" s="14"/>
      <c r="C470" s="14"/>
      <c r="D470" s="14"/>
      <c r="E470" s="12"/>
      <c r="F470" s="307"/>
      <c r="G470" s="307"/>
      <c r="H470" s="12"/>
      <c r="I470" s="30"/>
      <c r="J470" s="12"/>
      <c r="K470" s="12"/>
      <c r="L470" s="12"/>
      <c r="M470" s="12"/>
      <c r="N470" s="12"/>
      <c r="O470" s="308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4"/>
      <c r="BF470" s="12"/>
      <c r="BG470" s="12"/>
      <c r="BH470" s="12" t="str">
        <f>IFERROR(__xludf.DUMMYFUNCTION("IFERROR(INDEX(QUERY(IMPORTRANGE(""1T7HG8KEs-Ob7f3M5atEVN9Yn7IeORGp0QGvggB62ELw"",""Maestro!A:I""),""SELECT Col8 WHERE Col3 = '""&amp;BE470&amp;""'"", 0), 1, 1),""NO ENCONTRADO"")"),"")</f>
        <v/>
      </c>
      <c r="BI470" s="12" t="str">
        <f>IFERROR(__xludf.DUMMYFUNCTION("IFERROR(INDEX(QUERY(IMPORTRANGE(""1T7HG8KEs-Ob7f3M5atEVN9Yn7IeORGp0QGvggB62ELw"",""Maestro!A:I""),""SELECT Col7 WHERE Col3 = '""&amp;BE470&amp;""'"", 0), 1, 1),""NO ENCONTRADO"")"),"")</f>
        <v/>
      </c>
      <c r="BJ470" s="16">
        <f t="shared" si="15"/>
        <v>0</v>
      </c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4"/>
      <c r="BX470" s="14"/>
      <c r="BY470" s="14"/>
      <c r="BZ470" s="14"/>
      <c r="CA470" s="14"/>
      <c r="CB470" s="14"/>
      <c r="CC470" s="14"/>
      <c r="CD470" s="14"/>
      <c r="CE470" s="14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</row>
    <row r="471">
      <c r="A471" s="12"/>
      <c r="B471" s="14"/>
      <c r="C471" s="14"/>
      <c r="D471" s="14"/>
      <c r="E471" s="12"/>
      <c r="F471" s="307"/>
      <c r="G471" s="307"/>
      <c r="H471" s="12"/>
      <c r="I471" s="30"/>
      <c r="J471" s="12"/>
      <c r="K471" s="12"/>
      <c r="L471" s="12"/>
      <c r="M471" s="12"/>
      <c r="N471" s="12"/>
      <c r="O471" s="308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4"/>
      <c r="BF471" s="12"/>
      <c r="BG471" s="12"/>
      <c r="BH471" s="12" t="str">
        <f>IFERROR(__xludf.DUMMYFUNCTION("IFERROR(INDEX(QUERY(IMPORTRANGE(""1T7HG8KEs-Ob7f3M5atEVN9Yn7IeORGp0QGvggB62ELw"",""Maestro!A:I""),""SELECT Col8 WHERE Col3 = '""&amp;BE471&amp;""'"", 0), 1, 1),""NO ENCONTRADO"")"),"")</f>
        <v/>
      </c>
      <c r="BI471" s="12" t="str">
        <f>IFERROR(__xludf.DUMMYFUNCTION("IFERROR(INDEX(QUERY(IMPORTRANGE(""1T7HG8KEs-Ob7f3M5atEVN9Yn7IeORGp0QGvggB62ELw"",""Maestro!A:I""),""SELECT Col7 WHERE Col3 = '""&amp;BE471&amp;""'"", 0), 1, 1),""NO ENCONTRADO"")"),"")</f>
        <v/>
      </c>
      <c r="BJ471" s="16">
        <f t="shared" si="15"/>
        <v>0</v>
      </c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4"/>
      <c r="BX471" s="14"/>
      <c r="BY471" s="14"/>
      <c r="BZ471" s="14"/>
      <c r="CA471" s="14"/>
      <c r="CB471" s="14"/>
      <c r="CC471" s="14"/>
      <c r="CD471" s="14"/>
      <c r="CE471" s="14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</row>
    <row r="472">
      <c r="A472" s="12"/>
      <c r="B472" s="14"/>
      <c r="C472" s="14"/>
      <c r="D472" s="14"/>
      <c r="E472" s="12"/>
      <c r="F472" s="307"/>
      <c r="G472" s="307"/>
      <c r="H472" s="12"/>
      <c r="I472" s="30"/>
      <c r="J472" s="12"/>
      <c r="K472" s="12"/>
      <c r="L472" s="12"/>
      <c r="M472" s="12"/>
      <c r="N472" s="12"/>
      <c r="O472" s="308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4"/>
      <c r="BF472" s="12"/>
      <c r="BG472" s="12"/>
      <c r="BH472" s="12" t="str">
        <f>IFERROR(__xludf.DUMMYFUNCTION("IFERROR(INDEX(QUERY(IMPORTRANGE(""1T7HG8KEs-Ob7f3M5atEVN9Yn7IeORGp0QGvggB62ELw"",""Maestro!A:I""),""SELECT Col8 WHERE Col3 = '""&amp;BE472&amp;""'"", 0), 1, 1),""NO ENCONTRADO"")"),"")</f>
        <v/>
      </c>
      <c r="BI472" s="12" t="str">
        <f>IFERROR(__xludf.DUMMYFUNCTION("IFERROR(INDEX(QUERY(IMPORTRANGE(""1T7HG8KEs-Ob7f3M5atEVN9Yn7IeORGp0QGvggB62ELw"",""Maestro!A:I""),""SELECT Col7 WHERE Col3 = '""&amp;BE472&amp;""'"", 0), 1, 1),""NO ENCONTRADO"")"),"")</f>
        <v/>
      </c>
      <c r="BJ472" s="16">
        <f t="shared" si="15"/>
        <v>0</v>
      </c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4"/>
      <c r="BX472" s="14"/>
      <c r="BY472" s="14"/>
      <c r="BZ472" s="14"/>
      <c r="CA472" s="14"/>
      <c r="CB472" s="14"/>
      <c r="CC472" s="14"/>
      <c r="CD472" s="14"/>
      <c r="CE472" s="14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</row>
    <row r="473">
      <c r="A473" s="12"/>
      <c r="B473" s="14"/>
      <c r="C473" s="14"/>
      <c r="D473" s="14"/>
      <c r="E473" s="12"/>
      <c r="F473" s="307"/>
      <c r="G473" s="307"/>
      <c r="H473" s="12"/>
      <c r="I473" s="30"/>
      <c r="J473" s="12"/>
      <c r="K473" s="12"/>
      <c r="L473" s="12"/>
      <c r="M473" s="12"/>
      <c r="N473" s="12"/>
      <c r="O473" s="308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4"/>
      <c r="BF473" s="12"/>
      <c r="BG473" s="12"/>
      <c r="BH473" s="12" t="str">
        <f>IFERROR(__xludf.DUMMYFUNCTION("IFERROR(INDEX(QUERY(IMPORTRANGE(""1T7HG8KEs-Ob7f3M5atEVN9Yn7IeORGp0QGvggB62ELw"",""Maestro!A:I""),""SELECT Col8 WHERE Col3 = '""&amp;BE473&amp;""'"", 0), 1, 1),""NO ENCONTRADO"")"),"")</f>
        <v/>
      </c>
      <c r="BI473" s="12" t="str">
        <f>IFERROR(__xludf.DUMMYFUNCTION("IFERROR(INDEX(QUERY(IMPORTRANGE(""1T7HG8KEs-Ob7f3M5atEVN9Yn7IeORGp0QGvggB62ELw"",""Maestro!A:I""),""SELECT Col7 WHERE Col3 = '""&amp;BE473&amp;""'"", 0), 1, 1),""NO ENCONTRADO"")"),"")</f>
        <v/>
      </c>
      <c r="BJ473" s="16">
        <f t="shared" si="15"/>
        <v>0</v>
      </c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4"/>
      <c r="BX473" s="14"/>
      <c r="BY473" s="14"/>
      <c r="BZ473" s="14"/>
      <c r="CA473" s="14"/>
      <c r="CB473" s="14"/>
      <c r="CC473" s="14"/>
      <c r="CD473" s="14"/>
      <c r="CE473" s="14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</row>
    <row r="474">
      <c r="A474" s="12"/>
      <c r="B474" s="14"/>
      <c r="C474" s="14"/>
      <c r="D474" s="14"/>
      <c r="E474" s="12"/>
      <c r="F474" s="307"/>
      <c r="G474" s="307"/>
      <c r="H474" s="12"/>
      <c r="I474" s="30"/>
      <c r="J474" s="12"/>
      <c r="K474" s="12"/>
      <c r="L474" s="12"/>
      <c r="M474" s="12"/>
      <c r="N474" s="12"/>
      <c r="O474" s="308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4"/>
      <c r="BF474" s="12"/>
      <c r="BG474" s="12"/>
      <c r="BH474" s="12" t="str">
        <f>IFERROR(__xludf.DUMMYFUNCTION("IFERROR(INDEX(QUERY(IMPORTRANGE(""1T7HG8KEs-Ob7f3M5atEVN9Yn7IeORGp0QGvggB62ELw"",""Maestro!A:I""),""SELECT Col8 WHERE Col3 = '""&amp;BE474&amp;""'"", 0), 1, 1),""NO ENCONTRADO"")"),"")</f>
        <v/>
      </c>
      <c r="BI474" s="12" t="str">
        <f>IFERROR(__xludf.DUMMYFUNCTION("IFERROR(INDEX(QUERY(IMPORTRANGE(""1T7HG8KEs-Ob7f3M5atEVN9Yn7IeORGp0QGvggB62ELw"",""Maestro!A:I""),""SELECT Col7 WHERE Col3 = '""&amp;BE474&amp;""'"", 0), 1, 1),""NO ENCONTRADO"")"),"")</f>
        <v/>
      </c>
      <c r="BJ474" s="16">
        <f t="shared" si="15"/>
        <v>0</v>
      </c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4"/>
      <c r="BX474" s="14"/>
      <c r="BY474" s="14"/>
      <c r="BZ474" s="14"/>
      <c r="CA474" s="14"/>
      <c r="CB474" s="14"/>
      <c r="CC474" s="14"/>
      <c r="CD474" s="14"/>
      <c r="CE474" s="14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</row>
    <row r="475">
      <c r="A475" s="12"/>
      <c r="B475" s="14"/>
      <c r="C475" s="14"/>
      <c r="D475" s="14"/>
      <c r="E475" s="12"/>
      <c r="F475" s="307"/>
      <c r="G475" s="307"/>
      <c r="H475" s="12"/>
      <c r="I475" s="30"/>
      <c r="J475" s="12"/>
      <c r="K475" s="12"/>
      <c r="L475" s="12"/>
      <c r="M475" s="12"/>
      <c r="N475" s="12"/>
      <c r="O475" s="308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4"/>
      <c r="BF475" s="12"/>
      <c r="BG475" s="12"/>
      <c r="BH475" s="12" t="str">
        <f>IFERROR(__xludf.DUMMYFUNCTION("IFERROR(INDEX(QUERY(IMPORTRANGE(""1T7HG8KEs-Ob7f3M5atEVN9Yn7IeORGp0QGvggB62ELw"",""Maestro!A:I""),""SELECT Col8 WHERE Col3 = '""&amp;BE475&amp;""'"", 0), 1, 1),""NO ENCONTRADO"")"),"")</f>
        <v/>
      </c>
      <c r="BI475" s="12" t="str">
        <f>IFERROR(__xludf.DUMMYFUNCTION("IFERROR(INDEX(QUERY(IMPORTRANGE(""1T7HG8KEs-Ob7f3M5atEVN9Yn7IeORGp0QGvggB62ELw"",""Maestro!A:I""),""SELECT Col7 WHERE Col3 = '""&amp;BE475&amp;""'"", 0), 1, 1),""NO ENCONTRADO"")"),"")</f>
        <v/>
      </c>
      <c r="BJ475" s="16">
        <f t="shared" si="15"/>
        <v>0</v>
      </c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4"/>
      <c r="BX475" s="14"/>
      <c r="BY475" s="14"/>
      <c r="BZ475" s="14"/>
      <c r="CA475" s="14"/>
      <c r="CB475" s="14"/>
      <c r="CC475" s="14"/>
      <c r="CD475" s="14"/>
      <c r="CE475" s="14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</row>
    <row r="476">
      <c r="A476" s="12"/>
      <c r="B476" s="14"/>
      <c r="C476" s="14"/>
      <c r="D476" s="14"/>
      <c r="E476" s="12"/>
      <c r="F476" s="307"/>
      <c r="G476" s="307"/>
      <c r="H476" s="12"/>
      <c r="I476" s="30"/>
      <c r="J476" s="12"/>
      <c r="K476" s="12"/>
      <c r="L476" s="12"/>
      <c r="M476" s="12"/>
      <c r="N476" s="12"/>
      <c r="O476" s="308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4"/>
      <c r="BF476" s="12"/>
      <c r="BG476" s="12"/>
      <c r="BH476" s="12" t="str">
        <f>IFERROR(__xludf.DUMMYFUNCTION("IFERROR(INDEX(QUERY(IMPORTRANGE(""1T7HG8KEs-Ob7f3M5atEVN9Yn7IeORGp0QGvggB62ELw"",""Maestro!A:I""),""SELECT Col8 WHERE Col3 = '""&amp;BE476&amp;""'"", 0), 1, 1),""NO ENCONTRADO"")"),"")</f>
        <v/>
      </c>
      <c r="BI476" s="12" t="str">
        <f>IFERROR(__xludf.DUMMYFUNCTION("IFERROR(INDEX(QUERY(IMPORTRANGE(""1T7HG8KEs-Ob7f3M5atEVN9Yn7IeORGp0QGvggB62ELw"",""Maestro!A:I""),""SELECT Col7 WHERE Col3 = '""&amp;BE476&amp;""'"", 0), 1, 1),""NO ENCONTRADO"")"),"")</f>
        <v/>
      </c>
      <c r="BJ476" s="16">
        <f t="shared" si="15"/>
        <v>0</v>
      </c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4"/>
      <c r="BX476" s="14"/>
      <c r="BY476" s="14"/>
      <c r="BZ476" s="14"/>
      <c r="CA476" s="14"/>
      <c r="CB476" s="14"/>
      <c r="CC476" s="14"/>
      <c r="CD476" s="14"/>
      <c r="CE476" s="14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</row>
    <row r="477">
      <c r="A477" s="12"/>
      <c r="B477" s="14"/>
      <c r="C477" s="14"/>
      <c r="D477" s="14"/>
      <c r="E477" s="12"/>
      <c r="F477" s="307"/>
      <c r="G477" s="307"/>
      <c r="H477" s="12"/>
      <c r="I477" s="30"/>
      <c r="J477" s="12"/>
      <c r="K477" s="12"/>
      <c r="L477" s="12"/>
      <c r="M477" s="12"/>
      <c r="N477" s="12"/>
      <c r="O477" s="308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4"/>
      <c r="BF477" s="12"/>
      <c r="BG477" s="12"/>
      <c r="BH477" s="12" t="str">
        <f>IFERROR(__xludf.DUMMYFUNCTION("IFERROR(INDEX(QUERY(IMPORTRANGE(""1T7HG8KEs-Ob7f3M5atEVN9Yn7IeORGp0QGvggB62ELw"",""Maestro!A:I""),""SELECT Col8 WHERE Col3 = '""&amp;BE477&amp;""'"", 0), 1, 1),""NO ENCONTRADO"")"),"")</f>
        <v/>
      </c>
      <c r="BI477" s="12" t="str">
        <f>IFERROR(__xludf.DUMMYFUNCTION("IFERROR(INDEX(QUERY(IMPORTRANGE(""1T7HG8KEs-Ob7f3M5atEVN9Yn7IeORGp0QGvggB62ELw"",""Maestro!A:I""),""SELECT Col7 WHERE Col3 = '""&amp;BE477&amp;""'"", 0), 1, 1),""NO ENCONTRADO"")"),"")</f>
        <v/>
      </c>
      <c r="BJ477" s="16">
        <f t="shared" si="15"/>
        <v>0</v>
      </c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4"/>
      <c r="BX477" s="14"/>
      <c r="BY477" s="14"/>
      <c r="BZ477" s="14"/>
      <c r="CA477" s="14"/>
      <c r="CB477" s="14"/>
      <c r="CC477" s="14"/>
      <c r="CD477" s="14"/>
      <c r="CE477" s="14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</row>
    <row r="478">
      <c r="A478" s="12"/>
      <c r="B478" s="14"/>
      <c r="C478" s="14"/>
      <c r="D478" s="14"/>
      <c r="E478" s="12"/>
      <c r="F478" s="307"/>
      <c r="G478" s="307"/>
      <c r="H478" s="12"/>
      <c r="I478" s="30"/>
      <c r="J478" s="12"/>
      <c r="K478" s="12"/>
      <c r="L478" s="12"/>
      <c r="M478" s="12"/>
      <c r="N478" s="12"/>
      <c r="O478" s="308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4"/>
      <c r="BF478" s="12"/>
      <c r="BG478" s="12"/>
      <c r="BH478" s="12" t="str">
        <f>IFERROR(__xludf.DUMMYFUNCTION("IFERROR(INDEX(QUERY(IMPORTRANGE(""1T7HG8KEs-Ob7f3M5atEVN9Yn7IeORGp0QGvggB62ELw"",""Maestro!A:I""),""SELECT Col8 WHERE Col3 = '""&amp;BE478&amp;""'"", 0), 1, 1),""NO ENCONTRADO"")"),"")</f>
        <v/>
      </c>
      <c r="BI478" s="12" t="str">
        <f>IFERROR(__xludf.DUMMYFUNCTION("IFERROR(INDEX(QUERY(IMPORTRANGE(""1T7HG8KEs-Ob7f3M5atEVN9Yn7IeORGp0QGvggB62ELw"",""Maestro!A:I""),""SELECT Col7 WHERE Col3 = '""&amp;BE478&amp;""'"", 0), 1, 1),""NO ENCONTRADO"")"),"")</f>
        <v/>
      </c>
      <c r="BJ478" s="16">
        <f t="shared" si="15"/>
        <v>0</v>
      </c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4"/>
      <c r="BX478" s="14"/>
      <c r="BY478" s="14"/>
      <c r="BZ478" s="14"/>
      <c r="CA478" s="14"/>
      <c r="CB478" s="14"/>
      <c r="CC478" s="14"/>
      <c r="CD478" s="14"/>
      <c r="CE478" s="14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</row>
    <row r="479">
      <c r="A479" s="12"/>
      <c r="B479" s="14"/>
      <c r="C479" s="14"/>
      <c r="D479" s="14"/>
      <c r="E479" s="12"/>
      <c r="F479" s="307"/>
      <c r="G479" s="307"/>
      <c r="H479" s="12"/>
      <c r="I479" s="30"/>
      <c r="J479" s="12"/>
      <c r="K479" s="12"/>
      <c r="L479" s="12"/>
      <c r="M479" s="12"/>
      <c r="N479" s="12"/>
      <c r="O479" s="308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4"/>
      <c r="BF479" s="12"/>
      <c r="BG479" s="12"/>
      <c r="BH479" s="12" t="str">
        <f>IFERROR(__xludf.DUMMYFUNCTION("IFERROR(INDEX(QUERY(IMPORTRANGE(""1T7HG8KEs-Ob7f3M5atEVN9Yn7IeORGp0QGvggB62ELw"",""Maestro!A:I""),""SELECT Col8 WHERE Col3 = '""&amp;BE479&amp;""'"", 0), 1, 1),""NO ENCONTRADO"")"),"")</f>
        <v/>
      </c>
      <c r="BI479" s="12" t="str">
        <f>IFERROR(__xludf.DUMMYFUNCTION("IFERROR(INDEX(QUERY(IMPORTRANGE(""1T7HG8KEs-Ob7f3M5atEVN9Yn7IeORGp0QGvggB62ELw"",""Maestro!A:I""),""SELECT Col7 WHERE Col3 = '""&amp;BE479&amp;""'"", 0), 1, 1),""NO ENCONTRADO"")"),"")</f>
        <v/>
      </c>
      <c r="BJ479" s="16">
        <f t="shared" si="15"/>
        <v>0</v>
      </c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4"/>
      <c r="BX479" s="14"/>
      <c r="BY479" s="14"/>
      <c r="BZ479" s="14"/>
      <c r="CA479" s="14"/>
      <c r="CB479" s="14"/>
      <c r="CC479" s="14"/>
      <c r="CD479" s="14"/>
      <c r="CE479" s="14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</row>
    <row r="480">
      <c r="A480" s="12"/>
      <c r="B480" s="14"/>
      <c r="C480" s="14"/>
      <c r="D480" s="14"/>
      <c r="E480" s="12"/>
      <c r="F480" s="307"/>
      <c r="G480" s="307"/>
      <c r="H480" s="12"/>
      <c r="I480" s="30"/>
      <c r="J480" s="12"/>
      <c r="K480" s="12"/>
      <c r="L480" s="12"/>
      <c r="M480" s="12"/>
      <c r="N480" s="12"/>
      <c r="O480" s="308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4"/>
      <c r="BF480" s="12"/>
      <c r="BG480" s="12"/>
      <c r="BH480" s="12" t="str">
        <f>IFERROR(__xludf.DUMMYFUNCTION("IFERROR(INDEX(QUERY(IMPORTRANGE(""1T7HG8KEs-Ob7f3M5atEVN9Yn7IeORGp0QGvggB62ELw"",""Maestro!A:I""),""SELECT Col8 WHERE Col3 = '""&amp;BE480&amp;""'"", 0), 1, 1),""NO ENCONTRADO"")"),"")</f>
        <v/>
      </c>
      <c r="BI480" s="12" t="str">
        <f>IFERROR(__xludf.DUMMYFUNCTION("IFERROR(INDEX(QUERY(IMPORTRANGE(""1T7HG8KEs-Ob7f3M5atEVN9Yn7IeORGp0QGvggB62ELw"",""Maestro!A:I""),""SELECT Col7 WHERE Col3 = '""&amp;BE480&amp;""'"", 0), 1, 1),""NO ENCONTRADO"")"),"")</f>
        <v/>
      </c>
      <c r="BJ480" s="16">
        <f t="shared" si="15"/>
        <v>0</v>
      </c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4"/>
      <c r="BX480" s="14"/>
      <c r="BY480" s="14"/>
      <c r="BZ480" s="14"/>
      <c r="CA480" s="14"/>
      <c r="CB480" s="14"/>
      <c r="CC480" s="14"/>
      <c r="CD480" s="14"/>
      <c r="CE480" s="14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</row>
    <row r="481">
      <c r="A481" s="12"/>
      <c r="B481" s="14"/>
      <c r="C481" s="14"/>
      <c r="D481" s="14"/>
      <c r="E481" s="12"/>
      <c r="F481" s="307"/>
      <c r="G481" s="307"/>
      <c r="H481" s="12"/>
      <c r="I481" s="30"/>
      <c r="J481" s="12"/>
      <c r="K481" s="12"/>
      <c r="L481" s="12"/>
      <c r="M481" s="12"/>
      <c r="N481" s="12"/>
      <c r="O481" s="308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4"/>
      <c r="BF481" s="12"/>
      <c r="BG481" s="12"/>
      <c r="BH481" s="12" t="str">
        <f>IFERROR(__xludf.DUMMYFUNCTION("IFERROR(INDEX(QUERY(IMPORTRANGE(""1T7HG8KEs-Ob7f3M5atEVN9Yn7IeORGp0QGvggB62ELw"",""Maestro!A:I""),""SELECT Col8 WHERE Col3 = '""&amp;BE481&amp;""'"", 0), 1, 1),""NO ENCONTRADO"")"),"")</f>
        <v/>
      </c>
      <c r="BI481" s="12" t="str">
        <f>IFERROR(__xludf.DUMMYFUNCTION("IFERROR(INDEX(QUERY(IMPORTRANGE(""1T7HG8KEs-Ob7f3M5atEVN9Yn7IeORGp0QGvggB62ELw"",""Maestro!A:I""),""SELECT Col7 WHERE Col3 = '""&amp;BE481&amp;""'"", 0), 1, 1),""NO ENCONTRADO"")"),"")</f>
        <v/>
      </c>
      <c r="BJ481" s="16">
        <f t="shared" si="15"/>
        <v>0</v>
      </c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4"/>
      <c r="BX481" s="14"/>
      <c r="BY481" s="14"/>
      <c r="BZ481" s="14"/>
      <c r="CA481" s="14"/>
      <c r="CB481" s="14"/>
      <c r="CC481" s="14"/>
      <c r="CD481" s="14"/>
      <c r="CE481" s="14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</row>
    <row r="482">
      <c r="A482" s="12"/>
      <c r="B482" s="14"/>
      <c r="C482" s="14"/>
      <c r="D482" s="14"/>
      <c r="E482" s="12"/>
      <c r="F482" s="307"/>
      <c r="G482" s="307"/>
      <c r="H482" s="12"/>
      <c r="I482" s="30"/>
      <c r="J482" s="12"/>
      <c r="K482" s="12"/>
      <c r="L482" s="12"/>
      <c r="M482" s="12"/>
      <c r="N482" s="12"/>
      <c r="O482" s="308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4"/>
      <c r="BF482" s="12"/>
      <c r="BG482" s="12"/>
      <c r="BH482" s="12" t="str">
        <f>IFERROR(__xludf.DUMMYFUNCTION("IFERROR(INDEX(QUERY(IMPORTRANGE(""1T7HG8KEs-Ob7f3M5atEVN9Yn7IeORGp0QGvggB62ELw"",""Maestro!A:I""),""SELECT Col8 WHERE Col3 = '""&amp;BE482&amp;""'"", 0), 1, 1),""NO ENCONTRADO"")"),"")</f>
        <v/>
      </c>
      <c r="BI482" s="12" t="str">
        <f>IFERROR(__xludf.DUMMYFUNCTION("IFERROR(INDEX(QUERY(IMPORTRANGE(""1T7HG8KEs-Ob7f3M5atEVN9Yn7IeORGp0QGvggB62ELw"",""Maestro!A:I""),""SELECT Col7 WHERE Col3 = '""&amp;BE482&amp;""'"", 0), 1, 1),""NO ENCONTRADO"")"),"")</f>
        <v/>
      </c>
      <c r="BJ482" s="16">
        <f t="shared" si="15"/>
        <v>0</v>
      </c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4"/>
      <c r="BX482" s="14"/>
      <c r="BY482" s="14"/>
      <c r="BZ482" s="14"/>
      <c r="CA482" s="14"/>
      <c r="CB482" s="14"/>
      <c r="CC482" s="14"/>
      <c r="CD482" s="14"/>
      <c r="CE482" s="14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</row>
    <row r="483">
      <c r="A483" s="12"/>
      <c r="B483" s="14"/>
      <c r="C483" s="14"/>
      <c r="D483" s="14"/>
      <c r="E483" s="12"/>
      <c r="F483" s="307"/>
      <c r="G483" s="307"/>
      <c r="H483" s="12"/>
      <c r="I483" s="30"/>
      <c r="J483" s="12"/>
      <c r="K483" s="12"/>
      <c r="L483" s="12"/>
      <c r="M483" s="12"/>
      <c r="N483" s="12"/>
      <c r="O483" s="308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4"/>
      <c r="BF483" s="12"/>
      <c r="BG483" s="12"/>
      <c r="BH483" s="12" t="str">
        <f>IFERROR(__xludf.DUMMYFUNCTION("IFERROR(INDEX(QUERY(IMPORTRANGE(""1T7HG8KEs-Ob7f3M5atEVN9Yn7IeORGp0QGvggB62ELw"",""Maestro!A:I""),""SELECT Col8 WHERE Col3 = '""&amp;BE483&amp;""'"", 0), 1, 1),""NO ENCONTRADO"")"),"")</f>
        <v/>
      </c>
      <c r="BI483" s="12" t="str">
        <f>IFERROR(__xludf.DUMMYFUNCTION("IFERROR(INDEX(QUERY(IMPORTRANGE(""1T7HG8KEs-Ob7f3M5atEVN9Yn7IeORGp0QGvggB62ELw"",""Maestro!A:I""),""SELECT Col7 WHERE Col3 = '""&amp;BE483&amp;""'"", 0), 1, 1),""NO ENCONTRADO"")"),"")</f>
        <v/>
      </c>
      <c r="BJ483" s="16">
        <f t="shared" si="15"/>
        <v>0</v>
      </c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4"/>
      <c r="BX483" s="14"/>
      <c r="BY483" s="14"/>
      <c r="BZ483" s="14"/>
      <c r="CA483" s="14"/>
      <c r="CB483" s="14"/>
      <c r="CC483" s="14"/>
      <c r="CD483" s="14"/>
      <c r="CE483" s="14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</row>
    <row r="484">
      <c r="A484" s="12"/>
      <c r="B484" s="14"/>
      <c r="C484" s="14"/>
      <c r="D484" s="14"/>
      <c r="E484" s="12"/>
      <c r="F484" s="307"/>
      <c r="G484" s="307"/>
      <c r="H484" s="12"/>
      <c r="I484" s="30"/>
      <c r="J484" s="12"/>
      <c r="K484" s="12"/>
      <c r="L484" s="12"/>
      <c r="M484" s="12"/>
      <c r="N484" s="12"/>
      <c r="O484" s="308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4"/>
      <c r="BF484" s="12"/>
      <c r="BG484" s="12"/>
      <c r="BH484" s="12" t="str">
        <f>IFERROR(__xludf.DUMMYFUNCTION("IFERROR(INDEX(QUERY(IMPORTRANGE(""1T7HG8KEs-Ob7f3M5atEVN9Yn7IeORGp0QGvggB62ELw"",""Maestro!A:I""),""SELECT Col8 WHERE Col3 = '""&amp;BE484&amp;""'"", 0), 1, 1),""NO ENCONTRADO"")"),"")</f>
        <v/>
      </c>
      <c r="BI484" s="12" t="str">
        <f>IFERROR(__xludf.DUMMYFUNCTION("IFERROR(INDEX(QUERY(IMPORTRANGE(""1T7HG8KEs-Ob7f3M5atEVN9Yn7IeORGp0QGvggB62ELw"",""Maestro!A:I""),""SELECT Col7 WHERE Col3 = '""&amp;BE484&amp;""'"", 0), 1, 1),""NO ENCONTRADO"")"),"")</f>
        <v/>
      </c>
      <c r="BJ484" s="16">
        <f t="shared" si="15"/>
        <v>0</v>
      </c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4"/>
      <c r="BX484" s="14"/>
      <c r="BY484" s="14"/>
      <c r="BZ484" s="14"/>
      <c r="CA484" s="14"/>
      <c r="CB484" s="14"/>
      <c r="CC484" s="14"/>
      <c r="CD484" s="14"/>
      <c r="CE484" s="14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</row>
    <row r="485">
      <c r="A485" s="12"/>
      <c r="B485" s="14"/>
      <c r="C485" s="14"/>
      <c r="D485" s="14"/>
      <c r="E485" s="12"/>
      <c r="F485" s="307"/>
      <c r="G485" s="307"/>
      <c r="H485" s="12"/>
      <c r="I485" s="30"/>
      <c r="J485" s="12"/>
      <c r="K485" s="12"/>
      <c r="L485" s="12"/>
      <c r="M485" s="12"/>
      <c r="N485" s="12"/>
      <c r="O485" s="308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4"/>
      <c r="BF485" s="12"/>
      <c r="BG485" s="12"/>
      <c r="BH485" s="12" t="str">
        <f>IFERROR(__xludf.DUMMYFUNCTION("IFERROR(INDEX(QUERY(IMPORTRANGE(""1T7HG8KEs-Ob7f3M5atEVN9Yn7IeORGp0QGvggB62ELw"",""Maestro!A:I""),""SELECT Col8 WHERE Col3 = '""&amp;BE485&amp;""'"", 0), 1, 1),""NO ENCONTRADO"")"),"")</f>
        <v/>
      </c>
      <c r="BI485" s="12" t="str">
        <f>IFERROR(__xludf.DUMMYFUNCTION("IFERROR(INDEX(QUERY(IMPORTRANGE(""1T7HG8KEs-Ob7f3M5atEVN9Yn7IeORGp0QGvggB62ELw"",""Maestro!A:I""),""SELECT Col7 WHERE Col3 = '""&amp;BE485&amp;""'"", 0), 1, 1),""NO ENCONTRADO"")"),"")</f>
        <v/>
      </c>
      <c r="BJ485" s="16">
        <f t="shared" si="15"/>
        <v>0</v>
      </c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4"/>
      <c r="BX485" s="14"/>
      <c r="BY485" s="14"/>
      <c r="BZ485" s="14"/>
      <c r="CA485" s="14"/>
      <c r="CB485" s="14"/>
      <c r="CC485" s="14"/>
      <c r="CD485" s="14"/>
      <c r="CE485" s="14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</row>
    <row r="486">
      <c r="A486" s="12"/>
      <c r="B486" s="14"/>
      <c r="C486" s="14"/>
      <c r="D486" s="14"/>
      <c r="E486" s="12"/>
      <c r="F486" s="307"/>
      <c r="G486" s="307"/>
      <c r="H486" s="12"/>
      <c r="I486" s="30"/>
      <c r="J486" s="12"/>
      <c r="K486" s="12"/>
      <c r="L486" s="12"/>
      <c r="M486" s="12"/>
      <c r="N486" s="12"/>
      <c r="O486" s="308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4"/>
      <c r="BF486" s="12"/>
      <c r="BG486" s="12"/>
      <c r="BH486" s="12" t="str">
        <f>IFERROR(__xludf.DUMMYFUNCTION("IFERROR(INDEX(QUERY(IMPORTRANGE(""1T7HG8KEs-Ob7f3M5atEVN9Yn7IeORGp0QGvggB62ELw"",""Maestro!A:I""),""SELECT Col8 WHERE Col3 = '""&amp;BE486&amp;""'"", 0), 1, 1),""NO ENCONTRADO"")"),"")</f>
        <v/>
      </c>
      <c r="BI486" s="12" t="str">
        <f>IFERROR(__xludf.DUMMYFUNCTION("IFERROR(INDEX(QUERY(IMPORTRANGE(""1T7HG8KEs-Ob7f3M5atEVN9Yn7IeORGp0QGvggB62ELw"",""Maestro!A:I""),""SELECT Col7 WHERE Col3 = '""&amp;BE486&amp;""'"", 0), 1, 1),""NO ENCONTRADO"")"),"")</f>
        <v/>
      </c>
      <c r="BJ486" s="16">
        <f t="shared" si="15"/>
        <v>0</v>
      </c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4"/>
      <c r="BX486" s="14"/>
      <c r="BY486" s="14"/>
      <c r="BZ486" s="14"/>
      <c r="CA486" s="14"/>
      <c r="CB486" s="14"/>
      <c r="CC486" s="14"/>
      <c r="CD486" s="14"/>
      <c r="CE486" s="14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</row>
    <row r="487">
      <c r="A487" s="12"/>
      <c r="B487" s="14"/>
      <c r="C487" s="14"/>
      <c r="D487" s="14"/>
      <c r="E487" s="12"/>
      <c r="F487" s="307"/>
      <c r="G487" s="307"/>
      <c r="H487" s="12"/>
      <c r="I487" s="30"/>
      <c r="J487" s="12"/>
      <c r="K487" s="12"/>
      <c r="L487" s="12"/>
      <c r="M487" s="12"/>
      <c r="N487" s="12"/>
      <c r="O487" s="308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4"/>
      <c r="BF487" s="12"/>
      <c r="BG487" s="12"/>
      <c r="BH487" s="12" t="str">
        <f>IFERROR(__xludf.DUMMYFUNCTION("IFERROR(INDEX(QUERY(IMPORTRANGE(""1T7HG8KEs-Ob7f3M5atEVN9Yn7IeORGp0QGvggB62ELw"",""Maestro!A:I""),""SELECT Col8 WHERE Col3 = '""&amp;BE487&amp;""'"", 0), 1, 1),""NO ENCONTRADO"")"),"")</f>
        <v/>
      </c>
      <c r="BI487" s="12" t="str">
        <f>IFERROR(__xludf.DUMMYFUNCTION("IFERROR(INDEX(QUERY(IMPORTRANGE(""1T7HG8KEs-Ob7f3M5atEVN9Yn7IeORGp0QGvggB62ELw"",""Maestro!A:I""),""SELECT Col7 WHERE Col3 = '""&amp;BE487&amp;""'"", 0), 1, 1),""NO ENCONTRADO"")"),"")</f>
        <v/>
      </c>
      <c r="BJ487" s="16">
        <f t="shared" si="15"/>
        <v>0</v>
      </c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4"/>
      <c r="BX487" s="14"/>
      <c r="BY487" s="14"/>
      <c r="BZ487" s="14"/>
      <c r="CA487" s="14"/>
      <c r="CB487" s="14"/>
      <c r="CC487" s="14"/>
      <c r="CD487" s="14"/>
      <c r="CE487" s="14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</row>
    <row r="488">
      <c r="A488" s="12"/>
      <c r="B488" s="14"/>
      <c r="C488" s="14"/>
      <c r="D488" s="14"/>
      <c r="E488" s="12"/>
      <c r="F488" s="307"/>
      <c r="G488" s="307"/>
      <c r="H488" s="12"/>
      <c r="I488" s="30"/>
      <c r="J488" s="12"/>
      <c r="K488" s="12"/>
      <c r="L488" s="12"/>
      <c r="M488" s="12"/>
      <c r="N488" s="12"/>
      <c r="O488" s="308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4"/>
      <c r="BF488" s="12"/>
      <c r="BG488" s="12"/>
      <c r="BH488" s="12" t="str">
        <f>IFERROR(__xludf.DUMMYFUNCTION("IFERROR(INDEX(QUERY(IMPORTRANGE(""1T7HG8KEs-Ob7f3M5atEVN9Yn7IeORGp0QGvggB62ELw"",""Maestro!A:I""),""SELECT Col8 WHERE Col3 = '""&amp;BE488&amp;""'"", 0), 1, 1),""NO ENCONTRADO"")"),"")</f>
        <v/>
      </c>
      <c r="BI488" s="12" t="str">
        <f>IFERROR(__xludf.DUMMYFUNCTION("IFERROR(INDEX(QUERY(IMPORTRANGE(""1T7HG8KEs-Ob7f3M5atEVN9Yn7IeORGp0QGvggB62ELw"",""Maestro!A:I""),""SELECT Col7 WHERE Col3 = '""&amp;BE488&amp;""'"", 0), 1, 1),""NO ENCONTRADO"")"),"")</f>
        <v/>
      </c>
      <c r="BJ488" s="16">
        <f t="shared" si="15"/>
        <v>0</v>
      </c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4"/>
      <c r="BX488" s="14"/>
      <c r="BY488" s="14"/>
      <c r="BZ488" s="14"/>
      <c r="CA488" s="14"/>
      <c r="CB488" s="14"/>
      <c r="CC488" s="14"/>
      <c r="CD488" s="14"/>
      <c r="CE488" s="14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</row>
    <row r="489">
      <c r="A489" s="12"/>
      <c r="B489" s="14"/>
      <c r="C489" s="14"/>
      <c r="D489" s="14"/>
      <c r="E489" s="12"/>
      <c r="F489" s="307"/>
      <c r="G489" s="307"/>
      <c r="H489" s="12"/>
      <c r="I489" s="30"/>
      <c r="J489" s="12"/>
      <c r="K489" s="12"/>
      <c r="L489" s="12"/>
      <c r="M489" s="12"/>
      <c r="N489" s="12"/>
      <c r="O489" s="308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4"/>
      <c r="BF489" s="12"/>
      <c r="BG489" s="12"/>
      <c r="BH489" s="12" t="str">
        <f>IFERROR(__xludf.DUMMYFUNCTION("IFERROR(INDEX(QUERY(IMPORTRANGE(""1T7HG8KEs-Ob7f3M5atEVN9Yn7IeORGp0QGvggB62ELw"",""Maestro!A:I""),""SELECT Col8 WHERE Col3 = '""&amp;BE489&amp;""'"", 0), 1, 1),""NO ENCONTRADO"")"),"")</f>
        <v/>
      </c>
      <c r="BI489" s="12" t="str">
        <f>IFERROR(__xludf.DUMMYFUNCTION("IFERROR(INDEX(QUERY(IMPORTRANGE(""1T7HG8KEs-Ob7f3M5atEVN9Yn7IeORGp0QGvggB62ELw"",""Maestro!A:I""),""SELECT Col7 WHERE Col3 = '""&amp;BE489&amp;""'"", 0), 1, 1),""NO ENCONTRADO"")"),"")</f>
        <v/>
      </c>
      <c r="BJ489" s="16">
        <f t="shared" si="15"/>
        <v>0</v>
      </c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4"/>
      <c r="BX489" s="14"/>
      <c r="BY489" s="14"/>
      <c r="BZ489" s="14"/>
      <c r="CA489" s="14"/>
      <c r="CB489" s="14"/>
      <c r="CC489" s="14"/>
      <c r="CD489" s="14"/>
      <c r="CE489" s="14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</row>
    <row r="490">
      <c r="A490" s="12"/>
      <c r="B490" s="14"/>
      <c r="C490" s="14"/>
      <c r="D490" s="14"/>
      <c r="E490" s="12"/>
      <c r="F490" s="307"/>
      <c r="G490" s="307"/>
      <c r="H490" s="12"/>
      <c r="I490" s="30"/>
      <c r="J490" s="12"/>
      <c r="K490" s="12"/>
      <c r="L490" s="12"/>
      <c r="M490" s="12"/>
      <c r="N490" s="12"/>
      <c r="O490" s="308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4"/>
      <c r="BF490" s="12"/>
      <c r="BG490" s="12"/>
      <c r="BH490" s="12" t="str">
        <f>IFERROR(__xludf.DUMMYFUNCTION("IFERROR(INDEX(QUERY(IMPORTRANGE(""1T7HG8KEs-Ob7f3M5atEVN9Yn7IeORGp0QGvggB62ELw"",""Maestro!A:I""),""SELECT Col8 WHERE Col3 = '""&amp;BE490&amp;""'"", 0), 1, 1),""NO ENCONTRADO"")"),"")</f>
        <v/>
      </c>
      <c r="BI490" s="12" t="str">
        <f>IFERROR(__xludf.DUMMYFUNCTION("IFERROR(INDEX(QUERY(IMPORTRANGE(""1T7HG8KEs-Ob7f3M5atEVN9Yn7IeORGp0QGvggB62ELw"",""Maestro!A:I""),""SELECT Col7 WHERE Col3 = '""&amp;BE490&amp;""'"", 0), 1, 1),""NO ENCONTRADO"")"),"")</f>
        <v/>
      </c>
      <c r="BJ490" s="16">
        <f t="shared" si="15"/>
        <v>0</v>
      </c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4"/>
      <c r="BX490" s="14"/>
      <c r="BY490" s="14"/>
      <c r="BZ490" s="14"/>
      <c r="CA490" s="14"/>
      <c r="CB490" s="14"/>
      <c r="CC490" s="14"/>
      <c r="CD490" s="14"/>
      <c r="CE490" s="14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</row>
    <row r="491">
      <c r="A491" s="12"/>
      <c r="B491" s="14"/>
      <c r="C491" s="14"/>
      <c r="D491" s="14"/>
      <c r="E491" s="12"/>
      <c r="F491" s="307"/>
      <c r="G491" s="307"/>
      <c r="H491" s="12"/>
      <c r="I491" s="30"/>
      <c r="J491" s="12"/>
      <c r="K491" s="12"/>
      <c r="L491" s="12"/>
      <c r="M491" s="12"/>
      <c r="N491" s="12"/>
      <c r="O491" s="308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4"/>
      <c r="BF491" s="12"/>
      <c r="BG491" s="12"/>
      <c r="BH491" s="12" t="str">
        <f>IFERROR(__xludf.DUMMYFUNCTION("IFERROR(INDEX(QUERY(IMPORTRANGE(""1T7HG8KEs-Ob7f3M5atEVN9Yn7IeORGp0QGvggB62ELw"",""Maestro!A:I""),""SELECT Col8 WHERE Col3 = '""&amp;BE491&amp;""'"", 0), 1, 1),""NO ENCONTRADO"")"),"")</f>
        <v/>
      </c>
      <c r="BI491" s="12" t="str">
        <f>IFERROR(__xludf.DUMMYFUNCTION("IFERROR(INDEX(QUERY(IMPORTRANGE(""1T7HG8KEs-Ob7f3M5atEVN9Yn7IeORGp0QGvggB62ELw"",""Maestro!A:I""),""SELECT Col7 WHERE Col3 = '""&amp;BE491&amp;""'"", 0), 1, 1),""NO ENCONTRADO"")"),"")</f>
        <v/>
      </c>
      <c r="BJ491" s="16">
        <f t="shared" si="15"/>
        <v>0</v>
      </c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4"/>
      <c r="BX491" s="14"/>
      <c r="BY491" s="14"/>
      <c r="BZ491" s="14"/>
      <c r="CA491" s="14"/>
      <c r="CB491" s="14"/>
      <c r="CC491" s="14"/>
      <c r="CD491" s="14"/>
      <c r="CE491" s="14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</row>
    <row r="492">
      <c r="A492" s="12"/>
      <c r="B492" s="14"/>
      <c r="C492" s="14"/>
      <c r="D492" s="14"/>
      <c r="E492" s="12"/>
      <c r="F492" s="307"/>
      <c r="G492" s="307"/>
      <c r="H492" s="12"/>
      <c r="I492" s="30"/>
      <c r="J492" s="12"/>
      <c r="K492" s="12"/>
      <c r="L492" s="12"/>
      <c r="M492" s="12"/>
      <c r="N492" s="12"/>
      <c r="O492" s="308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4"/>
      <c r="BF492" s="12"/>
      <c r="BG492" s="12"/>
      <c r="BH492" s="12" t="str">
        <f>IFERROR(__xludf.DUMMYFUNCTION("IFERROR(INDEX(QUERY(IMPORTRANGE(""1T7HG8KEs-Ob7f3M5atEVN9Yn7IeORGp0QGvggB62ELw"",""Maestro!A:I""),""SELECT Col8 WHERE Col3 = '""&amp;BE492&amp;""'"", 0), 1, 1),""NO ENCONTRADO"")"),"")</f>
        <v/>
      </c>
      <c r="BI492" s="12" t="str">
        <f>IFERROR(__xludf.DUMMYFUNCTION("IFERROR(INDEX(QUERY(IMPORTRANGE(""1T7HG8KEs-Ob7f3M5atEVN9Yn7IeORGp0QGvggB62ELw"",""Maestro!A:I""),""SELECT Col7 WHERE Col3 = '""&amp;BE492&amp;""'"", 0), 1, 1),""NO ENCONTRADO"")"),"")</f>
        <v/>
      </c>
      <c r="BJ492" s="16">
        <f t="shared" si="15"/>
        <v>0</v>
      </c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4"/>
      <c r="BX492" s="14"/>
      <c r="BY492" s="14"/>
      <c r="BZ492" s="14"/>
      <c r="CA492" s="14"/>
      <c r="CB492" s="14"/>
      <c r="CC492" s="14"/>
      <c r="CD492" s="14"/>
      <c r="CE492" s="14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</row>
    <row r="493">
      <c r="A493" s="12"/>
      <c r="B493" s="14"/>
      <c r="C493" s="14"/>
      <c r="D493" s="14"/>
      <c r="E493" s="12"/>
      <c r="F493" s="307"/>
      <c r="G493" s="307"/>
      <c r="H493" s="12"/>
      <c r="I493" s="30"/>
      <c r="J493" s="12"/>
      <c r="K493" s="12"/>
      <c r="L493" s="12"/>
      <c r="M493" s="12"/>
      <c r="N493" s="12"/>
      <c r="O493" s="308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4"/>
      <c r="BF493" s="12"/>
      <c r="BG493" s="12"/>
      <c r="BH493" s="12" t="str">
        <f>IFERROR(__xludf.DUMMYFUNCTION("IFERROR(INDEX(QUERY(IMPORTRANGE(""1T7HG8KEs-Ob7f3M5atEVN9Yn7IeORGp0QGvggB62ELw"",""Maestro!A:I""),""SELECT Col8 WHERE Col3 = '""&amp;BE493&amp;""'"", 0), 1, 1),""NO ENCONTRADO"")"),"")</f>
        <v/>
      </c>
      <c r="BI493" s="12" t="str">
        <f>IFERROR(__xludf.DUMMYFUNCTION("IFERROR(INDEX(QUERY(IMPORTRANGE(""1T7HG8KEs-Ob7f3M5atEVN9Yn7IeORGp0QGvggB62ELw"",""Maestro!A:I""),""SELECT Col7 WHERE Col3 = '""&amp;BE493&amp;""'"", 0), 1, 1),""NO ENCONTRADO"")"),"")</f>
        <v/>
      </c>
      <c r="BJ493" s="16">
        <f t="shared" si="15"/>
        <v>0</v>
      </c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4"/>
      <c r="BX493" s="14"/>
      <c r="BY493" s="14"/>
      <c r="BZ493" s="14"/>
      <c r="CA493" s="14"/>
      <c r="CB493" s="14"/>
      <c r="CC493" s="14"/>
      <c r="CD493" s="14"/>
      <c r="CE493" s="14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</row>
    <row r="494">
      <c r="A494" s="12"/>
      <c r="B494" s="14"/>
      <c r="C494" s="14"/>
      <c r="D494" s="14"/>
      <c r="E494" s="12"/>
      <c r="F494" s="307"/>
      <c r="G494" s="307"/>
      <c r="H494" s="12"/>
      <c r="I494" s="30"/>
      <c r="J494" s="12"/>
      <c r="K494" s="12"/>
      <c r="L494" s="12"/>
      <c r="M494" s="12"/>
      <c r="N494" s="12"/>
      <c r="O494" s="308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4"/>
      <c r="BF494" s="12"/>
      <c r="BG494" s="12"/>
      <c r="BH494" s="12" t="str">
        <f>IFERROR(__xludf.DUMMYFUNCTION("IFERROR(INDEX(QUERY(IMPORTRANGE(""1T7HG8KEs-Ob7f3M5atEVN9Yn7IeORGp0QGvggB62ELw"",""Maestro!A:I""),""SELECT Col8 WHERE Col3 = '""&amp;BE494&amp;""'"", 0), 1, 1),""NO ENCONTRADO"")"),"")</f>
        <v/>
      </c>
      <c r="BI494" s="12" t="str">
        <f>IFERROR(__xludf.DUMMYFUNCTION("IFERROR(INDEX(QUERY(IMPORTRANGE(""1T7HG8KEs-Ob7f3M5atEVN9Yn7IeORGp0QGvggB62ELw"",""Maestro!A:I""),""SELECT Col7 WHERE Col3 = '""&amp;BE494&amp;""'"", 0), 1, 1),""NO ENCONTRADO"")"),"")</f>
        <v/>
      </c>
      <c r="BJ494" s="16">
        <f t="shared" si="15"/>
        <v>0</v>
      </c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4"/>
      <c r="BX494" s="14"/>
      <c r="BY494" s="14"/>
      <c r="BZ494" s="14"/>
      <c r="CA494" s="14"/>
      <c r="CB494" s="14"/>
      <c r="CC494" s="14"/>
      <c r="CD494" s="14"/>
      <c r="CE494" s="14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</row>
    <row r="495">
      <c r="A495" s="12"/>
      <c r="B495" s="14"/>
      <c r="C495" s="14"/>
      <c r="D495" s="14"/>
      <c r="E495" s="12"/>
      <c r="F495" s="307"/>
      <c r="G495" s="307"/>
      <c r="H495" s="12"/>
      <c r="I495" s="30"/>
      <c r="J495" s="12"/>
      <c r="K495" s="12"/>
      <c r="L495" s="12"/>
      <c r="M495" s="12"/>
      <c r="N495" s="12"/>
      <c r="O495" s="308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4"/>
      <c r="BF495" s="12"/>
      <c r="BG495" s="12"/>
      <c r="BH495" s="12" t="str">
        <f>IFERROR(__xludf.DUMMYFUNCTION("IFERROR(INDEX(QUERY(IMPORTRANGE(""1T7HG8KEs-Ob7f3M5atEVN9Yn7IeORGp0QGvggB62ELw"",""Maestro!A:I""),""SELECT Col8 WHERE Col3 = '""&amp;BE495&amp;""'"", 0), 1, 1),""NO ENCONTRADO"")"),"")</f>
        <v/>
      </c>
      <c r="BI495" s="12" t="str">
        <f>IFERROR(__xludf.DUMMYFUNCTION("IFERROR(INDEX(QUERY(IMPORTRANGE(""1T7HG8KEs-Ob7f3M5atEVN9Yn7IeORGp0QGvggB62ELw"",""Maestro!A:I""),""SELECT Col7 WHERE Col3 = '""&amp;BE495&amp;""'"", 0), 1, 1),""NO ENCONTRADO"")"),"")</f>
        <v/>
      </c>
      <c r="BJ495" s="16">
        <f t="shared" si="15"/>
        <v>0</v>
      </c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4"/>
      <c r="BX495" s="14"/>
      <c r="BY495" s="14"/>
      <c r="BZ495" s="14"/>
      <c r="CA495" s="14"/>
      <c r="CB495" s="14"/>
      <c r="CC495" s="14"/>
      <c r="CD495" s="14"/>
      <c r="CE495" s="14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</row>
    <row r="496">
      <c r="A496" s="12"/>
      <c r="B496" s="14"/>
      <c r="C496" s="14"/>
      <c r="D496" s="14"/>
      <c r="E496" s="12"/>
      <c r="F496" s="307"/>
      <c r="G496" s="307"/>
      <c r="H496" s="12"/>
      <c r="I496" s="30"/>
      <c r="J496" s="12"/>
      <c r="K496" s="12"/>
      <c r="L496" s="12"/>
      <c r="M496" s="12"/>
      <c r="N496" s="12"/>
      <c r="O496" s="308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4"/>
      <c r="BF496" s="12"/>
      <c r="BG496" s="12"/>
      <c r="BH496" s="12" t="str">
        <f>IFERROR(__xludf.DUMMYFUNCTION("IFERROR(INDEX(QUERY(IMPORTRANGE(""1T7HG8KEs-Ob7f3M5atEVN9Yn7IeORGp0QGvggB62ELw"",""Maestro!A:I""),""SELECT Col8 WHERE Col3 = '""&amp;BE496&amp;""'"", 0), 1, 1),""NO ENCONTRADO"")"),"")</f>
        <v/>
      </c>
      <c r="BI496" s="12" t="str">
        <f>IFERROR(__xludf.DUMMYFUNCTION("IFERROR(INDEX(QUERY(IMPORTRANGE(""1T7HG8KEs-Ob7f3M5atEVN9Yn7IeORGp0QGvggB62ELw"",""Maestro!A:I""),""SELECT Col7 WHERE Col3 = '""&amp;BE496&amp;""'"", 0), 1, 1),""NO ENCONTRADO"")"),"")</f>
        <v/>
      </c>
      <c r="BJ496" s="16">
        <f t="shared" si="15"/>
        <v>0</v>
      </c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4"/>
      <c r="BX496" s="14"/>
      <c r="BY496" s="14"/>
      <c r="BZ496" s="14"/>
      <c r="CA496" s="14"/>
      <c r="CB496" s="14"/>
      <c r="CC496" s="14"/>
      <c r="CD496" s="14"/>
      <c r="CE496" s="14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</row>
    <row r="497">
      <c r="A497" s="12"/>
      <c r="B497" s="14"/>
      <c r="C497" s="14"/>
      <c r="D497" s="14"/>
      <c r="E497" s="12"/>
      <c r="F497" s="307"/>
      <c r="G497" s="307"/>
      <c r="H497" s="12"/>
      <c r="I497" s="30"/>
      <c r="J497" s="12"/>
      <c r="K497" s="12"/>
      <c r="L497" s="12"/>
      <c r="M497" s="12"/>
      <c r="N497" s="12"/>
      <c r="O497" s="308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4"/>
      <c r="BF497" s="12"/>
      <c r="BG497" s="12"/>
      <c r="BH497" s="12" t="str">
        <f>IFERROR(__xludf.DUMMYFUNCTION("IFERROR(INDEX(QUERY(IMPORTRANGE(""1T7HG8KEs-Ob7f3M5atEVN9Yn7IeORGp0QGvggB62ELw"",""Maestro!A:I""),""SELECT Col8 WHERE Col3 = '""&amp;BE497&amp;""'"", 0), 1, 1),""NO ENCONTRADO"")"),"")</f>
        <v/>
      </c>
      <c r="BI497" s="12" t="str">
        <f>IFERROR(__xludf.DUMMYFUNCTION("IFERROR(INDEX(QUERY(IMPORTRANGE(""1T7HG8KEs-Ob7f3M5atEVN9Yn7IeORGp0QGvggB62ELw"",""Maestro!A:I""),""SELECT Col7 WHERE Col3 = '""&amp;BE497&amp;""'"", 0), 1, 1),""NO ENCONTRADO"")"),"")</f>
        <v/>
      </c>
      <c r="BJ497" s="16">
        <f t="shared" si="15"/>
        <v>0</v>
      </c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4"/>
      <c r="BX497" s="14"/>
      <c r="BY497" s="14"/>
      <c r="BZ497" s="14"/>
      <c r="CA497" s="14"/>
      <c r="CB497" s="14"/>
      <c r="CC497" s="14"/>
      <c r="CD497" s="14"/>
      <c r="CE497" s="14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</row>
    <row r="498">
      <c r="A498" s="12"/>
      <c r="B498" s="14"/>
      <c r="C498" s="14"/>
      <c r="D498" s="14"/>
      <c r="E498" s="12"/>
      <c r="F498" s="307"/>
      <c r="G498" s="307"/>
      <c r="H498" s="12"/>
      <c r="I498" s="30"/>
      <c r="J498" s="12"/>
      <c r="K498" s="12"/>
      <c r="L498" s="12"/>
      <c r="M498" s="12"/>
      <c r="N498" s="12"/>
      <c r="O498" s="308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4"/>
      <c r="BF498" s="12"/>
      <c r="BG498" s="12"/>
      <c r="BH498" s="12" t="str">
        <f>IFERROR(__xludf.DUMMYFUNCTION("IFERROR(INDEX(QUERY(IMPORTRANGE(""1T7HG8KEs-Ob7f3M5atEVN9Yn7IeORGp0QGvggB62ELw"",""Maestro!A:I""),""SELECT Col8 WHERE Col3 = '""&amp;BE498&amp;""'"", 0), 1, 1),""NO ENCONTRADO"")"),"")</f>
        <v/>
      </c>
      <c r="BI498" s="12" t="str">
        <f>IFERROR(__xludf.DUMMYFUNCTION("IFERROR(INDEX(QUERY(IMPORTRANGE(""1T7HG8KEs-Ob7f3M5atEVN9Yn7IeORGp0QGvggB62ELw"",""Maestro!A:I""),""SELECT Col7 WHERE Col3 = '""&amp;BE498&amp;""'"", 0), 1, 1),""NO ENCONTRADO"")"),"")</f>
        <v/>
      </c>
      <c r="BJ498" s="16">
        <f t="shared" si="15"/>
        <v>0</v>
      </c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4"/>
      <c r="BX498" s="14"/>
      <c r="BY498" s="14"/>
      <c r="BZ498" s="14"/>
      <c r="CA498" s="14"/>
      <c r="CB498" s="14"/>
      <c r="CC498" s="14"/>
      <c r="CD498" s="14"/>
      <c r="CE498" s="14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</row>
    <row r="499">
      <c r="A499" s="12"/>
      <c r="B499" s="14"/>
      <c r="C499" s="14"/>
      <c r="D499" s="14"/>
      <c r="E499" s="12"/>
      <c r="F499" s="307"/>
      <c r="G499" s="307"/>
      <c r="H499" s="12"/>
      <c r="I499" s="30"/>
      <c r="J499" s="12"/>
      <c r="K499" s="12"/>
      <c r="L499" s="12"/>
      <c r="M499" s="12"/>
      <c r="N499" s="12"/>
      <c r="O499" s="308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4"/>
      <c r="BF499" s="12"/>
      <c r="BG499" s="12"/>
      <c r="BH499" s="12" t="str">
        <f>IFERROR(__xludf.DUMMYFUNCTION("IFERROR(INDEX(QUERY(IMPORTRANGE(""1T7HG8KEs-Ob7f3M5atEVN9Yn7IeORGp0QGvggB62ELw"",""Maestro!A:I""),""SELECT Col8 WHERE Col3 = '""&amp;BE499&amp;""'"", 0), 1, 1),""NO ENCONTRADO"")"),"")</f>
        <v/>
      </c>
      <c r="BI499" s="12" t="str">
        <f>IFERROR(__xludf.DUMMYFUNCTION("IFERROR(INDEX(QUERY(IMPORTRANGE(""1T7HG8KEs-Ob7f3M5atEVN9Yn7IeORGp0QGvggB62ELw"",""Maestro!A:I""),""SELECT Col7 WHERE Col3 = '""&amp;BE499&amp;""'"", 0), 1, 1),""NO ENCONTRADO"")"),"")</f>
        <v/>
      </c>
      <c r="BJ499" s="16">
        <f t="shared" si="15"/>
        <v>0</v>
      </c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4"/>
      <c r="BX499" s="14"/>
      <c r="BY499" s="14"/>
      <c r="BZ499" s="14"/>
      <c r="CA499" s="14"/>
      <c r="CB499" s="14"/>
      <c r="CC499" s="14"/>
      <c r="CD499" s="14"/>
      <c r="CE499" s="14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</row>
    <row r="500">
      <c r="A500" s="12"/>
      <c r="B500" s="14"/>
      <c r="C500" s="14"/>
      <c r="D500" s="14"/>
      <c r="E500" s="12"/>
      <c r="F500" s="307"/>
      <c r="G500" s="307"/>
      <c r="H500" s="12"/>
      <c r="I500" s="30"/>
      <c r="J500" s="12"/>
      <c r="K500" s="12"/>
      <c r="L500" s="12"/>
      <c r="M500" s="12"/>
      <c r="N500" s="12"/>
      <c r="O500" s="308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4"/>
      <c r="BF500" s="12"/>
      <c r="BG500" s="12"/>
      <c r="BH500" s="12" t="str">
        <f>IFERROR(__xludf.DUMMYFUNCTION("IFERROR(INDEX(QUERY(IMPORTRANGE(""1T7HG8KEs-Ob7f3M5atEVN9Yn7IeORGp0QGvggB62ELw"",""Maestro!A:I""),""SELECT Col8 WHERE Col3 = '""&amp;BE500&amp;""'"", 0), 1, 1),""NO ENCONTRADO"")"),"")</f>
        <v/>
      </c>
      <c r="BI500" s="12" t="str">
        <f>IFERROR(__xludf.DUMMYFUNCTION("IFERROR(INDEX(QUERY(IMPORTRANGE(""1T7HG8KEs-Ob7f3M5atEVN9Yn7IeORGp0QGvggB62ELw"",""Maestro!A:I""),""SELECT Col7 WHERE Col3 = '""&amp;BE500&amp;""'"", 0), 1, 1),""NO ENCONTRADO"")"),"")</f>
        <v/>
      </c>
      <c r="BJ500" s="16">
        <f t="shared" si="15"/>
        <v>0</v>
      </c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4"/>
      <c r="BX500" s="14"/>
      <c r="BY500" s="14"/>
      <c r="BZ500" s="14"/>
      <c r="CA500" s="14"/>
      <c r="CB500" s="14"/>
      <c r="CC500" s="14"/>
      <c r="CD500" s="14"/>
      <c r="CE500" s="14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</row>
    <row r="501">
      <c r="A501" s="12"/>
      <c r="B501" s="14"/>
      <c r="C501" s="14"/>
      <c r="D501" s="14"/>
      <c r="E501" s="12"/>
      <c r="F501" s="307"/>
      <c r="G501" s="307"/>
      <c r="H501" s="12"/>
      <c r="I501" s="30"/>
      <c r="J501" s="12"/>
      <c r="K501" s="12"/>
      <c r="L501" s="12"/>
      <c r="M501" s="12"/>
      <c r="N501" s="12"/>
      <c r="O501" s="308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4"/>
      <c r="BF501" s="12"/>
      <c r="BG501" s="12"/>
      <c r="BH501" s="12" t="str">
        <f>IFERROR(__xludf.DUMMYFUNCTION("IFERROR(INDEX(QUERY(IMPORTRANGE(""1T7HG8KEs-Ob7f3M5atEVN9Yn7IeORGp0QGvggB62ELw"",""Maestro!A:I""),""SELECT Col8 WHERE Col3 = '""&amp;BE501&amp;""'"", 0), 1, 1),""NO ENCONTRADO"")"),"")</f>
        <v/>
      </c>
      <c r="BI501" s="12" t="str">
        <f>IFERROR(__xludf.DUMMYFUNCTION("IFERROR(INDEX(QUERY(IMPORTRANGE(""1T7HG8KEs-Ob7f3M5atEVN9Yn7IeORGp0QGvggB62ELw"",""Maestro!A:I""),""SELECT Col7 WHERE Col3 = '""&amp;BE501&amp;""'"", 0), 1, 1),""NO ENCONTRADO"")"),"")</f>
        <v/>
      </c>
      <c r="BJ501" s="16">
        <f t="shared" si="15"/>
        <v>0</v>
      </c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4"/>
      <c r="BX501" s="14"/>
      <c r="BY501" s="14"/>
      <c r="BZ501" s="14"/>
      <c r="CA501" s="14"/>
      <c r="CB501" s="14"/>
      <c r="CC501" s="14"/>
      <c r="CD501" s="14"/>
      <c r="CE501" s="14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</row>
    <row r="502">
      <c r="A502" s="12"/>
      <c r="B502" s="14"/>
      <c r="C502" s="14"/>
      <c r="D502" s="14"/>
      <c r="E502" s="12"/>
      <c r="F502" s="307"/>
      <c r="G502" s="307"/>
      <c r="H502" s="12"/>
      <c r="I502" s="30"/>
      <c r="J502" s="12"/>
      <c r="K502" s="12"/>
      <c r="L502" s="12"/>
      <c r="M502" s="12"/>
      <c r="N502" s="12"/>
      <c r="O502" s="308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4"/>
      <c r="BF502" s="12"/>
      <c r="BG502" s="12"/>
      <c r="BH502" s="12" t="str">
        <f>IFERROR(__xludf.DUMMYFUNCTION("IFERROR(INDEX(QUERY(IMPORTRANGE(""1T7HG8KEs-Ob7f3M5atEVN9Yn7IeORGp0QGvggB62ELw"",""Maestro!A:I""),""SELECT Col8 WHERE Col3 = '""&amp;BE502&amp;""'"", 0), 1, 1),""NO ENCONTRADO"")"),"")</f>
        <v/>
      </c>
      <c r="BI502" s="12" t="str">
        <f>IFERROR(__xludf.DUMMYFUNCTION("IFERROR(INDEX(QUERY(IMPORTRANGE(""1T7HG8KEs-Ob7f3M5atEVN9Yn7IeORGp0QGvggB62ELw"",""Maestro!A:I""),""SELECT Col7 WHERE Col3 = '""&amp;BE502&amp;""'"", 0), 1, 1),""NO ENCONTRADO"")"),"")</f>
        <v/>
      </c>
      <c r="BJ502" s="16">
        <f t="shared" si="15"/>
        <v>0</v>
      </c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4"/>
      <c r="BX502" s="14"/>
      <c r="BY502" s="14"/>
      <c r="BZ502" s="14"/>
      <c r="CA502" s="14"/>
      <c r="CB502" s="14"/>
      <c r="CC502" s="14"/>
      <c r="CD502" s="14"/>
      <c r="CE502" s="14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</row>
    <row r="503">
      <c r="A503" s="12"/>
      <c r="B503" s="14"/>
      <c r="C503" s="14"/>
      <c r="D503" s="14"/>
      <c r="E503" s="12"/>
      <c r="F503" s="307"/>
      <c r="G503" s="307"/>
      <c r="H503" s="12"/>
      <c r="I503" s="30"/>
      <c r="J503" s="12"/>
      <c r="K503" s="12"/>
      <c r="L503" s="12"/>
      <c r="M503" s="12"/>
      <c r="N503" s="12"/>
      <c r="O503" s="308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4"/>
      <c r="BF503" s="12"/>
      <c r="BG503" s="12"/>
      <c r="BH503" s="12" t="str">
        <f>IFERROR(__xludf.DUMMYFUNCTION("IFERROR(INDEX(QUERY(IMPORTRANGE(""1T7HG8KEs-Ob7f3M5atEVN9Yn7IeORGp0QGvggB62ELw"",""Maestro!A:I""),""SELECT Col8 WHERE Col3 = '""&amp;BE503&amp;""'"", 0), 1, 1),""NO ENCONTRADO"")"),"")</f>
        <v/>
      </c>
      <c r="BI503" s="12" t="str">
        <f>IFERROR(__xludf.DUMMYFUNCTION("IFERROR(INDEX(QUERY(IMPORTRANGE(""1T7HG8KEs-Ob7f3M5atEVN9Yn7IeORGp0QGvggB62ELw"",""Maestro!A:I""),""SELECT Col7 WHERE Col3 = '""&amp;BE503&amp;""'"", 0), 1, 1),""NO ENCONTRADO"")"),"")</f>
        <v/>
      </c>
      <c r="BJ503" s="16">
        <f t="shared" si="15"/>
        <v>0</v>
      </c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4"/>
      <c r="BX503" s="14"/>
      <c r="BY503" s="14"/>
      <c r="BZ503" s="14"/>
      <c r="CA503" s="14"/>
      <c r="CB503" s="14"/>
      <c r="CC503" s="14"/>
      <c r="CD503" s="14"/>
      <c r="CE503" s="14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</row>
    <row r="504">
      <c r="A504" s="12"/>
      <c r="B504" s="14"/>
      <c r="C504" s="14"/>
      <c r="D504" s="14"/>
      <c r="E504" s="12"/>
      <c r="F504" s="307"/>
      <c r="G504" s="307"/>
      <c r="H504" s="12"/>
      <c r="I504" s="30"/>
      <c r="J504" s="12"/>
      <c r="K504" s="12"/>
      <c r="L504" s="12"/>
      <c r="M504" s="12"/>
      <c r="N504" s="12"/>
      <c r="O504" s="308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4"/>
      <c r="BF504" s="12"/>
      <c r="BG504" s="12"/>
      <c r="BH504" s="12" t="str">
        <f>IFERROR(__xludf.DUMMYFUNCTION("IFERROR(INDEX(QUERY(IMPORTRANGE(""1T7HG8KEs-Ob7f3M5atEVN9Yn7IeORGp0QGvggB62ELw"",""Maestro!A:I""),""SELECT Col8 WHERE Col3 = '""&amp;BE504&amp;""'"", 0), 1, 1),""NO ENCONTRADO"")"),"")</f>
        <v/>
      </c>
      <c r="BI504" s="12" t="str">
        <f>IFERROR(__xludf.DUMMYFUNCTION("IFERROR(INDEX(QUERY(IMPORTRANGE(""1T7HG8KEs-Ob7f3M5atEVN9Yn7IeORGp0QGvggB62ELw"",""Maestro!A:I""),""SELECT Col7 WHERE Col3 = '""&amp;BE504&amp;""'"", 0), 1, 1),""NO ENCONTRADO"")"),"")</f>
        <v/>
      </c>
      <c r="BJ504" s="16">
        <f t="shared" si="15"/>
        <v>0</v>
      </c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4"/>
      <c r="BX504" s="14"/>
      <c r="BY504" s="14"/>
      <c r="BZ504" s="14"/>
      <c r="CA504" s="14"/>
      <c r="CB504" s="14"/>
      <c r="CC504" s="14"/>
      <c r="CD504" s="14"/>
      <c r="CE504" s="14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</row>
    <row r="505">
      <c r="A505" s="12"/>
      <c r="B505" s="14"/>
      <c r="C505" s="14"/>
      <c r="D505" s="14"/>
      <c r="E505" s="12"/>
      <c r="F505" s="307"/>
      <c r="G505" s="307"/>
      <c r="H505" s="12"/>
      <c r="I505" s="30"/>
      <c r="J505" s="12"/>
      <c r="K505" s="12"/>
      <c r="L505" s="12"/>
      <c r="M505" s="12"/>
      <c r="N505" s="12"/>
      <c r="O505" s="308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4"/>
      <c r="BF505" s="12"/>
      <c r="BG505" s="12"/>
      <c r="BH505" s="12" t="str">
        <f>IFERROR(__xludf.DUMMYFUNCTION("IFERROR(INDEX(QUERY(IMPORTRANGE(""1T7HG8KEs-Ob7f3M5atEVN9Yn7IeORGp0QGvggB62ELw"",""Maestro!A:I""),""SELECT Col8 WHERE Col3 = '""&amp;BE505&amp;""'"", 0), 1, 1),""NO ENCONTRADO"")"),"")</f>
        <v/>
      </c>
      <c r="BI505" s="12" t="str">
        <f>IFERROR(__xludf.DUMMYFUNCTION("IFERROR(INDEX(QUERY(IMPORTRANGE(""1T7HG8KEs-Ob7f3M5atEVN9Yn7IeORGp0QGvggB62ELw"",""Maestro!A:I""),""SELECT Col7 WHERE Col3 = '""&amp;BE505&amp;""'"", 0), 1, 1),""NO ENCONTRADO"")"),"")</f>
        <v/>
      </c>
      <c r="BJ505" s="16">
        <f t="shared" si="15"/>
        <v>0</v>
      </c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4"/>
      <c r="BX505" s="14"/>
      <c r="BY505" s="14"/>
      <c r="BZ505" s="14"/>
      <c r="CA505" s="14"/>
      <c r="CB505" s="14"/>
      <c r="CC505" s="14"/>
      <c r="CD505" s="14"/>
      <c r="CE505" s="14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</row>
    <row r="506">
      <c r="A506" s="12"/>
      <c r="B506" s="14"/>
      <c r="C506" s="14"/>
      <c r="D506" s="14"/>
      <c r="E506" s="12"/>
      <c r="F506" s="307"/>
      <c r="G506" s="307"/>
      <c r="H506" s="12"/>
      <c r="I506" s="30"/>
      <c r="J506" s="12"/>
      <c r="K506" s="12"/>
      <c r="L506" s="12"/>
      <c r="M506" s="12"/>
      <c r="N506" s="12"/>
      <c r="O506" s="308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4"/>
      <c r="BF506" s="12"/>
      <c r="BG506" s="12"/>
      <c r="BH506" s="12" t="str">
        <f>IFERROR(__xludf.DUMMYFUNCTION("IFERROR(INDEX(QUERY(IMPORTRANGE(""1T7HG8KEs-Ob7f3M5atEVN9Yn7IeORGp0QGvggB62ELw"",""Maestro!A:I""),""SELECT Col8 WHERE Col3 = '""&amp;BE506&amp;""'"", 0), 1, 1),""NO ENCONTRADO"")"),"")</f>
        <v/>
      </c>
      <c r="BI506" s="12" t="str">
        <f>IFERROR(__xludf.DUMMYFUNCTION("IFERROR(INDEX(QUERY(IMPORTRANGE(""1T7HG8KEs-Ob7f3M5atEVN9Yn7IeORGp0QGvggB62ELw"",""Maestro!A:I""),""SELECT Col7 WHERE Col3 = '""&amp;BE506&amp;""'"", 0), 1, 1),""NO ENCONTRADO"")"),"")</f>
        <v/>
      </c>
      <c r="BJ506" s="16">
        <f t="shared" si="15"/>
        <v>0</v>
      </c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4"/>
      <c r="BX506" s="14"/>
      <c r="BY506" s="14"/>
      <c r="BZ506" s="14"/>
      <c r="CA506" s="14"/>
      <c r="CB506" s="14"/>
      <c r="CC506" s="14"/>
      <c r="CD506" s="14"/>
      <c r="CE506" s="14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</row>
    <row r="507">
      <c r="A507" s="12"/>
      <c r="B507" s="14"/>
      <c r="C507" s="14"/>
      <c r="D507" s="14"/>
      <c r="E507" s="12"/>
      <c r="F507" s="307"/>
      <c r="G507" s="307"/>
      <c r="H507" s="12"/>
      <c r="I507" s="30"/>
      <c r="J507" s="12"/>
      <c r="K507" s="12"/>
      <c r="L507" s="12"/>
      <c r="M507" s="12"/>
      <c r="N507" s="12"/>
      <c r="O507" s="308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4"/>
      <c r="BF507" s="12"/>
      <c r="BG507" s="12"/>
      <c r="BH507" s="12" t="str">
        <f>IFERROR(__xludf.DUMMYFUNCTION("IFERROR(INDEX(QUERY(IMPORTRANGE(""1T7HG8KEs-Ob7f3M5atEVN9Yn7IeORGp0QGvggB62ELw"",""Maestro!A:I""),""SELECT Col8 WHERE Col3 = '""&amp;BE507&amp;""'"", 0), 1, 1),""NO ENCONTRADO"")"),"")</f>
        <v/>
      </c>
      <c r="BI507" s="12" t="str">
        <f>IFERROR(__xludf.DUMMYFUNCTION("IFERROR(INDEX(QUERY(IMPORTRANGE(""1T7HG8KEs-Ob7f3M5atEVN9Yn7IeORGp0QGvggB62ELw"",""Maestro!A:I""),""SELECT Col7 WHERE Col3 = '""&amp;BE507&amp;""'"", 0), 1, 1),""NO ENCONTRADO"")"),"")</f>
        <v/>
      </c>
      <c r="BJ507" s="16">
        <f t="shared" si="15"/>
        <v>0</v>
      </c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4"/>
      <c r="BX507" s="14"/>
      <c r="BY507" s="14"/>
      <c r="BZ507" s="14"/>
      <c r="CA507" s="14"/>
      <c r="CB507" s="14"/>
      <c r="CC507" s="14"/>
      <c r="CD507" s="14"/>
      <c r="CE507" s="14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</row>
    <row r="508">
      <c r="A508" s="12"/>
      <c r="B508" s="14"/>
      <c r="C508" s="14"/>
      <c r="D508" s="14"/>
      <c r="E508" s="12"/>
      <c r="F508" s="307"/>
      <c r="G508" s="307"/>
      <c r="H508" s="12"/>
      <c r="I508" s="30"/>
      <c r="J508" s="12"/>
      <c r="K508" s="12"/>
      <c r="L508" s="12"/>
      <c r="M508" s="12"/>
      <c r="N508" s="12"/>
      <c r="O508" s="308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4"/>
      <c r="BF508" s="12"/>
      <c r="BG508" s="12"/>
      <c r="BH508" s="12" t="str">
        <f>IFERROR(__xludf.DUMMYFUNCTION("IFERROR(INDEX(QUERY(IMPORTRANGE(""1T7HG8KEs-Ob7f3M5atEVN9Yn7IeORGp0QGvggB62ELw"",""Maestro!A:I""),""SELECT Col8 WHERE Col3 = '""&amp;BE508&amp;""'"", 0), 1, 1),""NO ENCONTRADO"")"),"")</f>
        <v/>
      </c>
      <c r="BI508" s="12" t="str">
        <f>IFERROR(__xludf.DUMMYFUNCTION("IFERROR(INDEX(QUERY(IMPORTRANGE(""1T7HG8KEs-Ob7f3M5atEVN9Yn7IeORGp0QGvggB62ELw"",""Maestro!A:I""),""SELECT Col7 WHERE Col3 = '""&amp;BE508&amp;""'"", 0), 1, 1),""NO ENCONTRADO"")"),"")</f>
        <v/>
      </c>
      <c r="BJ508" s="16">
        <f t="shared" si="15"/>
        <v>0</v>
      </c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4"/>
      <c r="BX508" s="14"/>
      <c r="BY508" s="14"/>
      <c r="BZ508" s="14"/>
      <c r="CA508" s="14"/>
      <c r="CB508" s="14"/>
      <c r="CC508" s="14"/>
      <c r="CD508" s="14"/>
      <c r="CE508" s="14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</row>
    <row r="509">
      <c r="A509" s="12"/>
      <c r="B509" s="14"/>
      <c r="C509" s="14"/>
      <c r="D509" s="14"/>
      <c r="E509" s="12"/>
      <c r="F509" s="307"/>
      <c r="G509" s="307"/>
      <c r="H509" s="12"/>
      <c r="I509" s="30"/>
      <c r="J509" s="12"/>
      <c r="K509" s="12"/>
      <c r="L509" s="12"/>
      <c r="M509" s="12"/>
      <c r="N509" s="12"/>
      <c r="O509" s="308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4"/>
      <c r="BF509" s="12"/>
      <c r="BG509" s="12"/>
      <c r="BH509" s="12" t="str">
        <f>IFERROR(__xludf.DUMMYFUNCTION("IFERROR(INDEX(QUERY(IMPORTRANGE(""1T7HG8KEs-Ob7f3M5atEVN9Yn7IeORGp0QGvggB62ELw"",""Maestro!A:I""),""SELECT Col8 WHERE Col3 = '""&amp;BE509&amp;""'"", 0), 1, 1),""NO ENCONTRADO"")"),"")</f>
        <v/>
      </c>
      <c r="BI509" s="12" t="str">
        <f>IFERROR(__xludf.DUMMYFUNCTION("IFERROR(INDEX(QUERY(IMPORTRANGE(""1T7HG8KEs-Ob7f3M5atEVN9Yn7IeORGp0QGvggB62ELw"",""Maestro!A:I""),""SELECT Col7 WHERE Col3 = '""&amp;BE509&amp;""'"", 0), 1, 1),""NO ENCONTRADO"")"),"")</f>
        <v/>
      </c>
      <c r="BJ509" s="16">
        <f t="shared" si="15"/>
        <v>0</v>
      </c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4"/>
      <c r="BX509" s="14"/>
      <c r="BY509" s="14"/>
      <c r="BZ509" s="14"/>
      <c r="CA509" s="14"/>
      <c r="CB509" s="14"/>
      <c r="CC509" s="14"/>
      <c r="CD509" s="14"/>
      <c r="CE509" s="14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</row>
    <row r="510">
      <c r="A510" s="12"/>
      <c r="B510" s="14"/>
      <c r="C510" s="14"/>
      <c r="D510" s="14"/>
      <c r="E510" s="12"/>
      <c r="F510" s="307"/>
      <c r="G510" s="307"/>
      <c r="H510" s="12"/>
      <c r="I510" s="30"/>
      <c r="J510" s="12"/>
      <c r="K510" s="12"/>
      <c r="L510" s="12"/>
      <c r="M510" s="12"/>
      <c r="N510" s="12"/>
      <c r="O510" s="308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4"/>
      <c r="BF510" s="12"/>
      <c r="BG510" s="12"/>
      <c r="BH510" s="12" t="str">
        <f>IFERROR(__xludf.DUMMYFUNCTION("IFERROR(INDEX(QUERY(IMPORTRANGE(""1T7HG8KEs-Ob7f3M5atEVN9Yn7IeORGp0QGvggB62ELw"",""Maestro!A:I""),""SELECT Col8 WHERE Col3 = '""&amp;BE510&amp;""'"", 0), 1, 1),""NO ENCONTRADO"")"),"")</f>
        <v/>
      </c>
      <c r="BI510" s="12" t="str">
        <f>IFERROR(__xludf.DUMMYFUNCTION("IFERROR(INDEX(QUERY(IMPORTRANGE(""1T7HG8KEs-Ob7f3M5atEVN9Yn7IeORGp0QGvggB62ELw"",""Maestro!A:I""),""SELECT Col7 WHERE Col3 = '""&amp;BE510&amp;""'"", 0), 1, 1),""NO ENCONTRADO"")"),"")</f>
        <v/>
      </c>
      <c r="BJ510" s="16">
        <f t="shared" si="15"/>
        <v>0</v>
      </c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4"/>
      <c r="BX510" s="14"/>
      <c r="BY510" s="14"/>
      <c r="BZ510" s="14"/>
      <c r="CA510" s="14"/>
      <c r="CB510" s="14"/>
      <c r="CC510" s="14"/>
      <c r="CD510" s="14"/>
      <c r="CE510" s="14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</row>
    <row r="511">
      <c r="A511" s="12"/>
      <c r="B511" s="14"/>
      <c r="C511" s="14"/>
      <c r="D511" s="14"/>
      <c r="E511" s="12"/>
      <c r="F511" s="307"/>
      <c r="G511" s="307"/>
      <c r="H511" s="12"/>
      <c r="I511" s="30"/>
      <c r="J511" s="12"/>
      <c r="K511" s="12"/>
      <c r="L511" s="12"/>
      <c r="M511" s="12"/>
      <c r="N511" s="12"/>
      <c r="O511" s="308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4"/>
      <c r="BF511" s="12"/>
      <c r="BG511" s="12"/>
      <c r="BH511" s="12" t="str">
        <f>IFERROR(__xludf.DUMMYFUNCTION("IFERROR(INDEX(QUERY(IMPORTRANGE(""1T7HG8KEs-Ob7f3M5atEVN9Yn7IeORGp0QGvggB62ELw"",""Maestro!A:I""),""SELECT Col8 WHERE Col3 = '""&amp;BE511&amp;""'"", 0), 1, 1),""NO ENCONTRADO"")"),"")</f>
        <v/>
      </c>
      <c r="BI511" s="12" t="str">
        <f>IFERROR(__xludf.DUMMYFUNCTION("IFERROR(INDEX(QUERY(IMPORTRANGE(""1T7HG8KEs-Ob7f3M5atEVN9Yn7IeORGp0QGvggB62ELw"",""Maestro!A:I""),""SELECT Col7 WHERE Col3 = '""&amp;BE511&amp;""'"", 0), 1, 1),""NO ENCONTRADO"")"),"")</f>
        <v/>
      </c>
      <c r="BJ511" s="16">
        <f t="shared" si="15"/>
        <v>0</v>
      </c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4"/>
      <c r="BX511" s="14"/>
      <c r="BY511" s="14"/>
      <c r="BZ511" s="14"/>
      <c r="CA511" s="14"/>
      <c r="CB511" s="14"/>
      <c r="CC511" s="14"/>
      <c r="CD511" s="14"/>
      <c r="CE511" s="14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</row>
    <row r="512">
      <c r="A512" s="12"/>
      <c r="B512" s="14"/>
      <c r="C512" s="14"/>
      <c r="D512" s="14"/>
      <c r="E512" s="12"/>
      <c r="F512" s="307"/>
      <c r="G512" s="307"/>
      <c r="H512" s="12"/>
      <c r="I512" s="30"/>
      <c r="J512" s="12"/>
      <c r="K512" s="12"/>
      <c r="L512" s="12"/>
      <c r="M512" s="12"/>
      <c r="N512" s="12"/>
      <c r="O512" s="308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4"/>
      <c r="BF512" s="12"/>
      <c r="BG512" s="12"/>
      <c r="BH512" s="12" t="str">
        <f>IFERROR(__xludf.DUMMYFUNCTION("IFERROR(INDEX(QUERY(IMPORTRANGE(""1T7HG8KEs-Ob7f3M5atEVN9Yn7IeORGp0QGvggB62ELw"",""Maestro!A:I""),""SELECT Col8 WHERE Col3 = '""&amp;BE512&amp;""'"", 0), 1, 1),""NO ENCONTRADO"")"),"")</f>
        <v/>
      </c>
      <c r="BI512" s="12" t="str">
        <f>IFERROR(__xludf.DUMMYFUNCTION("IFERROR(INDEX(QUERY(IMPORTRANGE(""1T7HG8KEs-Ob7f3M5atEVN9Yn7IeORGp0QGvggB62ELw"",""Maestro!A:I""),""SELECT Col7 WHERE Col3 = '""&amp;BE512&amp;""'"", 0), 1, 1),""NO ENCONTRADO"")"),"")</f>
        <v/>
      </c>
      <c r="BJ512" s="16">
        <f t="shared" si="15"/>
        <v>0</v>
      </c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4"/>
      <c r="BX512" s="14"/>
      <c r="BY512" s="14"/>
      <c r="BZ512" s="14"/>
      <c r="CA512" s="14"/>
      <c r="CB512" s="14"/>
      <c r="CC512" s="14"/>
      <c r="CD512" s="14"/>
      <c r="CE512" s="14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</row>
    <row r="513">
      <c r="A513" s="12"/>
      <c r="B513" s="14"/>
      <c r="C513" s="14"/>
      <c r="D513" s="14"/>
      <c r="E513" s="12"/>
      <c r="F513" s="307"/>
      <c r="G513" s="307"/>
      <c r="H513" s="12"/>
      <c r="I513" s="30"/>
      <c r="J513" s="12"/>
      <c r="K513" s="12"/>
      <c r="L513" s="12"/>
      <c r="M513" s="12"/>
      <c r="N513" s="12"/>
      <c r="O513" s="308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4"/>
      <c r="BF513" s="12"/>
      <c r="BG513" s="12"/>
      <c r="BH513" s="12" t="str">
        <f>IFERROR(__xludf.DUMMYFUNCTION("IFERROR(INDEX(QUERY(IMPORTRANGE(""1T7HG8KEs-Ob7f3M5atEVN9Yn7IeORGp0QGvggB62ELw"",""Maestro!A:I""),""SELECT Col8 WHERE Col3 = '""&amp;BE513&amp;""'"", 0), 1, 1),""NO ENCONTRADO"")"),"")</f>
        <v/>
      </c>
      <c r="BI513" s="12" t="str">
        <f>IFERROR(__xludf.DUMMYFUNCTION("IFERROR(INDEX(QUERY(IMPORTRANGE(""1T7HG8KEs-Ob7f3M5atEVN9Yn7IeORGp0QGvggB62ELw"",""Maestro!A:I""),""SELECT Col7 WHERE Col3 = '""&amp;BE513&amp;""'"", 0), 1, 1),""NO ENCONTRADO"")"),"")</f>
        <v/>
      </c>
      <c r="BJ513" s="16">
        <f t="shared" si="15"/>
        <v>0</v>
      </c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4"/>
      <c r="BX513" s="14"/>
      <c r="BY513" s="14"/>
      <c r="BZ513" s="14"/>
      <c r="CA513" s="14"/>
      <c r="CB513" s="14"/>
      <c r="CC513" s="14"/>
      <c r="CD513" s="14"/>
      <c r="CE513" s="14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</row>
    <row r="514">
      <c r="A514" s="12"/>
      <c r="B514" s="14"/>
      <c r="C514" s="14"/>
      <c r="D514" s="14"/>
      <c r="E514" s="12"/>
      <c r="F514" s="307"/>
      <c r="G514" s="307"/>
      <c r="H514" s="12"/>
      <c r="I514" s="30"/>
      <c r="J514" s="12"/>
      <c r="K514" s="12"/>
      <c r="L514" s="12"/>
      <c r="M514" s="12"/>
      <c r="N514" s="12"/>
      <c r="O514" s="308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4"/>
      <c r="BF514" s="12"/>
      <c r="BG514" s="12"/>
      <c r="BH514" s="12" t="str">
        <f>IFERROR(__xludf.DUMMYFUNCTION("IFERROR(INDEX(QUERY(IMPORTRANGE(""1T7HG8KEs-Ob7f3M5atEVN9Yn7IeORGp0QGvggB62ELw"",""Maestro!A:I""),""SELECT Col8 WHERE Col3 = '""&amp;BE514&amp;""'"", 0), 1, 1),""NO ENCONTRADO"")"),"")</f>
        <v/>
      </c>
      <c r="BI514" s="12" t="str">
        <f>IFERROR(__xludf.DUMMYFUNCTION("IFERROR(INDEX(QUERY(IMPORTRANGE(""1T7HG8KEs-Ob7f3M5atEVN9Yn7IeORGp0QGvggB62ELw"",""Maestro!A:I""),""SELECT Col7 WHERE Col3 = '""&amp;BE514&amp;""'"", 0), 1, 1),""NO ENCONTRADO"")"),"")</f>
        <v/>
      </c>
      <c r="BJ514" s="16">
        <f t="shared" si="15"/>
        <v>0</v>
      </c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4"/>
      <c r="BX514" s="14"/>
      <c r="BY514" s="14"/>
      <c r="BZ514" s="14"/>
      <c r="CA514" s="14"/>
      <c r="CB514" s="14"/>
      <c r="CC514" s="14"/>
      <c r="CD514" s="14"/>
      <c r="CE514" s="14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</row>
    <row r="515">
      <c r="A515" s="12"/>
      <c r="B515" s="14"/>
      <c r="C515" s="14"/>
      <c r="D515" s="14"/>
      <c r="E515" s="12"/>
      <c r="F515" s="307"/>
      <c r="G515" s="307"/>
      <c r="H515" s="12"/>
      <c r="I515" s="30"/>
      <c r="J515" s="12"/>
      <c r="K515" s="12"/>
      <c r="L515" s="12"/>
      <c r="M515" s="12"/>
      <c r="N515" s="12"/>
      <c r="O515" s="308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4"/>
      <c r="BF515" s="12"/>
      <c r="BG515" s="12"/>
      <c r="BH515" s="12" t="str">
        <f>IFERROR(__xludf.DUMMYFUNCTION("IFERROR(INDEX(QUERY(IMPORTRANGE(""1T7HG8KEs-Ob7f3M5atEVN9Yn7IeORGp0QGvggB62ELw"",""Maestro!A:I""),""SELECT Col8 WHERE Col3 = '""&amp;BE515&amp;""'"", 0), 1, 1),""NO ENCONTRADO"")"),"")</f>
        <v/>
      </c>
      <c r="BI515" s="12" t="str">
        <f>IFERROR(__xludf.DUMMYFUNCTION("IFERROR(INDEX(QUERY(IMPORTRANGE(""1T7HG8KEs-Ob7f3M5atEVN9Yn7IeORGp0QGvggB62ELw"",""Maestro!A:I""),""SELECT Col7 WHERE Col3 = '""&amp;BE515&amp;""'"", 0), 1, 1),""NO ENCONTRADO"")"),"")</f>
        <v/>
      </c>
      <c r="BJ515" s="16">
        <f t="shared" si="15"/>
        <v>0</v>
      </c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4"/>
      <c r="BX515" s="14"/>
      <c r="BY515" s="14"/>
      <c r="BZ515" s="14"/>
      <c r="CA515" s="14"/>
      <c r="CB515" s="14"/>
      <c r="CC515" s="14"/>
      <c r="CD515" s="14"/>
      <c r="CE515" s="14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</row>
    <row r="516">
      <c r="A516" s="12"/>
      <c r="B516" s="14"/>
      <c r="C516" s="14"/>
      <c r="D516" s="14"/>
      <c r="E516" s="12"/>
      <c r="F516" s="307"/>
      <c r="G516" s="307"/>
      <c r="H516" s="12"/>
      <c r="I516" s="30"/>
      <c r="J516" s="12"/>
      <c r="K516" s="12"/>
      <c r="L516" s="12"/>
      <c r="M516" s="12"/>
      <c r="N516" s="12"/>
      <c r="O516" s="308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4"/>
      <c r="BF516" s="12"/>
      <c r="BG516" s="12"/>
      <c r="BH516" s="12" t="str">
        <f>IFERROR(__xludf.DUMMYFUNCTION("IFERROR(INDEX(QUERY(IMPORTRANGE(""1T7HG8KEs-Ob7f3M5atEVN9Yn7IeORGp0QGvggB62ELw"",""Maestro!A:I""),""SELECT Col8 WHERE Col3 = '""&amp;BE516&amp;""'"", 0), 1, 1),""NO ENCONTRADO"")"),"")</f>
        <v/>
      </c>
      <c r="BI516" s="12" t="str">
        <f>IFERROR(__xludf.DUMMYFUNCTION("IFERROR(INDEX(QUERY(IMPORTRANGE(""1T7HG8KEs-Ob7f3M5atEVN9Yn7IeORGp0QGvggB62ELw"",""Maestro!A:I""),""SELECT Col7 WHERE Col3 = '""&amp;BE516&amp;""'"", 0), 1, 1),""NO ENCONTRADO"")"),"")</f>
        <v/>
      </c>
      <c r="BJ516" s="16">
        <f t="shared" si="15"/>
        <v>0</v>
      </c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4"/>
      <c r="BX516" s="14"/>
      <c r="BY516" s="14"/>
      <c r="BZ516" s="14"/>
      <c r="CA516" s="14"/>
      <c r="CB516" s="14"/>
      <c r="CC516" s="14"/>
      <c r="CD516" s="14"/>
      <c r="CE516" s="14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</row>
    <row r="517">
      <c r="A517" s="12"/>
      <c r="B517" s="14"/>
      <c r="C517" s="14"/>
      <c r="D517" s="14"/>
      <c r="E517" s="12"/>
      <c r="F517" s="307"/>
      <c r="G517" s="307"/>
      <c r="H517" s="12"/>
      <c r="I517" s="30"/>
      <c r="J517" s="12"/>
      <c r="K517" s="12"/>
      <c r="L517" s="12"/>
      <c r="M517" s="12"/>
      <c r="N517" s="12"/>
      <c r="O517" s="308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4"/>
      <c r="BF517" s="12"/>
      <c r="BG517" s="12"/>
      <c r="BH517" s="12" t="str">
        <f>IFERROR(__xludf.DUMMYFUNCTION("IFERROR(INDEX(QUERY(IMPORTRANGE(""1T7HG8KEs-Ob7f3M5atEVN9Yn7IeORGp0QGvggB62ELw"",""Maestro!A:I""),""SELECT Col8 WHERE Col3 = '""&amp;BE517&amp;""'"", 0), 1, 1),""NO ENCONTRADO"")"),"")</f>
        <v/>
      </c>
      <c r="BI517" s="12" t="str">
        <f>IFERROR(__xludf.DUMMYFUNCTION("IFERROR(INDEX(QUERY(IMPORTRANGE(""1T7HG8KEs-Ob7f3M5atEVN9Yn7IeORGp0QGvggB62ELw"",""Maestro!A:I""),""SELECT Col7 WHERE Col3 = '""&amp;BE517&amp;""'"", 0), 1, 1),""NO ENCONTRADO"")"),"")</f>
        <v/>
      </c>
      <c r="BJ517" s="16">
        <f t="shared" si="15"/>
        <v>0</v>
      </c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4"/>
      <c r="BX517" s="14"/>
      <c r="BY517" s="14"/>
      <c r="BZ517" s="14"/>
      <c r="CA517" s="14"/>
      <c r="CB517" s="14"/>
      <c r="CC517" s="14"/>
      <c r="CD517" s="14"/>
      <c r="CE517" s="14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</row>
    <row r="518">
      <c r="A518" s="12"/>
      <c r="B518" s="14"/>
      <c r="C518" s="14"/>
      <c r="D518" s="14"/>
      <c r="E518" s="12"/>
      <c r="F518" s="307"/>
      <c r="G518" s="307"/>
      <c r="H518" s="12"/>
      <c r="I518" s="30"/>
      <c r="J518" s="12"/>
      <c r="K518" s="12"/>
      <c r="L518" s="12"/>
      <c r="M518" s="12"/>
      <c r="N518" s="12"/>
      <c r="O518" s="308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4"/>
      <c r="BF518" s="12"/>
      <c r="BG518" s="12"/>
      <c r="BH518" s="12" t="str">
        <f>IFERROR(__xludf.DUMMYFUNCTION("IFERROR(INDEX(QUERY(IMPORTRANGE(""1T7HG8KEs-Ob7f3M5atEVN9Yn7IeORGp0QGvggB62ELw"",""Maestro!A:I""),""SELECT Col8 WHERE Col3 = '""&amp;BE518&amp;""'"", 0), 1, 1),""NO ENCONTRADO"")"),"")</f>
        <v/>
      </c>
      <c r="BI518" s="12" t="str">
        <f>IFERROR(__xludf.DUMMYFUNCTION("IFERROR(INDEX(QUERY(IMPORTRANGE(""1T7HG8KEs-Ob7f3M5atEVN9Yn7IeORGp0QGvggB62ELw"",""Maestro!A:I""),""SELECT Col7 WHERE Col3 = '""&amp;BE518&amp;""'"", 0), 1, 1),""NO ENCONTRADO"")"),"")</f>
        <v/>
      </c>
      <c r="BJ518" s="16">
        <f t="shared" si="15"/>
        <v>0</v>
      </c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4"/>
      <c r="BX518" s="14"/>
      <c r="BY518" s="14"/>
      <c r="BZ518" s="14"/>
      <c r="CA518" s="14"/>
      <c r="CB518" s="14"/>
      <c r="CC518" s="14"/>
      <c r="CD518" s="14"/>
      <c r="CE518" s="14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</row>
    <row r="519">
      <c r="A519" s="12"/>
      <c r="B519" s="14"/>
      <c r="C519" s="14"/>
      <c r="D519" s="14"/>
      <c r="E519" s="12"/>
      <c r="F519" s="307"/>
      <c r="G519" s="307"/>
      <c r="H519" s="12"/>
      <c r="I519" s="30"/>
      <c r="J519" s="12"/>
      <c r="K519" s="12"/>
      <c r="L519" s="12"/>
      <c r="M519" s="12"/>
      <c r="N519" s="12"/>
      <c r="O519" s="308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4"/>
      <c r="BF519" s="12"/>
      <c r="BG519" s="12"/>
      <c r="BH519" s="12" t="str">
        <f>IFERROR(__xludf.DUMMYFUNCTION("IFERROR(INDEX(QUERY(IMPORTRANGE(""1T7HG8KEs-Ob7f3M5atEVN9Yn7IeORGp0QGvggB62ELw"",""Maestro!A:I""),""SELECT Col8 WHERE Col3 = '""&amp;BE519&amp;""'"", 0), 1, 1),""NO ENCONTRADO"")"),"")</f>
        <v/>
      </c>
      <c r="BI519" s="12" t="str">
        <f>IFERROR(__xludf.DUMMYFUNCTION("IFERROR(INDEX(QUERY(IMPORTRANGE(""1T7HG8KEs-Ob7f3M5atEVN9Yn7IeORGp0QGvggB62ELw"",""Maestro!A:I""),""SELECT Col7 WHERE Col3 = '""&amp;BE519&amp;""'"", 0), 1, 1),""NO ENCONTRADO"")"),"")</f>
        <v/>
      </c>
      <c r="BJ519" s="16">
        <f t="shared" si="15"/>
        <v>0</v>
      </c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4"/>
      <c r="BX519" s="14"/>
      <c r="BY519" s="14"/>
      <c r="BZ519" s="14"/>
      <c r="CA519" s="14"/>
      <c r="CB519" s="14"/>
      <c r="CC519" s="14"/>
      <c r="CD519" s="14"/>
      <c r="CE519" s="14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</row>
    <row r="520">
      <c r="A520" s="12"/>
      <c r="B520" s="14"/>
      <c r="C520" s="14"/>
      <c r="D520" s="14"/>
      <c r="E520" s="12"/>
      <c r="F520" s="307"/>
      <c r="G520" s="307"/>
      <c r="H520" s="12"/>
      <c r="I520" s="30"/>
      <c r="J520" s="12"/>
      <c r="K520" s="12"/>
      <c r="L520" s="12"/>
      <c r="M520" s="12"/>
      <c r="N520" s="12"/>
      <c r="O520" s="308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4"/>
      <c r="BF520" s="12"/>
      <c r="BG520" s="12"/>
      <c r="BH520" s="12" t="str">
        <f>IFERROR(__xludf.DUMMYFUNCTION("IFERROR(INDEX(QUERY(IMPORTRANGE(""1T7HG8KEs-Ob7f3M5atEVN9Yn7IeORGp0QGvggB62ELw"",""Maestro!A:I""),""SELECT Col8 WHERE Col3 = '""&amp;BE520&amp;""'"", 0), 1, 1),""NO ENCONTRADO"")"),"")</f>
        <v/>
      </c>
      <c r="BI520" s="12" t="str">
        <f>IFERROR(__xludf.DUMMYFUNCTION("IFERROR(INDEX(QUERY(IMPORTRANGE(""1T7HG8KEs-Ob7f3M5atEVN9Yn7IeORGp0QGvggB62ELw"",""Maestro!A:I""),""SELECT Col7 WHERE Col3 = '""&amp;BE520&amp;""'"", 0), 1, 1),""NO ENCONTRADO"")"),"")</f>
        <v/>
      </c>
      <c r="BJ520" s="16">
        <f t="shared" si="15"/>
        <v>0</v>
      </c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4"/>
      <c r="BX520" s="14"/>
      <c r="BY520" s="14"/>
      <c r="BZ520" s="14"/>
      <c r="CA520" s="14"/>
      <c r="CB520" s="14"/>
      <c r="CC520" s="14"/>
      <c r="CD520" s="14"/>
      <c r="CE520" s="14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</row>
    <row r="521">
      <c r="A521" s="12"/>
      <c r="B521" s="14"/>
      <c r="C521" s="14"/>
      <c r="D521" s="14"/>
      <c r="E521" s="12"/>
      <c r="F521" s="307"/>
      <c r="G521" s="307"/>
      <c r="H521" s="12"/>
      <c r="I521" s="30"/>
      <c r="J521" s="12"/>
      <c r="K521" s="12"/>
      <c r="L521" s="12"/>
      <c r="M521" s="12"/>
      <c r="N521" s="12"/>
      <c r="O521" s="308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4"/>
      <c r="BF521" s="12"/>
      <c r="BG521" s="12"/>
      <c r="BH521" s="12" t="str">
        <f>IFERROR(__xludf.DUMMYFUNCTION("IFERROR(INDEX(QUERY(IMPORTRANGE(""1T7HG8KEs-Ob7f3M5atEVN9Yn7IeORGp0QGvggB62ELw"",""Maestro!A:I""),""SELECT Col8 WHERE Col3 = '""&amp;BE521&amp;""'"", 0), 1, 1),""NO ENCONTRADO"")"),"")</f>
        <v/>
      </c>
      <c r="BI521" s="12" t="str">
        <f>IFERROR(__xludf.DUMMYFUNCTION("IFERROR(INDEX(QUERY(IMPORTRANGE(""1T7HG8KEs-Ob7f3M5atEVN9Yn7IeORGp0QGvggB62ELw"",""Maestro!A:I""),""SELECT Col7 WHERE Col3 = '""&amp;BE521&amp;""'"", 0), 1, 1),""NO ENCONTRADO"")"),"")</f>
        <v/>
      </c>
      <c r="BJ521" s="16">
        <f t="shared" si="15"/>
        <v>0</v>
      </c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4"/>
      <c r="BX521" s="14"/>
      <c r="BY521" s="14"/>
      <c r="BZ521" s="14"/>
      <c r="CA521" s="14"/>
      <c r="CB521" s="14"/>
      <c r="CC521" s="14"/>
      <c r="CD521" s="14"/>
      <c r="CE521" s="14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</row>
    <row r="522">
      <c r="A522" s="12"/>
      <c r="B522" s="14"/>
      <c r="C522" s="14"/>
      <c r="D522" s="14"/>
      <c r="E522" s="12"/>
      <c r="F522" s="307"/>
      <c r="G522" s="307"/>
      <c r="H522" s="12"/>
      <c r="I522" s="30"/>
      <c r="J522" s="12"/>
      <c r="K522" s="12"/>
      <c r="L522" s="12"/>
      <c r="M522" s="12"/>
      <c r="N522" s="12"/>
      <c r="O522" s="308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4"/>
      <c r="BF522" s="12"/>
      <c r="BG522" s="12"/>
      <c r="BH522" s="12" t="str">
        <f>IFERROR(__xludf.DUMMYFUNCTION("IFERROR(INDEX(QUERY(IMPORTRANGE(""1T7HG8KEs-Ob7f3M5atEVN9Yn7IeORGp0QGvggB62ELw"",""Maestro!A:I""),""SELECT Col8 WHERE Col3 = '""&amp;BE522&amp;""'"", 0), 1, 1),""NO ENCONTRADO"")"),"")</f>
        <v/>
      </c>
      <c r="BI522" s="12" t="str">
        <f>IFERROR(__xludf.DUMMYFUNCTION("IFERROR(INDEX(QUERY(IMPORTRANGE(""1T7HG8KEs-Ob7f3M5atEVN9Yn7IeORGp0QGvggB62ELw"",""Maestro!A:I""),""SELECT Col7 WHERE Col3 = '""&amp;BE522&amp;""'"", 0), 1, 1),""NO ENCONTRADO"")"),"")</f>
        <v/>
      </c>
      <c r="BJ522" s="16">
        <f t="shared" si="15"/>
        <v>0</v>
      </c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4"/>
      <c r="BX522" s="14"/>
      <c r="BY522" s="14"/>
      <c r="BZ522" s="14"/>
      <c r="CA522" s="14"/>
      <c r="CB522" s="14"/>
      <c r="CC522" s="14"/>
      <c r="CD522" s="14"/>
      <c r="CE522" s="14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</row>
    <row r="523">
      <c r="A523" s="12"/>
      <c r="B523" s="14"/>
      <c r="C523" s="14"/>
      <c r="D523" s="14"/>
      <c r="E523" s="12"/>
      <c r="F523" s="307"/>
      <c r="G523" s="307"/>
      <c r="H523" s="12"/>
      <c r="I523" s="30"/>
      <c r="J523" s="12"/>
      <c r="K523" s="12"/>
      <c r="L523" s="12"/>
      <c r="M523" s="12"/>
      <c r="N523" s="12"/>
      <c r="O523" s="308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4"/>
      <c r="BF523" s="12"/>
      <c r="BG523" s="12"/>
      <c r="BH523" s="12" t="str">
        <f>IFERROR(__xludf.DUMMYFUNCTION("IFERROR(INDEX(QUERY(IMPORTRANGE(""1T7HG8KEs-Ob7f3M5atEVN9Yn7IeORGp0QGvggB62ELw"",""Maestro!A:I""),""SELECT Col8 WHERE Col3 = '""&amp;BE523&amp;""'"", 0), 1, 1),""NO ENCONTRADO"")"),"")</f>
        <v/>
      </c>
      <c r="BI523" s="12" t="str">
        <f>IFERROR(__xludf.DUMMYFUNCTION("IFERROR(INDEX(QUERY(IMPORTRANGE(""1T7HG8KEs-Ob7f3M5atEVN9Yn7IeORGp0QGvggB62ELw"",""Maestro!A:I""),""SELECT Col7 WHERE Col3 = '""&amp;BE523&amp;""'"", 0), 1, 1),""NO ENCONTRADO"")"),"")</f>
        <v/>
      </c>
      <c r="BJ523" s="16">
        <f t="shared" si="15"/>
        <v>0</v>
      </c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4"/>
      <c r="BX523" s="14"/>
      <c r="BY523" s="14"/>
      <c r="BZ523" s="14"/>
      <c r="CA523" s="14"/>
      <c r="CB523" s="14"/>
      <c r="CC523" s="14"/>
      <c r="CD523" s="14"/>
      <c r="CE523" s="14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</row>
    <row r="524">
      <c r="A524" s="12"/>
      <c r="B524" s="14"/>
      <c r="C524" s="14"/>
      <c r="D524" s="14"/>
      <c r="E524" s="12"/>
      <c r="F524" s="307"/>
      <c r="G524" s="307"/>
      <c r="H524" s="12"/>
      <c r="I524" s="30"/>
      <c r="J524" s="12"/>
      <c r="K524" s="12"/>
      <c r="L524" s="12"/>
      <c r="M524" s="12"/>
      <c r="N524" s="12"/>
      <c r="O524" s="308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4"/>
      <c r="BF524" s="12"/>
      <c r="BG524" s="12"/>
      <c r="BH524" s="12" t="str">
        <f>IFERROR(__xludf.DUMMYFUNCTION("IFERROR(INDEX(QUERY(IMPORTRANGE(""1T7HG8KEs-Ob7f3M5atEVN9Yn7IeORGp0QGvggB62ELw"",""Maestro!A:I""),""SELECT Col8 WHERE Col3 = '""&amp;BE524&amp;""'"", 0), 1, 1),""NO ENCONTRADO"")"),"")</f>
        <v/>
      </c>
      <c r="BI524" s="12" t="str">
        <f>IFERROR(__xludf.DUMMYFUNCTION("IFERROR(INDEX(QUERY(IMPORTRANGE(""1T7HG8KEs-Ob7f3M5atEVN9Yn7IeORGp0QGvggB62ELw"",""Maestro!A:I""),""SELECT Col7 WHERE Col3 = '""&amp;BE524&amp;""'"", 0), 1, 1),""NO ENCONTRADO"")"),"")</f>
        <v/>
      </c>
      <c r="BJ524" s="16">
        <f t="shared" si="15"/>
        <v>0</v>
      </c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4"/>
      <c r="BX524" s="14"/>
      <c r="BY524" s="14"/>
      <c r="BZ524" s="14"/>
      <c r="CA524" s="14"/>
      <c r="CB524" s="14"/>
      <c r="CC524" s="14"/>
      <c r="CD524" s="14"/>
      <c r="CE524" s="14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</row>
    <row r="525">
      <c r="A525" s="12"/>
      <c r="B525" s="14"/>
      <c r="C525" s="14"/>
      <c r="D525" s="14"/>
      <c r="E525" s="12"/>
      <c r="F525" s="307"/>
      <c r="G525" s="307"/>
      <c r="H525" s="12"/>
      <c r="I525" s="30"/>
      <c r="J525" s="12"/>
      <c r="K525" s="12"/>
      <c r="L525" s="12"/>
      <c r="M525" s="12"/>
      <c r="N525" s="12"/>
      <c r="O525" s="308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4"/>
      <c r="BF525" s="12"/>
      <c r="BG525" s="12"/>
      <c r="BH525" s="12" t="str">
        <f>IFERROR(__xludf.DUMMYFUNCTION("IFERROR(INDEX(QUERY(IMPORTRANGE(""1T7HG8KEs-Ob7f3M5atEVN9Yn7IeORGp0QGvggB62ELw"",""Maestro!A:I""),""SELECT Col8 WHERE Col3 = '""&amp;BE525&amp;""'"", 0), 1, 1),""NO ENCONTRADO"")"),"")</f>
        <v/>
      </c>
      <c r="BI525" s="12" t="str">
        <f>IFERROR(__xludf.DUMMYFUNCTION("IFERROR(INDEX(QUERY(IMPORTRANGE(""1T7HG8KEs-Ob7f3M5atEVN9Yn7IeORGp0QGvggB62ELw"",""Maestro!A:I""),""SELECT Col7 WHERE Col3 = '""&amp;BE525&amp;""'"", 0), 1, 1),""NO ENCONTRADO"")"),"")</f>
        <v/>
      </c>
      <c r="BJ525" s="16">
        <f t="shared" si="15"/>
        <v>0</v>
      </c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4"/>
      <c r="BX525" s="14"/>
      <c r="BY525" s="14"/>
      <c r="BZ525" s="14"/>
      <c r="CA525" s="14"/>
      <c r="CB525" s="14"/>
      <c r="CC525" s="14"/>
      <c r="CD525" s="14"/>
      <c r="CE525" s="14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</row>
    <row r="526">
      <c r="A526" s="12"/>
      <c r="B526" s="14"/>
      <c r="C526" s="14"/>
      <c r="D526" s="14"/>
      <c r="E526" s="12"/>
      <c r="F526" s="307"/>
      <c r="G526" s="307"/>
      <c r="H526" s="12"/>
      <c r="I526" s="30"/>
      <c r="J526" s="12"/>
      <c r="K526" s="12"/>
      <c r="L526" s="12"/>
      <c r="M526" s="12"/>
      <c r="N526" s="12"/>
      <c r="O526" s="308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4"/>
      <c r="BF526" s="12"/>
      <c r="BG526" s="12"/>
      <c r="BH526" s="12" t="str">
        <f>IFERROR(__xludf.DUMMYFUNCTION("IFERROR(INDEX(QUERY(IMPORTRANGE(""1T7HG8KEs-Ob7f3M5atEVN9Yn7IeORGp0QGvggB62ELw"",""Maestro!A:I""),""SELECT Col8 WHERE Col3 = '""&amp;BE526&amp;""'"", 0), 1, 1),""NO ENCONTRADO"")"),"")</f>
        <v/>
      </c>
      <c r="BI526" s="12" t="str">
        <f>IFERROR(__xludf.DUMMYFUNCTION("IFERROR(INDEX(QUERY(IMPORTRANGE(""1T7HG8KEs-Ob7f3M5atEVN9Yn7IeORGp0QGvggB62ELw"",""Maestro!A:I""),""SELECT Col7 WHERE Col3 = '""&amp;BE526&amp;""'"", 0), 1, 1),""NO ENCONTRADO"")"),"")</f>
        <v/>
      </c>
      <c r="BJ526" s="16">
        <f t="shared" si="15"/>
        <v>0</v>
      </c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4"/>
      <c r="BX526" s="14"/>
      <c r="BY526" s="14"/>
      <c r="BZ526" s="14"/>
      <c r="CA526" s="14"/>
      <c r="CB526" s="14"/>
      <c r="CC526" s="14"/>
      <c r="CD526" s="14"/>
      <c r="CE526" s="14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</row>
    <row r="527">
      <c r="A527" s="12"/>
      <c r="B527" s="14"/>
      <c r="C527" s="14"/>
      <c r="D527" s="14"/>
      <c r="E527" s="12"/>
      <c r="F527" s="307"/>
      <c r="G527" s="307"/>
      <c r="H527" s="12"/>
      <c r="I527" s="30"/>
      <c r="J527" s="12"/>
      <c r="K527" s="12"/>
      <c r="L527" s="12"/>
      <c r="M527" s="12"/>
      <c r="N527" s="12"/>
      <c r="O527" s="308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4"/>
      <c r="BF527" s="12"/>
      <c r="BG527" s="12"/>
      <c r="BH527" s="12" t="str">
        <f>IFERROR(__xludf.DUMMYFUNCTION("IFERROR(INDEX(QUERY(IMPORTRANGE(""1T7HG8KEs-Ob7f3M5atEVN9Yn7IeORGp0QGvggB62ELw"",""Maestro!A:I""),""SELECT Col8 WHERE Col3 = '""&amp;BE527&amp;""'"", 0), 1, 1),""NO ENCONTRADO"")"),"")</f>
        <v/>
      </c>
      <c r="BI527" s="12" t="str">
        <f>IFERROR(__xludf.DUMMYFUNCTION("IFERROR(INDEX(QUERY(IMPORTRANGE(""1T7HG8KEs-Ob7f3M5atEVN9Yn7IeORGp0QGvggB62ELw"",""Maestro!A:I""),""SELECT Col7 WHERE Col3 = '""&amp;BE527&amp;""'"", 0), 1, 1),""NO ENCONTRADO"")"),"")</f>
        <v/>
      </c>
      <c r="BJ527" s="16">
        <f t="shared" si="15"/>
        <v>0</v>
      </c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4"/>
      <c r="BX527" s="14"/>
      <c r="BY527" s="14"/>
      <c r="BZ527" s="14"/>
      <c r="CA527" s="14"/>
      <c r="CB527" s="14"/>
      <c r="CC527" s="14"/>
      <c r="CD527" s="14"/>
      <c r="CE527" s="14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</row>
    <row r="528">
      <c r="A528" s="12"/>
      <c r="B528" s="14"/>
      <c r="C528" s="14"/>
      <c r="D528" s="14"/>
      <c r="E528" s="12"/>
      <c r="F528" s="307"/>
      <c r="G528" s="307"/>
      <c r="H528" s="12"/>
      <c r="I528" s="30"/>
      <c r="J528" s="12"/>
      <c r="K528" s="12"/>
      <c r="L528" s="12"/>
      <c r="M528" s="12"/>
      <c r="N528" s="12"/>
      <c r="O528" s="308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4"/>
      <c r="BF528" s="12"/>
      <c r="BG528" s="12"/>
      <c r="BH528" s="12" t="str">
        <f>IFERROR(__xludf.DUMMYFUNCTION("IFERROR(INDEX(QUERY(IMPORTRANGE(""1T7HG8KEs-Ob7f3M5atEVN9Yn7IeORGp0QGvggB62ELw"",""Maestro!A:I""),""SELECT Col8 WHERE Col3 = '""&amp;BE528&amp;""'"", 0), 1, 1),""NO ENCONTRADO"")"),"")</f>
        <v/>
      </c>
      <c r="BI528" s="12" t="str">
        <f>IFERROR(__xludf.DUMMYFUNCTION("IFERROR(INDEX(QUERY(IMPORTRANGE(""1T7HG8KEs-Ob7f3M5atEVN9Yn7IeORGp0QGvggB62ELw"",""Maestro!A:I""),""SELECT Col7 WHERE Col3 = '""&amp;BE528&amp;""'"", 0), 1, 1),""NO ENCONTRADO"")"),"")</f>
        <v/>
      </c>
      <c r="BJ528" s="16">
        <f t="shared" si="15"/>
        <v>0</v>
      </c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4"/>
      <c r="BX528" s="14"/>
      <c r="BY528" s="14"/>
      <c r="BZ528" s="14"/>
      <c r="CA528" s="14"/>
      <c r="CB528" s="14"/>
      <c r="CC528" s="14"/>
      <c r="CD528" s="14"/>
      <c r="CE528" s="14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</row>
    <row r="529">
      <c r="A529" s="12"/>
      <c r="B529" s="14"/>
      <c r="C529" s="14"/>
      <c r="D529" s="14"/>
      <c r="E529" s="12"/>
      <c r="F529" s="307"/>
      <c r="G529" s="307"/>
      <c r="H529" s="12"/>
      <c r="I529" s="30"/>
      <c r="J529" s="12"/>
      <c r="K529" s="12"/>
      <c r="L529" s="12"/>
      <c r="M529" s="12"/>
      <c r="N529" s="12"/>
      <c r="O529" s="308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4"/>
      <c r="BF529" s="12"/>
      <c r="BG529" s="12"/>
      <c r="BH529" s="12" t="str">
        <f>IFERROR(__xludf.DUMMYFUNCTION("IFERROR(INDEX(QUERY(IMPORTRANGE(""1T7HG8KEs-Ob7f3M5atEVN9Yn7IeORGp0QGvggB62ELw"",""Maestro!A:I""),""SELECT Col8 WHERE Col3 = '""&amp;BE529&amp;""'"", 0), 1, 1),""NO ENCONTRADO"")"),"")</f>
        <v/>
      </c>
      <c r="BI529" s="12" t="str">
        <f>IFERROR(__xludf.DUMMYFUNCTION("IFERROR(INDEX(QUERY(IMPORTRANGE(""1T7HG8KEs-Ob7f3M5atEVN9Yn7IeORGp0QGvggB62ELw"",""Maestro!A:I""),""SELECT Col7 WHERE Col3 = '""&amp;BE529&amp;""'"", 0), 1, 1),""NO ENCONTRADO"")"),"")</f>
        <v/>
      </c>
      <c r="BJ529" s="16">
        <f t="shared" si="15"/>
        <v>0</v>
      </c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4"/>
      <c r="BX529" s="14"/>
      <c r="BY529" s="14"/>
      <c r="BZ529" s="14"/>
      <c r="CA529" s="14"/>
      <c r="CB529" s="14"/>
      <c r="CC529" s="14"/>
      <c r="CD529" s="14"/>
      <c r="CE529" s="14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</row>
    <row r="530">
      <c r="A530" s="12"/>
      <c r="B530" s="14"/>
      <c r="C530" s="14"/>
      <c r="D530" s="14"/>
      <c r="E530" s="12"/>
      <c r="F530" s="307"/>
      <c r="G530" s="307"/>
      <c r="H530" s="12"/>
      <c r="I530" s="30"/>
      <c r="J530" s="12"/>
      <c r="K530" s="12"/>
      <c r="L530" s="12"/>
      <c r="M530" s="12"/>
      <c r="N530" s="12"/>
      <c r="O530" s="308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4"/>
      <c r="BF530" s="12"/>
      <c r="BG530" s="12"/>
      <c r="BH530" s="12" t="str">
        <f>IFERROR(__xludf.DUMMYFUNCTION("IFERROR(INDEX(QUERY(IMPORTRANGE(""1T7HG8KEs-Ob7f3M5atEVN9Yn7IeORGp0QGvggB62ELw"",""Maestro!A:I""),""SELECT Col8 WHERE Col3 = '""&amp;BE530&amp;""'"", 0), 1, 1),""NO ENCONTRADO"")"),"")</f>
        <v/>
      </c>
      <c r="BI530" s="12" t="str">
        <f>IFERROR(__xludf.DUMMYFUNCTION("IFERROR(INDEX(QUERY(IMPORTRANGE(""1T7HG8KEs-Ob7f3M5atEVN9Yn7IeORGp0QGvggB62ELw"",""Maestro!A:I""),""SELECT Col7 WHERE Col3 = '""&amp;BE530&amp;""'"", 0), 1, 1),""NO ENCONTRADO"")"),"")</f>
        <v/>
      </c>
      <c r="BJ530" s="16">
        <f t="shared" si="15"/>
        <v>0</v>
      </c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4"/>
      <c r="BX530" s="14"/>
      <c r="BY530" s="14"/>
      <c r="BZ530" s="14"/>
      <c r="CA530" s="14"/>
      <c r="CB530" s="14"/>
      <c r="CC530" s="14"/>
      <c r="CD530" s="14"/>
      <c r="CE530" s="14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</row>
    <row r="531">
      <c r="A531" s="12"/>
      <c r="B531" s="14"/>
      <c r="C531" s="14"/>
      <c r="D531" s="14"/>
      <c r="E531" s="12"/>
      <c r="F531" s="307"/>
      <c r="G531" s="307"/>
      <c r="H531" s="12"/>
      <c r="I531" s="30"/>
      <c r="J531" s="12"/>
      <c r="K531" s="12"/>
      <c r="L531" s="12"/>
      <c r="M531" s="12"/>
      <c r="N531" s="12"/>
      <c r="O531" s="308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4"/>
      <c r="BF531" s="12"/>
      <c r="BG531" s="12"/>
      <c r="BH531" s="12" t="str">
        <f>IFERROR(__xludf.DUMMYFUNCTION("IFERROR(INDEX(QUERY(IMPORTRANGE(""1T7HG8KEs-Ob7f3M5atEVN9Yn7IeORGp0QGvggB62ELw"",""Maestro!A:I""),""SELECT Col8 WHERE Col3 = '""&amp;BE531&amp;""'"", 0), 1, 1),""NO ENCONTRADO"")"),"")</f>
        <v/>
      </c>
      <c r="BI531" s="12" t="str">
        <f>IFERROR(__xludf.DUMMYFUNCTION("IFERROR(INDEX(QUERY(IMPORTRANGE(""1T7HG8KEs-Ob7f3M5atEVN9Yn7IeORGp0QGvggB62ELw"",""Maestro!A:I""),""SELECT Col7 WHERE Col3 = '""&amp;BE531&amp;""'"", 0), 1, 1),""NO ENCONTRADO"")"),"")</f>
        <v/>
      </c>
      <c r="BJ531" s="16">
        <f t="shared" si="15"/>
        <v>0</v>
      </c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4"/>
      <c r="BX531" s="14"/>
      <c r="BY531" s="14"/>
      <c r="BZ531" s="14"/>
      <c r="CA531" s="14"/>
      <c r="CB531" s="14"/>
      <c r="CC531" s="14"/>
      <c r="CD531" s="14"/>
      <c r="CE531" s="14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</row>
    <row r="532">
      <c r="A532" s="12"/>
      <c r="B532" s="14"/>
      <c r="C532" s="14"/>
      <c r="D532" s="14"/>
      <c r="E532" s="12"/>
      <c r="F532" s="307"/>
      <c r="G532" s="307"/>
      <c r="H532" s="12"/>
      <c r="I532" s="30"/>
      <c r="J532" s="12"/>
      <c r="K532" s="12"/>
      <c r="L532" s="12"/>
      <c r="M532" s="12"/>
      <c r="N532" s="12"/>
      <c r="O532" s="308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4"/>
      <c r="BF532" s="12"/>
      <c r="BG532" s="12"/>
      <c r="BH532" s="12" t="str">
        <f>IFERROR(__xludf.DUMMYFUNCTION("IFERROR(INDEX(QUERY(IMPORTRANGE(""1T7HG8KEs-Ob7f3M5atEVN9Yn7IeORGp0QGvggB62ELw"",""Maestro!A:I""),""SELECT Col8 WHERE Col3 = '""&amp;BE532&amp;""'"", 0), 1, 1),""NO ENCONTRADO"")"),"")</f>
        <v/>
      </c>
      <c r="BI532" s="12" t="str">
        <f>IFERROR(__xludf.DUMMYFUNCTION("IFERROR(INDEX(QUERY(IMPORTRANGE(""1T7HG8KEs-Ob7f3M5atEVN9Yn7IeORGp0QGvggB62ELw"",""Maestro!A:I""),""SELECT Col7 WHERE Col3 = '""&amp;BE532&amp;""'"", 0), 1, 1),""NO ENCONTRADO"")"),"")</f>
        <v/>
      </c>
      <c r="BJ532" s="16">
        <f t="shared" si="15"/>
        <v>0</v>
      </c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4"/>
      <c r="BX532" s="14"/>
      <c r="BY532" s="14"/>
      <c r="BZ532" s="14"/>
      <c r="CA532" s="14"/>
      <c r="CB532" s="14"/>
      <c r="CC532" s="14"/>
      <c r="CD532" s="14"/>
      <c r="CE532" s="14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</row>
    <row r="533">
      <c r="A533" s="12"/>
      <c r="B533" s="14"/>
      <c r="C533" s="14"/>
      <c r="D533" s="14"/>
      <c r="E533" s="12"/>
      <c r="F533" s="307"/>
      <c r="G533" s="307"/>
      <c r="H533" s="12"/>
      <c r="I533" s="30"/>
      <c r="J533" s="12"/>
      <c r="K533" s="12"/>
      <c r="L533" s="12"/>
      <c r="M533" s="12"/>
      <c r="N533" s="12"/>
      <c r="O533" s="308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4"/>
      <c r="BF533" s="12"/>
      <c r="BG533" s="12"/>
      <c r="BH533" s="12" t="str">
        <f>IFERROR(__xludf.DUMMYFUNCTION("IFERROR(INDEX(QUERY(IMPORTRANGE(""1T7HG8KEs-Ob7f3M5atEVN9Yn7IeORGp0QGvggB62ELw"",""Maestro!A:I""),""SELECT Col8 WHERE Col3 = '""&amp;BE533&amp;""'"", 0), 1, 1),""NO ENCONTRADO"")"),"")</f>
        <v/>
      </c>
      <c r="BI533" s="12" t="str">
        <f>IFERROR(__xludf.DUMMYFUNCTION("IFERROR(INDEX(QUERY(IMPORTRANGE(""1T7HG8KEs-Ob7f3M5atEVN9Yn7IeORGp0QGvggB62ELw"",""Maestro!A:I""),""SELECT Col7 WHERE Col3 = '""&amp;BE533&amp;""'"", 0), 1, 1),""NO ENCONTRADO"")"),"")</f>
        <v/>
      </c>
      <c r="BJ533" s="16">
        <f t="shared" si="15"/>
        <v>0</v>
      </c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4"/>
      <c r="BX533" s="14"/>
      <c r="BY533" s="14"/>
      <c r="BZ533" s="14"/>
      <c r="CA533" s="14"/>
      <c r="CB533" s="14"/>
      <c r="CC533" s="14"/>
      <c r="CD533" s="14"/>
      <c r="CE533" s="14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</row>
    <row r="534">
      <c r="A534" s="12"/>
      <c r="B534" s="14"/>
      <c r="C534" s="14"/>
      <c r="D534" s="14"/>
      <c r="E534" s="12"/>
      <c r="F534" s="307"/>
      <c r="G534" s="307"/>
      <c r="H534" s="12"/>
      <c r="I534" s="30"/>
      <c r="J534" s="12"/>
      <c r="K534" s="12"/>
      <c r="L534" s="12"/>
      <c r="M534" s="12"/>
      <c r="N534" s="12"/>
      <c r="O534" s="308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4"/>
      <c r="BF534" s="12"/>
      <c r="BG534" s="12"/>
      <c r="BH534" s="12" t="str">
        <f>IFERROR(__xludf.DUMMYFUNCTION("IFERROR(INDEX(QUERY(IMPORTRANGE(""1T7HG8KEs-Ob7f3M5atEVN9Yn7IeORGp0QGvggB62ELw"",""Maestro!A:I""),""SELECT Col8 WHERE Col3 = '""&amp;BE534&amp;""'"", 0), 1, 1),""NO ENCONTRADO"")"),"")</f>
        <v/>
      </c>
      <c r="BI534" s="12" t="str">
        <f>IFERROR(__xludf.DUMMYFUNCTION("IFERROR(INDEX(QUERY(IMPORTRANGE(""1T7HG8KEs-Ob7f3M5atEVN9Yn7IeORGp0QGvggB62ELw"",""Maestro!A:I""),""SELECT Col7 WHERE Col3 = '""&amp;BE534&amp;""'"", 0), 1, 1),""NO ENCONTRADO"")"),"")</f>
        <v/>
      </c>
      <c r="BJ534" s="16">
        <f t="shared" si="15"/>
        <v>0</v>
      </c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4"/>
      <c r="BX534" s="14"/>
      <c r="BY534" s="14"/>
      <c r="BZ534" s="14"/>
      <c r="CA534" s="14"/>
      <c r="CB534" s="14"/>
      <c r="CC534" s="14"/>
      <c r="CD534" s="14"/>
      <c r="CE534" s="14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</row>
    <row r="535">
      <c r="A535" s="12"/>
      <c r="B535" s="14"/>
      <c r="C535" s="14"/>
      <c r="D535" s="14"/>
      <c r="E535" s="12"/>
      <c r="F535" s="307"/>
      <c r="G535" s="307"/>
      <c r="H535" s="12"/>
      <c r="I535" s="30"/>
      <c r="J535" s="12"/>
      <c r="K535" s="12"/>
      <c r="L535" s="12"/>
      <c r="M535" s="12"/>
      <c r="N535" s="12"/>
      <c r="O535" s="308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4"/>
      <c r="BF535" s="12"/>
      <c r="BG535" s="12"/>
      <c r="BH535" s="12" t="str">
        <f>IFERROR(__xludf.DUMMYFUNCTION("IFERROR(INDEX(QUERY(IMPORTRANGE(""1T7HG8KEs-Ob7f3M5atEVN9Yn7IeORGp0QGvggB62ELw"",""Maestro!A:I""),""SELECT Col8 WHERE Col3 = '""&amp;BE535&amp;""'"", 0), 1, 1),""NO ENCONTRADO"")"),"")</f>
        <v/>
      </c>
      <c r="BI535" s="12" t="str">
        <f>IFERROR(__xludf.DUMMYFUNCTION("IFERROR(INDEX(QUERY(IMPORTRANGE(""1T7HG8KEs-Ob7f3M5atEVN9Yn7IeORGp0QGvggB62ELw"",""Maestro!A:I""),""SELECT Col7 WHERE Col3 = '""&amp;BE535&amp;""'"", 0), 1, 1),""NO ENCONTRADO"")"),"")</f>
        <v/>
      </c>
      <c r="BJ535" s="16">
        <f t="shared" si="15"/>
        <v>0</v>
      </c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4"/>
      <c r="BX535" s="14"/>
      <c r="BY535" s="14"/>
      <c r="BZ535" s="14"/>
      <c r="CA535" s="14"/>
      <c r="CB535" s="14"/>
      <c r="CC535" s="14"/>
      <c r="CD535" s="14"/>
      <c r="CE535" s="14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</row>
    <row r="536">
      <c r="A536" s="12"/>
      <c r="B536" s="14"/>
      <c r="C536" s="14"/>
      <c r="D536" s="14"/>
      <c r="E536" s="12"/>
      <c r="F536" s="307"/>
      <c r="G536" s="307"/>
      <c r="H536" s="12"/>
      <c r="I536" s="30"/>
      <c r="J536" s="12"/>
      <c r="K536" s="12"/>
      <c r="L536" s="12"/>
      <c r="M536" s="12"/>
      <c r="N536" s="12"/>
      <c r="O536" s="308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4"/>
      <c r="BF536" s="12"/>
      <c r="BG536" s="12"/>
      <c r="BH536" s="12" t="str">
        <f>IFERROR(__xludf.DUMMYFUNCTION("IFERROR(INDEX(QUERY(IMPORTRANGE(""1T7HG8KEs-Ob7f3M5atEVN9Yn7IeORGp0QGvggB62ELw"",""Maestro!A:I""),""SELECT Col8 WHERE Col3 = '""&amp;BE536&amp;""'"", 0), 1, 1),""NO ENCONTRADO"")"),"")</f>
        <v/>
      </c>
      <c r="BI536" s="12" t="str">
        <f>IFERROR(__xludf.DUMMYFUNCTION("IFERROR(INDEX(QUERY(IMPORTRANGE(""1T7HG8KEs-Ob7f3M5atEVN9Yn7IeORGp0QGvggB62ELw"",""Maestro!A:I""),""SELECT Col7 WHERE Col3 = '""&amp;BE536&amp;""'"", 0), 1, 1),""NO ENCONTRADO"")"),"")</f>
        <v/>
      </c>
      <c r="BJ536" s="16">
        <f t="shared" si="15"/>
        <v>0</v>
      </c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4"/>
      <c r="BX536" s="14"/>
      <c r="BY536" s="14"/>
      <c r="BZ536" s="14"/>
      <c r="CA536" s="14"/>
      <c r="CB536" s="14"/>
      <c r="CC536" s="14"/>
      <c r="CD536" s="14"/>
      <c r="CE536" s="14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</row>
    <row r="537">
      <c r="A537" s="12"/>
      <c r="B537" s="14"/>
      <c r="C537" s="14"/>
      <c r="D537" s="14"/>
      <c r="E537" s="12"/>
      <c r="F537" s="307"/>
      <c r="G537" s="307"/>
      <c r="H537" s="12"/>
      <c r="I537" s="30"/>
      <c r="J537" s="12"/>
      <c r="K537" s="12"/>
      <c r="L537" s="12"/>
      <c r="M537" s="12"/>
      <c r="N537" s="12"/>
      <c r="O537" s="308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4"/>
      <c r="BF537" s="12"/>
      <c r="BG537" s="12"/>
      <c r="BH537" s="12" t="str">
        <f>IFERROR(__xludf.DUMMYFUNCTION("IFERROR(INDEX(QUERY(IMPORTRANGE(""1T7HG8KEs-Ob7f3M5atEVN9Yn7IeORGp0QGvggB62ELw"",""Maestro!A:I""),""SELECT Col8 WHERE Col3 = '""&amp;BE537&amp;""'"", 0), 1, 1),""NO ENCONTRADO"")"),"")</f>
        <v/>
      </c>
      <c r="BI537" s="12" t="str">
        <f>IFERROR(__xludf.DUMMYFUNCTION("IFERROR(INDEX(QUERY(IMPORTRANGE(""1T7HG8KEs-Ob7f3M5atEVN9Yn7IeORGp0QGvggB62ELw"",""Maestro!A:I""),""SELECT Col7 WHERE Col3 = '""&amp;BE537&amp;""'"", 0), 1, 1),""NO ENCONTRADO"")"),"")</f>
        <v/>
      </c>
      <c r="BJ537" s="16">
        <f t="shared" si="15"/>
        <v>0</v>
      </c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4"/>
      <c r="BX537" s="14"/>
      <c r="BY537" s="14"/>
      <c r="BZ537" s="14"/>
      <c r="CA537" s="14"/>
      <c r="CB537" s="14"/>
      <c r="CC537" s="14"/>
      <c r="CD537" s="14"/>
      <c r="CE537" s="14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</row>
    <row r="538">
      <c r="A538" s="12"/>
      <c r="B538" s="14"/>
      <c r="C538" s="14"/>
      <c r="D538" s="14"/>
      <c r="E538" s="12"/>
      <c r="F538" s="307"/>
      <c r="G538" s="307"/>
      <c r="H538" s="12"/>
      <c r="I538" s="30"/>
      <c r="J538" s="12"/>
      <c r="K538" s="12"/>
      <c r="L538" s="12"/>
      <c r="M538" s="12"/>
      <c r="N538" s="12"/>
      <c r="O538" s="308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4"/>
      <c r="BF538" s="12"/>
      <c r="BG538" s="12"/>
      <c r="BH538" s="12" t="str">
        <f>IFERROR(__xludf.DUMMYFUNCTION("IFERROR(INDEX(QUERY(IMPORTRANGE(""1T7HG8KEs-Ob7f3M5atEVN9Yn7IeORGp0QGvggB62ELw"",""Maestro!A:I""),""SELECT Col8 WHERE Col3 = '""&amp;BE538&amp;""'"", 0), 1, 1),""NO ENCONTRADO"")"),"")</f>
        <v/>
      </c>
      <c r="BI538" s="12" t="str">
        <f>IFERROR(__xludf.DUMMYFUNCTION("IFERROR(INDEX(QUERY(IMPORTRANGE(""1T7HG8KEs-Ob7f3M5atEVN9Yn7IeORGp0QGvggB62ELw"",""Maestro!A:I""),""SELECT Col7 WHERE Col3 = '""&amp;BE538&amp;""'"", 0), 1, 1),""NO ENCONTRADO"")"),"")</f>
        <v/>
      </c>
      <c r="BJ538" s="16">
        <f t="shared" si="15"/>
        <v>0</v>
      </c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4"/>
      <c r="BX538" s="14"/>
      <c r="BY538" s="14"/>
      <c r="BZ538" s="14"/>
      <c r="CA538" s="14"/>
      <c r="CB538" s="14"/>
      <c r="CC538" s="14"/>
      <c r="CD538" s="14"/>
      <c r="CE538" s="14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</row>
    <row r="539">
      <c r="A539" s="12"/>
      <c r="B539" s="14"/>
      <c r="C539" s="14"/>
      <c r="D539" s="14"/>
      <c r="E539" s="12"/>
      <c r="F539" s="307"/>
      <c r="G539" s="307"/>
      <c r="H539" s="12"/>
      <c r="I539" s="30"/>
      <c r="J539" s="12"/>
      <c r="K539" s="12"/>
      <c r="L539" s="12"/>
      <c r="M539" s="12"/>
      <c r="N539" s="12"/>
      <c r="O539" s="308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4"/>
      <c r="BF539" s="12"/>
      <c r="BG539" s="12"/>
      <c r="BH539" s="12" t="str">
        <f>IFERROR(__xludf.DUMMYFUNCTION("IFERROR(INDEX(QUERY(IMPORTRANGE(""1T7HG8KEs-Ob7f3M5atEVN9Yn7IeORGp0QGvggB62ELw"",""Maestro!A:I""),""SELECT Col8 WHERE Col3 = '""&amp;BE539&amp;""'"", 0), 1, 1),""NO ENCONTRADO"")"),"")</f>
        <v/>
      </c>
      <c r="BI539" s="12" t="str">
        <f>IFERROR(__xludf.DUMMYFUNCTION("IFERROR(INDEX(QUERY(IMPORTRANGE(""1T7HG8KEs-Ob7f3M5atEVN9Yn7IeORGp0QGvggB62ELw"",""Maestro!A:I""),""SELECT Col7 WHERE Col3 = '""&amp;BE539&amp;""'"", 0), 1, 1),""NO ENCONTRADO"")"),"")</f>
        <v/>
      </c>
      <c r="BJ539" s="16">
        <f t="shared" si="15"/>
        <v>0</v>
      </c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4"/>
      <c r="BX539" s="14"/>
      <c r="BY539" s="14"/>
      <c r="BZ539" s="14"/>
      <c r="CA539" s="14"/>
      <c r="CB539" s="14"/>
      <c r="CC539" s="14"/>
      <c r="CD539" s="14"/>
      <c r="CE539" s="14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</row>
    <row r="540">
      <c r="A540" s="12"/>
      <c r="B540" s="14"/>
      <c r="C540" s="14"/>
      <c r="D540" s="14"/>
      <c r="E540" s="12"/>
      <c r="F540" s="307"/>
      <c r="G540" s="307"/>
      <c r="H540" s="12"/>
      <c r="I540" s="30"/>
      <c r="J540" s="12"/>
      <c r="K540" s="12"/>
      <c r="L540" s="12"/>
      <c r="M540" s="12"/>
      <c r="N540" s="12"/>
      <c r="O540" s="308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4"/>
      <c r="BF540" s="12"/>
      <c r="BG540" s="12"/>
      <c r="BH540" s="12" t="str">
        <f>IFERROR(__xludf.DUMMYFUNCTION("IFERROR(INDEX(QUERY(IMPORTRANGE(""1T7HG8KEs-Ob7f3M5atEVN9Yn7IeORGp0QGvggB62ELw"",""Maestro!A:I""),""SELECT Col8 WHERE Col3 = '""&amp;BE540&amp;""'"", 0), 1, 1),""NO ENCONTRADO"")"),"")</f>
        <v/>
      </c>
      <c r="BI540" s="12" t="str">
        <f>IFERROR(__xludf.DUMMYFUNCTION("IFERROR(INDEX(QUERY(IMPORTRANGE(""1T7HG8KEs-Ob7f3M5atEVN9Yn7IeORGp0QGvggB62ELw"",""Maestro!A:I""),""SELECT Col7 WHERE Col3 = '""&amp;BE540&amp;""'"", 0), 1, 1),""NO ENCONTRADO"")"),"")</f>
        <v/>
      </c>
      <c r="BJ540" s="16">
        <f t="shared" si="15"/>
        <v>0</v>
      </c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4"/>
      <c r="BX540" s="14"/>
      <c r="BY540" s="14"/>
      <c r="BZ540" s="14"/>
      <c r="CA540" s="14"/>
      <c r="CB540" s="14"/>
      <c r="CC540" s="14"/>
      <c r="CD540" s="14"/>
      <c r="CE540" s="14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</row>
    <row r="541">
      <c r="A541" s="12"/>
      <c r="B541" s="14"/>
      <c r="C541" s="14"/>
      <c r="D541" s="14"/>
      <c r="E541" s="12"/>
      <c r="F541" s="307"/>
      <c r="G541" s="307"/>
      <c r="H541" s="12"/>
      <c r="I541" s="30"/>
      <c r="J541" s="12"/>
      <c r="K541" s="12"/>
      <c r="L541" s="12"/>
      <c r="M541" s="12"/>
      <c r="N541" s="12"/>
      <c r="O541" s="308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4"/>
      <c r="BF541" s="12"/>
      <c r="BG541" s="12"/>
      <c r="BH541" s="12" t="str">
        <f>IFERROR(__xludf.DUMMYFUNCTION("IFERROR(INDEX(QUERY(IMPORTRANGE(""1T7HG8KEs-Ob7f3M5atEVN9Yn7IeORGp0QGvggB62ELw"",""Maestro!A:I""),""SELECT Col8 WHERE Col3 = '""&amp;BE541&amp;""'"", 0), 1, 1),""NO ENCONTRADO"")"),"")</f>
        <v/>
      </c>
      <c r="BI541" s="12" t="str">
        <f>IFERROR(__xludf.DUMMYFUNCTION("IFERROR(INDEX(QUERY(IMPORTRANGE(""1T7HG8KEs-Ob7f3M5atEVN9Yn7IeORGp0QGvggB62ELw"",""Maestro!A:I""),""SELECT Col7 WHERE Col3 = '""&amp;BE541&amp;""'"", 0), 1, 1),""NO ENCONTRADO"")"),"")</f>
        <v/>
      </c>
      <c r="BJ541" s="16">
        <f t="shared" si="15"/>
        <v>0</v>
      </c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4"/>
      <c r="BX541" s="14"/>
      <c r="BY541" s="14"/>
      <c r="BZ541" s="14"/>
      <c r="CA541" s="14"/>
      <c r="CB541" s="14"/>
      <c r="CC541" s="14"/>
      <c r="CD541" s="14"/>
      <c r="CE541" s="14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</row>
    <row r="542">
      <c r="A542" s="12"/>
      <c r="B542" s="14"/>
      <c r="C542" s="14"/>
      <c r="D542" s="14"/>
      <c r="E542" s="12"/>
      <c r="F542" s="307"/>
      <c r="G542" s="307"/>
      <c r="H542" s="12"/>
      <c r="I542" s="30"/>
      <c r="J542" s="12"/>
      <c r="K542" s="12"/>
      <c r="L542" s="12"/>
      <c r="M542" s="12"/>
      <c r="N542" s="12"/>
      <c r="O542" s="308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4"/>
      <c r="BF542" s="12"/>
      <c r="BG542" s="12"/>
      <c r="BH542" s="12" t="str">
        <f>IFERROR(__xludf.DUMMYFUNCTION("IFERROR(INDEX(QUERY(IMPORTRANGE(""1T7HG8KEs-Ob7f3M5atEVN9Yn7IeORGp0QGvggB62ELw"",""Maestro!A:I""),""SELECT Col8 WHERE Col3 = '""&amp;BE542&amp;""'"", 0), 1, 1),""NO ENCONTRADO"")"),"")</f>
        <v/>
      </c>
      <c r="BI542" s="12" t="str">
        <f>IFERROR(__xludf.DUMMYFUNCTION("IFERROR(INDEX(QUERY(IMPORTRANGE(""1T7HG8KEs-Ob7f3M5atEVN9Yn7IeORGp0QGvggB62ELw"",""Maestro!A:I""),""SELECT Col7 WHERE Col3 = '""&amp;BE542&amp;""'"", 0), 1, 1),""NO ENCONTRADO"")"),"")</f>
        <v/>
      </c>
      <c r="BJ542" s="16">
        <f t="shared" si="15"/>
        <v>0</v>
      </c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4"/>
      <c r="BX542" s="14"/>
      <c r="BY542" s="14"/>
      <c r="BZ542" s="14"/>
      <c r="CA542" s="14"/>
      <c r="CB542" s="14"/>
      <c r="CC542" s="14"/>
      <c r="CD542" s="14"/>
      <c r="CE542" s="14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</row>
    <row r="543">
      <c r="A543" s="12"/>
      <c r="B543" s="14"/>
      <c r="C543" s="14"/>
      <c r="D543" s="14"/>
      <c r="E543" s="12"/>
      <c r="F543" s="307"/>
      <c r="G543" s="307"/>
      <c r="H543" s="12"/>
      <c r="I543" s="30"/>
      <c r="J543" s="12"/>
      <c r="K543" s="12"/>
      <c r="L543" s="12"/>
      <c r="M543" s="12"/>
      <c r="N543" s="12"/>
      <c r="O543" s="308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4"/>
      <c r="BF543" s="12"/>
      <c r="BG543" s="12"/>
      <c r="BH543" s="12" t="str">
        <f>IFERROR(__xludf.DUMMYFUNCTION("IFERROR(INDEX(QUERY(IMPORTRANGE(""1T7HG8KEs-Ob7f3M5atEVN9Yn7IeORGp0QGvggB62ELw"",""Maestro!A:I""),""SELECT Col8 WHERE Col3 = '""&amp;BE543&amp;""'"", 0), 1, 1),""NO ENCONTRADO"")"),"")</f>
        <v/>
      </c>
      <c r="BI543" s="12" t="str">
        <f>IFERROR(__xludf.DUMMYFUNCTION("IFERROR(INDEX(QUERY(IMPORTRANGE(""1T7HG8KEs-Ob7f3M5atEVN9Yn7IeORGp0QGvggB62ELw"",""Maestro!A:I""),""SELECT Col7 WHERE Col3 = '""&amp;BE543&amp;""'"", 0), 1, 1),""NO ENCONTRADO"")"),"")</f>
        <v/>
      </c>
      <c r="BJ543" s="16">
        <f t="shared" si="15"/>
        <v>0</v>
      </c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4"/>
      <c r="BX543" s="14"/>
      <c r="BY543" s="14"/>
      <c r="BZ543" s="14"/>
      <c r="CA543" s="14"/>
      <c r="CB543" s="14"/>
      <c r="CC543" s="14"/>
      <c r="CD543" s="14"/>
      <c r="CE543" s="14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</row>
    <row r="544">
      <c r="A544" s="12"/>
      <c r="B544" s="14"/>
      <c r="C544" s="14"/>
      <c r="D544" s="14"/>
      <c r="E544" s="12"/>
      <c r="F544" s="307"/>
      <c r="G544" s="307"/>
      <c r="H544" s="12"/>
      <c r="I544" s="30"/>
      <c r="J544" s="12"/>
      <c r="K544" s="12"/>
      <c r="L544" s="12"/>
      <c r="M544" s="12"/>
      <c r="N544" s="12"/>
      <c r="O544" s="308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4"/>
      <c r="BF544" s="12"/>
      <c r="BG544" s="12"/>
      <c r="BH544" s="12" t="str">
        <f>IFERROR(__xludf.DUMMYFUNCTION("IFERROR(INDEX(QUERY(IMPORTRANGE(""1T7HG8KEs-Ob7f3M5atEVN9Yn7IeORGp0QGvggB62ELw"",""Maestro!A:I""),""SELECT Col8 WHERE Col3 = '""&amp;BE544&amp;""'"", 0), 1, 1),""NO ENCONTRADO"")"),"")</f>
        <v/>
      </c>
      <c r="BI544" s="12" t="str">
        <f>IFERROR(__xludf.DUMMYFUNCTION("IFERROR(INDEX(QUERY(IMPORTRANGE(""1T7HG8KEs-Ob7f3M5atEVN9Yn7IeORGp0QGvggB62ELw"",""Maestro!A:I""),""SELECT Col7 WHERE Col3 = '""&amp;BE544&amp;""'"", 0), 1, 1),""NO ENCONTRADO"")"),"")</f>
        <v/>
      </c>
      <c r="BJ544" s="16">
        <f t="shared" si="15"/>
        <v>0</v>
      </c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4"/>
      <c r="BX544" s="14"/>
      <c r="BY544" s="14"/>
      <c r="BZ544" s="14"/>
      <c r="CA544" s="14"/>
      <c r="CB544" s="14"/>
      <c r="CC544" s="14"/>
      <c r="CD544" s="14"/>
      <c r="CE544" s="14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</row>
    <row r="545">
      <c r="A545" s="12"/>
      <c r="B545" s="14"/>
      <c r="C545" s="14"/>
      <c r="D545" s="14"/>
      <c r="E545" s="12"/>
      <c r="F545" s="307"/>
      <c r="G545" s="307"/>
      <c r="H545" s="12"/>
      <c r="I545" s="30"/>
      <c r="J545" s="12"/>
      <c r="K545" s="12"/>
      <c r="L545" s="12"/>
      <c r="M545" s="12"/>
      <c r="N545" s="12"/>
      <c r="O545" s="308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4"/>
      <c r="BF545" s="12"/>
      <c r="BG545" s="12"/>
      <c r="BH545" s="12" t="str">
        <f>IFERROR(__xludf.DUMMYFUNCTION("IFERROR(INDEX(QUERY(IMPORTRANGE(""1T7HG8KEs-Ob7f3M5atEVN9Yn7IeORGp0QGvggB62ELw"",""Maestro!A:I""),""SELECT Col8 WHERE Col3 = '""&amp;BE545&amp;""'"", 0), 1, 1),""NO ENCONTRADO"")"),"")</f>
        <v/>
      </c>
      <c r="BI545" s="12" t="str">
        <f>IFERROR(__xludf.DUMMYFUNCTION("IFERROR(INDEX(QUERY(IMPORTRANGE(""1T7HG8KEs-Ob7f3M5atEVN9Yn7IeORGp0QGvggB62ELw"",""Maestro!A:I""),""SELECT Col7 WHERE Col3 = '""&amp;BE545&amp;""'"", 0), 1, 1),""NO ENCONTRADO"")"),"")</f>
        <v/>
      </c>
      <c r="BJ545" s="16">
        <f t="shared" si="15"/>
        <v>0</v>
      </c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4"/>
      <c r="BX545" s="14"/>
      <c r="BY545" s="14"/>
      <c r="BZ545" s="14"/>
      <c r="CA545" s="14"/>
      <c r="CB545" s="14"/>
      <c r="CC545" s="14"/>
      <c r="CD545" s="14"/>
      <c r="CE545" s="14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</row>
    <row r="546">
      <c r="A546" s="12"/>
      <c r="B546" s="14"/>
      <c r="C546" s="14"/>
      <c r="D546" s="14"/>
      <c r="E546" s="12"/>
      <c r="F546" s="307"/>
      <c r="G546" s="307"/>
      <c r="H546" s="12"/>
      <c r="I546" s="30"/>
      <c r="J546" s="12"/>
      <c r="K546" s="12"/>
      <c r="L546" s="12"/>
      <c r="M546" s="12"/>
      <c r="N546" s="12"/>
      <c r="O546" s="308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4"/>
      <c r="BF546" s="12"/>
      <c r="BG546" s="12"/>
      <c r="BH546" s="12" t="str">
        <f>IFERROR(__xludf.DUMMYFUNCTION("IFERROR(INDEX(QUERY(IMPORTRANGE(""1T7HG8KEs-Ob7f3M5atEVN9Yn7IeORGp0QGvggB62ELw"",""Maestro!A:I""),""SELECT Col8 WHERE Col3 = '""&amp;BE546&amp;""'"", 0), 1, 1),""NO ENCONTRADO"")"),"")</f>
        <v/>
      </c>
      <c r="BI546" s="12" t="str">
        <f>IFERROR(__xludf.DUMMYFUNCTION("IFERROR(INDEX(QUERY(IMPORTRANGE(""1T7HG8KEs-Ob7f3M5atEVN9Yn7IeORGp0QGvggB62ELw"",""Maestro!A:I""),""SELECT Col7 WHERE Col3 = '""&amp;BE546&amp;""'"", 0), 1, 1),""NO ENCONTRADO"")"),"")</f>
        <v/>
      </c>
      <c r="BJ546" s="16">
        <f t="shared" si="15"/>
        <v>0</v>
      </c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4"/>
      <c r="BX546" s="14"/>
      <c r="BY546" s="14"/>
      <c r="BZ546" s="14"/>
      <c r="CA546" s="14"/>
      <c r="CB546" s="14"/>
      <c r="CC546" s="14"/>
      <c r="CD546" s="14"/>
      <c r="CE546" s="14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</row>
    <row r="547">
      <c r="A547" s="12"/>
      <c r="B547" s="14"/>
      <c r="C547" s="14"/>
      <c r="D547" s="14"/>
      <c r="E547" s="12"/>
      <c r="F547" s="307"/>
      <c r="G547" s="307"/>
      <c r="H547" s="12"/>
      <c r="I547" s="30"/>
      <c r="J547" s="12"/>
      <c r="K547" s="12"/>
      <c r="L547" s="12"/>
      <c r="M547" s="12"/>
      <c r="N547" s="12"/>
      <c r="O547" s="308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4"/>
      <c r="BF547" s="12"/>
      <c r="BG547" s="12"/>
      <c r="BH547" s="12" t="str">
        <f>IFERROR(__xludf.DUMMYFUNCTION("IFERROR(INDEX(QUERY(IMPORTRANGE(""1T7HG8KEs-Ob7f3M5atEVN9Yn7IeORGp0QGvggB62ELw"",""Maestro!A:I""),""SELECT Col8 WHERE Col3 = '""&amp;BE547&amp;""'"", 0), 1, 1),""NO ENCONTRADO"")"),"")</f>
        <v/>
      </c>
      <c r="BI547" s="12" t="str">
        <f>IFERROR(__xludf.DUMMYFUNCTION("IFERROR(INDEX(QUERY(IMPORTRANGE(""1T7HG8KEs-Ob7f3M5atEVN9Yn7IeORGp0QGvggB62ELw"",""Maestro!A:I""),""SELECT Col7 WHERE Col3 = '""&amp;BE547&amp;""'"", 0), 1, 1),""NO ENCONTRADO"")"),"")</f>
        <v/>
      </c>
      <c r="BJ547" s="16">
        <f t="shared" si="15"/>
        <v>0</v>
      </c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4"/>
      <c r="BX547" s="14"/>
      <c r="BY547" s="14"/>
      <c r="BZ547" s="14"/>
      <c r="CA547" s="14"/>
      <c r="CB547" s="14"/>
      <c r="CC547" s="14"/>
      <c r="CD547" s="14"/>
      <c r="CE547" s="14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</row>
    <row r="548">
      <c r="A548" s="12"/>
      <c r="B548" s="14"/>
      <c r="C548" s="14"/>
      <c r="D548" s="14"/>
      <c r="E548" s="12"/>
      <c r="F548" s="307"/>
      <c r="G548" s="307"/>
      <c r="H548" s="12"/>
      <c r="I548" s="30"/>
      <c r="J548" s="12"/>
      <c r="K548" s="12"/>
      <c r="L548" s="12"/>
      <c r="M548" s="12"/>
      <c r="N548" s="12"/>
      <c r="O548" s="308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4"/>
      <c r="BF548" s="12"/>
      <c r="BG548" s="12"/>
      <c r="BH548" s="12" t="str">
        <f>IFERROR(__xludf.DUMMYFUNCTION("IFERROR(INDEX(QUERY(IMPORTRANGE(""1T7HG8KEs-Ob7f3M5atEVN9Yn7IeORGp0QGvggB62ELw"",""Maestro!A:I""),""SELECT Col8 WHERE Col3 = '""&amp;BE548&amp;""'"", 0), 1, 1),""NO ENCONTRADO"")"),"")</f>
        <v/>
      </c>
      <c r="BI548" s="12" t="str">
        <f>IFERROR(__xludf.DUMMYFUNCTION("IFERROR(INDEX(QUERY(IMPORTRANGE(""1T7HG8KEs-Ob7f3M5atEVN9Yn7IeORGp0QGvggB62ELw"",""Maestro!A:I""),""SELECT Col7 WHERE Col3 = '""&amp;BE548&amp;""'"", 0), 1, 1),""NO ENCONTRADO"")"),"")</f>
        <v/>
      </c>
      <c r="BJ548" s="16">
        <f t="shared" si="15"/>
        <v>0</v>
      </c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4"/>
      <c r="BX548" s="14"/>
      <c r="BY548" s="14"/>
      <c r="BZ548" s="14"/>
      <c r="CA548" s="14"/>
      <c r="CB548" s="14"/>
      <c r="CC548" s="14"/>
      <c r="CD548" s="14"/>
      <c r="CE548" s="14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</row>
    <row r="549">
      <c r="A549" s="12"/>
      <c r="B549" s="14"/>
      <c r="C549" s="14"/>
      <c r="D549" s="14"/>
      <c r="E549" s="12"/>
      <c r="F549" s="307"/>
      <c r="G549" s="307"/>
      <c r="H549" s="12"/>
      <c r="I549" s="30"/>
      <c r="J549" s="12"/>
      <c r="K549" s="12"/>
      <c r="L549" s="12"/>
      <c r="M549" s="12"/>
      <c r="N549" s="12"/>
      <c r="O549" s="308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4"/>
      <c r="BF549" s="12"/>
      <c r="BG549" s="12"/>
      <c r="BH549" s="12" t="str">
        <f>IFERROR(__xludf.DUMMYFUNCTION("IFERROR(INDEX(QUERY(IMPORTRANGE(""1T7HG8KEs-Ob7f3M5atEVN9Yn7IeORGp0QGvggB62ELw"",""Maestro!A:I""),""SELECT Col8 WHERE Col3 = '""&amp;BE549&amp;""'"", 0), 1, 1),""NO ENCONTRADO"")"),"")</f>
        <v/>
      </c>
      <c r="BI549" s="12" t="str">
        <f>IFERROR(__xludf.DUMMYFUNCTION("IFERROR(INDEX(QUERY(IMPORTRANGE(""1T7HG8KEs-Ob7f3M5atEVN9Yn7IeORGp0QGvggB62ELw"",""Maestro!A:I""),""SELECT Col7 WHERE Col3 = '""&amp;BE549&amp;""'"", 0), 1, 1),""NO ENCONTRADO"")"),"")</f>
        <v/>
      </c>
      <c r="BJ549" s="16">
        <f t="shared" si="15"/>
        <v>0</v>
      </c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4"/>
      <c r="BX549" s="14"/>
      <c r="BY549" s="14"/>
      <c r="BZ549" s="14"/>
      <c r="CA549" s="14"/>
      <c r="CB549" s="14"/>
      <c r="CC549" s="14"/>
      <c r="CD549" s="14"/>
      <c r="CE549" s="14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</row>
    <row r="550">
      <c r="A550" s="12"/>
      <c r="B550" s="14"/>
      <c r="C550" s="14"/>
      <c r="D550" s="14"/>
      <c r="E550" s="12"/>
      <c r="F550" s="307"/>
      <c r="G550" s="307"/>
      <c r="H550" s="12"/>
      <c r="I550" s="30"/>
      <c r="J550" s="12"/>
      <c r="K550" s="12"/>
      <c r="L550" s="12"/>
      <c r="M550" s="12"/>
      <c r="N550" s="12"/>
      <c r="O550" s="308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4"/>
      <c r="BF550" s="12"/>
      <c r="BG550" s="12"/>
      <c r="BH550" s="12" t="str">
        <f>IFERROR(__xludf.DUMMYFUNCTION("IFERROR(INDEX(QUERY(IMPORTRANGE(""1T7HG8KEs-Ob7f3M5atEVN9Yn7IeORGp0QGvggB62ELw"",""Maestro!A:I""),""SELECT Col8 WHERE Col3 = '""&amp;BE550&amp;""'"", 0), 1, 1),""NO ENCONTRADO"")"),"")</f>
        <v/>
      </c>
      <c r="BI550" s="12" t="str">
        <f>IFERROR(__xludf.DUMMYFUNCTION("IFERROR(INDEX(QUERY(IMPORTRANGE(""1T7HG8KEs-Ob7f3M5atEVN9Yn7IeORGp0QGvggB62ELw"",""Maestro!A:I""),""SELECT Col7 WHERE Col3 = '""&amp;BE550&amp;""'"", 0), 1, 1),""NO ENCONTRADO"")"),"")</f>
        <v/>
      </c>
      <c r="BJ550" s="16">
        <f t="shared" si="15"/>
        <v>0</v>
      </c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4"/>
      <c r="BX550" s="14"/>
      <c r="BY550" s="14"/>
      <c r="BZ550" s="14"/>
      <c r="CA550" s="14"/>
      <c r="CB550" s="14"/>
      <c r="CC550" s="14"/>
      <c r="CD550" s="14"/>
      <c r="CE550" s="14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</row>
    <row r="551">
      <c r="A551" s="12"/>
      <c r="B551" s="14"/>
      <c r="C551" s="14"/>
      <c r="D551" s="14"/>
      <c r="E551" s="12"/>
      <c r="F551" s="307"/>
      <c r="G551" s="307"/>
      <c r="H551" s="12"/>
      <c r="I551" s="30"/>
      <c r="J551" s="12"/>
      <c r="K551" s="12"/>
      <c r="L551" s="12"/>
      <c r="M551" s="12"/>
      <c r="N551" s="12"/>
      <c r="O551" s="308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4"/>
      <c r="BF551" s="12"/>
      <c r="BG551" s="12"/>
      <c r="BH551" s="12" t="str">
        <f>IFERROR(__xludf.DUMMYFUNCTION("IFERROR(INDEX(QUERY(IMPORTRANGE(""1T7HG8KEs-Ob7f3M5atEVN9Yn7IeORGp0QGvggB62ELw"",""Maestro!A:I""),""SELECT Col8 WHERE Col3 = '""&amp;BE551&amp;""'"", 0), 1, 1),""NO ENCONTRADO"")"),"")</f>
        <v/>
      </c>
      <c r="BI551" s="12" t="str">
        <f>IFERROR(__xludf.DUMMYFUNCTION("IFERROR(INDEX(QUERY(IMPORTRANGE(""1T7HG8KEs-Ob7f3M5atEVN9Yn7IeORGp0QGvggB62ELw"",""Maestro!A:I""),""SELECT Col7 WHERE Col3 = '""&amp;BE551&amp;""'"", 0), 1, 1),""NO ENCONTRADO"")"),"")</f>
        <v/>
      </c>
      <c r="BJ551" s="16">
        <f t="shared" si="15"/>
        <v>0</v>
      </c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4"/>
      <c r="BX551" s="14"/>
      <c r="BY551" s="14"/>
      <c r="BZ551" s="14"/>
      <c r="CA551" s="14"/>
      <c r="CB551" s="14"/>
      <c r="CC551" s="14"/>
      <c r="CD551" s="14"/>
      <c r="CE551" s="14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</row>
    <row r="552">
      <c r="A552" s="12"/>
      <c r="B552" s="14"/>
      <c r="C552" s="14"/>
      <c r="D552" s="14"/>
      <c r="E552" s="12"/>
      <c r="F552" s="307"/>
      <c r="G552" s="307"/>
      <c r="H552" s="12"/>
      <c r="I552" s="30"/>
      <c r="J552" s="12"/>
      <c r="K552" s="12"/>
      <c r="L552" s="12"/>
      <c r="M552" s="12"/>
      <c r="N552" s="12"/>
      <c r="O552" s="308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4"/>
      <c r="BF552" s="12"/>
      <c r="BG552" s="12"/>
      <c r="BH552" s="12" t="str">
        <f>IFERROR(__xludf.DUMMYFUNCTION("IFERROR(INDEX(QUERY(IMPORTRANGE(""1T7HG8KEs-Ob7f3M5atEVN9Yn7IeORGp0QGvggB62ELw"",""Maestro!A:I""),""SELECT Col8 WHERE Col3 = '""&amp;BE552&amp;""'"", 0), 1, 1),""NO ENCONTRADO"")"),"")</f>
        <v/>
      </c>
      <c r="BI552" s="12" t="str">
        <f>IFERROR(__xludf.DUMMYFUNCTION("IFERROR(INDEX(QUERY(IMPORTRANGE(""1T7HG8KEs-Ob7f3M5atEVN9Yn7IeORGp0QGvggB62ELw"",""Maestro!A:I""),""SELECT Col7 WHERE Col3 = '""&amp;BE552&amp;""'"", 0), 1, 1),""NO ENCONTRADO"")"),"")</f>
        <v/>
      </c>
      <c r="BJ552" s="16">
        <f t="shared" si="15"/>
        <v>0</v>
      </c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4"/>
      <c r="BX552" s="14"/>
      <c r="BY552" s="14"/>
      <c r="BZ552" s="14"/>
      <c r="CA552" s="14"/>
      <c r="CB552" s="14"/>
      <c r="CC552" s="14"/>
      <c r="CD552" s="14"/>
      <c r="CE552" s="14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</row>
    <row r="553">
      <c r="A553" s="12"/>
      <c r="B553" s="14"/>
      <c r="C553" s="14"/>
      <c r="D553" s="14"/>
      <c r="E553" s="12"/>
      <c r="F553" s="307"/>
      <c r="G553" s="307"/>
      <c r="H553" s="12"/>
      <c r="I553" s="30"/>
      <c r="J553" s="12"/>
      <c r="K553" s="12"/>
      <c r="L553" s="12"/>
      <c r="M553" s="12"/>
      <c r="N553" s="12"/>
      <c r="O553" s="308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4"/>
      <c r="BF553" s="12"/>
      <c r="BG553" s="12"/>
      <c r="BH553" s="12" t="str">
        <f>IFERROR(__xludf.DUMMYFUNCTION("IFERROR(INDEX(QUERY(IMPORTRANGE(""1T7HG8KEs-Ob7f3M5atEVN9Yn7IeORGp0QGvggB62ELw"",""Maestro!A:I""),""SELECT Col8 WHERE Col3 = '""&amp;BE553&amp;""'"", 0), 1, 1),""NO ENCONTRADO"")"),"")</f>
        <v/>
      </c>
      <c r="BI553" s="12" t="str">
        <f>IFERROR(__xludf.DUMMYFUNCTION("IFERROR(INDEX(QUERY(IMPORTRANGE(""1T7HG8KEs-Ob7f3M5atEVN9Yn7IeORGp0QGvggB62ELw"",""Maestro!A:I""),""SELECT Col7 WHERE Col3 = '""&amp;BE553&amp;""'"", 0), 1, 1),""NO ENCONTRADO"")"),"")</f>
        <v/>
      </c>
      <c r="BJ553" s="16">
        <f t="shared" si="15"/>
        <v>0</v>
      </c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4"/>
      <c r="BX553" s="14"/>
      <c r="BY553" s="14"/>
      <c r="BZ553" s="14"/>
      <c r="CA553" s="14"/>
      <c r="CB553" s="14"/>
      <c r="CC553" s="14"/>
      <c r="CD553" s="14"/>
      <c r="CE553" s="14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</row>
    <row r="554">
      <c r="A554" s="12"/>
      <c r="B554" s="14"/>
      <c r="C554" s="14"/>
      <c r="D554" s="14"/>
      <c r="E554" s="12"/>
      <c r="F554" s="307"/>
      <c r="G554" s="307"/>
      <c r="H554" s="12"/>
      <c r="I554" s="30"/>
      <c r="J554" s="12"/>
      <c r="K554" s="12"/>
      <c r="L554" s="12"/>
      <c r="M554" s="12"/>
      <c r="N554" s="12"/>
      <c r="O554" s="308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4"/>
      <c r="BF554" s="12"/>
      <c r="BG554" s="12"/>
      <c r="BH554" s="12" t="str">
        <f>IFERROR(__xludf.DUMMYFUNCTION("IFERROR(INDEX(QUERY(IMPORTRANGE(""1T7HG8KEs-Ob7f3M5atEVN9Yn7IeORGp0QGvggB62ELw"",""Maestro!A:I""),""SELECT Col8 WHERE Col3 = '""&amp;BE554&amp;""'"", 0), 1, 1),""NO ENCONTRADO"")"),"")</f>
        <v/>
      </c>
      <c r="BI554" s="12" t="str">
        <f>IFERROR(__xludf.DUMMYFUNCTION("IFERROR(INDEX(QUERY(IMPORTRANGE(""1T7HG8KEs-Ob7f3M5atEVN9Yn7IeORGp0QGvggB62ELw"",""Maestro!A:I""),""SELECT Col7 WHERE Col3 = '""&amp;BE554&amp;""'"", 0), 1, 1),""NO ENCONTRADO"")"),"")</f>
        <v/>
      </c>
      <c r="BJ554" s="16">
        <f t="shared" si="15"/>
        <v>0</v>
      </c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4"/>
      <c r="BX554" s="14"/>
      <c r="BY554" s="14"/>
      <c r="BZ554" s="14"/>
      <c r="CA554" s="14"/>
      <c r="CB554" s="14"/>
      <c r="CC554" s="14"/>
      <c r="CD554" s="14"/>
      <c r="CE554" s="14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</row>
    <row r="555">
      <c r="A555" s="12"/>
      <c r="B555" s="14"/>
      <c r="C555" s="14"/>
      <c r="D555" s="14"/>
      <c r="E555" s="12"/>
      <c r="F555" s="307"/>
      <c r="G555" s="307"/>
      <c r="H555" s="12"/>
      <c r="I555" s="30"/>
      <c r="J555" s="12"/>
      <c r="K555" s="12"/>
      <c r="L555" s="12"/>
      <c r="M555" s="12"/>
      <c r="N555" s="12"/>
      <c r="O555" s="308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4"/>
      <c r="BF555" s="12"/>
      <c r="BG555" s="12"/>
      <c r="BH555" s="12" t="str">
        <f>IFERROR(__xludf.DUMMYFUNCTION("IFERROR(INDEX(QUERY(IMPORTRANGE(""1T7HG8KEs-Ob7f3M5atEVN9Yn7IeORGp0QGvggB62ELw"",""Maestro!A:I""),""SELECT Col8 WHERE Col3 = '""&amp;BE555&amp;""'"", 0), 1, 1),""NO ENCONTRADO"")"),"")</f>
        <v/>
      </c>
      <c r="BI555" s="12" t="str">
        <f>IFERROR(__xludf.DUMMYFUNCTION("IFERROR(INDEX(QUERY(IMPORTRANGE(""1T7HG8KEs-Ob7f3M5atEVN9Yn7IeORGp0QGvggB62ELw"",""Maestro!A:I""),""SELECT Col7 WHERE Col3 = '""&amp;BE555&amp;""'"", 0), 1, 1),""NO ENCONTRADO"")"),"")</f>
        <v/>
      </c>
      <c r="BJ555" s="16">
        <f t="shared" si="15"/>
        <v>0</v>
      </c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4"/>
      <c r="BX555" s="14"/>
      <c r="BY555" s="14"/>
      <c r="BZ555" s="14"/>
      <c r="CA555" s="14"/>
      <c r="CB555" s="14"/>
      <c r="CC555" s="14"/>
      <c r="CD555" s="14"/>
      <c r="CE555" s="14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</row>
    <row r="556">
      <c r="A556" s="12"/>
      <c r="B556" s="14"/>
      <c r="C556" s="14"/>
      <c r="D556" s="14"/>
      <c r="E556" s="12"/>
      <c r="F556" s="307"/>
      <c r="G556" s="307"/>
      <c r="H556" s="12"/>
      <c r="I556" s="30"/>
      <c r="J556" s="12"/>
      <c r="K556" s="12"/>
      <c r="L556" s="12"/>
      <c r="M556" s="12"/>
      <c r="N556" s="12"/>
      <c r="O556" s="308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4"/>
      <c r="BF556" s="12"/>
      <c r="BG556" s="12"/>
      <c r="BH556" s="12" t="str">
        <f>IFERROR(__xludf.DUMMYFUNCTION("IFERROR(INDEX(QUERY(IMPORTRANGE(""1T7HG8KEs-Ob7f3M5atEVN9Yn7IeORGp0QGvggB62ELw"",""Maestro!A:I""),""SELECT Col8 WHERE Col3 = '""&amp;BE556&amp;""'"", 0), 1, 1),""NO ENCONTRADO"")"),"")</f>
        <v/>
      </c>
      <c r="BI556" s="12" t="str">
        <f>IFERROR(__xludf.DUMMYFUNCTION("IFERROR(INDEX(QUERY(IMPORTRANGE(""1T7HG8KEs-Ob7f3M5atEVN9Yn7IeORGp0QGvggB62ELw"",""Maestro!A:I""),""SELECT Col7 WHERE Col3 = '""&amp;BE556&amp;""'"", 0), 1, 1),""NO ENCONTRADO"")"),"")</f>
        <v/>
      </c>
      <c r="BJ556" s="16">
        <f t="shared" si="15"/>
        <v>0</v>
      </c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4"/>
      <c r="BX556" s="14"/>
      <c r="BY556" s="14"/>
      <c r="BZ556" s="14"/>
      <c r="CA556" s="14"/>
      <c r="CB556" s="14"/>
      <c r="CC556" s="14"/>
      <c r="CD556" s="14"/>
      <c r="CE556" s="14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</row>
    <row r="557">
      <c r="A557" s="12"/>
      <c r="B557" s="14"/>
      <c r="C557" s="14"/>
      <c r="D557" s="14"/>
      <c r="E557" s="12"/>
      <c r="F557" s="307"/>
      <c r="G557" s="307"/>
      <c r="H557" s="12"/>
      <c r="I557" s="30"/>
      <c r="J557" s="12"/>
      <c r="K557" s="12"/>
      <c r="L557" s="12"/>
      <c r="M557" s="12"/>
      <c r="N557" s="12"/>
      <c r="O557" s="308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4"/>
      <c r="BF557" s="12"/>
      <c r="BG557" s="12"/>
      <c r="BH557" s="12" t="str">
        <f>IFERROR(__xludf.DUMMYFUNCTION("IFERROR(INDEX(QUERY(IMPORTRANGE(""1T7HG8KEs-Ob7f3M5atEVN9Yn7IeORGp0QGvggB62ELw"",""Maestro!A:I""),""SELECT Col8 WHERE Col3 = '""&amp;BE557&amp;""'"", 0), 1, 1),""NO ENCONTRADO"")"),"")</f>
        <v/>
      </c>
      <c r="BI557" s="12" t="str">
        <f>IFERROR(__xludf.DUMMYFUNCTION("IFERROR(INDEX(QUERY(IMPORTRANGE(""1T7HG8KEs-Ob7f3M5atEVN9Yn7IeORGp0QGvggB62ELw"",""Maestro!A:I""),""SELECT Col7 WHERE Col3 = '""&amp;BE557&amp;""'"", 0), 1, 1),""NO ENCONTRADO"")"),"")</f>
        <v/>
      </c>
      <c r="BJ557" s="16">
        <f t="shared" si="15"/>
        <v>0</v>
      </c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4"/>
      <c r="BX557" s="14"/>
      <c r="BY557" s="14"/>
      <c r="BZ557" s="14"/>
      <c r="CA557" s="14"/>
      <c r="CB557" s="14"/>
      <c r="CC557" s="14"/>
      <c r="CD557" s="14"/>
      <c r="CE557" s="14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</row>
    <row r="558">
      <c r="A558" s="12"/>
      <c r="B558" s="14"/>
      <c r="C558" s="14"/>
      <c r="D558" s="14"/>
      <c r="E558" s="12"/>
      <c r="F558" s="307"/>
      <c r="G558" s="307"/>
      <c r="H558" s="12"/>
      <c r="I558" s="30"/>
      <c r="J558" s="12"/>
      <c r="K558" s="12"/>
      <c r="L558" s="12"/>
      <c r="M558" s="12"/>
      <c r="N558" s="12"/>
      <c r="O558" s="308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4"/>
      <c r="BF558" s="12"/>
      <c r="BG558" s="12"/>
      <c r="BH558" s="12" t="str">
        <f>IFERROR(__xludf.DUMMYFUNCTION("IFERROR(INDEX(QUERY(IMPORTRANGE(""1T7HG8KEs-Ob7f3M5atEVN9Yn7IeORGp0QGvggB62ELw"",""Maestro!A:I""),""SELECT Col8 WHERE Col3 = '""&amp;BE558&amp;""'"", 0), 1, 1),""NO ENCONTRADO"")"),"")</f>
        <v/>
      </c>
      <c r="BI558" s="12" t="str">
        <f>IFERROR(__xludf.DUMMYFUNCTION("IFERROR(INDEX(QUERY(IMPORTRANGE(""1T7HG8KEs-Ob7f3M5atEVN9Yn7IeORGp0QGvggB62ELw"",""Maestro!A:I""),""SELECT Col7 WHERE Col3 = '""&amp;BE558&amp;""'"", 0), 1, 1),""NO ENCONTRADO"")"),"")</f>
        <v/>
      </c>
      <c r="BJ558" s="16">
        <f t="shared" si="15"/>
        <v>0</v>
      </c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4"/>
      <c r="BX558" s="14"/>
      <c r="BY558" s="14"/>
      <c r="BZ558" s="14"/>
      <c r="CA558" s="14"/>
      <c r="CB558" s="14"/>
      <c r="CC558" s="14"/>
      <c r="CD558" s="14"/>
      <c r="CE558" s="14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</row>
    <row r="559">
      <c r="A559" s="12"/>
      <c r="B559" s="14"/>
      <c r="C559" s="14"/>
      <c r="D559" s="14"/>
      <c r="E559" s="12"/>
      <c r="F559" s="307"/>
      <c r="G559" s="307"/>
      <c r="H559" s="12"/>
      <c r="I559" s="30"/>
      <c r="J559" s="12"/>
      <c r="K559" s="12"/>
      <c r="L559" s="12"/>
      <c r="M559" s="12"/>
      <c r="N559" s="12"/>
      <c r="O559" s="308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4"/>
      <c r="BF559" s="12"/>
      <c r="BG559" s="12"/>
      <c r="BH559" s="12" t="str">
        <f>IFERROR(__xludf.DUMMYFUNCTION("IFERROR(INDEX(QUERY(IMPORTRANGE(""1T7HG8KEs-Ob7f3M5atEVN9Yn7IeORGp0QGvggB62ELw"",""Maestro!A:I""),""SELECT Col8 WHERE Col3 = '""&amp;BE559&amp;""'"", 0), 1, 1),""NO ENCONTRADO"")"),"")</f>
        <v/>
      </c>
      <c r="BI559" s="12" t="str">
        <f>IFERROR(__xludf.DUMMYFUNCTION("IFERROR(INDEX(QUERY(IMPORTRANGE(""1T7HG8KEs-Ob7f3M5atEVN9Yn7IeORGp0QGvggB62ELw"",""Maestro!A:I""),""SELECT Col7 WHERE Col3 = '""&amp;BE559&amp;""'"", 0), 1, 1),""NO ENCONTRADO"")"),"")</f>
        <v/>
      </c>
      <c r="BJ559" s="16">
        <f t="shared" si="15"/>
        <v>0</v>
      </c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4"/>
      <c r="BX559" s="14"/>
      <c r="BY559" s="14"/>
      <c r="BZ559" s="14"/>
      <c r="CA559" s="14"/>
      <c r="CB559" s="14"/>
      <c r="CC559" s="14"/>
      <c r="CD559" s="14"/>
      <c r="CE559" s="14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</row>
    <row r="560">
      <c r="A560" s="12"/>
      <c r="B560" s="14"/>
      <c r="C560" s="14"/>
      <c r="D560" s="14"/>
      <c r="E560" s="12"/>
      <c r="F560" s="307"/>
      <c r="G560" s="307"/>
      <c r="H560" s="12"/>
      <c r="I560" s="30"/>
      <c r="J560" s="12"/>
      <c r="K560" s="12"/>
      <c r="L560" s="12"/>
      <c r="M560" s="12"/>
      <c r="N560" s="12"/>
      <c r="O560" s="308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4"/>
      <c r="BF560" s="12"/>
      <c r="BG560" s="12"/>
      <c r="BH560" s="12" t="str">
        <f>IFERROR(__xludf.DUMMYFUNCTION("IFERROR(INDEX(QUERY(IMPORTRANGE(""1T7HG8KEs-Ob7f3M5atEVN9Yn7IeORGp0QGvggB62ELw"",""Maestro!A:I""),""SELECT Col8 WHERE Col3 = '""&amp;BE560&amp;""'"", 0), 1, 1),""NO ENCONTRADO"")"),"")</f>
        <v/>
      </c>
      <c r="BI560" s="12" t="str">
        <f>IFERROR(__xludf.DUMMYFUNCTION("IFERROR(INDEX(QUERY(IMPORTRANGE(""1T7HG8KEs-Ob7f3M5atEVN9Yn7IeORGp0QGvggB62ELw"",""Maestro!A:I""),""SELECT Col7 WHERE Col3 = '""&amp;BE560&amp;""'"", 0), 1, 1),""NO ENCONTRADO"")"),"")</f>
        <v/>
      </c>
      <c r="BJ560" s="16">
        <f t="shared" si="15"/>
        <v>0</v>
      </c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4"/>
      <c r="BX560" s="14"/>
      <c r="BY560" s="14"/>
      <c r="BZ560" s="14"/>
      <c r="CA560" s="14"/>
      <c r="CB560" s="14"/>
      <c r="CC560" s="14"/>
      <c r="CD560" s="14"/>
      <c r="CE560" s="14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</row>
    <row r="561">
      <c r="A561" s="12"/>
      <c r="B561" s="14"/>
      <c r="C561" s="14"/>
      <c r="D561" s="14"/>
      <c r="E561" s="12"/>
      <c r="F561" s="307"/>
      <c r="G561" s="307"/>
      <c r="H561" s="12"/>
      <c r="I561" s="30"/>
      <c r="J561" s="12"/>
      <c r="K561" s="12"/>
      <c r="L561" s="12"/>
      <c r="M561" s="12"/>
      <c r="N561" s="12"/>
      <c r="O561" s="308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4"/>
      <c r="BF561" s="12"/>
      <c r="BG561" s="12"/>
      <c r="BH561" s="12" t="str">
        <f>IFERROR(__xludf.DUMMYFUNCTION("IFERROR(INDEX(QUERY(IMPORTRANGE(""1T7HG8KEs-Ob7f3M5atEVN9Yn7IeORGp0QGvggB62ELw"",""Maestro!A:I""),""SELECT Col8 WHERE Col3 = '""&amp;BE561&amp;""'"", 0), 1, 1),""NO ENCONTRADO"")"),"")</f>
        <v/>
      </c>
      <c r="BI561" s="12" t="str">
        <f>IFERROR(__xludf.DUMMYFUNCTION("IFERROR(INDEX(QUERY(IMPORTRANGE(""1T7HG8KEs-Ob7f3M5atEVN9Yn7IeORGp0QGvggB62ELw"",""Maestro!A:I""),""SELECT Col7 WHERE Col3 = '""&amp;BE561&amp;""'"", 0), 1, 1),""NO ENCONTRADO"")"),"")</f>
        <v/>
      </c>
      <c r="BJ561" s="16">
        <f t="shared" si="15"/>
        <v>0</v>
      </c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4"/>
      <c r="BX561" s="14"/>
      <c r="BY561" s="14"/>
      <c r="BZ561" s="14"/>
      <c r="CA561" s="14"/>
      <c r="CB561" s="14"/>
      <c r="CC561" s="14"/>
      <c r="CD561" s="14"/>
      <c r="CE561" s="14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</row>
    <row r="562">
      <c r="A562" s="12"/>
      <c r="B562" s="14"/>
      <c r="C562" s="14"/>
      <c r="D562" s="14"/>
      <c r="E562" s="12"/>
      <c r="F562" s="307"/>
      <c r="G562" s="307"/>
      <c r="H562" s="12"/>
      <c r="I562" s="30"/>
      <c r="J562" s="12"/>
      <c r="K562" s="12"/>
      <c r="L562" s="12"/>
      <c r="M562" s="12"/>
      <c r="N562" s="12"/>
      <c r="O562" s="308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4"/>
      <c r="BF562" s="12"/>
      <c r="BG562" s="12"/>
      <c r="BH562" s="12" t="str">
        <f>IFERROR(__xludf.DUMMYFUNCTION("IFERROR(INDEX(QUERY(IMPORTRANGE(""1T7HG8KEs-Ob7f3M5atEVN9Yn7IeORGp0QGvggB62ELw"",""Maestro!A:I""),""SELECT Col8 WHERE Col3 = '""&amp;BE562&amp;""'"", 0), 1, 1),""NO ENCONTRADO"")"),"")</f>
        <v/>
      </c>
      <c r="BI562" s="12" t="str">
        <f>IFERROR(__xludf.DUMMYFUNCTION("IFERROR(INDEX(QUERY(IMPORTRANGE(""1T7HG8KEs-Ob7f3M5atEVN9Yn7IeORGp0QGvggB62ELw"",""Maestro!A:I""),""SELECT Col7 WHERE Col3 = '""&amp;BE562&amp;""'"", 0), 1, 1),""NO ENCONTRADO"")"),"")</f>
        <v/>
      </c>
      <c r="BJ562" s="16">
        <f t="shared" si="15"/>
        <v>0</v>
      </c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4"/>
      <c r="BX562" s="14"/>
      <c r="BY562" s="14"/>
      <c r="BZ562" s="14"/>
      <c r="CA562" s="14"/>
      <c r="CB562" s="14"/>
      <c r="CC562" s="14"/>
      <c r="CD562" s="14"/>
      <c r="CE562" s="14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</row>
    <row r="563">
      <c r="A563" s="12"/>
      <c r="B563" s="14"/>
      <c r="C563" s="14"/>
      <c r="D563" s="14"/>
      <c r="E563" s="12"/>
      <c r="F563" s="307"/>
      <c r="G563" s="307"/>
      <c r="H563" s="12"/>
      <c r="I563" s="30"/>
      <c r="J563" s="12"/>
      <c r="K563" s="12"/>
      <c r="L563" s="12"/>
      <c r="M563" s="12"/>
      <c r="N563" s="12"/>
      <c r="O563" s="308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4"/>
      <c r="BF563" s="12"/>
      <c r="BG563" s="12"/>
      <c r="BH563" s="12" t="str">
        <f>IFERROR(__xludf.DUMMYFUNCTION("IFERROR(INDEX(QUERY(IMPORTRANGE(""1T7HG8KEs-Ob7f3M5atEVN9Yn7IeORGp0QGvggB62ELw"",""Maestro!A:I""),""SELECT Col8 WHERE Col3 = '""&amp;BE563&amp;""'"", 0), 1, 1),""NO ENCONTRADO"")"),"")</f>
        <v/>
      </c>
      <c r="BI563" s="12" t="str">
        <f>IFERROR(__xludf.DUMMYFUNCTION("IFERROR(INDEX(QUERY(IMPORTRANGE(""1T7HG8KEs-Ob7f3M5atEVN9Yn7IeORGp0QGvggB62ELw"",""Maestro!A:I""),""SELECT Col7 WHERE Col3 = '""&amp;BE563&amp;""'"", 0), 1, 1),""NO ENCONTRADO"")"),"")</f>
        <v/>
      </c>
      <c r="BJ563" s="16">
        <f t="shared" si="15"/>
        <v>0</v>
      </c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4"/>
      <c r="BX563" s="14"/>
      <c r="BY563" s="14"/>
      <c r="BZ563" s="14"/>
      <c r="CA563" s="14"/>
      <c r="CB563" s="14"/>
      <c r="CC563" s="14"/>
      <c r="CD563" s="14"/>
      <c r="CE563" s="14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</row>
    <row r="564">
      <c r="A564" s="12"/>
      <c r="B564" s="14"/>
      <c r="C564" s="14"/>
      <c r="D564" s="14"/>
      <c r="E564" s="12"/>
      <c r="F564" s="307"/>
      <c r="G564" s="307"/>
      <c r="H564" s="12"/>
      <c r="I564" s="30"/>
      <c r="J564" s="12"/>
      <c r="K564" s="12"/>
      <c r="L564" s="12"/>
      <c r="M564" s="12"/>
      <c r="N564" s="12"/>
      <c r="O564" s="308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4"/>
      <c r="BF564" s="12"/>
      <c r="BG564" s="12"/>
      <c r="BH564" s="12" t="str">
        <f>IFERROR(__xludf.DUMMYFUNCTION("IFERROR(INDEX(QUERY(IMPORTRANGE(""1T7HG8KEs-Ob7f3M5atEVN9Yn7IeORGp0QGvggB62ELw"",""Maestro!A:I""),""SELECT Col8 WHERE Col3 = '""&amp;BE564&amp;""'"", 0), 1, 1),""NO ENCONTRADO"")"),"")</f>
        <v/>
      </c>
      <c r="BI564" s="12" t="str">
        <f>IFERROR(__xludf.DUMMYFUNCTION("IFERROR(INDEX(QUERY(IMPORTRANGE(""1T7HG8KEs-Ob7f3M5atEVN9Yn7IeORGp0QGvggB62ELw"",""Maestro!A:I""),""SELECT Col7 WHERE Col3 = '""&amp;BE564&amp;""'"", 0), 1, 1),""NO ENCONTRADO"")"),"")</f>
        <v/>
      </c>
      <c r="BJ564" s="16">
        <f t="shared" si="15"/>
        <v>0</v>
      </c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4"/>
      <c r="BX564" s="14"/>
      <c r="BY564" s="14"/>
      <c r="BZ564" s="14"/>
      <c r="CA564" s="14"/>
      <c r="CB564" s="14"/>
      <c r="CC564" s="14"/>
      <c r="CD564" s="14"/>
      <c r="CE564" s="14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</row>
    <row r="565">
      <c r="A565" s="12"/>
      <c r="B565" s="14"/>
      <c r="C565" s="14"/>
      <c r="D565" s="14"/>
      <c r="E565" s="12"/>
      <c r="F565" s="307"/>
      <c r="G565" s="307"/>
      <c r="H565" s="12"/>
      <c r="I565" s="30"/>
      <c r="J565" s="12"/>
      <c r="K565" s="12"/>
      <c r="L565" s="12"/>
      <c r="M565" s="12"/>
      <c r="N565" s="12"/>
      <c r="O565" s="308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4"/>
      <c r="BF565" s="12"/>
      <c r="BG565" s="12"/>
      <c r="BH565" s="12" t="str">
        <f>IFERROR(__xludf.DUMMYFUNCTION("IFERROR(INDEX(QUERY(IMPORTRANGE(""1T7HG8KEs-Ob7f3M5atEVN9Yn7IeORGp0QGvggB62ELw"",""Maestro!A:I""),""SELECT Col8 WHERE Col3 = '""&amp;BE565&amp;""'"", 0), 1, 1),""NO ENCONTRADO"")"),"")</f>
        <v/>
      </c>
      <c r="BI565" s="12" t="str">
        <f>IFERROR(__xludf.DUMMYFUNCTION("IFERROR(INDEX(QUERY(IMPORTRANGE(""1T7HG8KEs-Ob7f3M5atEVN9Yn7IeORGp0QGvggB62ELw"",""Maestro!A:I""),""SELECT Col7 WHERE Col3 = '""&amp;BE565&amp;""'"", 0), 1, 1),""NO ENCONTRADO"")"),"")</f>
        <v/>
      </c>
      <c r="BJ565" s="16">
        <f t="shared" si="15"/>
        <v>0</v>
      </c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4"/>
      <c r="BX565" s="14"/>
      <c r="BY565" s="14"/>
      <c r="BZ565" s="14"/>
      <c r="CA565" s="14"/>
      <c r="CB565" s="14"/>
      <c r="CC565" s="14"/>
      <c r="CD565" s="14"/>
      <c r="CE565" s="14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</row>
    <row r="566">
      <c r="A566" s="12"/>
      <c r="B566" s="14"/>
      <c r="C566" s="14"/>
      <c r="D566" s="14"/>
      <c r="E566" s="12"/>
      <c r="F566" s="307"/>
      <c r="G566" s="307"/>
      <c r="H566" s="12"/>
      <c r="I566" s="30"/>
      <c r="J566" s="12"/>
      <c r="K566" s="12"/>
      <c r="L566" s="12"/>
      <c r="M566" s="12"/>
      <c r="N566" s="12"/>
      <c r="O566" s="308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4"/>
      <c r="BF566" s="12"/>
      <c r="BG566" s="12"/>
      <c r="BH566" s="12" t="str">
        <f>IFERROR(__xludf.DUMMYFUNCTION("IFERROR(INDEX(QUERY(IMPORTRANGE(""1T7HG8KEs-Ob7f3M5atEVN9Yn7IeORGp0QGvggB62ELw"",""Maestro!A:I""),""SELECT Col8 WHERE Col3 = '""&amp;BE566&amp;""'"", 0), 1, 1),""NO ENCONTRADO"")"),"")</f>
        <v/>
      </c>
      <c r="BI566" s="12" t="str">
        <f>IFERROR(__xludf.DUMMYFUNCTION("IFERROR(INDEX(QUERY(IMPORTRANGE(""1T7HG8KEs-Ob7f3M5atEVN9Yn7IeORGp0QGvggB62ELw"",""Maestro!A:I""),""SELECT Col7 WHERE Col3 = '""&amp;BE566&amp;""'"", 0), 1, 1),""NO ENCONTRADO"")"),"")</f>
        <v/>
      </c>
      <c r="BJ566" s="16">
        <f t="shared" si="15"/>
        <v>0</v>
      </c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4"/>
      <c r="BX566" s="14"/>
      <c r="BY566" s="14"/>
      <c r="BZ566" s="14"/>
      <c r="CA566" s="14"/>
      <c r="CB566" s="14"/>
      <c r="CC566" s="14"/>
      <c r="CD566" s="14"/>
      <c r="CE566" s="14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</row>
    <row r="567">
      <c r="A567" s="12"/>
      <c r="B567" s="14"/>
      <c r="C567" s="14"/>
      <c r="D567" s="14"/>
      <c r="E567" s="12"/>
      <c r="F567" s="307"/>
      <c r="G567" s="307"/>
      <c r="H567" s="12"/>
      <c r="I567" s="30"/>
      <c r="J567" s="12"/>
      <c r="K567" s="12"/>
      <c r="L567" s="12"/>
      <c r="M567" s="12"/>
      <c r="N567" s="12"/>
      <c r="O567" s="308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4"/>
      <c r="BF567" s="12"/>
      <c r="BG567" s="12"/>
      <c r="BH567" s="12" t="str">
        <f>IFERROR(__xludf.DUMMYFUNCTION("IFERROR(INDEX(QUERY(IMPORTRANGE(""1T7HG8KEs-Ob7f3M5atEVN9Yn7IeORGp0QGvggB62ELw"",""Maestro!A:I""),""SELECT Col8 WHERE Col3 = '""&amp;BE567&amp;""'"", 0), 1, 1),""NO ENCONTRADO"")"),"")</f>
        <v/>
      </c>
      <c r="BI567" s="12" t="str">
        <f>IFERROR(__xludf.DUMMYFUNCTION("IFERROR(INDEX(QUERY(IMPORTRANGE(""1T7HG8KEs-Ob7f3M5atEVN9Yn7IeORGp0QGvggB62ELw"",""Maestro!A:I""),""SELECT Col7 WHERE Col3 = '""&amp;BE567&amp;""'"", 0), 1, 1),""NO ENCONTRADO"")"),"")</f>
        <v/>
      </c>
      <c r="BJ567" s="16">
        <f t="shared" si="15"/>
        <v>0</v>
      </c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4"/>
      <c r="BX567" s="14"/>
      <c r="BY567" s="14"/>
      <c r="BZ567" s="14"/>
      <c r="CA567" s="14"/>
      <c r="CB567" s="14"/>
      <c r="CC567" s="14"/>
      <c r="CD567" s="14"/>
      <c r="CE567" s="14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</row>
    <row r="568">
      <c r="A568" s="12"/>
      <c r="B568" s="14"/>
      <c r="C568" s="14"/>
      <c r="D568" s="14"/>
      <c r="E568" s="12"/>
      <c r="F568" s="307"/>
      <c r="G568" s="307"/>
      <c r="H568" s="12"/>
      <c r="I568" s="30"/>
      <c r="J568" s="12"/>
      <c r="K568" s="12"/>
      <c r="L568" s="12"/>
      <c r="M568" s="12"/>
      <c r="N568" s="12"/>
      <c r="O568" s="308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4"/>
      <c r="BF568" s="12"/>
      <c r="BG568" s="12"/>
      <c r="BH568" s="12" t="str">
        <f>IFERROR(__xludf.DUMMYFUNCTION("IFERROR(INDEX(QUERY(IMPORTRANGE(""1T7HG8KEs-Ob7f3M5atEVN9Yn7IeORGp0QGvggB62ELw"",""Maestro!A:I""),""SELECT Col8 WHERE Col3 = '""&amp;BE568&amp;""'"", 0), 1, 1),""NO ENCONTRADO"")"),"")</f>
        <v/>
      </c>
      <c r="BI568" s="12" t="str">
        <f>IFERROR(__xludf.DUMMYFUNCTION("IFERROR(INDEX(QUERY(IMPORTRANGE(""1T7HG8KEs-Ob7f3M5atEVN9Yn7IeORGp0QGvggB62ELw"",""Maestro!A:I""),""SELECT Col7 WHERE Col3 = '""&amp;BE568&amp;""'"", 0), 1, 1),""NO ENCONTRADO"")"),"")</f>
        <v/>
      </c>
      <c r="BJ568" s="16">
        <f t="shared" si="15"/>
        <v>0</v>
      </c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4"/>
      <c r="BX568" s="14"/>
      <c r="BY568" s="14"/>
      <c r="BZ568" s="14"/>
      <c r="CA568" s="14"/>
      <c r="CB568" s="14"/>
      <c r="CC568" s="14"/>
      <c r="CD568" s="14"/>
      <c r="CE568" s="14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</row>
    <row r="569">
      <c r="A569" s="12"/>
      <c r="B569" s="14"/>
      <c r="C569" s="14"/>
      <c r="D569" s="14"/>
      <c r="E569" s="12"/>
      <c r="F569" s="307"/>
      <c r="G569" s="307"/>
      <c r="H569" s="12"/>
      <c r="I569" s="30"/>
      <c r="J569" s="12"/>
      <c r="K569" s="12"/>
      <c r="L569" s="12"/>
      <c r="M569" s="12"/>
      <c r="N569" s="12"/>
      <c r="O569" s="308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4"/>
      <c r="BF569" s="12"/>
      <c r="BG569" s="12"/>
      <c r="BH569" s="12" t="str">
        <f>IFERROR(__xludf.DUMMYFUNCTION("IFERROR(INDEX(QUERY(IMPORTRANGE(""1T7HG8KEs-Ob7f3M5atEVN9Yn7IeORGp0QGvggB62ELw"",""Maestro!A:I""),""SELECT Col8 WHERE Col3 = '""&amp;BE569&amp;""'"", 0), 1, 1),""NO ENCONTRADO"")"),"")</f>
        <v/>
      </c>
      <c r="BI569" s="12" t="str">
        <f>IFERROR(__xludf.DUMMYFUNCTION("IFERROR(INDEX(QUERY(IMPORTRANGE(""1T7HG8KEs-Ob7f3M5atEVN9Yn7IeORGp0QGvggB62ELw"",""Maestro!A:I""),""SELECT Col7 WHERE Col3 = '""&amp;BE569&amp;""'"", 0), 1, 1),""NO ENCONTRADO"")"),"")</f>
        <v/>
      </c>
      <c r="BJ569" s="16">
        <f t="shared" si="15"/>
        <v>0</v>
      </c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4"/>
      <c r="BX569" s="14"/>
      <c r="BY569" s="14"/>
      <c r="BZ569" s="14"/>
      <c r="CA569" s="14"/>
      <c r="CB569" s="14"/>
      <c r="CC569" s="14"/>
      <c r="CD569" s="14"/>
      <c r="CE569" s="14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</row>
    <row r="570">
      <c r="A570" s="12"/>
      <c r="B570" s="14"/>
      <c r="C570" s="14"/>
      <c r="D570" s="14"/>
      <c r="E570" s="12"/>
      <c r="F570" s="307"/>
      <c r="G570" s="307"/>
      <c r="H570" s="12"/>
      <c r="I570" s="30"/>
      <c r="J570" s="12"/>
      <c r="K570" s="12"/>
      <c r="L570" s="12"/>
      <c r="M570" s="12"/>
      <c r="N570" s="12"/>
      <c r="O570" s="308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4"/>
      <c r="BF570" s="12"/>
      <c r="BG570" s="12"/>
      <c r="BH570" s="12" t="str">
        <f>IFERROR(__xludf.DUMMYFUNCTION("IFERROR(INDEX(QUERY(IMPORTRANGE(""1T7HG8KEs-Ob7f3M5atEVN9Yn7IeORGp0QGvggB62ELw"",""Maestro!A:I""),""SELECT Col8 WHERE Col3 = '""&amp;BE570&amp;""'"", 0), 1, 1),""NO ENCONTRADO"")"),"")</f>
        <v/>
      </c>
      <c r="BI570" s="12" t="str">
        <f>IFERROR(__xludf.DUMMYFUNCTION("IFERROR(INDEX(QUERY(IMPORTRANGE(""1T7HG8KEs-Ob7f3M5atEVN9Yn7IeORGp0QGvggB62ELw"",""Maestro!A:I""),""SELECT Col7 WHERE Col3 = '""&amp;BE570&amp;""'"", 0), 1, 1),""NO ENCONTRADO"")"),"")</f>
        <v/>
      </c>
      <c r="BJ570" s="16">
        <f t="shared" si="15"/>
        <v>0</v>
      </c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4"/>
      <c r="BX570" s="14"/>
      <c r="BY570" s="14"/>
      <c r="BZ570" s="14"/>
      <c r="CA570" s="14"/>
      <c r="CB570" s="14"/>
      <c r="CC570" s="14"/>
      <c r="CD570" s="14"/>
      <c r="CE570" s="14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</row>
    <row r="571">
      <c r="A571" s="12"/>
      <c r="B571" s="14"/>
      <c r="C571" s="14"/>
      <c r="D571" s="14"/>
      <c r="E571" s="12"/>
      <c r="F571" s="307"/>
      <c r="G571" s="307"/>
      <c r="H571" s="12"/>
      <c r="I571" s="30"/>
      <c r="J571" s="12"/>
      <c r="K571" s="12"/>
      <c r="L571" s="12"/>
      <c r="M571" s="12"/>
      <c r="N571" s="12"/>
      <c r="O571" s="308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4"/>
      <c r="BF571" s="12"/>
      <c r="BG571" s="12"/>
      <c r="BH571" s="12" t="str">
        <f>IFERROR(__xludf.DUMMYFUNCTION("IFERROR(INDEX(QUERY(IMPORTRANGE(""1T7HG8KEs-Ob7f3M5atEVN9Yn7IeORGp0QGvggB62ELw"",""Maestro!A:I""),""SELECT Col8 WHERE Col3 = '""&amp;BE571&amp;""'"", 0), 1, 1),""NO ENCONTRADO"")"),"")</f>
        <v/>
      </c>
      <c r="BI571" s="12" t="str">
        <f>IFERROR(__xludf.DUMMYFUNCTION("IFERROR(INDEX(QUERY(IMPORTRANGE(""1T7HG8KEs-Ob7f3M5atEVN9Yn7IeORGp0QGvggB62ELw"",""Maestro!A:I""),""SELECT Col7 WHERE Col3 = '""&amp;BE571&amp;""'"", 0), 1, 1),""NO ENCONTRADO"")"),"")</f>
        <v/>
      </c>
      <c r="BJ571" s="16">
        <f t="shared" si="15"/>
        <v>0</v>
      </c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4"/>
      <c r="BX571" s="14"/>
      <c r="BY571" s="14"/>
      <c r="BZ571" s="14"/>
      <c r="CA571" s="14"/>
      <c r="CB571" s="14"/>
      <c r="CC571" s="14"/>
      <c r="CD571" s="14"/>
      <c r="CE571" s="14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</row>
    <row r="572">
      <c r="A572" s="12"/>
      <c r="B572" s="14"/>
      <c r="C572" s="14"/>
      <c r="D572" s="14"/>
      <c r="E572" s="12"/>
      <c r="F572" s="307"/>
      <c r="G572" s="307"/>
      <c r="H572" s="12"/>
      <c r="I572" s="30"/>
      <c r="J572" s="12"/>
      <c r="K572" s="12"/>
      <c r="L572" s="12"/>
      <c r="M572" s="12"/>
      <c r="N572" s="12"/>
      <c r="O572" s="308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4"/>
      <c r="BF572" s="12"/>
      <c r="BG572" s="12"/>
      <c r="BH572" s="12" t="str">
        <f>IFERROR(__xludf.DUMMYFUNCTION("IFERROR(INDEX(QUERY(IMPORTRANGE(""1T7HG8KEs-Ob7f3M5atEVN9Yn7IeORGp0QGvggB62ELw"",""Maestro!A:I""),""SELECT Col8 WHERE Col3 = '""&amp;BE572&amp;""'"", 0), 1, 1),""NO ENCONTRADO"")"),"")</f>
        <v/>
      </c>
      <c r="BI572" s="12" t="str">
        <f>IFERROR(__xludf.DUMMYFUNCTION("IFERROR(INDEX(QUERY(IMPORTRANGE(""1T7HG8KEs-Ob7f3M5atEVN9Yn7IeORGp0QGvggB62ELw"",""Maestro!A:I""),""SELECT Col7 WHERE Col3 = '""&amp;BE572&amp;""'"", 0), 1, 1),""NO ENCONTRADO"")"),"")</f>
        <v/>
      </c>
      <c r="BJ572" s="16">
        <f t="shared" si="15"/>
        <v>0</v>
      </c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4"/>
      <c r="BX572" s="14"/>
      <c r="BY572" s="14"/>
      <c r="BZ572" s="14"/>
      <c r="CA572" s="14"/>
      <c r="CB572" s="14"/>
      <c r="CC572" s="14"/>
      <c r="CD572" s="14"/>
      <c r="CE572" s="14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</row>
    <row r="573">
      <c r="A573" s="12"/>
      <c r="B573" s="14"/>
      <c r="C573" s="14"/>
      <c r="D573" s="14"/>
      <c r="E573" s="12"/>
      <c r="F573" s="307"/>
      <c r="G573" s="307"/>
      <c r="H573" s="12"/>
      <c r="I573" s="30"/>
      <c r="J573" s="12"/>
      <c r="K573" s="12"/>
      <c r="L573" s="12"/>
      <c r="M573" s="12"/>
      <c r="N573" s="12"/>
      <c r="O573" s="308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4"/>
      <c r="BF573" s="12"/>
      <c r="BG573" s="12"/>
      <c r="BH573" s="12" t="str">
        <f>IFERROR(__xludf.DUMMYFUNCTION("IFERROR(INDEX(QUERY(IMPORTRANGE(""1T7HG8KEs-Ob7f3M5atEVN9Yn7IeORGp0QGvggB62ELw"",""Maestro!A:I""),""SELECT Col8 WHERE Col3 = '""&amp;BE573&amp;""'"", 0), 1, 1),""NO ENCONTRADO"")"),"")</f>
        <v/>
      </c>
      <c r="BI573" s="12" t="str">
        <f>IFERROR(__xludf.DUMMYFUNCTION("IFERROR(INDEX(QUERY(IMPORTRANGE(""1T7HG8KEs-Ob7f3M5atEVN9Yn7IeORGp0QGvggB62ELw"",""Maestro!A:I""),""SELECT Col7 WHERE Col3 = '""&amp;BE573&amp;""'"", 0), 1, 1),""NO ENCONTRADO"")"),"")</f>
        <v/>
      </c>
      <c r="BJ573" s="16">
        <f t="shared" si="15"/>
        <v>0</v>
      </c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4"/>
      <c r="BX573" s="14"/>
      <c r="BY573" s="14"/>
      <c r="BZ573" s="14"/>
      <c r="CA573" s="14"/>
      <c r="CB573" s="14"/>
      <c r="CC573" s="14"/>
      <c r="CD573" s="14"/>
      <c r="CE573" s="14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</row>
    <row r="574">
      <c r="A574" s="12"/>
      <c r="B574" s="14"/>
      <c r="C574" s="14"/>
      <c r="D574" s="14"/>
      <c r="E574" s="12"/>
      <c r="F574" s="307"/>
      <c r="G574" s="307"/>
      <c r="H574" s="12"/>
      <c r="I574" s="30"/>
      <c r="J574" s="12"/>
      <c r="K574" s="12"/>
      <c r="L574" s="12"/>
      <c r="M574" s="12"/>
      <c r="N574" s="12"/>
      <c r="O574" s="308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4"/>
      <c r="BF574" s="12"/>
      <c r="BG574" s="12"/>
      <c r="BH574" s="12" t="str">
        <f>IFERROR(__xludf.DUMMYFUNCTION("IFERROR(INDEX(QUERY(IMPORTRANGE(""1T7HG8KEs-Ob7f3M5atEVN9Yn7IeORGp0QGvggB62ELw"",""Maestro!A:I""),""SELECT Col8 WHERE Col3 = '""&amp;BE574&amp;""'"", 0), 1, 1),""NO ENCONTRADO"")"),"")</f>
        <v/>
      </c>
      <c r="BI574" s="12" t="str">
        <f>IFERROR(__xludf.DUMMYFUNCTION("IFERROR(INDEX(QUERY(IMPORTRANGE(""1T7HG8KEs-Ob7f3M5atEVN9Yn7IeORGp0QGvggB62ELw"",""Maestro!A:I""),""SELECT Col7 WHERE Col3 = '""&amp;BE574&amp;""'"", 0), 1, 1),""NO ENCONTRADO"")"),"")</f>
        <v/>
      </c>
      <c r="BJ574" s="16">
        <f t="shared" si="15"/>
        <v>0</v>
      </c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4"/>
      <c r="BX574" s="14"/>
      <c r="BY574" s="14"/>
      <c r="BZ574" s="14"/>
      <c r="CA574" s="14"/>
      <c r="CB574" s="14"/>
      <c r="CC574" s="14"/>
      <c r="CD574" s="14"/>
      <c r="CE574" s="14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</row>
    <row r="575">
      <c r="A575" s="12"/>
      <c r="B575" s="14"/>
      <c r="C575" s="14"/>
      <c r="D575" s="14"/>
      <c r="E575" s="12"/>
      <c r="F575" s="307"/>
      <c r="G575" s="307"/>
      <c r="H575" s="12"/>
      <c r="I575" s="30"/>
      <c r="J575" s="12"/>
      <c r="K575" s="12"/>
      <c r="L575" s="12"/>
      <c r="M575" s="12"/>
      <c r="N575" s="12"/>
      <c r="O575" s="308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4"/>
      <c r="BF575" s="12"/>
      <c r="BG575" s="12"/>
      <c r="BH575" s="12" t="str">
        <f>IFERROR(__xludf.DUMMYFUNCTION("IFERROR(INDEX(QUERY(IMPORTRANGE(""1T7HG8KEs-Ob7f3M5atEVN9Yn7IeORGp0QGvggB62ELw"",""Maestro!A:I""),""SELECT Col8 WHERE Col3 = '""&amp;BE575&amp;""'"", 0), 1, 1),""NO ENCONTRADO"")"),"")</f>
        <v/>
      </c>
      <c r="BI575" s="12" t="str">
        <f>IFERROR(__xludf.DUMMYFUNCTION("IFERROR(INDEX(QUERY(IMPORTRANGE(""1T7HG8KEs-Ob7f3M5atEVN9Yn7IeORGp0QGvggB62ELw"",""Maestro!A:I""),""SELECT Col7 WHERE Col3 = '""&amp;BE575&amp;""'"", 0), 1, 1),""NO ENCONTRADO"")"),"")</f>
        <v/>
      </c>
      <c r="BJ575" s="16">
        <f t="shared" si="15"/>
        <v>0</v>
      </c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4"/>
      <c r="BX575" s="14"/>
      <c r="BY575" s="14"/>
      <c r="BZ575" s="14"/>
      <c r="CA575" s="14"/>
      <c r="CB575" s="14"/>
      <c r="CC575" s="14"/>
      <c r="CD575" s="14"/>
      <c r="CE575" s="14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</row>
    <row r="576">
      <c r="A576" s="12"/>
      <c r="B576" s="14"/>
      <c r="C576" s="14"/>
      <c r="D576" s="14"/>
      <c r="E576" s="12"/>
      <c r="F576" s="307"/>
      <c r="G576" s="307"/>
      <c r="H576" s="12"/>
      <c r="I576" s="30"/>
      <c r="J576" s="12"/>
      <c r="K576" s="12"/>
      <c r="L576" s="12"/>
      <c r="M576" s="12"/>
      <c r="N576" s="12"/>
      <c r="O576" s="308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4"/>
      <c r="BF576" s="12"/>
      <c r="BG576" s="12"/>
      <c r="BH576" s="12" t="str">
        <f>IFERROR(__xludf.DUMMYFUNCTION("IFERROR(INDEX(QUERY(IMPORTRANGE(""1T7HG8KEs-Ob7f3M5atEVN9Yn7IeORGp0QGvggB62ELw"",""Maestro!A:I""),""SELECT Col8 WHERE Col3 = '""&amp;BE576&amp;""'"", 0), 1, 1),""NO ENCONTRADO"")"),"")</f>
        <v/>
      </c>
      <c r="BI576" s="12" t="str">
        <f>IFERROR(__xludf.DUMMYFUNCTION("IFERROR(INDEX(QUERY(IMPORTRANGE(""1T7HG8KEs-Ob7f3M5atEVN9Yn7IeORGp0QGvggB62ELw"",""Maestro!A:I""),""SELECT Col7 WHERE Col3 = '""&amp;BE576&amp;""'"", 0), 1, 1),""NO ENCONTRADO"")"),"")</f>
        <v/>
      </c>
      <c r="BJ576" s="16">
        <f t="shared" si="15"/>
        <v>0</v>
      </c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4"/>
      <c r="BX576" s="14"/>
      <c r="BY576" s="14"/>
      <c r="BZ576" s="14"/>
      <c r="CA576" s="14"/>
      <c r="CB576" s="14"/>
      <c r="CC576" s="14"/>
      <c r="CD576" s="14"/>
      <c r="CE576" s="14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</row>
    <row r="577">
      <c r="A577" s="12"/>
      <c r="B577" s="14"/>
      <c r="C577" s="14"/>
      <c r="D577" s="14"/>
      <c r="E577" s="12"/>
      <c r="F577" s="307"/>
      <c r="G577" s="307"/>
      <c r="H577" s="12"/>
      <c r="I577" s="30"/>
      <c r="J577" s="12"/>
      <c r="K577" s="12"/>
      <c r="L577" s="12"/>
      <c r="M577" s="12"/>
      <c r="N577" s="12"/>
      <c r="O577" s="308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4"/>
      <c r="BF577" s="12"/>
      <c r="BG577" s="12"/>
      <c r="BH577" s="12" t="str">
        <f>IFERROR(__xludf.DUMMYFUNCTION("IFERROR(INDEX(QUERY(IMPORTRANGE(""1T7HG8KEs-Ob7f3M5atEVN9Yn7IeORGp0QGvggB62ELw"",""Maestro!A:I""),""SELECT Col8 WHERE Col3 = '""&amp;BE577&amp;""'"", 0), 1, 1),""NO ENCONTRADO"")"),"")</f>
        <v/>
      </c>
      <c r="BI577" s="12" t="str">
        <f>IFERROR(__xludf.DUMMYFUNCTION("IFERROR(INDEX(QUERY(IMPORTRANGE(""1T7HG8KEs-Ob7f3M5atEVN9Yn7IeORGp0QGvggB62ELw"",""Maestro!A:I""),""SELECT Col7 WHERE Col3 = '""&amp;BE577&amp;""'"", 0), 1, 1),""NO ENCONTRADO"")"),"")</f>
        <v/>
      </c>
      <c r="BJ577" s="16">
        <f t="shared" si="15"/>
        <v>0</v>
      </c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4"/>
      <c r="BX577" s="14"/>
      <c r="BY577" s="14"/>
      <c r="BZ577" s="14"/>
      <c r="CA577" s="14"/>
      <c r="CB577" s="14"/>
      <c r="CC577" s="14"/>
      <c r="CD577" s="14"/>
      <c r="CE577" s="14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</row>
    <row r="578">
      <c r="A578" s="12"/>
      <c r="B578" s="14"/>
      <c r="C578" s="14"/>
      <c r="D578" s="14"/>
      <c r="E578" s="12"/>
      <c r="F578" s="307"/>
      <c r="G578" s="307"/>
      <c r="H578" s="12"/>
      <c r="I578" s="30"/>
      <c r="J578" s="12"/>
      <c r="K578" s="12"/>
      <c r="L578" s="12"/>
      <c r="M578" s="12"/>
      <c r="N578" s="12"/>
      <c r="O578" s="308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4"/>
      <c r="BF578" s="12"/>
      <c r="BG578" s="12"/>
      <c r="BH578" s="12" t="str">
        <f>IFERROR(__xludf.DUMMYFUNCTION("IFERROR(INDEX(QUERY(IMPORTRANGE(""1T7HG8KEs-Ob7f3M5atEVN9Yn7IeORGp0QGvggB62ELw"",""Maestro!A:I""),""SELECT Col8 WHERE Col3 = '""&amp;BE578&amp;""'"", 0), 1, 1),""NO ENCONTRADO"")"),"")</f>
        <v/>
      </c>
      <c r="BI578" s="12" t="str">
        <f>IFERROR(__xludf.DUMMYFUNCTION("IFERROR(INDEX(QUERY(IMPORTRANGE(""1T7HG8KEs-Ob7f3M5atEVN9Yn7IeORGp0QGvggB62ELw"",""Maestro!A:I""),""SELECT Col7 WHERE Col3 = '""&amp;BE578&amp;""'"", 0), 1, 1),""NO ENCONTRADO"")"),"")</f>
        <v/>
      </c>
      <c r="BJ578" s="16">
        <f t="shared" si="15"/>
        <v>0</v>
      </c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4"/>
      <c r="BX578" s="14"/>
      <c r="BY578" s="14"/>
      <c r="BZ578" s="14"/>
      <c r="CA578" s="14"/>
      <c r="CB578" s="14"/>
      <c r="CC578" s="14"/>
      <c r="CD578" s="14"/>
      <c r="CE578" s="14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</row>
    <row r="579">
      <c r="A579" s="12"/>
      <c r="B579" s="14"/>
      <c r="C579" s="14"/>
      <c r="D579" s="14"/>
      <c r="E579" s="12"/>
      <c r="F579" s="307"/>
      <c r="G579" s="307"/>
      <c r="H579" s="12"/>
      <c r="I579" s="30"/>
      <c r="J579" s="12"/>
      <c r="K579" s="12"/>
      <c r="L579" s="12"/>
      <c r="M579" s="12"/>
      <c r="N579" s="12"/>
      <c r="O579" s="308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4"/>
      <c r="BF579" s="12"/>
      <c r="BG579" s="12"/>
      <c r="BH579" s="12" t="str">
        <f>IFERROR(__xludf.DUMMYFUNCTION("IFERROR(INDEX(QUERY(IMPORTRANGE(""1T7HG8KEs-Ob7f3M5atEVN9Yn7IeORGp0QGvggB62ELw"",""Maestro!A:I""),""SELECT Col8 WHERE Col3 = '""&amp;BE579&amp;""'"", 0), 1, 1),""NO ENCONTRADO"")"),"")</f>
        <v/>
      </c>
      <c r="BI579" s="12" t="str">
        <f>IFERROR(__xludf.DUMMYFUNCTION("IFERROR(INDEX(QUERY(IMPORTRANGE(""1T7HG8KEs-Ob7f3M5atEVN9Yn7IeORGp0QGvggB62ELw"",""Maestro!A:I""),""SELECT Col7 WHERE Col3 = '""&amp;BE579&amp;""'"", 0), 1, 1),""NO ENCONTRADO"")"),"")</f>
        <v/>
      </c>
      <c r="BJ579" s="16">
        <f t="shared" si="15"/>
        <v>0</v>
      </c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4"/>
      <c r="BX579" s="14"/>
      <c r="BY579" s="14"/>
      <c r="BZ579" s="14"/>
      <c r="CA579" s="14"/>
      <c r="CB579" s="14"/>
      <c r="CC579" s="14"/>
      <c r="CD579" s="14"/>
      <c r="CE579" s="14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</row>
    <row r="580">
      <c r="A580" s="12"/>
      <c r="B580" s="14"/>
      <c r="C580" s="14"/>
      <c r="D580" s="14"/>
      <c r="E580" s="12"/>
      <c r="F580" s="307"/>
      <c r="G580" s="307"/>
      <c r="H580" s="12"/>
      <c r="I580" s="30"/>
      <c r="J580" s="12"/>
      <c r="K580" s="12"/>
      <c r="L580" s="12"/>
      <c r="M580" s="12"/>
      <c r="N580" s="12"/>
      <c r="O580" s="308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4"/>
      <c r="BF580" s="12"/>
      <c r="BG580" s="12"/>
      <c r="BH580" s="12" t="str">
        <f>IFERROR(__xludf.DUMMYFUNCTION("IFERROR(INDEX(QUERY(IMPORTRANGE(""1T7HG8KEs-Ob7f3M5atEVN9Yn7IeORGp0QGvggB62ELw"",""Maestro!A:I""),""SELECT Col8 WHERE Col3 = '""&amp;BE580&amp;""'"", 0), 1, 1),""NO ENCONTRADO"")"),"")</f>
        <v/>
      </c>
      <c r="BI580" s="12" t="str">
        <f>IFERROR(__xludf.DUMMYFUNCTION("IFERROR(INDEX(QUERY(IMPORTRANGE(""1T7HG8KEs-Ob7f3M5atEVN9Yn7IeORGp0QGvggB62ELw"",""Maestro!A:I""),""SELECT Col7 WHERE Col3 = '""&amp;BE580&amp;""'"", 0), 1, 1),""NO ENCONTRADO"")"),"")</f>
        <v/>
      </c>
      <c r="BJ580" s="16">
        <f t="shared" si="15"/>
        <v>0</v>
      </c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4"/>
      <c r="BX580" s="14"/>
      <c r="BY580" s="14"/>
      <c r="BZ580" s="14"/>
      <c r="CA580" s="14"/>
      <c r="CB580" s="14"/>
      <c r="CC580" s="14"/>
      <c r="CD580" s="14"/>
      <c r="CE580" s="14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</row>
    <row r="581">
      <c r="A581" s="12"/>
      <c r="B581" s="14"/>
      <c r="C581" s="14"/>
      <c r="D581" s="14"/>
      <c r="E581" s="12"/>
      <c r="F581" s="307"/>
      <c r="G581" s="307"/>
      <c r="H581" s="12"/>
      <c r="I581" s="30"/>
      <c r="J581" s="12"/>
      <c r="K581" s="12"/>
      <c r="L581" s="12"/>
      <c r="M581" s="12"/>
      <c r="N581" s="12"/>
      <c r="O581" s="308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4"/>
      <c r="BF581" s="12"/>
      <c r="BG581" s="12"/>
      <c r="BH581" s="12" t="str">
        <f>IFERROR(__xludf.DUMMYFUNCTION("IFERROR(INDEX(QUERY(IMPORTRANGE(""1T7HG8KEs-Ob7f3M5atEVN9Yn7IeORGp0QGvggB62ELw"",""Maestro!A:I""),""SELECT Col8 WHERE Col3 = '""&amp;BE581&amp;""'"", 0), 1, 1),""NO ENCONTRADO"")"),"")</f>
        <v/>
      </c>
      <c r="BI581" s="12" t="str">
        <f>IFERROR(__xludf.DUMMYFUNCTION("IFERROR(INDEX(QUERY(IMPORTRANGE(""1T7HG8KEs-Ob7f3M5atEVN9Yn7IeORGp0QGvggB62ELw"",""Maestro!A:I""),""SELECT Col7 WHERE Col3 = '""&amp;BE581&amp;""'"", 0), 1, 1),""NO ENCONTRADO"")"),"")</f>
        <v/>
      </c>
      <c r="BJ581" s="16">
        <f t="shared" si="15"/>
        <v>0</v>
      </c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4"/>
      <c r="BX581" s="14"/>
      <c r="BY581" s="14"/>
      <c r="BZ581" s="14"/>
      <c r="CA581" s="14"/>
      <c r="CB581" s="14"/>
      <c r="CC581" s="14"/>
      <c r="CD581" s="14"/>
      <c r="CE581" s="14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</row>
    <row r="582">
      <c r="A582" s="12"/>
      <c r="B582" s="14"/>
      <c r="C582" s="14"/>
      <c r="D582" s="14"/>
      <c r="E582" s="12"/>
      <c r="F582" s="307"/>
      <c r="G582" s="307"/>
      <c r="H582" s="12"/>
      <c r="I582" s="30"/>
      <c r="J582" s="12"/>
      <c r="K582" s="12"/>
      <c r="L582" s="12"/>
      <c r="M582" s="12"/>
      <c r="N582" s="12"/>
      <c r="O582" s="308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4"/>
      <c r="BF582" s="12"/>
      <c r="BG582" s="12"/>
      <c r="BH582" s="12" t="str">
        <f>IFERROR(__xludf.DUMMYFUNCTION("IFERROR(INDEX(QUERY(IMPORTRANGE(""1T7HG8KEs-Ob7f3M5atEVN9Yn7IeORGp0QGvggB62ELw"",""Maestro!A:I""),""SELECT Col8 WHERE Col3 = '""&amp;BE582&amp;""'"", 0), 1, 1),""NO ENCONTRADO"")"),"")</f>
        <v/>
      </c>
      <c r="BI582" s="12" t="str">
        <f>IFERROR(__xludf.DUMMYFUNCTION("IFERROR(INDEX(QUERY(IMPORTRANGE(""1T7HG8KEs-Ob7f3M5atEVN9Yn7IeORGp0QGvggB62ELw"",""Maestro!A:I""),""SELECT Col7 WHERE Col3 = '""&amp;BE582&amp;""'"", 0), 1, 1),""NO ENCONTRADO"")"),"")</f>
        <v/>
      </c>
      <c r="BJ582" s="16">
        <f t="shared" si="15"/>
        <v>0</v>
      </c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4"/>
      <c r="BX582" s="14"/>
      <c r="BY582" s="14"/>
      <c r="BZ582" s="14"/>
      <c r="CA582" s="14"/>
      <c r="CB582" s="14"/>
      <c r="CC582" s="14"/>
      <c r="CD582" s="14"/>
      <c r="CE582" s="14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</row>
    <row r="583">
      <c r="A583" s="12"/>
      <c r="B583" s="14"/>
      <c r="C583" s="14"/>
      <c r="D583" s="14"/>
      <c r="E583" s="12"/>
      <c r="F583" s="307"/>
      <c r="G583" s="307"/>
      <c r="H583" s="12"/>
      <c r="I583" s="30"/>
      <c r="J583" s="12"/>
      <c r="K583" s="12"/>
      <c r="L583" s="12"/>
      <c r="M583" s="12"/>
      <c r="N583" s="12"/>
      <c r="O583" s="308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4"/>
      <c r="BF583" s="12"/>
      <c r="BG583" s="12"/>
      <c r="BH583" s="12" t="str">
        <f>IFERROR(__xludf.DUMMYFUNCTION("IFERROR(INDEX(QUERY(IMPORTRANGE(""1T7HG8KEs-Ob7f3M5atEVN9Yn7IeORGp0QGvggB62ELw"",""Maestro!A:I""),""SELECT Col8 WHERE Col3 = '""&amp;BE583&amp;""'"", 0), 1, 1),""NO ENCONTRADO"")"),"")</f>
        <v/>
      </c>
      <c r="BI583" s="12" t="str">
        <f>IFERROR(__xludf.DUMMYFUNCTION("IFERROR(INDEX(QUERY(IMPORTRANGE(""1T7HG8KEs-Ob7f3M5atEVN9Yn7IeORGp0QGvggB62ELw"",""Maestro!A:I""),""SELECT Col7 WHERE Col3 = '""&amp;BE583&amp;""'"", 0), 1, 1),""NO ENCONTRADO"")"),"")</f>
        <v/>
      </c>
      <c r="BJ583" s="16">
        <f t="shared" si="15"/>
        <v>0</v>
      </c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4"/>
      <c r="BX583" s="14"/>
      <c r="BY583" s="14"/>
      <c r="BZ583" s="14"/>
      <c r="CA583" s="14"/>
      <c r="CB583" s="14"/>
      <c r="CC583" s="14"/>
      <c r="CD583" s="14"/>
      <c r="CE583" s="14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</row>
    <row r="584">
      <c r="A584" s="12"/>
      <c r="B584" s="14"/>
      <c r="C584" s="14"/>
      <c r="D584" s="14"/>
      <c r="E584" s="12"/>
      <c r="F584" s="307"/>
      <c r="G584" s="307"/>
      <c r="H584" s="12"/>
      <c r="I584" s="30"/>
      <c r="J584" s="12"/>
      <c r="K584" s="12"/>
      <c r="L584" s="12"/>
      <c r="M584" s="12"/>
      <c r="N584" s="12"/>
      <c r="O584" s="308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4"/>
      <c r="BF584" s="12"/>
      <c r="BG584" s="12"/>
      <c r="BH584" s="12" t="str">
        <f>IFERROR(__xludf.DUMMYFUNCTION("IFERROR(INDEX(QUERY(IMPORTRANGE(""1T7HG8KEs-Ob7f3M5atEVN9Yn7IeORGp0QGvggB62ELw"",""Maestro!A:I""),""SELECT Col8 WHERE Col3 = '""&amp;BE584&amp;""'"", 0), 1, 1),""NO ENCONTRADO"")"),"")</f>
        <v/>
      </c>
      <c r="BI584" s="12" t="str">
        <f>IFERROR(__xludf.DUMMYFUNCTION("IFERROR(INDEX(QUERY(IMPORTRANGE(""1T7HG8KEs-Ob7f3M5atEVN9Yn7IeORGp0QGvggB62ELw"",""Maestro!A:I""),""SELECT Col7 WHERE Col3 = '""&amp;BE584&amp;""'"", 0), 1, 1),""NO ENCONTRADO"")"),"")</f>
        <v/>
      </c>
      <c r="BJ584" s="16">
        <f t="shared" si="15"/>
        <v>0</v>
      </c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4"/>
      <c r="BX584" s="14"/>
      <c r="BY584" s="14"/>
      <c r="BZ584" s="14"/>
      <c r="CA584" s="14"/>
      <c r="CB584" s="14"/>
      <c r="CC584" s="14"/>
      <c r="CD584" s="14"/>
      <c r="CE584" s="14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</row>
    <row r="585">
      <c r="A585" s="12"/>
      <c r="B585" s="14"/>
      <c r="C585" s="14"/>
      <c r="D585" s="14"/>
      <c r="E585" s="12"/>
      <c r="F585" s="307"/>
      <c r="G585" s="307"/>
      <c r="H585" s="12"/>
      <c r="I585" s="30"/>
      <c r="J585" s="12"/>
      <c r="K585" s="12"/>
      <c r="L585" s="12"/>
      <c r="M585" s="12"/>
      <c r="N585" s="12"/>
      <c r="O585" s="308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4"/>
      <c r="BF585" s="12"/>
      <c r="BG585" s="12"/>
      <c r="BH585" s="12" t="str">
        <f>IFERROR(__xludf.DUMMYFUNCTION("IFERROR(INDEX(QUERY(IMPORTRANGE(""1T7HG8KEs-Ob7f3M5atEVN9Yn7IeORGp0QGvggB62ELw"",""Maestro!A:I""),""SELECT Col8 WHERE Col3 = '""&amp;BE585&amp;""'"", 0), 1, 1),""NO ENCONTRADO"")"),"")</f>
        <v/>
      </c>
      <c r="BI585" s="12" t="str">
        <f>IFERROR(__xludf.DUMMYFUNCTION("IFERROR(INDEX(QUERY(IMPORTRANGE(""1T7HG8KEs-Ob7f3M5atEVN9Yn7IeORGp0QGvggB62ELw"",""Maestro!A:I""),""SELECT Col7 WHERE Col3 = '""&amp;BE585&amp;""'"", 0), 1, 1),""NO ENCONTRADO"")"),"")</f>
        <v/>
      </c>
      <c r="BJ585" s="16">
        <f t="shared" si="15"/>
        <v>0</v>
      </c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4"/>
      <c r="BX585" s="14"/>
      <c r="BY585" s="14"/>
      <c r="BZ585" s="14"/>
      <c r="CA585" s="14"/>
      <c r="CB585" s="14"/>
      <c r="CC585" s="14"/>
      <c r="CD585" s="14"/>
      <c r="CE585" s="14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</row>
    <row r="586">
      <c r="A586" s="12"/>
      <c r="B586" s="14"/>
      <c r="C586" s="14"/>
      <c r="D586" s="14"/>
      <c r="E586" s="12"/>
      <c r="F586" s="307"/>
      <c r="G586" s="307"/>
      <c r="H586" s="12"/>
      <c r="I586" s="30"/>
      <c r="J586" s="12"/>
      <c r="K586" s="12"/>
      <c r="L586" s="12"/>
      <c r="M586" s="12"/>
      <c r="N586" s="12"/>
      <c r="O586" s="308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4"/>
      <c r="BF586" s="12"/>
      <c r="BG586" s="12"/>
      <c r="BH586" s="12" t="str">
        <f>IFERROR(__xludf.DUMMYFUNCTION("IFERROR(INDEX(QUERY(IMPORTRANGE(""1T7HG8KEs-Ob7f3M5atEVN9Yn7IeORGp0QGvggB62ELw"",""Maestro!A:I""),""SELECT Col8 WHERE Col3 = '""&amp;BE586&amp;""'"", 0), 1, 1),""NO ENCONTRADO"")"),"")</f>
        <v/>
      </c>
      <c r="BI586" s="12" t="str">
        <f>IFERROR(__xludf.DUMMYFUNCTION("IFERROR(INDEX(QUERY(IMPORTRANGE(""1T7HG8KEs-Ob7f3M5atEVN9Yn7IeORGp0QGvggB62ELw"",""Maestro!A:I""),""SELECT Col7 WHERE Col3 = '""&amp;BE586&amp;""'"", 0), 1, 1),""NO ENCONTRADO"")"),"")</f>
        <v/>
      </c>
      <c r="BJ586" s="16">
        <f t="shared" si="15"/>
        <v>0</v>
      </c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4"/>
      <c r="BX586" s="14"/>
      <c r="BY586" s="14"/>
      <c r="BZ586" s="14"/>
      <c r="CA586" s="14"/>
      <c r="CB586" s="14"/>
      <c r="CC586" s="14"/>
      <c r="CD586" s="14"/>
      <c r="CE586" s="14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</row>
    <row r="587">
      <c r="A587" s="12"/>
      <c r="B587" s="14"/>
      <c r="C587" s="14"/>
      <c r="D587" s="14"/>
      <c r="E587" s="12"/>
      <c r="F587" s="307"/>
      <c r="G587" s="307"/>
      <c r="H587" s="12"/>
      <c r="I587" s="30"/>
      <c r="J587" s="12"/>
      <c r="K587" s="12"/>
      <c r="L587" s="12"/>
      <c r="M587" s="12"/>
      <c r="N587" s="12"/>
      <c r="O587" s="308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4"/>
      <c r="BF587" s="12"/>
      <c r="BG587" s="12"/>
      <c r="BH587" s="12" t="str">
        <f>IFERROR(__xludf.DUMMYFUNCTION("IFERROR(INDEX(QUERY(IMPORTRANGE(""1T7HG8KEs-Ob7f3M5atEVN9Yn7IeORGp0QGvggB62ELw"",""Maestro!A:I""),""SELECT Col8 WHERE Col3 = '""&amp;BE587&amp;""'"", 0), 1, 1),""NO ENCONTRADO"")"),"")</f>
        <v/>
      </c>
      <c r="BI587" s="12" t="str">
        <f>IFERROR(__xludf.DUMMYFUNCTION("IFERROR(INDEX(QUERY(IMPORTRANGE(""1T7HG8KEs-Ob7f3M5atEVN9Yn7IeORGp0QGvggB62ELw"",""Maestro!A:I""),""SELECT Col7 WHERE Col3 = '""&amp;BE587&amp;""'"", 0), 1, 1),""NO ENCONTRADO"")"),"")</f>
        <v/>
      </c>
      <c r="BJ587" s="16">
        <f t="shared" si="15"/>
        <v>0</v>
      </c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4"/>
      <c r="BX587" s="14"/>
      <c r="BY587" s="14"/>
      <c r="BZ587" s="14"/>
      <c r="CA587" s="14"/>
      <c r="CB587" s="14"/>
      <c r="CC587" s="14"/>
      <c r="CD587" s="14"/>
      <c r="CE587" s="14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</row>
    <row r="588">
      <c r="A588" s="12"/>
      <c r="B588" s="14"/>
      <c r="C588" s="14"/>
      <c r="D588" s="14"/>
      <c r="E588" s="12"/>
      <c r="F588" s="307"/>
      <c r="G588" s="307"/>
      <c r="H588" s="12"/>
      <c r="I588" s="30"/>
      <c r="J588" s="12"/>
      <c r="K588" s="12"/>
      <c r="L588" s="12"/>
      <c r="M588" s="12"/>
      <c r="N588" s="12"/>
      <c r="O588" s="308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4"/>
      <c r="BF588" s="12"/>
      <c r="BG588" s="12"/>
      <c r="BH588" s="12" t="str">
        <f>IFERROR(__xludf.DUMMYFUNCTION("IFERROR(INDEX(QUERY(IMPORTRANGE(""1T7HG8KEs-Ob7f3M5atEVN9Yn7IeORGp0QGvggB62ELw"",""Maestro!A:I""),""SELECT Col8 WHERE Col3 = '""&amp;BE588&amp;""'"", 0), 1, 1),""NO ENCONTRADO"")"),"")</f>
        <v/>
      </c>
      <c r="BI588" s="12" t="str">
        <f>IFERROR(__xludf.DUMMYFUNCTION("IFERROR(INDEX(QUERY(IMPORTRANGE(""1T7HG8KEs-Ob7f3M5atEVN9Yn7IeORGp0QGvggB62ELw"",""Maestro!A:I""),""SELECT Col7 WHERE Col3 = '""&amp;BE588&amp;""'"", 0), 1, 1),""NO ENCONTRADO"")"),"")</f>
        <v/>
      </c>
      <c r="BJ588" s="16">
        <f t="shared" si="15"/>
        <v>0</v>
      </c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4"/>
      <c r="BX588" s="14"/>
      <c r="BY588" s="14"/>
      <c r="BZ588" s="14"/>
      <c r="CA588" s="14"/>
      <c r="CB588" s="14"/>
      <c r="CC588" s="14"/>
      <c r="CD588" s="14"/>
      <c r="CE588" s="14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</row>
    <row r="589">
      <c r="A589" s="12"/>
      <c r="B589" s="14"/>
      <c r="C589" s="14"/>
      <c r="D589" s="14"/>
      <c r="E589" s="12"/>
      <c r="F589" s="307"/>
      <c r="G589" s="307"/>
      <c r="H589" s="12"/>
      <c r="I589" s="30"/>
      <c r="J589" s="12"/>
      <c r="K589" s="12"/>
      <c r="L589" s="12"/>
      <c r="M589" s="12"/>
      <c r="N589" s="12"/>
      <c r="O589" s="308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4"/>
      <c r="BF589" s="12"/>
      <c r="BG589" s="12"/>
      <c r="BH589" s="12" t="str">
        <f>IFERROR(__xludf.DUMMYFUNCTION("IFERROR(INDEX(QUERY(IMPORTRANGE(""1T7HG8KEs-Ob7f3M5atEVN9Yn7IeORGp0QGvggB62ELw"",""Maestro!A:I""),""SELECT Col8 WHERE Col3 = '""&amp;BE589&amp;""'"", 0), 1, 1),""NO ENCONTRADO"")"),"")</f>
        <v/>
      </c>
      <c r="BI589" s="12" t="str">
        <f>IFERROR(__xludf.DUMMYFUNCTION("IFERROR(INDEX(QUERY(IMPORTRANGE(""1T7HG8KEs-Ob7f3M5atEVN9Yn7IeORGp0QGvggB62ELw"",""Maestro!A:I""),""SELECT Col7 WHERE Col3 = '""&amp;BE589&amp;""'"", 0), 1, 1),""NO ENCONTRADO"")"),"")</f>
        <v/>
      </c>
      <c r="BJ589" s="16">
        <f t="shared" si="15"/>
        <v>0</v>
      </c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4"/>
      <c r="BX589" s="14"/>
      <c r="BY589" s="14"/>
      <c r="BZ589" s="14"/>
      <c r="CA589" s="14"/>
      <c r="CB589" s="14"/>
      <c r="CC589" s="14"/>
      <c r="CD589" s="14"/>
      <c r="CE589" s="14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</row>
    <row r="590">
      <c r="A590" s="12"/>
      <c r="B590" s="14"/>
      <c r="C590" s="14"/>
      <c r="D590" s="14"/>
      <c r="E590" s="12"/>
      <c r="F590" s="307"/>
      <c r="G590" s="307"/>
      <c r="H590" s="12"/>
      <c r="I590" s="30"/>
      <c r="J590" s="12"/>
      <c r="K590" s="12"/>
      <c r="L590" s="12"/>
      <c r="M590" s="12"/>
      <c r="N590" s="12"/>
      <c r="O590" s="308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4"/>
      <c r="BF590" s="12"/>
      <c r="BG590" s="12"/>
      <c r="BH590" s="12" t="str">
        <f>IFERROR(__xludf.DUMMYFUNCTION("IFERROR(INDEX(QUERY(IMPORTRANGE(""1T7HG8KEs-Ob7f3M5atEVN9Yn7IeORGp0QGvggB62ELw"",""Maestro!A:I""),""SELECT Col8 WHERE Col3 = '""&amp;BE590&amp;""'"", 0), 1, 1),""NO ENCONTRADO"")"),"")</f>
        <v/>
      </c>
      <c r="BI590" s="12" t="str">
        <f>IFERROR(__xludf.DUMMYFUNCTION("IFERROR(INDEX(QUERY(IMPORTRANGE(""1T7HG8KEs-Ob7f3M5atEVN9Yn7IeORGp0QGvggB62ELw"",""Maestro!A:I""),""SELECT Col7 WHERE Col3 = '""&amp;BE590&amp;""'"", 0), 1, 1),""NO ENCONTRADO"")"),"")</f>
        <v/>
      </c>
      <c r="BJ590" s="16">
        <f t="shared" si="15"/>
        <v>0</v>
      </c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4"/>
      <c r="BX590" s="14"/>
      <c r="BY590" s="14"/>
      <c r="BZ590" s="14"/>
      <c r="CA590" s="14"/>
      <c r="CB590" s="14"/>
      <c r="CC590" s="14"/>
      <c r="CD590" s="14"/>
      <c r="CE590" s="14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</row>
    <row r="591">
      <c r="A591" s="12"/>
      <c r="B591" s="14"/>
      <c r="C591" s="14"/>
      <c r="D591" s="14"/>
      <c r="E591" s="12"/>
      <c r="F591" s="307"/>
      <c r="G591" s="307"/>
      <c r="H591" s="12"/>
      <c r="I591" s="30"/>
      <c r="J591" s="12"/>
      <c r="K591" s="12"/>
      <c r="L591" s="12"/>
      <c r="M591" s="12"/>
      <c r="N591" s="12"/>
      <c r="O591" s="308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4"/>
      <c r="BF591" s="12"/>
      <c r="BG591" s="12"/>
      <c r="BH591" s="12" t="str">
        <f>IFERROR(__xludf.DUMMYFUNCTION("IFERROR(INDEX(QUERY(IMPORTRANGE(""1T7HG8KEs-Ob7f3M5atEVN9Yn7IeORGp0QGvggB62ELw"",""Maestro!A:I""),""SELECT Col8 WHERE Col3 = '""&amp;BE591&amp;""'"", 0), 1, 1),""NO ENCONTRADO"")"),"")</f>
        <v/>
      </c>
      <c r="BI591" s="12" t="str">
        <f>IFERROR(__xludf.DUMMYFUNCTION("IFERROR(INDEX(QUERY(IMPORTRANGE(""1T7HG8KEs-Ob7f3M5atEVN9Yn7IeORGp0QGvggB62ELw"",""Maestro!A:I""),""SELECT Col7 WHERE Col3 = '""&amp;BE591&amp;""'"", 0), 1, 1),""NO ENCONTRADO"")"),"")</f>
        <v/>
      </c>
      <c r="BJ591" s="16">
        <f t="shared" si="15"/>
        <v>0</v>
      </c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4"/>
      <c r="BX591" s="14"/>
      <c r="BY591" s="14"/>
      <c r="BZ591" s="14"/>
      <c r="CA591" s="14"/>
      <c r="CB591" s="14"/>
      <c r="CC591" s="14"/>
      <c r="CD591" s="14"/>
      <c r="CE591" s="14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</row>
    <row r="592">
      <c r="A592" s="12"/>
      <c r="B592" s="14"/>
      <c r="C592" s="14"/>
      <c r="D592" s="14"/>
      <c r="E592" s="12"/>
      <c r="F592" s="307"/>
      <c r="G592" s="307"/>
      <c r="H592" s="12"/>
      <c r="I592" s="30"/>
      <c r="J592" s="12"/>
      <c r="K592" s="12"/>
      <c r="L592" s="12"/>
      <c r="M592" s="12"/>
      <c r="N592" s="12"/>
      <c r="O592" s="308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4"/>
      <c r="BF592" s="12"/>
      <c r="BG592" s="12"/>
      <c r="BH592" s="12" t="str">
        <f>IFERROR(__xludf.DUMMYFUNCTION("IFERROR(INDEX(QUERY(IMPORTRANGE(""1T7HG8KEs-Ob7f3M5atEVN9Yn7IeORGp0QGvggB62ELw"",""Maestro!A:I""),""SELECT Col8 WHERE Col3 = '""&amp;BE592&amp;""'"", 0), 1, 1),""NO ENCONTRADO"")"),"")</f>
        <v/>
      </c>
      <c r="BI592" s="12" t="str">
        <f>IFERROR(__xludf.DUMMYFUNCTION("IFERROR(INDEX(QUERY(IMPORTRANGE(""1T7HG8KEs-Ob7f3M5atEVN9Yn7IeORGp0QGvggB62ELw"",""Maestro!A:I""),""SELECT Col7 WHERE Col3 = '""&amp;BE592&amp;""'"", 0), 1, 1),""NO ENCONTRADO"")"),"")</f>
        <v/>
      </c>
      <c r="BJ592" s="16">
        <f t="shared" si="15"/>
        <v>0</v>
      </c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4"/>
      <c r="BX592" s="14"/>
      <c r="BY592" s="14"/>
      <c r="BZ592" s="14"/>
      <c r="CA592" s="14"/>
      <c r="CB592" s="14"/>
      <c r="CC592" s="14"/>
      <c r="CD592" s="14"/>
      <c r="CE592" s="14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</row>
    <row r="593">
      <c r="A593" s="12"/>
      <c r="B593" s="14"/>
      <c r="C593" s="14"/>
      <c r="D593" s="14"/>
      <c r="E593" s="12"/>
      <c r="F593" s="307"/>
      <c r="G593" s="307"/>
      <c r="H593" s="12"/>
      <c r="I593" s="30"/>
      <c r="J593" s="12"/>
      <c r="K593" s="12"/>
      <c r="L593" s="12"/>
      <c r="M593" s="12"/>
      <c r="N593" s="12"/>
      <c r="O593" s="308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4"/>
      <c r="BF593" s="12"/>
      <c r="BG593" s="12"/>
      <c r="BH593" s="12" t="str">
        <f>IFERROR(__xludf.DUMMYFUNCTION("IFERROR(INDEX(QUERY(IMPORTRANGE(""1T7HG8KEs-Ob7f3M5atEVN9Yn7IeORGp0QGvggB62ELw"",""Maestro!A:I""),""SELECT Col8 WHERE Col3 = '""&amp;BE593&amp;""'"", 0), 1, 1),""NO ENCONTRADO"")"),"")</f>
        <v/>
      </c>
      <c r="BI593" s="12" t="str">
        <f>IFERROR(__xludf.DUMMYFUNCTION("IFERROR(INDEX(QUERY(IMPORTRANGE(""1T7HG8KEs-Ob7f3M5atEVN9Yn7IeORGp0QGvggB62ELw"",""Maestro!A:I""),""SELECT Col7 WHERE Col3 = '""&amp;BE593&amp;""'"", 0), 1, 1),""NO ENCONTRADO"")"),"")</f>
        <v/>
      </c>
      <c r="BJ593" s="16">
        <f t="shared" si="15"/>
        <v>0</v>
      </c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4"/>
      <c r="BX593" s="14"/>
      <c r="BY593" s="14"/>
      <c r="BZ593" s="14"/>
      <c r="CA593" s="14"/>
      <c r="CB593" s="14"/>
      <c r="CC593" s="14"/>
      <c r="CD593" s="14"/>
      <c r="CE593" s="14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</row>
    <row r="594">
      <c r="A594" s="12"/>
      <c r="B594" s="14"/>
      <c r="C594" s="14"/>
      <c r="D594" s="14"/>
      <c r="E594" s="12"/>
      <c r="F594" s="307"/>
      <c r="G594" s="307"/>
      <c r="H594" s="12"/>
      <c r="I594" s="30"/>
      <c r="J594" s="12"/>
      <c r="K594" s="12"/>
      <c r="L594" s="12"/>
      <c r="M594" s="12"/>
      <c r="N594" s="12"/>
      <c r="O594" s="308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4"/>
      <c r="BF594" s="12"/>
      <c r="BG594" s="12"/>
      <c r="BH594" s="12" t="str">
        <f>IFERROR(__xludf.DUMMYFUNCTION("IFERROR(INDEX(QUERY(IMPORTRANGE(""1T7HG8KEs-Ob7f3M5atEVN9Yn7IeORGp0QGvggB62ELw"",""Maestro!A:I""),""SELECT Col8 WHERE Col3 = '""&amp;BE594&amp;""'"", 0), 1, 1),""NO ENCONTRADO"")"),"")</f>
        <v/>
      </c>
      <c r="BI594" s="12" t="str">
        <f>IFERROR(__xludf.DUMMYFUNCTION("IFERROR(INDEX(QUERY(IMPORTRANGE(""1T7HG8KEs-Ob7f3M5atEVN9Yn7IeORGp0QGvggB62ELw"",""Maestro!A:I""),""SELECT Col7 WHERE Col3 = '""&amp;BE594&amp;""'"", 0), 1, 1),""NO ENCONTRADO"")"),"")</f>
        <v/>
      </c>
      <c r="BJ594" s="16">
        <f t="shared" si="15"/>
        <v>0</v>
      </c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4"/>
      <c r="BX594" s="14"/>
      <c r="BY594" s="14"/>
      <c r="BZ594" s="14"/>
      <c r="CA594" s="14"/>
      <c r="CB594" s="14"/>
      <c r="CC594" s="14"/>
      <c r="CD594" s="14"/>
      <c r="CE594" s="14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</row>
    <row r="595">
      <c r="A595" s="12"/>
      <c r="B595" s="14"/>
      <c r="C595" s="14"/>
      <c r="D595" s="14"/>
      <c r="E595" s="12"/>
      <c r="F595" s="307"/>
      <c r="G595" s="307"/>
      <c r="H595" s="12"/>
      <c r="I595" s="30"/>
      <c r="J595" s="12"/>
      <c r="K595" s="12"/>
      <c r="L595" s="12"/>
      <c r="M595" s="12"/>
      <c r="N595" s="12"/>
      <c r="O595" s="308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4"/>
      <c r="BF595" s="12"/>
      <c r="BG595" s="12"/>
      <c r="BH595" s="12" t="str">
        <f>IFERROR(__xludf.DUMMYFUNCTION("IFERROR(INDEX(QUERY(IMPORTRANGE(""1T7HG8KEs-Ob7f3M5atEVN9Yn7IeORGp0QGvggB62ELw"",""Maestro!A:I""),""SELECT Col8 WHERE Col3 = '""&amp;BE595&amp;""'"", 0), 1, 1),""NO ENCONTRADO"")"),"")</f>
        <v/>
      </c>
      <c r="BI595" s="12" t="str">
        <f>IFERROR(__xludf.DUMMYFUNCTION("IFERROR(INDEX(QUERY(IMPORTRANGE(""1T7HG8KEs-Ob7f3M5atEVN9Yn7IeORGp0QGvggB62ELw"",""Maestro!A:I""),""SELECT Col7 WHERE Col3 = '""&amp;BE595&amp;""'"", 0), 1, 1),""NO ENCONTRADO"")"),"")</f>
        <v/>
      </c>
      <c r="BJ595" s="16">
        <f t="shared" si="15"/>
        <v>0</v>
      </c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4"/>
      <c r="BX595" s="14"/>
      <c r="BY595" s="14"/>
      <c r="BZ595" s="14"/>
      <c r="CA595" s="14"/>
      <c r="CB595" s="14"/>
      <c r="CC595" s="14"/>
      <c r="CD595" s="14"/>
      <c r="CE595" s="14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</row>
    <row r="596">
      <c r="A596" s="12"/>
      <c r="B596" s="14"/>
      <c r="C596" s="14"/>
      <c r="D596" s="14"/>
      <c r="E596" s="12"/>
      <c r="F596" s="307"/>
      <c r="G596" s="307"/>
      <c r="H596" s="12"/>
      <c r="I596" s="30"/>
      <c r="J596" s="12"/>
      <c r="K596" s="12"/>
      <c r="L596" s="12"/>
      <c r="M596" s="12"/>
      <c r="N596" s="12"/>
      <c r="O596" s="308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4"/>
      <c r="BF596" s="12"/>
      <c r="BG596" s="12"/>
      <c r="BH596" s="12" t="str">
        <f>IFERROR(__xludf.DUMMYFUNCTION("IFERROR(INDEX(QUERY(IMPORTRANGE(""1T7HG8KEs-Ob7f3M5atEVN9Yn7IeORGp0QGvggB62ELw"",""Maestro!A:I""),""SELECT Col8 WHERE Col3 = '""&amp;BE596&amp;""'"", 0), 1, 1),""NO ENCONTRADO"")"),"")</f>
        <v/>
      </c>
      <c r="BI596" s="12" t="str">
        <f>IFERROR(__xludf.DUMMYFUNCTION("IFERROR(INDEX(QUERY(IMPORTRANGE(""1T7HG8KEs-Ob7f3M5atEVN9Yn7IeORGp0QGvggB62ELw"",""Maestro!A:I""),""SELECT Col7 WHERE Col3 = '""&amp;BE596&amp;""'"", 0), 1, 1),""NO ENCONTRADO"")"),"")</f>
        <v/>
      </c>
      <c r="BJ596" s="16">
        <f t="shared" si="15"/>
        <v>0</v>
      </c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4"/>
      <c r="BX596" s="14"/>
      <c r="BY596" s="14"/>
      <c r="BZ596" s="14"/>
      <c r="CA596" s="14"/>
      <c r="CB596" s="14"/>
      <c r="CC596" s="14"/>
      <c r="CD596" s="14"/>
      <c r="CE596" s="14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</row>
    <row r="597">
      <c r="A597" s="12"/>
      <c r="B597" s="14"/>
      <c r="C597" s="14"/>
      <c r="D597" s="14"/>
      <c r="E597" s="12"/>
      <c r="F597" s="307"/>
      <c r="G597" s="307"/>
      <c r="H597" s="12"/>
      <c r="I597" s="30"/>
      <c r="J597" s="12"/>
      <c r="K597" s="12"/>
      <c r="L597" s="12"/>
      <c r="M597" s="12"/>
      <c r="N597" s="12"/>
      <c r="O597" s="308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4"/>
      <c r="BF597" s="12"/>
      <c r="BG597" s="12"/>
      <c r="BH597" s="12" t="str">
        <f>IFERROR(__xludf.DUMMYFUNCTION("IFERROR(INDEX(QUERY(IMPORTRANGE(""1T7HG8KEs-Ob7f3M5atEVN9Yn7IeORGp0QGvggB62ELw"",""Maestro!A:I""),""SELECT Col8 WHERE Col3 = '""&amp;BE597&amp;""'"", 0), 1, 1),""NO ENCONTRADO"")"),"")</f>
        <v/>
      </c>
      <c r="BI597" s="12" t="str">
        <f>IFERROR(__xludf.DUMMYFUNCTION("IFERROR(INDEX(QUERY(IMPORTRANGE(""1T7HG8KEs-Ob7f3M5atEVN9Yn7IeORGp0QGvggB62ELw"",""Maestro!A:I""),""SELECT Col7 WHERE Col3 = '""&amp;BE597&amp;""'"", 0), 1, 1),""NO ENCONTRADO"")"),"")</f>
        <v/>
      </c>
      <c r="BJ597" s="16">
        <f t="shared" si="15"/>
        <v>0</v>
      </c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4"/>
      <c r="BX597" s="14"/>
      <c r="BY597" s="14"/>
      <c r="BZ597" s="14"/>
      <c r="CA597" s="14"/>
      <c r="CB597" s="14"/>
      <c r="CC597" s="14"/>
      <c r="CD597" s="14"/>
      <c r="CE597" s="14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</row>
    <row r="598">
      <c r="A598" s="12"/>
      <c r="B598" s="14"/>
      <c r="C598" s="14"/>
      <c r="D598" s="14"/>
      <c r="E598" s="12"/>
      <c r="F598" s="307"/>
      <c r="G598" s="307"/>
      <c r="H598" s="12"/>
      <c r="I598" s="30"/>
      <c r="J598" s="12"/>
      <c r="K598" s="12"/>
      <c r="L598" s="12"/>
      <c r="M598" s="12"/>
      <c r="N598" s="12"/>
      <c r="O598" s="308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4"/>
      <c r="BF598" s="12"/>
      <c r="BG598" s="12"/>
      <c r="BH598" s="12" t="str">
        <f>IFERROR(__xludf.DUMMYFUNCTION("IFERROR(INDEX(QUERY(IMPORTRANGE(""1T7HG8KEs-Ob7f3M5atEVN9Yn7IeORGp0QGvggB62ELw"",""Maestro!A:I""),""SELECT Col8 WHERE Col3 = '""&amp;BE598&amp;""'"", 0), 1, 1),""NO ENCONTRADO"")"),"")</f>
        <v/>
      </c>
      <c r="BI598" s="12" t="str">
        <f>IFERROR(__xludf.DUMMYFUNCTION("IFERROR(INDEX(QUERY(IMPORTRANGE(""1T7HG8KEs-Ob7f3M5atEVN9Yn7IeORGp0QGvggB62ELw"",""Maestro!A:I""),""SELECT Col7 WHERE Col3 = '""&amp;BE598&amp;""'"", 0), 1, 1),""NO ENCONTRADO"")"),"")</f>
        <v/>
      </c>
      <c r="BJ598" s="16">
        <f t="shared" si="15"/>
        <v>0</v>
      </c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4"/>
      <c r="BX598" s="14"/>
      <c r="BY598" s="14"/>
      <c r="BZ598" s="14"/>
      <c r="CA598" s="14"/>
      <c r="CB598" s="14"/>
      <c r="CC598" s="14"/>
      <c r="CD598" s="14"/>
      <c r="CE598" s="14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</row>
    <row r="599">
      <c r="A599" s="12"/>
      <c r="B599" s="14"/>
      <c r="C599" s="14"/>
      <c r="D599" s="14"/>
      <c r="E599" s="12"/>
      <c r="F599" s="307"/>
      <c r="G599" s="307"/>
      <c r="H599" s="12"/>
      <c r="I599" s="30"/>
      <c r="J599" s="12"/>
      <c r="K599" s="12"/>
      <c r="L599" s="12"/>
      <c r="M599" s="12"/>
      <c r="N599" s="12"/>
      <c r="O599" s="308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4"/>
      <c r="BF599" s="12"/>
      <c r="BG599" s="12"/>
      <c r="BH599" s="12" t="str">
        <f>IFERROR(__xludf.DUMMYFUNCTION("IFERROR(INDEX(QUERY(IMPORTRANGE(""1T7HG8KEs-Ob7f3M5atEVN9Yn7IeORGp0QGvggB62ELw"",""Maestro!A:I""),""SELECT Col8 WHERE Col3 = '""&amp;BE599&amp;""'"", 0), 1, 1),""NO ENCONTRADO"")"),"")</f>
        <v/>
      </c>
      <c r="BI599" s="12" t="str">
        <f>IFERROR(__xludf.DUMMYFUNCTION("IFERROR(INDEX(QUERY(IMPORTRANGE(""1T7HG8KEs-Ob7f3M5atEVN9Yn7IeORGp0QGvggB62ELw"",""Maestro!A:I""),""SELECT Col7 WHERE Col3 = '""&amp;BE599&amp;""'"", 0), 1, 1),""NO ENCONTRADO"")"),"")</f>
        <v/>
      </c>
      <c r="BJ599" s="16">
        <f t="shared" si="15"/>
        <v>0</v>
      </c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4"/>
      <c r="BX599" s="14"/>
      <c r="BY599" s="14"/>
      <c r="BZ599" s="14"/>
      <c r="CA599" s="14"/>
      <c r="CB599" s="14"/>
      <c r="CC599" s="14"/>
      <c r="CD599" s="14"/>
      <c r="CE599" s="14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</row>
    <row r="600">
      <c r="A600" s="12"/>
      <c r="B600" s="14"/>
      <c r="C600" s="14"/>
      <c r="D600" s="14"/>
      <c r="E600" s="12"/>
      <c r="F600" s="307"/>
      <c r="G600" s="307"/>
      <c r="H600" s="12"/>
      <c r="I600" s="30"/>
      <c r="J600" s="12"/>
      <c r="K600" s="12"/>
      <c r="L600" s="12"/>
      <c r="M600" s="12"/>
      <c r="N600" s="12"/>
      <c r="O600" s="308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4"/>
      <c r="BF600" s="12"/>
      <c r="BG600" s="12"/>
      <c r="BH600" s="12" t="str">
        <f>IFERROR(__xludf.DUMMYFUNCTION("IFERROR(INDEX(QUERY(IMPORTRANGE(""1T7HG8KEs-Ob7f3M5atEVN9Yn7IeORGp0QGvggB62ELw"",""Maestro!A:I""),""SELECT Col8 WHERE Col3 = '""&amp;BE600&amp;""'"", 0), 1, 1),""NO ENCONTRADO"")"),"")</f>
        <v/>
      </c>
      <c r="BI600" s="12" t="str">
        <f>IFERROR(__xludf.DUMMYFUNCTION("IFERROR(INDEX(QUERY(IMPORTRANGE(""1T7HG8KEs-Ob7f3M5atEVN9Yn7IeORGp0QGvggB62ELw"",""Maestro!A:I""),""SELECT Col7 WHERE Col3 = '""&amp;BE600&amp;""'"", 0), 1, 1),""NO ENCONTRADO"")"),"")</f>
        <v/>
      </c>
      <c r="BJ600" s="16">
        <f t="shared" si="15"/>
        <v>0</v>
      </c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4"/>
      <c r="BX600" s="14"/>
      <c r="BY600" s="14"/>
      <c r="BZ600" s="14"/>
      <c r="CA600" s="14"/>
      <c r="CB600" s="14"/>
      <c r="CC600" s="14"/>
      <c r="CD600" s="14"/>
      <c r="CE600" s="14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</row>
    <row r="601">
      <c r="A601" s="12"/>
      <c r="B601" s="14"/>
      <c r="C601" s="14"/>
      <c r="D601" s="14"/>
      <c r="E601" s="12"/>
      <c r="F601" s="307"/>
      <c r="G601" s="307"/>
      <c r="H601" s="12"/>
      <c r="I601" s="30"/>
      <c r="J601" s="12"/>
      <c r="K601" s="12"/>
      <c r="L601" s="12"/>
      <c r="M601" s="12"/>
      <c r="N601" s="12"/>
      <c r="O601" s="308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4"/>
      <c r="BF601" s="12"/>
      <c r="BG601" s="12"/>
      <c r="BH601" s="12" t="str">
        <f>IFERROR(__xludf.DUMMYFUNCTION("IFERROR(INDEX(QUERY(IMPORTRANGE(""1T7HG8KEs-Ob7f3M5atEVN9Yn7IeORGp0QGvggB62ELw"",""Maestro!A:I""),""SELECT Col8 WHERE Col3 = '""&amp;BE601&amp;""'"", 0), 1, 1),""NO ENCONTRADO"")"),"")</f>
        <v/>
      </c>
      <c r="BI601" s="12" t="str">
        <f>IFERROR(__xludf.DUMMYFUNCTION("IFERROR(INDEX(QUERY(IMPORTRANGE(""1T7HG8KEs-Ob7f3M5atEVN9Yn7IeORGp0QGvggB62ELw"",""Maestro!A:I""),""SELECT Col7 WHERE Col3 = '""&amp;BE601&amp;""'"", 0), 1, 1),""NO ENCONTRADO"")"),"")</f>
        <v/>
      </c>
      <c r="BJ601" s="16">
        <f t="shared" si="15"/>
        <v>0</v>
      </c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4"/>
      <c r="BX601" s="14"/>
      <c r="BY601" s="14"/>
      <c r="BZ601" s="14"/>
      <c r="CA601" s="14"/>
      <c r="CB601" s="14"/>
      <c r="CC601" s="14"/>
      <c r="CD601" s="14"/>
      <c r="CE601" s="14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</row>
    <row r="602">
      <c r="A602" s="12"/>
      <c r="B602" s="14"/>
      <c r="C602" s="14"/>
      <c r="D602" s="14"/>
      <c r="E602" s="12"/>
      <c r="F602" s="307"/>
      <c r="G602" s="307"/>
      <c r="H602" s="12"/>
      <c r="I602" s="30"/>
      <c r="J602" s="12"/>
      <c r="K602" s="12"/>
      <c r="L602" s="12"/>
      <c r="M602" s="12"/>
      <c r="N602" s="12"/>
      <c r="O602" s="308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4"/>
      <c r="BF602" s="12"/>
      <c r="BG602" s="12"/>
      <c r="BH602" s="12" t="str">
        <f>IFERROR(__xludf.DUMMYFUNCTION("IFERROR(INDEX(QUERY(IMPORTRANGE(""1T7HG8KEs-Ob7f3M5atEVN9Yn7IeORGp0QGvggB62ELw"",""Maestro!A:I""),""SELECT Col8 WHERE Col3 = '""&amp;BE602&amp;""'"", 0), 1, 1),""NO ENCONTRADO"")"),"")</f>
        <v/>
      </c>
      <c r="BI602" s="12" t="str">
        <f>IFERROR(__xludf.DUMMYFUNCTION("IFERROR(INDEX(QUERY(IMPORTRANGE(""1T7HG8KEs-Ob7f3M5atEVN9Yn7IeORGp0QGvggB62ELw"",""Maestro!A:I""),""SELECT Col7 WHERE Col3 = '""&amp;BE602&amp;""'"", 0), 1, 1),""NO ENCONTRADO"")"),"")</f>
        <v/>
      </c>
      <c r="BJ602" s="16">
        <f t="shared" si="15"/>
        <v>0</v>
      </c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4"/>
      <c r="BX602" s="14"/>
      <c r="BY602" s="14"/>
      <c r="BZ602" s="14"/>
      <c r="CA602" s="14"/>
      <c r="CB602" s="14"/>
      <c r="CC602" s="14"/>
      <c r="CD602" s="14"/>
      <c r="CE602" s="14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</row>
    <row r="603">
      <c r="A603" s="12"/>
      <c r="B603" s="14"/>
      <c r="C603" s="14"/>
      <c r="D603" s="14"/>
      <c r="E603" s="12"/>
      <c r="F603" s="307"/>
      <c r="G603" s="307"/>
      <c r="H603" s="12"/>
      <c r="I603" s="30"/>
      <c r="J603" s="12"/>
      <c r="K603" s="12"/>
      <c r="L603" s="12"/>
      <c r="M603" s="12"/>
      <c r="N603" s="12"/>
      <c r="O603" s="308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4"/>
      <c r="BF603" s="12"/>
      <c r="BG603" s="12"/>
      <c r="BH603" s="12" t="str">
        <f>IFERROR(__xludf.DUMMYFUNCTION("IFERROR(INDEX(QUERY(IMPORTRANGE(""1T7HG8KEs-Ob7f3M5atEVN9Yn7IeORGp0QGvggB62ELw"",""Maestro!A:I""),""SELECT Col8 WHERE Col3 = '""&amp;BE603&amp;""'"", 0), 1, 1),""NO ENCONTRADO"")"),"")</f>
        <v/>
      </c>
      <c r="BI603" s="12" t="str">
        <f>IFERROR(__xludf.DUMMYFUNCTION("IFERROR(INDEX(QUERY(IMPORTRANGE(""1T7HG8KEs-Ob7f3M5atEVN9Yn7IeORGp0QGvggB62ELw"",""Maestro!A:I""),""SELECT Col7 WHERE Col3 = '""&amp;BE603&amp;""'"", 0), 1, 1),""NO ENCONTRADO"")"),"")</f>
        <v/>
      </c>
      <c r="BJ603" s="16">
        <f t="shared" si="15"/>
        <v>0</v>
      </c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4"/>
      <c r="BX603" s="14"/>
      <c r="BY603" s="14"/>
      <c r="BZ603" s="14"/>
      <c r="CA603" s="14"/>
      <c r="CB603" s="14"/>
      <c r="CC603" s="14"/>
      <c r="CD603" s="14"/>
      <c r="CE603" s="14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</row>
    <row r="604">
      <c r="A604" s="12"/>
      <c r="B604" s="14"/>
      <c r="C604" s="14"/>
      <c r="D604" s="14"/>
      <c r="E604" s="12"/>
      <c r="F604" s="307"/>
      <c r="G604" s="307"/>
      <c r="H604" s="12"/>
      <c r="I604" s="30"/>
      <c r="J604" s="12"/>
      <c r="K604" s="12"/>
      <c r="L604" s="12"/>
      <c r="M604" s="12"/>
      <c r="N604" s="12"/>
      <c r="O604" s="308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4"/>
      <c r="BF604" s="12"/>
      <c r="BG604" s="12"/>
      <c r="BH604" s="12" t="str">
        <f>IFERROR(__xludf.DUMMYFUNCTION("IFERROR(INDEX(QUERY(IMPORTRANGE(""1T7HG8KEs-Ob7f3M5atEVN9Yn7IeORGp0QGvggB62ELw"",""Maestro!A:I""),""SELECT Col8 WHERE Col3 = '""&amp;BE604&amp;""'"", 0), 1, 1),""NO ENCONTRADO"")"),"")</f>
        <v/>
      </c>
      <c r="BI604" s="12" t="str">
        <f>IFERROR(__xludf.DUMMYFUNCTION("IFERROR(INDEX(QUERY(IMPORTRANGE(""1T7HG8KEs-Ob7f3M5atEVN9Yn7IeORGp0QGvggB62ELw"",""Maestro!A:I""),""SELECT Col7 WHERE Col3 = '""&amp;BE604&amp;""'"", 0), 1, 1),""NO ENCONTRADO"")"),"")</f>
        <v/>
      </c>
      <c r="BJ604" s="16">
        <f t="shared" si="15"/>
        <v>0</v>
      </c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4"/>
      <c r="BX604" s="14"/>
      <c r="BY604" s="14"/>
      <c r="BZ604" s="14"/>
      <c r="CA604" s="14"/>
      <c r="CB604" s="14"/>
      <c r="CC604" s="14"/>
      <c r="CD604" s="14"/>
      <c r="CE604" s="14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</row>
    <row r="605">
      <c r="A605" s="12"/>
      <c r="B605" s="14"/>
      <c r="C605" s="14"/>
      <c r="D605" s="14"/>
      <c r="E605" s="12"/>
      <c r="F605" s="307"/>
      <c r="G605" s="307"/>
      <c r="H605" s="12"/>
      <c r="I605" s="30"/>
      <c r="J605" s="12"/>
      <c r="K605" s="12"/>
      <c r="L605" s="12"/>
      <c r="M605" s="12"/>
      <c r="N605" s="12"/>
      <c r="O605" s="308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4"/>
      <c r="BF605" s="12"/>
      <c r="BG605" s="12"/>
      <c r="BH605" s="12" t="str">
        <f>IFERROR(__xludf.DUMMYFUNCTION("IFERROR(INDEX(QUERY(IMPORTRANGE(""1T7HG8KEs-Ob7f3M5atEVN9Yn7IeORGp0QGvggB62ELw"",""Maestro!A:I""),""SELECT Col8 WHERE Col3 = '""&amp;BE605&amp;""'"", 0), 1, 1),""NO ENCONTRADO"")"),"")</f>
        <v/>
      </c>
      <c r="BI605" s="12" t="str">
        <f>IFERROR(__xludf.DUMMYFUNCTION("IFERROR(INDEX(QUERY(IMPORTRANGE(""1T7HG8KEs-Ob7f3M5atEVN9Yn7IeORGp0QGvggB62ELw"",""Maestro!A:I""),""SELECT Col7 WHERE Col3 = '""&amp;BE605&amp;""'"", 0), 1, 1),""NO ENCONTRADO"")"),"")</f>
        <v/>
      </c>
      <c r="BJ605" s="16">
        <f t="shared" si="15"/>
        <v>0</v>
      </c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4"/>
      <c r="BX605" s="14"/>
      <c r="BY605" s="14"/>
      <c r="BZ605" s="14"/>
      <c r="CA605" s="14"/>
      <c r="CB605" s="14"/>
      <c r="CC605" s="14"/>
      <c r="CD605" s="14"/>
      <c r="CE605" s="14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</row>
    <row r="606">
      <c r="A606" s="12"/>
      <c r="B606" s="14"/>
      <c r="C606" s="14"/>
      <c r="D606" s="14"/>
      <c r="E606" s="12"/>
      <c r="F606" s="307"/>
      <c r="G606" s="307"/>
      <c r="H606" s="12"/>
      <c r="I606" s="30"/>
      <c r="J606" s="12"/>
      <c r="K606" s="12"/>
      <c r="L606" s="12"/>
      <c r="M606" s="12"/>
      <c r="N606" s="12"/>
      <c r="O606" s="308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4"/>
      <c r="BF606" s="12"/>
      <c r="BG606" s="12"/>
      <c r="BH606" s="12" t="str">
        <f>IFERROR(__xludf.DUMMYFUNCTION("IFERROR(INDEX(QUERY(IMPORTRANGE(""1T7HG8KEs-Ob7f3M5atEVN9Yn7IeORGp0QGvggB62ELw"",""Maestro!A:I""),""SELECT Col8 WHERE Col3 = '""&amp;BE606&amp;""'"", 0), 1, 1),""NO ENCONTRADO"")"),"")</f>
        <v/>
      </c>
      <c r="BI606" s="12" t="str">
        <f>IFERROR(__xludf.DUMMYFUNCTION("IFERROR(INDEX(QUERY(IMPORTRANGE(""1T7HG8KEs-Ob7f3M5atEVN9Yn7IeORGp0QGvggB62ELw"",""Maestro!A:I""),""SELECT Col7 WHERE Col3 = '""&amp;BE606&amp;""'"", 0), 1, 1),""NO ENCONTRADO"")"),"")</f>
        <v/>
      </c>
      <c r="BJ606" s="16">
        <f t="shared" si="15"/>
        <v>0</v>
      </c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4"/>
      <c r="BX606" s="14"/>
      <c r="BY606" s="14"/>
      <c r="BZ606" s="14"/>
      <c r="CA606" s="14"/>
      <c r="CB606" s="14"/>
      <c r="CC606" s="14"/>
      <c r="CD606" s="14"/>
      <c r="CE606" s="14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</row>
    <row r="607">
      <c r="A607" s="12"/>
      <c r="B607" s="14"/>
      <c r="C607" s="14"/>
      <c r="D607" s="14"/>
      <c r="E607" s="12"/>
      <c r="F607" s="307"/>
      <c r="G607" s="307"/>
      <c r="H607" s="12"/>
      <c r="I607" s="30"/>
      <c r="J607" s="12"/>
      <c r="K607" s="12"/>
      <c r="L607" s="12"/>
      <c r="M607" s="12"/>
      <c r="N607" s="12"/>
      <c r="O607" s="308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4"/>
      <c r="BF607" s="12"/>
      <c r="BG607" s="12"/>
      <c r="BH607" s="12" t="str">
        <f>IFERROR(__xludf.DUMMYFUNCTION("IFERROR(INDEX(QUERY(IMPORTRANGE(""1T7HG8KEs-Ob7f3M5atEVN9Yn7IeORGp0QGvggB62ELw"",""Maestro!A:I""),""SELECT Col8 WHERE Col3 = '""&amp;BE607&amp;""'"", 0), 1, 1),""NO ENCONTRADO"")"),"")</f>
        <v/>
      </c>
      <c r="BI607" s="12" t="str">
        <f>IFERROR(__xludf.DUMMYFUNCTION("IFERROR(INDEX(QUERY(IMPORTRANGE(""1T7HG8KEs-Ob7f3M5atEVN9Yn7IeORGp0QGvggB62ELw"",""Maestro!A:I""),""SELECT Col7 WHERE Col3 = '""&amp;BE607&amp;""'"", 0), 1, 1),""NO ENCONTRADO"")"),"")</f>
        <v/>
      </c>
      <c r="BJ607" s="16">
        <f t="shared" si="15"/>
        <v>0</v>
      </c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4"/>
      <c r="BX607" s="14"/>
      <c r="BY607" s="14"/>
      <c r="BZ607" s="14"/>
      <c r="CA607" s="14"/>
      <c r="CB607" s="14"/>
      <c r="CC607" s="14"/>
      <c r="CD607" s="14"/>
      <c r="CE607" s="14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</row>
    <row r="608">
      <c r="A608" s="12"/>
      <c r="B608" s="14"/>
      <c r="C608" s="14"/>
      <c r="D608" s="14"/>
      <c r="E608" s="12"/>
      <c r="F608" s="307"/>
      <c r="G608" s="307"/>
      <c r="H608" s="12"/>
      <c r="I608" s="30"/>
      <c r="J608" s="12"/>
      <c r="K608" s="12"/>
      <c r="L608" s="12"/>
      <c r="M608" s="12"/>
      <c r="N608" s="12"/>
      <c r="O608" s="308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4"/>
      <c r="BF608" s="12"/>
      <c r="BG608" s="12"/>
      <c r="BH608" s="12" t="str">
        <f>IFERROR(__xludf.DUMMYFUNCTION("IFERROR(INDEX(QUERY(IMPORTRANGE(""1T7HG8KEs-Ob7f3M5atEVN9Yn7IeORGp0QGvggB62ELw"",""Maestro!A:I""),""SELECT Col8 WHERE Col3 = '""&amp;BE608&amp;""'"", 0), 1, 1),""NO ENCONTRADO"")"),"")</f>
        <v/>
      </c>
      <c r="BI608" s="12" t="str">
        <f>IFERROR(__xludf.DUMMYFUNCTION("IFERROR(INDEX(QUERY(IMPORTRANGE(""1T7HG8KEs-Ob7f3M5atEVN9Yn7IeORGp0QGvggB62ELw"",""Maestro!A:I""),""SELECT Col7 WHERE Col3 = '""&amp;BE608&amp;""'"", 0), 1, 1),""NO ENCONTRADO"")"),"")</f>
        <v/>
      </c>
      <c r="BJ608" s="16">
        <f t="shared" si="15"/>
        <v>0</v>
      </c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4"/>
      <c r="BX608" s="14"/>
      <c r="BY608" s="14"/>
      <c r="BZ608" s="14"/>
      <c r="CA608" s="14"/>
      <c r="CB608" s="14"/>
      <c r="CC608" s="14"/>
      <c r="CD608" s="14"/>
      <c r="CE608" s="14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</row>
    <row r="609">
      <c r="A609" s="12"/>
      <c r="B609" s="14"/>
      <c r="C609" s="14"/>
      <c r="D609" s="14"/>
      <c r="E609" s="12"/>
      <c r="F609" s="307"/>
      <c r="G609" s="307"/>
      <c r="H609" s="12"/>
      <c r="I609" s="30"/>
      <c r="J609" s="12"/>
      <c r="K609" s="12"/>
      <c r="L609" s="12"/>
      <c r="M609" s="12"/>
      <c r="N609" s="12"/>
      <c r="O609" s="308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4"/>
      <c r="BF609" s="12"/>
      <c r="BG609" s="12"/>
      <c r="BH609" s="12" t="str">
        <f>IFERROR(__xludf.DUMMYFUNCTION("IFERROR(INDEX(QUERY(IMPORTRANGE(""1T7HG8KEs-Ob7f3M5atEVN9Yn7IeORGp0QGvggB62ELw"",""Maestro!A:I""),""SELECT Col8 WHERE Col3 = '""&amp;BE609&amp;""'"", 0), 1, 1),""NO ENCONTRADO"")"),"")</f>
        <v/>
      </c>
      <c r="BI609" s="12" t="str">
        <f>IFERROR(__xludf.DUMMYFUNCTION("IFERROR(INDEX(QUERY(IMPORTRANGE(""1T7HG8KEs-Ob7f3M5atEVN9Yn7IeORGp0QGvggB62ELw"",""Maestro!A:I""),""SELECT Col7 WHERE Col3 = '""&amp;BE609&amp;""'"", 0), 1, 1),""NO ENCONTRADO"")"),"")</f>
        <v/>
      </c>
      <c r="BJ609" s="16">
        <f t="shared" si="15"/>
        <v>0</v>
      </c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4"/>
      <c r="BX609" s="14"/>
      <c r="BY609" s="14"/>
      <c r="BZ609" s="14"/>
      <c r="CA609" s="14"/>
      <c r="CB609" s="14"/>
      <c r="CC609" s="14"/>
      <c r="CD609" s="14"/>
      <c r="CE609" s="14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</row>
    <row r="610">
      <c r="A610" s="12"/>
      <c r="B610" s="14"/>
      <c r="C610" s="14"/>
      <c r="D610" s="14"/>
      <c r="E610" s="12"/>
      <c r="F610" s="307"/>
      <c r="G610" s="307"/>
      <c r="H610" s="12"/>
      <c r="I610" s="30"/>
      <c r="J610" s="12"/>
      <c r="K610" s="12"/>
      <c r="L610" s="12"/>
      <c r="M610" s="12"/>
      <c r="N610" s="12"/>
      <c r="O610" s="308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4"/>
      <c r="BF610" s="12"/>
      <c r="BG610" s="12"/>
      <c r="BH610" s="12" t="str">
        <f>IFERROR(__xludf.DUMMYFUNCTION("IFERROR(INDEX(QUERY(IMPORTRANGE(""1T7HG8KEs-Ob7f3M5atEVN9Yn7IeORGp0QGvggB62ELw"",""Maestro!A:I""),""SELECT Col8 WHERE Col3 = '""&amp;BE610&amp;""'"", 0), 1, 1),""NO ENCONTRADO"")"),"")</f>
        <v/>
      </c>
      <c r="BI610" s="12" t="str">
        <f>IFERROR(__xludf.DUMMYFUNCTION("IFERROR(INDEX(QUERY(IMPORTRANGE(""1T7HG8KEs-Ob7f3M5atEVN9Yn7IeORGp0QGvggB62ELw"",""Maestro!A:I""),""SELECT Col7 WHERE Col3 = '""&amp;BE610&amp;""'"", 0), 1, 1),""NO ENCONTRADO"")"),"")</f>
        <v/>
      </c>
      <c r="BJ610" s="16">
        <f t="shared" si="15"/>
        <v>0</v>
      </c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4"/>
      <c r="BX610" s="14"/>
      <c r="BY610" s="14"/>
      <c r="BZ610" s="14"/>
      <c r="CA610" s="14"/>
      <c r="CB610" s="14"/>
      <c r="CC610" s="14"/>
      <c r="CD610" s="14"/>
      <c r="CE610" s="14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</row>
    <row r="611">
      <c r="A611" s="12"/>
      <c r="B611" s="14"/>
      <c r="C611" s="14"/>
      <c r="D611" s="14"/>
      <c r="E611" s="12"/>
      <c r="F611" s="307"/>
      <c r="G611" s="307"/>
      <c r="H611" s="12"/>
      <c r="I611" s="30"/>
      <c r="J611" s="12"/>
      <c r="K611" s="12"/>
      <c r="L611" s="12"/>
      <c r="M611" s="12"/>
      <c r="N611" s="12"/>
      <c r="O611" s="308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4"/>
      <c r="BF611" s="12"/>
      <c r="BG611" s="12"/>
      <c r="BH611" s="12" t="str">
        <f>IFERROR(__xludf.DUMMYFUNCTION("IFERROR(INDEX(QUERY(IMPORTRANGE(""1T7HG8KEs-Ob7f3M5atEVN9Yn7IeORGp0QGvggB62ELw"",""Maestro!A:I""),""SELECT Col8 WHERE Col3 = '""&amp;BE611&amp;""'"", 0), 1, 1),""NO ENCONTRADO"")"),"")</f>
        <v/>
      </c>
      <c r="BI611" s="12" t="str">
        <f>IFERROR(__xludf.DUMMYFUNCTION("IFERROR(INDEX(QUERY(IMPORTRANGE(""1T7HG8KEs-Ob7f3M5atEVN9Yn7IeORGp0QGvggB62ELw"",""Maestro!A:I""),""SELECT Col7 WHERE Col3 = '""&amp;BE611&amp;""'"", 0), 1, 1),""NO ENCONTRADO"")"),"")</f>
        <v/>
      </c>
      <c r="BJ611" s="16">
        <f t="shared" si="15"/>
        <v>0</v>
      </c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4"/>
      <c r="BX611" s="14"/>
      <c r="BY611" s="14"/>
      <c r="BZ611" s="14"/>
      <c r="CA611" s="14"/>
      <c r="CB611" s="14"/>
      <c r="CC611" s="14"/>
      <c r="CD611" s="14"/>
      <c r="CE611" s="14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</row>
    <row r="612">
      <c r="A612" s="12"/>
      <c r="B612" s="14"/>
      <c r="C612" s="14"/>
      <c r="D612" s="14"/>
      <c r="E612" s="12"/>
      <c r="F612" s="307"/>
      <c r="G612" s="307"/>
      <c r="H612" s="12"/>
      <c r="I612" s="30"/>
      <c r="J612" s="12"/>
      <c r="K612" s="12"/>
      <c r="L612" s="12"/>
      <c r="M612" s="12"/>
      <c r="N612" s="12"/>
      <c r="O612" s="308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4"/>
      <c r="BF612" s="12"/>
      <c r="BG612" s="12"/>
      <c r="BH612" s="12" t="str">
        <f>IFERROR(__xludf.DUMMYFUNCTION("IFERROR(INDEX(QUERY(IMPORTRANGE(""1T7HG8KEs-Ob7f3M5atEVN9Yn7IeORGp0QGvggB62ELw"",""Maestro!A:I""),""SELECT Col8 WHERE Col3 = '""&amp;BE612&amp;""'"", 0), 1, 1),""NO ENCONTRADO"")"),"")</f>
        <v/>
      </c>
      <c r="BI612" s="12" t="str">
        <f>IFERROR(__xludf.DUMMYFUNCTION("IFERROR(INDEX(QUERY(IMPORTRANGE(""1T7HG8KEs-Ob7f3M5atEVN9Yn7IeORGp0QGvggB62ELw"",""Maestro!A:I""),""SELECT Col7 WHERE Col3 = '""&amp;BE612&amp;""'"", 0), 1, 1),""NO ENCONTRADO"")"),"")</f>
        <v/>
      </c>
      <c r="BJ612" s="16">
        <f t="shared" si="15"/>
        <v>0</v>
      </c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4"/>
      <c r="BX612" s="14"/>
      <c r="BY612" s="14"/>
      <c r="BZ612" s="14"/>
      <c r="CA612" s="14"/>
      <c r="CB612" s="14"/>
      <c r="CC612" s="14"/>
      <c r="CD612" s="14"/>
      <c r="CE612" s="14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</row>
    <row r="613">
      <c r="A613" s="12"/>
      <c r="B613" s="14"/>
      <c r="C613" s="14"/>
      <c r="D613" s="14"/>
      <c r="E613" s="12"/>
      <c r="F613" s="307"/>
      <c r="G613" s="307"/>
      <c r="H613" s="12"/>
      <c r="I613" s="30"/>
      <c r="J613" s="12"/>
      <c r="K613" s="12"/>
      <c r="L613" s="12"/>
      <c r="M613" s="12"/>
      <c r="N613" s="12"/>
      <c r="O613" s="308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4"/>
      <c r="BF613" s="12"/>
      <c r="BG613" s="12"/>
      <c r="BH613" s="12" t="str">
        <f>IFERROR(__xludf.DUMMYFUNCTION("IFERROR(INDEX(QUERY(IMPORTRANGE(""1T7HG8KEs-Ob7f3M5atEVN9Yn7IeORGp0QGvggB62ELw"",""Maestro!A:I""),""SELECT Col8 WHERE Col3 = '""&amp;BE613&amp;""'"", 0), 1, 1),""NO ENCONTRADO"")"),"")</f>
        <v/>
      </c>
      <c r="BI613" s="12" t="str">
        <f>IFERROR(__xludf.DUMMYFUNCTION("IFERROR(INDEX(QUERY(IMPORTRANGE(""1T7HG8KEs-Ob7f3M5atEVN9Yn7IeORGp0QGvggB62ELw"",""Maestro!A:I""),""SELECT Col7 WHERE Col3 = '""&amp;BE613&amp;""'"", 0), 1, 1),""NO ENCONTRADO"")"),"")</f>
        <v/>
      </c>
      <c r="BJ613" s="16">
        <f t="shared" si="15"/>
        <v>0</v>
      </c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4"/>
      <c r="BX613" s="14"/>
      <c r="BY613" s="14"/>
      <c r="BZ613" s="14"/>
      <c r="CA613" s="14"/>
      <c r="CB613" s="14"/>
      <c r="CC613" s="14"/>
      <c r="CD613" s="14"/>
      <c r="CE613" s="14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</row>
    <row r="614">
      <c r="A614" s="12"/>
      <c r="B614" s="14"/>
      <c r="C614" s="14"/>
      <c r="D614" s="14"/>
      <c r="E614" s="12"/>
      <c r="F614" s="307"/>
      <c r="G614" s="307"/>
      <c r="H614" s="12"/>
      <c r="I614" s="30"/>
      <c r="J614" s="12"/>
      <c r="K614" s="12"/>
      <c r="L614" s="12"/>
      <c r="M614" s="12"/>
      <c r="N614" s="12"/>
      <c r="O614" s="308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4"/>
      <c r="BF614" s="12"/>
      <c r="BG614" s="12"/>
      <c r="BH614" s="12" t="str">
        <f>IFERROR(__xludf.DUMMYFUNCTION("IFERROR(INDEX(QUERY(IMPORTRANGE(""1T7HG8KEs-Ob7f3M5atEVN9Yn7IeORGp0QGvggB62ELw"",""Maestro!A:I""),""SELECT Col8 WHERE Col3 = '""&amp;BE614&amp;""'"", 0), 1, 1),""NO ENCONTRADO"")"),"")</f>
        <v/>
      </c>
      <c r="BI614" s="12" t="str">
        <f>IFERROR(__xludf.DUMMYFUNCTION("IFERROR(INDEX(QUERY(IMPORTRANGE(""1T7HG8KEs-Ob7f3M5atEVN9Yn7IeORGp0QGvggB62ELw"",""Maestro!A:I""),""SELECT Col7 WHERE Col3 = '""&amp;BE614&amp;""'"", 0), 1, 1),""NO ENCONTRADO"")"),"")</f>
        <v/>
      </c>
      <c r="BJ614" s="16">
        <f t="shared" si="15"/>
        <v>0</v>
      </c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4"/>
      <c r="BX614" s="14"/>
      <c r="BY614" s="14"/>
      <c r="BZ614" s="14"/>
      <c r="CA614" s="14"/>
      <c r="CB614" s="14"/>
      <c r="CC614" s="14"/>
      <c r="CD614" s="14"/>
      <c r="CE614" s="14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</row>
    <row r="615">
      <c r="A615" s="12"/>
      <c r="B615" s="14"/>
      <c r="C615" s="14"/>
      <c r="D615" s="14"/>
      <c r="E615" s="12"/>
      <c r="F615" s="307"/>
      <c r="G615" s="307"/>
      <c r="H615" s="12"/>
      <c r="I615" s="30"/>
      <c r="J615" s="12"/>
      <c r="K615" s="12"/>
      <c r="L615" s="12"/>
      <c r="M615" s="12"/>
      <c r="N615" s="12"/>
      <c r="O615" s="308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4"/>
      <c r="BF615" s="12"/>
      <c r="BG615" s="12"/>
      <c r="BH615" s="12" t="str">
        <f>IFERROR(__xludf.DUMMYFUNCTION("IFERROR(INDEX(QUERY(IMPORTRANGE(""1T7HG8KEs-Ob7f3M5atEVN9Yn7IeORGp0QGvggB62ELw"",""Maestro!A:I""),""SELECT Col8 WHERE Col3 = '""&amp;BE615&amp;""'"", 0), 1, 1),""NO ENCONTRADO"")"),"")</f>
        <v/>
      </c>
      <c r="BI615" s="12" t="str">
        <f>IFERROR(__xludf.DUMMYFUNCTION("IFERROR(INDEX(QUERY(IMPORTRANGE(""1T7HG8KEs-Ob7f3M5atEVN9Yn7IeORGp0QGvggB62ELw"",""Maestro!A:I""),""SELECT Col7 WHERE Col3 = '""&amp;BE615&amp;""'"", 0), 1, 1),""NO ENCONTRADO"")"),"")</f>
        <v/>
      </c>
      <c r="BJ615" s="16">
        <f t="shared" si="15"/>
        <v>0</v>
      </c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4"/>
      <c r="BX615" s="14"/>
      <c r="BY615" s="14"/>
      <c r="BZ615" s="14"/>
      <c r="CA615" s="14"/>
      <c r="CB615" s="14"/>
      <c r="CC615" s="14"/>
      <c r="CD615" s="14"/>
      <c r="CE615" s="14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</row>
    <row r="616">
      <c r="A616" s="12"/>
      <c r="B616" s="14"/>
      <c r="C616" s="14"/>
      <c r="D616" s="14"/>
      <c r="E616" s="12"/>
      <c r="F616" s="307"/>
      <c r="G616" s="307"/>
      <c r="H616" s="12"/>
      <c r="I616" s="30"/>
      <c r="J616" s="12"/>
      <c r="K616" s="12"/>
      <c r="L616" s="12"/>
      <c r="M616" s="12"/>
      <c r="N616" s="12"/>
      <c r="O616" s="308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4"/>
      <c r="BF616" s="12"/>
      <c r="BG616" s="12"/>
      <c r="BH616" s="12" t="str">
        <f>IFERROR(__xludf.DUMMYFUNCTION("IFERROR(INDEX(QUERY(IMPORTRANGE(""1T7HG8KEs-Ob7f3M5atEVN9Yn7IeORGp0QGvggB62ELw"",""Maestro!A:I""),""SELECT Col8 WHERE Col3 = '""&amp;BE616&amp;""'"", 0), 1, 1),""NO ENCONTRADO"")"),"")</f>
        <v/>
      </c>
      <c r="BI616" s="12" t="str">
        <f>IFERROR(__xludf.DUMMYFUNCTION("IFERROR(INDEX(QUERY(IMPORTRANGE(""1T7HG8KEs-Ob7f3M5atEVN9Yn7IeORGp0QGvggB62ELw"",""Maestro!A:I""),""SELECT Col7 WHERE Col3 = '""&amp;BE616&amp;""'"", 0), 1, 1),""NO ENCONTRADO"")"),"")</f>
        <v/>
      </c>
      <c r="BJ616" s="16">
        <f t="shared" si="15"/>
        <v>0</v>
      </c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4"/>
      <c r="BX616" s="14"/>
      <c r="BY616" s="14"/>
      <c r="BZ616" s="14"/>
      <c r="CA616" s="14"/>
      <c r="CB616" s="14"/>
      <c r="CC616" s="14"/>
      <c r="CD616" s="14"/>
      <c r="CE616" s="14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</row>
    <row r="617">
      <c r="A617" s="12"/>
      <c r="B617" s="14"/>
      <c r="C617" s="14"/>
      <c r="D617" s="14"/>
      <c r="E617" s="12"/>
      <c r="F617" s="307"/>
      <c r="G617" s="307"/>
      <c r="H617" s="12"/>
      <c r="I617" s="30"/>
      <c r="J617" s="12"/>
      <c r="K617" s="12"/>
      <c r="L617" s="12"/>
      <c r="M617" s="12"/>
      <c r="N617" s="12"/>
      <c r="O617" s="308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4"/>
      <c r="BF617" s="12"/>
      <c r="BG617" s="12"/>
      <c r="BH617" s="12" t="str">
        <f>IFERROR(__xludf.DUMMYFUNCTION("IFERROR(INDEX(QUERY(IMPORTRANGE(""1T7HG8KEs-Ob7f3M5atEVN9Yn7IeORGp0QGvggB62ELw"",""Maestro!A:I""),""SELECT Col8 WHERE Col3 = '""&amp;BE617&amp;""'"", 0), 1, 1),""NO ENCONTRADO"")"),"")</f>
        <v/>
      </c>
      <c r="BI617" s="12" t="str">
        <f>IFERROR(__xludf.DUMMYFUNCTION("IFERROR(INDEX(QUERY(IMPORTRANGE(""1T7HG8KEs-Ob7f3M5atEVN9Yn7IeORGp0QGvggB62ELw"",""Maestro!A:I""),""SELECT Col7 WHERE Col3 = '""&amp;BE617&amp;""'"", 0), 1, 1),""NO ENCONTRADO"")"),"")</f>
        <v/>
      </c>
      <c r="BJ617" s="16">
        <f t="shared" si="15"/>
        <v>0</v>
      </c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4"/>
      <c r="BX617" s="14"/>
      <c r="BY617" s="14"/>
      <c r="BZ617" s="14"/>
      <c r="CA617" s="14"/>
      <c r="CB617" s="14"/>
      <c r="CC617" s="14"/>
      <c r="CD617" s="14"/>
      <c r="CE617" s="14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</row>
    <row r="618">
      <c r="A618" s="12"/>
      <c r="B618" s="14"/>
      <c r="C618" s="14"/>
      <c r="D618" s="14"/>
      <c r="E618" s="12"/>
      <c r="F618" s="307"/>
      <c r="G618" s="307"/>
      <c r="H618" s="12"/>
      <c r="I618" s="30"/>
      <c r="J618" s="12"/>
      <c r="K618" s="12"/>
      <c r="L618" s="12"/>
      <c r="M618" s="12"/>
      <c r="N618" s="12"/>
      <c r="O618" s="308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4"/>
      <c r="BF618" s="12"/>
      <c r="BG618" s="12"/>
      <c r="BH618" s="12" t="str">
        <f>IFERROR(__xludf.DUMMYFUNCTION("IFERROR(INDEX(QUERY(IMPORTRANGE(""1T7HG8KEs-Ob7f3M5atEVN9Yn7IeORGp0QGvggB62ELw"",""Maestro!A:I""),""SELECT Col8 WHERE Col3 = '""&amp;BE618&amp;""'"", 0), 1, 1),""NO ENCONTRADO"")"),"")</f>
        <v/>
      </c>
      <c r="BI618" s="12" t="str">
        <f>IFERROR(__xludf.DUMMYFUNCTION("IFERROR(INDEX(QUERY(IMPORTRANGE(""1T7HG8KEs-Ob7f3M5atEVN9Yn7IeORGp0QGvggB62ELw"",""Maestro!A:I""),""SELECT Col7 WHERE Col3 = '""&amp;BE618&amp;""'"", 0), 1, 1),""NO ENCONTRADO"")"),"")</f>
        <v/>
      </c>
      <c r="BJ618" s="16">
        <f t="shared" si="15"/>
        <v>0</v>
      </c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4"/>
      <c r="BX618" s="14"/>
      <c r="BY618" s="14"/>
      <c r="BZ618" s="14"/>
      <c r="CA618" s="14"/>
      <c r="CB618" s="14"/>
      <c r="CC618" s="14"/>
      <c r="CD618" s="14"/>
      <c r="CE618" s="14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</row>
    <row r="619">
      <c r="A619" s="12"/>
      <c r="B619" s="14"/>
      <c r="C619" s="14"/>
      <c r="D619" s="14"/>
      <c r="E619" s="12"/>
      <c r="F619" s="307"/>
      <c r="G619" s="307"/>
      <c r="H619" s="12"/>
      <c r="I619" s="30"/>
      <c r="J619" s="12"/>
      <c r="K619" s="12"/>
      <c r="L619" s="12"/>
      <c r="M619" s="12"/>
      <c r="N619" s="12"/>
      <c r="O619" s="308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4"/>
      <c r="BF619" s="12"/>
      <c r="BG619" s="12"/>
      <c r="BH619" s="12" t="str">
        <f>IFERROR(__xludf.DUMMYFUNCTION("IFERROR(INDEX(QUERY(IMPORTRANGE(""1T7HG8KEs-Ob7f3M5atEVN9Yn7IeORGp0QGvggB62ELw"",""Maestro!A:I""),""SELECT Col8 WHERE Col3 = '""&amp;BE619&amp;""'"", 0), 1, 1),""NO ENCONTRADO"")"),"")</f>
        <v/>
      </c>
      <c r="BI619" s="12" t="str">
        <f>IFERROR(__xludf.DUMMYFUNCTION("IFERROR(INDEX(QUERY(IMPORTRANGE(""1T7HG8KEs-Ob7f3M5atEVN9Yn7IeORGp0QGvggB62ELw"",""Maestro!A:I""),""SELECT Col7 WHERE Col3 = '""&amp;BE619&amp;""'"", 0), 1, 1),""NO ENCONTRADO"")"),"")</f>
        <v/>
      </c>
      <c r="BJ619" s="16">
        <f t="shared" si="15"/>
        <v>0</v>
      </c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4"/>
      <c r="BX619" s="14"/>
      <c r="BY619" s="14"/>
      <c r="BZ619" s="14"/>
      <c r="CA619" s="14"/>
      <c r="CB619" s="14"/>
      <c r="CC619" s="14"/>
      <c r="CD619" s="14"/>
      <c r="CE619" s="14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</row>
    <row r="620">
      <c r="A620" s="12"/>
      <c r="B620" s="14"/>
      <c r="C620" s="14"/>
      <c r="D620" s="14"/>
      <c r="E620" s="12"/>
      <c r="F620" s="307"/>
      <c r="G620" s="307"/>
      <c r="H620" s="12"/>
      <c r="I620" s="30"/>
      <c r="J620" s="12"/>
      <c r="K620" s="12"/>
      <c r="L620" s="12"/>
      <c r="M620" s="12"/>
      <c r="N620" s="12"/>
      <c r="O620" s="308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4"/>
      <c r="BF620" s="12"/>
      <c r="BG620" s="12"/>
      <c r="BH620" s="12" t="str">
        <f>IFERROR(__xludf.DUMMYFUNCTION("IFERROR(INDEX(QUERY(IMPORTRANGE(""1T7HG8KEs-Ob7f3M5atEVN9Yn7IeORGp0QGvggB62ELw"",""Maestro!A:I""),""SELECT Col8 WHERE Col3 = '""&amp;BE620&amp;""'"", 0), 1, 1),""NO ENCONTRADO"")"),"")</f>
        <v/>
      </c>
      <c r="BI620" s="12" t="str">
        <f>IFERROR(__xludf.DUMMYFUNCTION("IFERROR(INDEX(QUERY(IMPORTRANGE(""1T7HG8KEs-Ob7f3M5atEVN9Yn7IeORGp0QGvggB62ELw"",""Maestro!A:I""),""SELECT Col7 WHERE Col3 = '""&amp;BE620&amp;""'"", 0), 1, 1),""NO ENCONTRADO"")"),"")</f>
        <v/>
      </c>
      <c r="BJ620" s="16">
        <f t="shared" si="15"/>
        <v>0</v>
      </c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4"/>
      <c r="BX620" s="14"/>
      <c r="BY620" s="14"/>
      <c r="BZ620" s="14"/>
      <c r="CA620" s="14"/>
      <c r="CB620" s="14"/>
      <c r="CC620" s="14"/>
      <c r="CD620" s="14"/>
      <c r="CE620" s="14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</row>
    <row r="621">
      <c r="A621" s="12"/>
      <c r="B621" s="14"/>
      <c r="C621" s="14"/>
      <c r="D621" s="14"/>
      <c r="E621" s="12"/>
      <c r="F621" s="307"/>
      <c r="G621" s="307"/>
      <c r="H621" s="12"/>
      <c r="I621" s="30"/>
      <c r="J621" s="12"/>
      <c r="K621" s="12"/>
      <c r="L621" s="12"/>
      <c r="M621" s="12"/>
      <c r="N621" s="12"/>
      <c r="O621" s="308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4"/>
      <c r="BF621" s="12"/>
      <c r="BG621" s="12"/>
      <c r="BH621" s="12" t="str">
        <f>IFERROR(__xludf.DUMMYFUNCTION("IFERROR(INDEX(QUERY(IMPORTRANGE(""1T7HG8KEs-Ob7f3M5atEVN9Yn7IeORGp0QGvggB62ELw"",""Maestro!A:I""),""SELECT Col8 WHERE Col3 = '""&amp;BE621&amp;""'"", 0), 1, 1),""NO ENCONTRADO"")"),"")</f>
        <v/>
      </c>
      <c r="BI621" s="12" t="str">
        <f>IFERROR(__xludf.DUMMYFUNCTION("IFERROR(INDEX(QUERY(IMPORTRANGE(""1T7HG8KEs-Ob7f3M5atEVN9Yn7IeORGp0QGvggB62ELw"",""Maestro!A:I""),""SELECT Col7 WHERE Col3 = '""&amp;BE621&amp;""'"", 0), 1, 1),""NO ENCONTRADO"")"),"")</f>
        <v/>
      </c>
      <c r="BJ621" s="16">
        <f t="shared" si="15"/>
        <v>0</v>
      </c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4"/>
      <c r="BX621" s="14"/>
      <c r="BY621" s="14"/>
      <c r="BZ621" s="14"/>
      <c r="CA621" s="14"/>
      <c r="CB621" s="14"/>
      <c r="CC621" s="14"/>
      <c r="CD621" s="14"/>
      <c r="CE621" s="14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</row>
    <row r="622">
      <c r="A622" s="12"/>
      <c r="B622" s="14"/>
      <c r="C622" s="14"/>
      <c r="D622" s="14"/>
      <c r="E622" s="12"/>
      <c r="F622" s="307"/>
      <c r="G622" s="307"/>
      <c r="H622" s="12"/>
      <c r="I622" s="30"/>
      <c r="J622" s="12"/>
      <c r="K622" s="12"/>
      <c r="L622" s="12"/>
      <c r="M622" s="12"/>
      <c r="N622" s="12"/>
      <c r="O622" s="308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4"/>
      <c r="BF622" s="12"/>
      <c r="BG622" s="12"/>
      <c r="BH622" s="12" t="str">
        <f>IFERROR(__xludf.DUMMYFUNCTION("IFERROR(INDEX(QUERY(IMPORTRANGE(""1T7HG8KEs-Ob7f3M5atEVN9Yn7IeORGp0QGvggB62ELw"",""Maestro!A:I""),""SELECT Col8 WHERE Col3 = '""&amp;BE622&amp;""'"", 0), 1, 1),""NO ENCONTRADO"")"),"")</f>
        <v/>
      </c>
      <c r="BI622" s="12" t="str">
        <f>IFERROR(__xludf.DUMMYFUNCTION("IFERROR(INDEX(QUERY(IMPORTRANGE(""1T7HG8KEs-Ob7f3M5atEVN9Yn7IeORGp0QGvggB62ELw"",""Maestro!A:I""),""SELECT Col7 WHERE Col3 = '""&amp;BE622&amp;""'"", 0), 1, 1),""NO ENCONTRADO"")"),"")</f>
        <v/>
      </c>
      <c r="BJ622" s="16">
        <f t="shared" si="15"/>
        <v>0</v>
      </c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4"/>
      <c r="BX622" s="14"/>
      <c r="BY622" s="14"/>
      <c r="BZ622" s="14"/>
      <c r="CA622" s="14"/>
      <c r="CB622" s="14"/>
      <c r="CC622" s="14"/>
      <c r="CD622" s="14"/>
      <c r="CE622" s="14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</row>
    <row r="623">
      <c r="A623" s="12"/>
      <c r="B623" s="14"/>
      <c r="C623" s="14"/>
      <c r="D623" s="14"/>
      <c r="E623" s="12"/>
      <c r="F623" s="307"/>
      <c r="G623" s="307"/>
      <c r="H623" s="12"/>
      <c r="I623" s="30"/>
      <c r="J623" s="12"/>
      <c r="K623" s="12"/>
      <c r="L623" s="12"/>
      <c r="M623" s="12"/>
      <c r="N623" s="12"/>
      <c r="O623" s="308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4"/>
      <c r="BF623" s="12"/>
      <c r="BG623" s="12"/>
      <c r="BH623" s="12" t="str">
        <f>IFERROR(__xludf.DUMMYFUNCTION("IFERROR(INDEX(QUERY(IMPORTRANGE(""1T7HG8KEs-Ob7f3M5atEVN9Yn7IeORGp0QGvggB62ELw"",""Maestro!A:I""),""SELECT Col8 WHERE Col3 = '""&amp;BE623&amp;""'"", 0), 1, 1),""NO ENCONTRADO"")"),"")</f>
        <v/>
      </c>
      <c r="BI623" s="12" t="str">
        <f>IFERROR(__xludf.DUMMYFUNCTION("IFERROR(INDEX(QUERY(IMPORTRANGE(""1T7HG8KEs-Ob7f3M5atEVN9Yn7IeORGp0QGvggB62ELw"",""Maestro!A:I""),""SELECT Col7 WHERE Col3 = '""&amp;BE623&amp;""'"", 0), 1, 1),""NO ENCONTRADO"")"),"")</f>
        <v/>
      </c>
      <c r="BJ623" s="16">
        <f t="shared" si="15"/>
        <v>0</v>
      </c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4"/>
      <c r="BX623" s="14"/>
      <c r="BY623" s="14"/>
      <c r="BZ623" s="14"/>
      <c r="CA623" s="14"/>
      <c r="CB623" s="14"/>
      <c r="CC623" s="14"/>
      <c r="CD623" s="14"/>
      <c r="CE623" s="14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</row>
    <row r="624">
      <c r="A624" s="12"/>
      <c r="B624" s="14"/>
      <c r="C624" s="14"/>
      <c r="D624" s="14"/>
      <c r="E624" s="12"/>
      <c r="F624" s="307"/>
      <c r="G624" s="307"/>
      <c r="H624" s="12"/>
      <c r="I624" s="30"/>
      <c r="J624" s="12"/>
      <c r="K624" s="12"/>
      <c r="L624" s="12"/>
      <c r="M624" s="12"/>
      <c r="N624" s="12"/>
      <c r="O624" s="308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4"/>
      <c r="BF624" s="12"/>
      <c r="BG624" s="12"/>
      <c r="BH624" s="12" t="str">
        <f>IFERROR(__xludf.DUMMYFUNCTION("IFERROR(INDEX(QUERY(IMPORTRANGE(""1T7HG8KEs-Ob7f3M5atEVN9Yn7IeORGp0QGvggB62ELw"",""Maestro!A:I""),""SELECT Col8 WHERE Col3 = '""&amp;BE624&amp;""'"", 0), 1, 1),""NO ENCONTRADO"")"),"")</f>
        <v/>
      </c>
      <c r="BI624" s="12" t="str">
        <f>IFERROR(__xludf.DUMMYFUNCTION("IFERROR(INDEX(QUERY(IMPORTRANGE(""1T7HG8KEs-Ob7f3M5atEVN9Yn7IeORGp0QGvggB62ELw"",""Maestro!A:I""),""SELECT Col7 WHERE Col3 = '""&amp;BE624&amp;""'"", 0), 1, 1),""NO ENCONTRADO"")"),"")</f>
        <v/>
      </c>
      <c r="BJ624" s="16">
        <f t="shared" si="15"/>
        <v>0</v>
      </c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4"/>
      <c r="BX624" s="14"/>
      <c r="BY624" s="14"/>
      <c r="BZ624" s="14"/>
      <c r="CA624" s="14"/>
      <c r="CB624" s="14"/>
      <c r="CC624" s="14"/>
      <c r="CD624" s="14"/>
      <c r="CE624" s="14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</row>
    <row r="625">
      <c r="A625" s="12"/>
      <c r="B625" s="14"/>
      <c r="C625" s="14"/>
      <c r="D625" s="14"/>
      <c r="E625" s="12"/>
      <c r="F625" s="307"/>
      <c r="G625" s="307"/>
      <c r="H625" s="12"/>
      <c r="I625" s="30"/>
      <c r="J625" s="12"/>
      <c r="K625" s="12"/>
      <c r="L625" s="12"/>
      <c r="M625" s="12"/>
      <c r="N625" s="12"/>
      <c r="O625" s="308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4"/>
      <c r="BF625" s="12"/>
      <c r="BG625" s="12"/>
      <c r="BH625" s="12" t="str">
        <f>IFERROR(__xludf.DUMMYFUNCTION("IFERROR(INDEX(QUERY(IMPORTRANGE(""1T7HG8KEs-Ob7f3M5atEVN9Yn7IeORGp0QGvggB62ELw"",""Maestro!A:I""),""SELECT Col8 WHERE Col3 = '""&amp;BE625&amp;""'"", 0), 1, 1),""NO ENCONTRADO"")"),"")</f>
        <v/>
      </c>
      <c r="BI625" s="12" t="str">
        <f>IFERROR(__xludf.DUMMYFUNCTION("IFERROR(INDEX(QUERY(IMPORTRANGE(""1T7HG8KEs-Ob7f3M5atEVN9Yn7IeORGp0QGvggB62ELw"",""Maestro!A:I""),""SELECT Col7 WHERE Col3 = '""&amp;BE625&amp;""'"", 0), 1, 1),""NO ENCONTRADO"")"),"")</f>
        <v/>
      </c>
      <c r="BJ625" s="16">
        <f t="shared" si="15"/>
        <v>0</v>
      </c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4"/>
      <c r="BX625" s="14"/>
      <c r="BY625" s="14"/>
      <c r="BZ625" s="14"/>
      <c r="CA625" s="14"/>
      <c r="CB625" s="14"/>
      <c r="CC625" s="14"/>
      <c r="CD625" s="14"/>
      <c r="CE625" s="14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</row>
    <row r="626">
      <c r="A626" s="12"/>
      <c r="B626" s="14"/>
      <c r="C626" s="14"/>
      <c r="D626" s="14"/>
      <c r="E626" s="12"/>
      <c r="F626" s="307"/>
      <c r="G626" s="307"/>
      <c r="H626" s="12"/>
      <c r="I626" s="30"/>
      <c r="J626" s="12"/>
      <c r="K626" s="12"/>
      <c r="L626" s="12"/>
      <c r="M626" s="12"/>
      <c r="N626" s="12"/>
      <c r="O626" s="308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4"/>
      <c r="BF626" s="12"/>
      <c r="BG626" s="12"/>
      <c r="BH626" s="12" t="str">
        <f>IFERROR(__xludf.DUMMYFUNCTION("IFERROR(INDEX(QUERY(IMPORTRANGE(""1T7HG8KEs-Ob7f3M5atEVN9Yn7IeORGp0QGvggB62ELw"",""Maestro!A:I""),""SELECT Col8 WHERE Col3 = '""&amp;BE626&amp;""'"", 0), 1, 1),""NO ENCONTRADO"")"),"")</f>
        <v/>
      </c>
      <c r="BI626" s="12" t="str">
        <f>IFERROR(__xludf.DUMMYFUNCTION("IFERROR(INDEX(QUERY(IMPORTRANGE(""1T7HG8KEs-Ob7f3M5atEVN9Yn7IeORGp0QGvggB62ELw"",""Maestro!A:I""),""SELECT Col7 WHERE Col3 = '""&amp;BE626&amp;""'"", 0), 1, 1),""NO ENCONTRADO"")"),"")</f>
        <v/>
      </c>
      <c r="BJ626" s="16">
        <f t="shared" si="15"/>
        <v>0</v>
      </c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4"/>
      <c r="BX626" s="14"/>
      <c r="BY626" s="14"/>
      <c r="BZ626" s="14"/>
      <c r="CA626" s="14"/>
      <c r="CB626" s="14"/>
      <c r="CC626" s="14"/>
      <c r="CD626" s="14"/>
      <c r="CE626" s="14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</row>
    <row r="627">
      <c r="A627" s="12"/>
      <c r="B627" s="14"/>
      <c r="C627" s="14"/>
      <c r="D627" s="14"/>
      <c r="E627" s="12"/>
      <c r="F627" s="307"/>
      <c r="G627" s="307"/>
      <c r="H627" s="12"/>
      <c r="I627" s="30"/>
      <c r="J627" s="12"/>
      <c r="K627" s="12"/>
      <c r="L627" s="12"/>
      <c r="M627" s="12"/>
      <c r="N627" s="12"/>
      <c r="O627" s="308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4"/>
      <c r="BF627" s="12"/>
      <c r="BG627" s="12"/>
      <c r="BH627" s="12" t="str">
        <f>IFERROR(__xludf.DUMMYFUNCTION("IFERROR(INDEX(QUERY(IMPORTRANGE(""1T7HG8KEs-Ob7f3M5atEVN9Yn7IeORGp0QGvggB62ELw"",""Maestro!A:I""),""SELECT Col8 WHERE Col3 = '""&amp;BE627&amp;""'"", 0), 1, 1),""NO ENCONTRADO"")"),"")</f>
        <v/>
      </c>
      <c r="BI627" s="12" t="str">
        <f>IFERROR(__xludf.DUMMYFUNCTION("IFERROR(INDEX(QUERY(IMPORTRANGE(""1T7HG8KEs-Ob7f3M5atEVN9Yn7IeORGp0QGvggB62ELw"",""Maestro!A:I""),""SELECT Col7 WHERE Col3 = '""&amp;BE627&amp;""'"", 0), 1, 1),""NO ENCONTRADO"")"),"")</f>
        <v/>
      </c>
      <c r="BJ627" s="16">
        <f t="shared" si="15"/>
        <v>0</v>
      </c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4"/>
      <c r="BX627" s="14"/>
      <c r="BY627" s="14"/>
      <c r="BZ627" s="14"/>
      <c r="CA627" s="14"/>
      <c r="CB627" s="14"/>
      <c r="CC627" s="14"/>
      <c r="CD627" s="14"/>
      <c r="CE627" s="14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</row>
    <row r="628">
      <c r="A628" s="12"/>
      <c r="B628" s="14"/>
      <c r="C628" s="14"/>
      <c r="D628" s="14"/>
      <c r="E628" s="12"/>
      <c r="F628" s="307"/>
      <c r="G628" s="307"/>
      <c r="H628" s="12"/>
      <c r="I628" s="30"/>
      <c r="J628" s="12"/>
      <c r="K628" s="12"/>
      <c r="L628" s="12"/>
      <c r="M628" s="12"/>
      <c r="N628" s="12"/>
      <c r="O628" s="308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4"/>
      <c r="BF628" s="12"/>
      <c r="BG628" s="12"/>
      <c r="BH628" s="12" t="str">
        <f>IFERROR(__xludf.DUMMYFUNCTION("IFERROR(INDEX(QUERY(IMPORTRANGE(""1T7HG8KEs-Ob7f3M5atEVN9Yn7IeORGp0QGvggB62ELw"",""Maestro!A:I""),""SELECT Col8 WHERE Col3 = '""&amp;BE628&amp;""'"", 0), 1, 1),""NO ENCONTRADO"")"),"")</f>
        <v/>
      </c>
      <c r="BI628" s="12" t="str">
        <f>IFERROR(__xludf.DUMMYFUNCTION("IFERROR(INDEX(QUERY(IMPORTRANGE(""1T7HG8KEs-Ob7f3M5atEVN9Yn7IeORGp0QGvggB62ELw"",""Maestro!A:I""),""SELECT Col7 WHERE Col3 = '""&amp;BE628&amp;""'"", 0), 1, 1),""NO ENCONTRADO"")"),"")</f>
        <v/>
      </c>
      <c r="BJ628" s="16">
        <f t="shared" si="15"/>
        <v>0</v>
      </c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4"/>
      <c r="BX628" s="14"/>
      <c r="BY628" s="14"/>
      <c r="BZ628" s="14"/>
      <c r="CA628" s="14"/>
      <c r="CB628" s="14"/>
      <c r="CC628" s="14"/>
      <c r="CD628" s="14"/>
      <c r="CE628" s="14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</row>
    <row r="629">
      <c r="A629" s="12"/>
      <c r="B629" s="14"/>
      <c r="C629" s="14"/>
      <c r="D629" s="14"/>
      <c r="E629" s="12"/>
      <c r="F629" s="307"/>
      <c r="G629" s="307"/>
      <c r="H629" s="12"/>
      <c r="I629" s="30"/>
      <c r="J629" s="12"/>
      <c r="K629" s="12"/>
      <c r="L629" s="12"/>
      <c r="M629" s="12"/>
      <c r="N629" s="12"/>
      <c r="O629" s="308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4"/>
      <c r="BF629" s="12"/>
      <c r="BG629" s="12"/>
      <c r="BH629" s="12" t="str">
        <f>IFERROR(__xludf.DUMMYFUNCTION("IFERROR(INDEX(QUERY(IMPORTRANGE(""1T7HG8KEs-Ob7f3M5atEVN9Yn7IeORGp0QGvggB62ELw"",""Maestro!A:I""),""SELECT Col8 WHERE Col3 = '""&amp;BE629&amp;""'"", 0), 1, 1),""NO ENCONTRADO"")"),"")</f>
        <v/>
      </c>
      <c r="BI629" s="12" t="str">
        <f>IFERROR(__xludf.DUMMYFUNCTION("IFERROR(INDEX(QUERY(IMPORTRANGE(""1T7HG8KEs-Ob7f3M5atEVN9Yn7IeORGp0QGvggB62ELw"",""Maestro!A:I""),""SELECT Col7 WHERE Col3 = '""&amp;BE629&amp;""'"", 0), 1, 1),""NO ENCONTRADO"")"),"")</f>
        <v/>
      </c>
      <c r="BJ629" s="16">
        <f t="shared" si="15"/>
        <v>0</v>
      </c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4"/>
      <c r="BX629" s="14"/>
      <c r="BY629" s="14"/>
      <c r="BZ629" s="14"/>
      <c r="CA629" s="14"/>
      <c r="CB629" s="14"/>
      <c r="CC629" s="14"/>
      <c r="CD629" s="14"/>
      <c r="CE629" s="14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</row>
    <row r="630">
      <c r="A630" s="12"/>
      <c r="B630" s="14"/>
      <c r="C630" s="14"/>
      <c r="D630" s="14"/>
      <c r="E630" s="12"/>
      <c r="F630" s="307"/>
      <c r="G630" s="307"/>
      <c r="H630" s="12"/>
      <c r="I630" s="30"/>
      <c r="J630" s="12"/>
      <c r="K630" s="12"/>
      <c r="L630" s="12"/>
      <c r="M630" s="12"/>
      <c r="N630" s="12"/>
      <c r="O630" s="308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4"/>
      <c r="BF630" s="12"/>
      <c r="BG630" s="12"/>
      <c r="BH630" s="12" t="str">
        <f>IFERROR(__xludf.DUMMYFUNCTION("IFERROR(INDEX(QUERY(IMPORTRANGE(""1T7HG8KEs-Ob7f3M5atEVN9Yn7IeORGp0QGvggB62ELw"",""Maestro!A:I""),""SELECT Col8 WHERE Col3 = '""&amp;BE630&amp;""'"", 0), 1, 1),""NO ENCONTRADO"")"),"")</f>
        <v/>
      </c>
      <c r="BI630" s="12" t="str">
        <f>IFERROR(__xludf.DUMMYFUNCTION("IFERROR(INDEX(QUERY(IMPORTRANGE(""1T7HG8KEs-Ob7f3M5atEVN9Yn7IeORGp0QGvggB62ELw"",""Maestro!A:I""),""SELECT Col7 WHERE Col3 = '""&amp;BE630&amp;""'"", 0), 1, 1),""NO ENCONTRADO"")"),"")</f>
        <v/>
      </c>
      <c r="BJ630" s="16">
        <f t="shared" si="15"/>
        <v>0</v>
      </c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4"/>
      <c r="BX630" s="14"/>
      <c r="BY630" s="14"/>
      <c r="BZ630" s="14"/>
      <c r="CA630" s="14"/>
      <c r="CB630" s="14"/>
      <c r="CC630" s="14"/>
      <c r="CD630" s="14"/>
      <c r="CE630" s="14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</row>
    <row r="631">
      <c r="A631" s="12"/>
      <c r="B631" s="14"/>
      <c r="C631" s="14"/>
      <c r="D631" s="14"/>
      <c r="E631" s="12"/>
      <c r="F631" s="307"/>
      <c r="G631" s="307"/>
      <c r="H631" s="12"/>
      <c r="I631" s="30"/>
      <c r="J631" s="12"/>
      <c r="K631" s="12"/>
      <c r="L631" s="12"/>
      <c r="M631" s="12"/>
      <c r="N631" s="12"/>
      <c r="O631" s="308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4"/>
      <c r="BF631" s="12"/>
      <c r="BG631" s="12"/>
      <c r="BH631" s="12" t="str">
        <f>IFERROR(__xludf.DUMMYFUNCTION("IFERROR(INDEX(QUERY(IMPORTRANGE(""1T7HG8KEs-Ob7f3M5atEVN9Yn7IeORGp0QGvggB62ELw"",""Maestro!A:I""),""SELECT Col8 WHERE Col3 = '""&amp;BE631&amp;""'"", 0), 1, 1),""NO ENCONTRADO"")"),"")</f>
        <v/>
      </c>
      <c r="BI631" s="12" t="str">
        <f>IFERROR(__xludf.DUMMYFUNCTION("IFERROR(INDEX(QUERY(IMPORTRANGE(""1T7HG8KEs-Ob7f3M5atEVN9Yn7IeORGp0QGvggB62ELw"",""Maestro!A:I""),""SELECT Col7 WHERE Col3 = '""&amp;BE631&amp;""'"", 0), 1, 1),""NO ENCONTRADO"")"),"")</f>
        <v/>
      </c>
      <c r="BJ631" s="16">
        <f t="shared" si="15"/>
        <v>0</v>
      </c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4"/>
      <c r="BX631" s="14"/>
      <c r="BY631" s="14"/>
      <c r="BZ631" s="14"/>
      <c r="CA631" s="14"/>
      <c r="CB631" s="14"/>
      <c r="CC631" s="14"/>
      <c r="CD631" s="14"/>
      <c r="CE631" s="14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</row>
    <row r="632">
      <c r="A632" s="12"/>
      <c r="B632" s="14"/>
      <c r="C632" s="14"/>
      <c r="D632" s="14"/>
      <c r="E632" s="12"/>
      <c r="F632" s="307"/>
      <c r="G632" s="307"/>
      <c r="H632" s="12"/>
      <c r="I632" s="30"/>
      <c r="J632" s="12"/>
      <c r="K632" s="12"/>
      <c r="L632" s="12"/>
      <c r="M632" s="12"/>
      <c r="N632" s="12"/>
      <c r="O632" s="308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4"/>
      <c r="BF632" s="12"/>
      <c r="BG632" s="12"/>
      <c r="BH632" s="12" t="str">
        <f>IFERROR(__xludf.DUMMYFUNCTION("IFERROR(INDEX(QUERY(IMPORTRANGE(""1T7HG8KEs-Ob7f3M5atEVN9Yn7IeORGp0QGvggB62ELw"",""Maestro!A:I""),""SELECT Col8 WHERE Col3 = '""&amp;BE632&amp;""'"", 0), 1, 1),""NO ENCONTRADO"")"),"")</f>
        <v/>
      </c>
      <c r="BI632" s="12" t="str">
        <f>IFERROR(__xludf.DUMMYFUNCTION("IFERROR(INDEX(QUERY(IMPORTRANGE(""1T7HG8KEs-Ob7f3M5atEVN9Yn7IeORGp0QGvggB62ELw"",""Maestro!A:I""),""SELECT Col7 WHERE Col3 = '""&amp;BE632&amp;""'"", 0), 1, 1),""NO ENCONTRADO"")"),"")</f>
        <v/>
      </c>
      <c r="BJ632" s="16">
        <f t="shared" si="15"/>
        <v>0</v>
      </c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4"/>
      <c r="BX632" s="14"/>
      <c r="BY632" s="14"/>
      <c r="BZ632" s="14"/>
      <c r="CA632" s="14"/>
      <c r="CB632" s="14"/>
      <c r="CC632" s="14"/>
      <c r="CD632" s="14"/>
      <c r="CE632" s="14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</row>
    <row r="633">
      <c r="A633" s="12"/>
      <c r="B633" s="14"/>
      <c r="C633" s="14"/>
      <c r="D633" s="14"/>
      <c r="E633" s="12"/>
      <c r="F633" s="307"/>
      <c r="G633" s="307"/>
      <c r="H633" s="12"/>
      <c r="I633" s="30"/>
      <c r="J633" s="12"/>
      <c r="K633" s="12"/>
      <c r="L633" s="12"/>
      <c r="M633" s="12"/>
      <c r="N633" s="12"/>
      <c r="O633" s="308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4"/>
      <c r="BF633" s="12"/>
      <c r="BG633" s="12"/>
      <c r="BH633" s="12" t="str">
        <f>IFERROR(__xludf.DUMMYFUNCTION("IFERROR(INDEX(QUERY(IMPORTRANGE(""1T7HG8KEs-Ob7f3M5atEVN9Yn7IeORGp0QGvggB62ELw"",""Maestro!A:I""),""SELECT Col8 WHERE Col3 = '""&amp;BE633&amp;""'"", 0), 1, 1),""NO ENCONTRADO"")"),"")</f>
        <v/>
      </c>
      <c r="BI633" s="12" t="str">
        <f>IFERROR(__xludf.DUMMYFUNCTION("IFERROR(INDEX(QUERY(IMPORTRANGE(""1T7HG8KEs-Ob7f3M5atEVN9Yn7IeORGp0QGvggB62ELw"",""Maestro!A:I""),""SELECT Col7 WHERE Col3 = '""&amp;BE633&amp;""'"", 0), 1, 1),""NO ENCONTRADO"")"),"")</f>
        <v/>
      </c>
      <c r="BJ633" s="16">
        <f t="shared" si="15"/>
        <v>0</v>
      </c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4"/>
      <c r="BX633" s="14"/>
      <c r="BY633" s="14"/>
      <c r="BZ633" s="14"/>
      <c r="CA633" s="14"/>
      <c r="CB633" s="14"/>
      <c r="CC633" s="14"/>
      <c r="CD633" s="14"/>
      <c r="CE633" s="14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</row>
    <row r="634">
      <c r="A634" s="12"/>
      <c r="B634" s="14"/>
      <c r="C634" s="14"/>
      <c r="D634" s="14"/>
      <c r="E634" s="12"/>
      <c r="F634" s="307"/>
      <c r="G634" s="307"/>
      <c r="H634" s="12"/>
      <c r="I634" s="30"/>
      <c r="J634" s="12"/>
      <c r="K634" s="12"/>
      <c r="L634" s="12"/>
      <c r="M634" s="12"/>
      <c r="N634" s="12"/>
      <c r="O634" s="308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4"/>
      <c r="BF634" s="12"/>
      <c r="BG634" s="12"/>
      <c r="BH634" s="12" t="str">
        <f>IFERROR(__xludf.DUMMYFUNCTION("IFERROR(INDEX(QUERY(IMPORTRANGE(""1T7HG8KEs-Ob7f3M5atEVN9Yn7IeORGp0QGvggB62ELw"",""Maestro!A:I""),""SELECT Col8 WHERE Col3 = '""&amp;BE634&amp;""'"", 0), 1, 1),""NO ENCONTRADO"")"),"")</f>
        <v/>
      </c>
      <c r="BI634" s="12" t="str">
        <f>IFERROR(__xludf.DUMMYFUNCTION("IFERROR(INDEX(QUERY(IMPORTRANGE(""1T7HG8KEs-Ob7f3M5atEVN9Yn7IeORGp0QGvggB62ELw"",""Maestro!A:I""),""SELECT Col7 WHERE Col3 = '""&amp;BE634&amp;""'"", 0), 1, 1),""NO ENCONTRADO"")"),"")</f>
        <v/>
      </c>
      <c r="BJ634" s="16">
        <f t="shared" si="15"/>
        <v>0</v>
      </c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4"/>
      <c r="BX634" s="14"/>
      <c r="BY634" s="14"/>
      <c r="BZ634" s="14"/>
      <c r="CA634" s="14"/>
      <c r="CB634" s="14"/>
      <c r="CC634" s="14"/>
      <c r="CD634" s="14"/>
      <c r="CE634" s="14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</row>
    <row r="635">
      <c r="A635" s="12"/>
      <c r="B635" s="14"/>
      <c r="C635" s="14"/>
      <c r="D635" s="14"/>
      <c r="E635" s="12"/>
      <c r="F635" s="307"/>
      <c r="G635" s="307"/>
      <c r="H635" s="12"/>
      <c r="I635" s="30"/>
      <c r="J635" s="12"/>
      <c r="K635" s="12"/>
      <c r="L635" s="12"/>
      <c r="M635" s="12"/>
      <c r="N635" s="12"/>
      <c r="O635" s="308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4"/>
      <c r="BF635" s="12"/>
      <c r="BG635" s="12"/>
      <c r="BH635" s="12" t="str">
        <f>IFERROR(__xludf.DUMMYFUNCTION("IFERROR(INDEX(QUERY(IMPORTRANGE(""1T7HG8KEs-Ob7f3M5atEVN9Yn7IeORGp0QGvggB62ELw"",""Maestro!A:I""),""SELECT Col8 WHERE Col3 = '""&amp;BE635&amp;""'"", 0), 1, 1),""NO ENCONTRADO"")"),"")</f>
        <v/>
      </c>
      <c r="BI635" s="12" t="str">
        <f>IFERROR(__xludf.DUMMYFUNCTION("IFERROR(INDEX(QUERY(IMPORTRANGE(""1T7HG8KEs-Ob7f3M5atEVN9Yn7IeORGp0QGvggB62ELw"",""Maestro!A:I""),""SELECT Col7 WHERE Col3 = '""&amp;BE635&amp;""'"", 0), 1, 1),""NO ENCONTRADO"")"),"")</f>
        <v/>
      </c>
      <c r="BJ635" s="16">
        <f t="shared" si="15"/>
        <v>0</v>
      </c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4"/>
      <c r="BX635" s="14"/>
      <c r="BY635" s="14"/>
      <c r="BZ635" s="14"/>
      <c r="CA635" s="14"/>
      <c r="CB635" s="14"/>
      <c r="CC635" s="14"/>
      <c r="CD635" s="14"/>
      <c r="CE635" s="14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</row>
    <row r="636">
      <c r="A636" s="12"/>
      <c r="B636" s="14"/>
      <c r="C636" s="14"/>
      <c r="D636" s="14"/>
      <c r="E636" s="12"/>
      <c r="F636" s="307"/>
      <c r="G636" s="307"/>
      <c r="H636" s="12"/>
      <c r="I636" s="30"/>
      <c r="J636" s="12"/>
      <c r="K636" s="12"/>
      <c r="L636" s="12"/>
      <c r="M636" s="12"/>
      <c r="N636" s="12"/>
      <c r="O636" s="308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4"/>
      <c r="BF636" s="12"/>
      <c r="BG636" s="12"/>
      <c r="BH636" s="12" t="str">
        <f>IFERROR(__xludf.DUMMYFUNCTION("IFERROR(INDEX(QUERY(IMPORTRANGE(""1T7HG8KEs-Ob7f3M5atEVN9Yn7IeORGp0QGvggB62ELw"",""Maestro!A:I""),""SELECT Col8 WHERE Col3 = '""&amp;BE636&amp;""'"", 0), 1, 1),""NO ENCONTRADO"")"),"")</f>
        <v/>
      </c>
      <c r="BI636" s="12" t="str">
        <f>IFERROR(__xludf.DUMMYFUNCTION("IFERROR(INDEX(QUERY(IMPORTRANGE(""1T7HG8KEs-Ob7f3M5atEVN9Yn7IeORGp0QGvggB62ELw"",""Maestro!A:I""),""SELECT Col7 WHERE Col3 = '""&amp;BE636&amp;""'"", 0), 1, 1),""NO ENCONTRADO"")"),"")</f>
        <v/>
      </c>
      <c r="BJ636" s="16">
        <f t="shared" si="15"/>
        <v>0</v>
      </c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4"/>
      <c r="BX636" s="14"/>
      <c r="BY636" s="14"/>
      <c r="BZ636" s="14"/>
      <c r="CA636" s="14"/>
      <c r="CB636" s="14"/>
      <c r="CC636" s="14"/>
      <c r="CD636" s="14"/>
      <c r="CE636" s="14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</row>
    <row r="637">
      <c r="A637" s="12"/>
      <c r="B637" s="14"/>
      <c r="C637" s="14"/>
      <c r="D637" s="14"/>
      <c r="E637" s="12"/>
      <c r="F637" s="307"/>
      <c r="G637" s="307"/>
      <c r="H637" s="12"/>
      <c r="I637" s="30"/>
      <c r="J637" s="12"/>
      <c r="K637" s="12"/>
      <c r="L637" s="12"/>
      <c r="M637" s="12"/>
      <c r="N637" s="12"/>
      <c r="O637" s="308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4"/>
      <c r="BF637" s="12"/>
      <c r="BG637" s="12"/>
      <c r="BH637" s="12" t="str">
        <f>IFERROR(__xludf.DUMMYFUNCTION("IFERROR(INDEX(QUERY(IMPORTRANGE(""1T7HG8KEs-Ob7f3M5atEVN9Yn7IeORGp0QGvggB62ELw"",""Maestro!A:I""),""SELECT Col8 WHERE Col3 = '""&amp;BE637&amp;""'"", 0), 1, 1),""NO ENCONTRADO"")"),"")</f>
        <v/>
      </c>
      <c r="BI637" s="12" t="str">
        <f>IFERROR(__xludf.DUMMYFUNCTION("IFERROR(INDEX(QUERY(IMPORTRANGE(""1T7HG8KEs-Ob7f3M5atEVN9Yn7IeORGp0QGvggB62ELw"",""Maestro!A:I""),""SELECT Col7 WHERE Col3 = '""&amp;BE637&amp;""'"", 0), 1, 1),""NO ENCONTRADO"")"),"")</f>
        <v/>
      </c>
      <c r="BJ637" s="16">
        <f t="shared" si="15"/>
        <v>0</v>
      </c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4"/>
      <c r="BX637" s="14"/>
      <c r="BY637" s="14"/>
      <c r="BZ637" s="14"/>
      <c r="CA637" s="14"/>
      <c r="CB637" s="14"/>
      <c r="CC637" s="14"/>
      <c r="CD637" s="14"/>
      <c r="CE637" s="14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</row>
    <row r="638">
      <c r="A638" s="12"/>
      <c r="B638" s="14"/>
      <c r="C638" s="14"/>
      <c r="D638" s="14"/>
      <c r="E638" s="12"/>
      <c r="F638" s="307"/>
      <c r="G638" s="307"/>
      <c r="H638" s="12"/>
      <c r="I638" s="30"/>
      <c r="J638" s="12"/>
      <c r="K638" s="12"/>
      <c r="L638" s="12"/>
      <c r="M638" s="12"/>
      <c r="N638" s="12"/>
      <c r="O638" s="308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4"/>
      <c r="BF638" s="12"/>
      <c r="BG638" s="12"/>
      <c r="BH638" s="12" t="str">
        <f>IFERROR(__xludf.DUMMYFUNCTION("IFERROR(INDEX(QUERY(IMPORTRANGE(""1T7HG8KEs-Ob7f3M5atEVN9Yn7IeORGp0QGvggB62ELw"",""Maestro!A:I""),""SELECT Col8 WHERE Col3 = '""&amp;BE638&amp;""'"", 0), 1, 1),""NO ENCONTRADO"")"),"")</f>
        <v/>
      </c>
      <c r="BI638" s="12" t="str">
        <f>IFERROR(__xludf.DUMMYFUNCTION("IFERROR(INDEX(QUERY(IMPORTRANGE(""1T7HG8KEs-Ob7f3M5atEVN9Yn7IeORGp0QGvggB62ELw"",""Maestro!A:I""),""SELECT Col7 WHERE Col3 = '""&amp;BE638&amp;""'"", 0), 1, 1),""NO ENCONTRADO"")"),"")</f>
        <v/>
      </c>
      <c r="BJ638" s="16">
        <f t="shared" si="15"/>
        <v>0</v>
      </c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4"/>
      <c r="BX638" s="14"/>
      <c r="BY638" s="14"/>
      <c r="BZ638" s="14"/>
      <c r="CA638" s="14"/>
      <c r="CB638" s="14"/>
      <c r="CC638" s="14"/>
      <c r="CD638" s="14"/>
      <c r="CE638" s="14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</row>
    <row r="639">
      <c r="A639" s="12"/>
      <c r="B639" s="14"/>
      <c r="C639" s="14"/>
      <c r="D639" s="14"/>
      <c r="E639" s="12"/>
      <c r="F639" s="307"/>
      <c r="G639" s="307"/>
      <c r="H639" s="12"/>
      <c r="I639" s="30"/>
      <c r="J639" s="12"/>
      <c r="K639" s="12"/>
      <c r="L639" s="12"/>
      <c r="M639" s="12"/>
      <c r="N639" s="12"/>
      <c r="O639" s="308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4"/>
      <c r="BF639" s="12"/>
      <c r="BG639" s="12"/>
      <c r="BH639" s="12" t="str">
        <f>IFERROR(__xludf.DUMMYFUNCTION("IFERROR(INDEX(QUERY(IMPORTRANGE(""1T7HG8KEs-Ob7f3M5atEVN9Yn7IeORGp0QGvggB62ELw"",""Maestro!A:I""),""SELECT Col8 WHERE Col3 = '""&amp;BE639&amp;""'"", 0), 1, 1),""NO ENCONTRADO"")"),"")</f>
        <v/>
      </c>
      <c r="BI639" s="12" t="str">
        <f>IFERROR(__xludf.DUMMYFUNCTION("IFERROR(INDEX(QUERY(IMPORTRANGE(""1T7HG8KEs-Ob7f3M5atEVN9Yn7IeORGp0QGvggB62ELw"",""Maestro!A:I""),""SELECT Col7 WHERE Col3 = '""&amp;BE639&amp;""'"", 0), 1, 1),""NO ENCONTRADO"")"),"")</f>
        <v/>
      </c>
      <c r="BJ639" s="16">
        <f t="shared" si="15"/>
        <v>0</v>
      </c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4"/>
      <c r="BX639" s="14"/>
      <c r="BY639" s="14"/>
      <c r="BZ639" s="14"/>
      <c r="CA639" s="14"/>
      <c r="CB639" s="14"/>
      <c r="CC639" s="14"/>
      <c r="CD639" s="14"/>
      <c r="CE639" s="14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</row>
    <row r="640">
      <c r="A640" s="12"/>
      <c r="B640" s="14"/>
      <c r="C640" s="14"/>
      <c r="D640" s="14"/>
      <c r="E640" s="12"/>
      <c r="F640" s="307"/>
      <c r="G640" s="307"/>
      <c r="H640" s="12"/>
      <c r="I640" s="30"/>
      <c r="J640" s="12"/>
      <c r="K640" s="12"/>
      <c r="L640" s="12"/>
      <c r="M640" s="12"/>
      <c r="N640" s="12"/>
      <c r="O640" s="308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4"/>
      <c r="BF640" s="12"/>
      <c r="BG640" s="12"/>
      <c r="BH640" s="12" t="str">
        <f>IFERROR(__xludf.DUMMYFUNCTION("IFERROR(INDEX(QUERY(IMPORTRANGE(""1T7HG8KEs-Ob7f3M5atEVN9Yn7IeORGp0QGvggB62ELw"",""Maestro!A:I""),""SELECT Col8 WHERE Col3 = '""&amp;BE640&amp;""'"", 0), 1, 1),""NO ENCONTRADO"")"),"")</f>
        <v/>
      </c>
      <c r="BI640" s="12" t="str">
        <f>IFERROR(__xludf.DUMMYFUNCTION("IFERROR(INDEX(QUERY(IMPORTRANGE(""1T7HG8KEs-Ob7f3M5atEVN9Yn7IeORGp0QGvggB62ELw"",""Maestro!A:I""),""SELECT Col7 WHERE Col3 = '""&amp;BE640&amp;""'"", 0), 1, 1),""NO ENCONTRADO"")"),"")</f>
        <v/>
      </c>
      <c r="BJ640" s="16">
        <f t="shared" si="15"/>
        <v>0</v>
      </c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4"/>
      <c r="BX640" s="14"/>
      <c r="BY640" s="14"/>
      <c r="BZ640" s="14"/>
      <c r="CA640" s="14"/>
      <c r="CB640" s="14"/>
      <c r="CC640" s="14"/>
      <c r="CD640" s="14"/>
      <c r="CE640" s="14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</row>
    <row r="641">
      <c r="A641" s="12"/>
      <c r="B641" s="14"/>
      <c r="C641" s="14"/>
      <c r="D641" s="14"/>
      <c r="E641" s="12"/>
      <c r="F641" s="307"/>
      <c r="G641" s="307"/>
      <c r="H641" s="12"/>
      <c r="I641" s="30"/>
      <c r="J641" s="12"/>
      <c r="K641" s="12"/>
      <c r="L641" s="12"/>
      <c r="M641" s="12"/>
      <c r="N641" s="12"/>
      <c r="O641" s="308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4"/>
      <c r="BF641" s="12"/>
      <c r="BG641" s="12"/>
      <c r="BH641" s="12" t="str">
        <f>IFERROR(__xludf.DUMMYFUNCTION("IFERROR(INDEX(QUERY(IMPORTRANGE(""1T7HG8KEs-Ob7f3M5atEVN9Yn7IeORGp0QGvggB62ELw"",""Maestro!A:I""),""SELECT Col8 WHERE Col3 = '""&amp;BE641&amp;""'"", 0), 1, 1),""NO ENCONTRADO"")"),"")</f>
        <v/>
      </c>
      <c r="BI641" s="12" t="str">
        <f>IFERROR(__xludf.DUMMYFUNCTION("IFERROR(INDEX(QUERY(IMPORTRANGE(""1T7HG8KEs-Ob7f3M5atEVN9Yn7IeORGp0QGvggB62ELw"",""Maestro!A:I""),""SELECT Col7 WHERE Col3 = '""&amp;BE641&amp;""'"", 0), 1, 1),""NO ENCONTRADO"")"),"")</f>
        <v/>
      </c>
      <c r="BJ641" s="16">
        <f t="shared" si="15"/>
        <v>0</v>
      </c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4"/>
      <c r="BX641" s="14"/>
      <c r="BY641" s="14"/>
      <c r="BZ641" s="14"/>
      <c r="CA641" s="14"/>
      <c r="CB641" s="14"/>
      <c r="CC641" s="14"/>
      <c r="CD641" s="14"/>
      <c r="CE641" s="14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</row>
    <row r="642">
      <c r="A642" s="12"/>
      <c r="B642" s="14"/>
      <c r="C642" s="14"/>
      <c r="D642" s="14"/>
      <c r="E642" s="12"/>
      <c r="F642" s="307"/>
      <c r="G642" s="307"/>
      <c r="H642" s="12"/>
      <c r="I642" s="30"/>
      <c r="J642" s="12"/>
      <c r="K642" s="12"/>
      <c r="L642" s="12"/>
      <c r="M642" s="12"/>
      <c r="N642" s="12"/>
      <c r="O642" s="308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4"/>
      <c r="BF642" s="12"/>
      <c r="BG642" s="12"/>
      <c r="BH642" s="12" t="str">
        <f>IFERROR(__xludf.DUMMYFUNCTION("IFERROR(INDEX(QUERY(IMPORTRANGE(""1T7HG8KEs-Ob7f3M5atEVN9Yn7IeORGp0QGvggB62ELw"",""Maestro!A:I""),""SELECT Col8 WHERE Col3 = '""&amp;BE642&amp;""'"", 0), 1, 1),""NO ENCONTRADO"")"),"")</f>
        <v/>
      </c>
      <c r="BI642" s="12" t="str">
        <f>IFERROR(__xludf.DUMMYFUNCTION("IFERROR(INDEX(QUERY(IMPORTRANGE(""1T7HG8KEs-Ob7f3M5atEVN9Yn7IeORGp0QGvggB62ELw"",""Maestro!A:I""),""SELECT Col7 WHERE Col3 = '""&amp;BE642&amp;""'"", 0), 1, 1),""NO ENCONTRADO"")"),"")</f>
        <v/>
      </c>
      <c r="BJ642" s="16">
        <f t="shared" si="15"/>
        <v>0</v>
      </c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4"/>
      <c r="BX642" s="14"/>
      <c r="BY642" s="14"/>
      <c r="BZ642" s="14"/>
      <c r="CA642" s="14"/>
      <c r="CB642" s="14"/>
      <c r="CC642" s="14"/>
      <c r="CD642" s="14"/>
      <c r="CE642" s="14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</row>
    <row r="643">
      <c r="A643" s="12"/>
      <c r="B643" s="14"/>
      <c r="C643" s="14"/>
      <c r="D643" s="14"/>
      <c r="E643" s="12"/>
      <c r="F643" s="307"/>
      <c r="G643" s="307"/>
      <c r="H643" s="12"/>
      <c r="I643" s="30"/>
      <c r="J643" s="12"/>
      <c r="K643" s="12"/>
      <c r="L643" s="12"/>
      <c r="M643" s="12"/>
      <c r="N643" s="12"/>
      <c r="O643" s="308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4"/>
      <c r="BF643" s="12"/>
      <c r="BG643" s="12"/>
      <c r="BH643" s="12" t="str">
        <f>IFERROR(__xludf.DUMMYFUNCTION("IFERROR(INDEX(QUERY(IMPORTRANGE(""1T7HG8KEs-Ob7f3M5atEVN9Yn7IeORGp0QGvggB62ELw"",""Maestro!A:I""),""SELECT Col8 WHERE Col3 = '""&amp;BE643&amp;""'"", 0), 1, 1),""NO ENCONTRADO"")"),"")</f>
        <v/>
      </c>
      <c r="BI643" s="12" t="str">
        <f>IFERROR(__xludf.DUMMYFUNCTION("IFERROR(INDEX(QUERY(IMPORTRANGE(""1T7HG8KEs-Ob7f3M5atEVN9Yn7IeORGp0QGvggB62ELw"",""Maestro!A:I""),""SELECT Col7 WHERE Col3 = '""&amp;BE643&amp;""'"", 0), 1, 1),""NO ENCONTRADO"")"),"")</f>
        <v/>
      </c>
      <c r="BJ643" s="16">
        <f t="shared" si="15"/>
        <v>0</v>
      </c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4"/>
      <c r="BX643" s="14"/>
      <c r="BY643" s="14"/>
      <c r="BZ643" s="14"/>
      <c r="CA643" s="14"/>
      <c r="CB643" s="14"/>
      <c r="CC643" s="14"/>
      <c r="CD643" s="14"/>
      <c r="CE643" s="14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</row>
    <row r="644">
      <c r="A644" s="12"/>
      <c r="B644" s="14"/>
      <c r="C644" s="14"/>
      <c r="D644" s="14"/>
      <c r="E644" s="12"/>
      <c r="F644" s="307"/>
      <c r="G644" s="307"/>
      <c r="H644" s="12"/>
      <c r="I644" s="30"/>
      <c r="J644" s="12"/>
      <c r="K644" s="12"/>
      <c r="L644" s="12"/>
      <c r="M644" s="12"/>
      <c r="N644" s="12"/>
      <c r="O644" s="308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4"/>
      <c r="BF644" s="12"/>
      <c r="BG644" s="12"/>
      <c r="BH644" s="12" t="str">
        <f>IFERROR(__xludf.DUMMYFUNCTION("IFERROR(INDEX(QUERY(IMPORTRANGE(""1T7HG8KEs-Ob7f3M5atEVN9Yn7IeORGp0QGvggB62ELw"",""Maestro!A:I""),""SELECT Col8 WHERE Col3 = '""&amp;BE644&amp;""'"", 0), 1, 1),""NO ENCONTRADO"")"),"")</f>
        <v/>
      </c>
      <c r="BI644" s="12" t="str">
        <f>IFERROR(__xludf.DUMMYFUNCTION("IFERROR(INDEX(QUERY(IMPORTRANGE(""1T7HG8KEs-Ob7f3M5atEVN9Yn7IeORGp0QGvggB62ELw"",""Maestro!A:I""),""SELECT Col7 WHERE Col3 = '""&amp;BE644&amp;""'"", 0), 1, 1),""NO ENCONTRADO"")"),"")</f>
        <v/>
      </c>
      <c r="BJ644" s="16">
        <f t="shared" si="15"/>
        <v>0</v>
      </c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4"/>
      <c r="BX644" s="14"/>
      <c r="BY644" s="14"/>
      <c r="BZ644" s="14"/>
      <c r="CA644" s="14"/>
      <c r="CB644" s="14"/>
      <c r="CC644" s="14"/>
      <c r="CD644" s="14"/>
      <c r="CE644" s="14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</row>
    <row r="645">
      <c r="A645" s="12"/>
      <c r="B645" s="14"/>
      <c r="C645" s="14"/>
      <c r="D645" s="14"/>
      <c r="E645" s="12"/>
      <c r="F645" s="307"/>
      <c r="G645" s="307"/>
      <c r="H645" s="12"/>
      <c r="I645" s="30"/>
      <c r="J645" s="12"/>
      <c r="K645" s="12"/>
      <c r="L645" s="12"/>
      <c r="M645" s="12"/>
      <c r="N645" s="12"/>
      <c r="O645" s="308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4"/>
      <c r="BF645" s="12"/>
      <c r="BG645" s="12"/>
      <c r="BH645" s="12" t="str">
        <f>IFERROR(__xludf.DUMMYFUNCTION("IFERROR(INDEX(QUERY(IMPORTRANGE(""1T7HG8KEs-Ob7f3M5atEVN9Yn7IeORGp0QGvggB62ELw"",""Maestro!A:I""),""SELECT Col8 WHERE Col3 = '""&amp;BE645&amp;""'"", 0), 1, 1),""NO ENCONTRADO"")"),"")</f>
        <v/>
      </c>
      <c r="BI645" s="12" t="str">
        <f>IFERROR(__xludf.DUMMYFUNCTION("IFERROR(INDEX(QUERY(IMPORTRANGE(""1T7HG8KEs-Ob7f3M5atEVN9Yn7IeORGp0QGvggB62ELw"",""Maestro!A:I""),""SELECT Col7 WHERE Col3 = '""&amp;BE645&amp;""'"", 0), 1, 1),""NO ENCONTRADO"")"),"")</f>
        <v/>
      </c>
      <c r="BJ645" s="16">
        <f t="shared" si="15"/>
        <v>0</v>
      </c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4"/>
      <c r="BX645" s="14"/>
      <c r="BY645" s="14"/>
      <c r="BZ645" s="14"/>
      <c r="CA645" s="14"/>
      <c r="CB645" s="14"/>
      <c r="CC645" s="14"/>
      <c r="CD645" s="14"/>
      <c r="CE645" s="14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</row>
    <row r="646">
      <c r="A646" s="12"/>
      <c r="B646" s="14"/>
      <c r="C646" s="14"/>
      <c r="D646" s="14"/>
      <c r="E646" s="12"/>
      <c r="F646" s="307"/>
      <c r="G646" s="307"/>
      <c r="H646" s="12"/>
      <c r="I646" s="30"/>
      <c r="J646" s="12"/>
      <c r="K646" s="12"/>
      <c r="L646" s="12"/>
      <c r="M646" s="12"/>
      <c r="N646" s="12"/>
      <c r="O646" s="308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4"/>
      <c r="BF646" s="12"/>
      <c r="BG646" s="12"/>
      <c r="BH646" s="12" t="str">
        <f>IFERROR(__xludf.DUMMYFUNCTION("IFERROR(INDEX(QUERY(IMPORTRANGE(""1T7HG8KEs-Ob7f3M5atEVN9Yn7IeORGp0QGvggB62ELw"",""Maestro!A:I""),""SELECT Col8 WHERE Col3 = '""&amp;BE646&amp;""'"", 0), 1, 1),""NO ENCONTRADO"")"),"")</f>
        <v/>
      </c>
      <c r="BI646" s="12" t="str">
        <f>IFERROR(__xludf.DUMMYFUNCTION("IFERROR(INDEX(QUERY(IMPORTRANGE(""1T7HG8KEs-Ob7f3M5atEVN9Yn7IeORGp0QGvggB62ELw"",""Maestro!A:I""),""SELECT Col7 WHERE Col3 = '""&amp;BE646&amp;""'"", 0), 1, 1),""NO ENCONTRADO"")"),"")</f>
        <v/>
      </c>
      <c r="BJ646" s="16">
        <f t="shared" si="15"/>
        <v>0</v>
      </c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4"/>
      <c r="BX646" s="14"/>
      <c r="BY646" s="14"/>
      <c r="BZ646" s="14"/>
      <c r="CA646" s="14"/>
      <c r="CB646" s="14"/>
      <c r="CC646" s="14"/>
      <c r="CD646" s="14"/>
      <c r="CE646" s="14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</row>
    <row r="647">
      <c r="A647" s="12"/>
      <c r="B647" s="14"/>
      <c r="C647" s="14"/>
      <c r="D647" s="14"/>
      <c r="E647" s="12"/>
      <c r="F647" s="307"/>
      <c r="G647" s="307"/>
      <c r="H647" s="12"/>
      <c r="I647" s="30"/>
      <c r="J647" s="12"/>
      <c r="K647" s="12"/>
      <c r="L647" s="12"/>
      <c r="M647" s="12"/>
      <c r="N647" s="12"/>
      <c r="O647" s="308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4"/>
      <c r="BF647" s="12"/>
      <c r="BG647" s="12"/>
      <c r="BH647" s="12" t="str">
        <f>IFERROR(__xludf.DUMMYFUNCTION("IFERROR(INDEX(QUERY(IMPORTRANGE(""1T7HG8KEs-Ob7f3M5atEVN9Yn7IeORGp0QGvggB62ELw"",""Maestro!A:I""),""SELECT Col8 WHERE Col3 = '""&amp;BE647&amp;""'"", 0), 1, 1),""NO ENCONTRADO"")"),"")</f>
        <v/>
      </c>
      <c r="BI647" s="12" t="str">
        <f>IFERROR(__xludf.DUMMYFUNCTION("IFERROR(INDEX(QUERY(IMPORTRANGE(""1T7HG8KEs-Ob7f3M5atEVN9Yn7IeORGp0QGvggB62ELw"",""Maestro!A:I""),""SELECT Col7 WHERE Col3 = '""&amp;BE647&amp;""'"", 0), 1, 1),""NO ENCONTRADO"")"),"")</f>
        <v/>
      </c>
      <c r="BJ647" s="16">
        <f t="shared" si="15"/>
        <v>0</v>
      </c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4"/>
      <c r="BX647" s="14"/>
      <c r="BY647" s="14"/>
      <c r="BZ647" s="14"/>
      <c r="CA647" s="14"/>
      <c r="CB647" s="14"/>
      <c r="CC647" s="14"/>
      <c r="CD647" s="14"/>
      <c r="CE647" s="14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</row>
    <row r="648">
      <c r="A648" s="12"/>
      <c r="B648" s="14"/>
      <c r="C648" s="14"/>
      <c r="D648" s="14"/>
      <c r="E648" s="12"/>
      <c r="F648" s="307"/>
      <c r="G648" s="307"/>
      <c r="H648" s="12"/>
      <c r="I648" s="30"/>
      <c r="J648" s="12"/>
      <c r="K648" s="12"/>
      <c r="L648" s="12"/>
      <c r="M648" s="12"/>
      <c r="N648" s="12"/>
      <c r="O648" s="308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4"/>
      <c r="BF648" s="12"/>
      <c r="BG648" s="12"/>
      <c r="BH648" s="12" t="str">
        <f>IFERROR(__xludf.DUMMYFUNCTION("IFERROR(INDEX(QUERY(IMPORTRANGE(""1T7HG8KEs-Ob7f3M5atEVN9Yn7IeORGp0QGvggB62ELw"",""Maestro!A:I""),""SELECT Col8 WHERE Col3 = '""&amp;BE648&amp;""'"", 0), 1, 1),""NO ENCONTRADO"")"),"")</f>
        <v/>
      </c>
      <c r="BI648" s="12" t="str">
        <f>IFERROR(__xludf.DUMMYFUNCTION("IFERROR(INDEX(QUERY(IMPORTRANGE(""1T7HG8KEs-Ob7f3M5atEVN9Yn7IeORGp0QGvggB62ELw"",""Maestro!A:I""),""SELECT Col7 WHERE Col3 = '""&amp;BE648&amp;""'"", 0), 1, 1),""NO ENCONTRADO"")"),"")</f>
        <v/>
      </c>
      <c r="BJ648" s="16">
        <f t="shared" si="15"/>
        <v>0</v>
      </c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4"/>
      <c r="BX648" s="14"/>
      <c r="BY648" s="14"/>
      <c r="BZ648" s="14"/>
      <c r="CA648" s="14"/>
      <c r="CB648" s="14"/>
      <c r="CC648" s="14"/>
      <c r="CD648" s="14"/>
      <c r="CE648" s="14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</row>
    <row r="649">
      <c r="A649" s="12"/>
      <c r="B649" s="14"/>
      <c r="C649" s="14"/>
      <c r="D649" s="14"/>
      <c r="E649" s="12"/>
      <c r="F649" s="307"/>
      <c r="G649" s="307"/>
      <c r="H649" s="12"/>
      <c r="I649" s="30"/>
      <c r="J649" s="12"/>
      <c r="K649" s="12"/>
      <c r="L649" s="12"/>
      <c r="M649" s="12"/>
      <c r="N649" s="12"/>
      <c r="O649" s="308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4"/>
      <c r="BF649" s="12"/>
      <c r="BG649" s="12"/>
      <c r="BH649" s="12" t="str">
        <f>IFERROR(__xludf.DUMMYFUNCTION("IFERROR(INDEX(QUERY(IMPORTRANGE(""1T7HG8KEs-Ob7f3M5atEVN9Yn7IeORGp0QGvggB62ELw"",""Maestro!A:I""),""SELECT Col8 WHERE Col3 = '""&amp;BE649&amp;""'"", 0), 1, 1),""NO ENCONTRADO"")"),"")</f>
        <v/>
      </c>
      <c r="BI649" s="12" t="str">
        <f>IFERROR(__xludf.DUMMYFUNCTION("IFERROR(INDEX(QUERY(IMPORTRANGE(""1T7HG8KEs-Ob7f3M5atEVN9Yn7IeORGp0QGvggB62ELw"",""Maestro!A:I""),""SELECT Col7 WHERE Col3 = '""&amp;BE649&amp;""'"", 0), 1, 1),""NO ENCONTRADO"")"),"")</f>
        <v/>
      </c>
      <c r="BJ649" s="16">
        <f t="shared" si="15"/>
        <v>0</v>
      </c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4"/>
      <c r="BX649" s="14"/>
      <c r="BY649" s="14"/>
      <c r="BZ649" s="14"/>
      <c r="CA649" s="14"/>
      <c r="CB649" s="14"/>
      <c r="CC649" s="14"/>
      <c r="CD649" s="14"/>
      <c r="CE649" s="14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</row>
    <row r="650">
      <c r="A650" s="12"/>
      <c r="B650" s="14"/>
      <c r="C650" s="14"/>
      <c r="D650" s="14"/>
      <c r="E650" s="12"/>
      <c r="F650" s="307"/>
      <c r="G650" s="307"/>
      <c r="H650" s="12"/>
      <c r="I650" s="30"/>
      <c r="J650" s="12"/>
      <c r="K650" s="12"/>
      <c r="L650" s="12"/>
      <c r="M650" s="12"/>
      <c r="N650" s="12"/>
      <c r="O650" s="308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4"/>
      <c r="BF650" s="12"/>
      <c r="BG650" s="12"/>
      <c r="BH650" s="12" t="str">
        <f>IFERROR(__xludf.DUMMYFUNCTION("IFERROR(INDEX(QUERY(IMPORTRANGE(""1T7HG8KEs-Ob7f3M5atEVN9Yn7IeORGp0QGvggB62ELw"",""Maestro!A:I""),""SELECT Col8 WHERE Col3 = '""&amp;BE650&amp;""'"", 0), 1, 1),""NO ENCONTRADO"")"),"")</f>
        <v/>
      </c>
      <c r="BI650" s="12" t="str">
        <f>IFERROR(__xludf.DUMMYFUNCTION("IFERROR(INDEX(QUERY(IMPORTRANGE(""1T7HG8KEs-Ob7f3M5atEVN9Yn7IeORGp0QGvggB62ELw"",""Maestro!A:I""),""SELECT Col7 WHERE Col3 = '""&amp;BE650&amp;""'"", 0), 1, 1),""NO ENCONTRADO"")"),"")</f>
        <v/>
      </c>
      <c r="BJ650" s="16">
        <f t="shared" si="15"/>
        <v>0</v>
      </c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4"/>
      <c r="BX650" s="14"/>
      <c r="BY650" s="14"/>
      <c r="BZ650" s="14"/>
      <c r="CA650" s="14"/>
      <c r="CB650" s="14"/>
      <c r="CC650" s="14"/>
      <c r="CD650" s="14"/>
      <c r="CE650" s="14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</row>
    <row r="651">
      <c r="A651" s="12"/>
      <c r="B651" s="14"/>
      <c r="C651" s="14"/>
      <c r="D651" s="14"/>
      <c r="E651" s="12"/>
      <c r="F651" s="307"/>
      <c r="G651" s="307"/>
      <c r="H651" s="12"/>
      <c r="I651" s="30"/>
      <c r="J651" s="12"/>
      <c r="K651" s="12"/>
      <c r="L651" s="12"/>
      <c r="M651" s="12"/>
      <c r="N651" s="12"/>
      <c r="O651" s="308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4"/>
      <c r="BF651" s="12"/>
      <c r="BG651" s="12"/>
      <c r="BH651" s="12" t="str">
        <f>IFERROR(__xludf.DUMMYFUNCTION("IFERROR(INDEX(QUERY(IMPORTRANGE(""1T7HG8KEs-Ob7f3M5atEVN9Yn7IeORGp0QGvggB62ELw"",""Maestro!A:I""),""SELECT Col8 WHERE Col3 = '""&amp;BE651&amp;""'"", 0), 1, 1),""NO ENCONTRADO"")"),"")</f>
        <v/>
      </c>
      <c r="BI651" s="12" t="str">
        <f>IFERROR(__xludf.DUMMYFUNCTION("IFERROR(INDEX(QUERY(IMPORTRANGE(""1T7HG8KEs-Ob7f3M5atEVN9Yn7IeORGp0QGvggB62ELw"",""Maestro!A:I""),""SELECT Col7 WHERE Col3 = '""&amp;BE651&amp;""'"", 0), 1, 1),""NO ENCONTRADO"")"),"")</f>
        <v/>
      </c>
      <c r="BJ651" s="16">
        <f t="shared" si="15"/>
        <v>0</v>
      </c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4"/>
      <c r="BX651" s="14"/>
      <c r="BY651" s="14"/>
      <c r="BZ651" s="14"/>
      <c r="CA651" s="14"/>
      <c r="CB651" s="14"/>
      <c r="CC651" s="14"/>
      <c r="CD651" s="14"/>
      <c r="CE651" s="14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</row>
    <row r="652">
      <c r="A652" s="12"/>
      <c r="B652" s="14"/>
      <c r="C652" s="14"/>
      <c r="D652" s="14"/>
      <c r="E652" s="12"/>
      <c r="F652" s="307"/>
      <c r="G652" s="307"/>
      <c r="H652" s="12"/>
      <c r="I652" s="30"/>
      <c r="J652" s="12"/>
      <c r="K652" s="12"/>
      <c r="L652" s="12"/>
      <c r="M652" s="12"/>
      <c r="N652" s="12"/>
      <c r="O652" s="308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4"/>
      <c r="BF652" s="12"/>
      <c r="BG652" s="12"/>
      <c r="BH652" s="12" t="str">
        <f>IFERROR(__xludf.DUMMYFUNCTION("IFERROR(INDEX(QUERY(IMPORTRANGE(""1T7HG8KEs-Ob7f3M5atEVN9Yn7IeORGp0QGvggB62ELw"",""Maestro!A:I""),""SELECT Col8 WHERE Col3 = '""&amp;BE652&amp;""'"", 0), 1, 1),""NO ENCONTRADO"")"),"")</f>
        <v/>
      </c>
      <c r="BI652" s="12" t="str">
        <f>IFERROR(__xludf.DUMMYFUNCTION("IFERROR(INDEX(QUERY(IMPORTRANGE(""1T7HG8KEs-Ob7f3M5atEVN9Yn7IeORGp0QGvggB62ELw"",""Maestro!A:I""),""SELECT Col7 WHERE Col3 = '""&amp;BE652&amp;""'"", 0), 1, 1),""NO ENCONTRADO"")"),"")</f>
        <v/>
      </c>
      <c r="BJ652" s="16">
        <f t="shared" si="15"/>
        <v>0</v>
      </c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4"/>
      <c r="BX652" s="14"/>
      <c r="BY652" s="14"/>
      <c r="BZ652" s="14"/>
      <c r="CA652" s="14"/>
      <c r="CB652" s="14"/>
      <c r="CC652" s="14"/>
      <c r="CD652" s="14"/>
      <c r="CE652" s="14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</row>
    <row r="653">
      <c r="A653" s="12"/>
      <c r="B653" s="14"/>
      <c r="C653" s="14"/>
      <c r="D653" s="14"/>
      <c r="E653" s="12"/>
      <c r="F653" s="307"/>
      <c r="G653" s="307"/>
      <c r="H653" s="12"/>
      <c r="I653" s="30"/>
      <c r="J653" s="12"/>
      <c r="K653" s="12"/>
      <c r="L653" s="12"/>
      <c r="M653" s="12"/>
      <c r="N653" s="12"/>
      <c r="O653" s="308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4"/>
      <c r="BF653" s="12"/>
      <c r="BG653" s="12"/>
      <c r="BH653" s="12" t="str">
        <f>IFERROR(__xludf.DUMMYFUNCTION("IFERROR(INDEX(QUERY(IMPORTRANGE(""1T7HG8KEs-Ob7f3M5atEVN9Yn7IeORGp0QGvggB62ELw"",""Maestro!A:I""),""SELECT Col8 WHERE Col3 = '""&amp;BE653&amp;""'"", 0), 1, 1),""NO ENCONTRADO"")"),"")</f>
        <v/>
      </c>
      <c r="BI653" s="12" t="str">
        <f>IFERROR(__xludf.DUMMYFUNCTION("IFERROR(INDEX(QUERY(IMPORTRANGE(""1T7HG8KEs-Ob7f3M5atEVN9Yn7IeORGp0QGvggB62ELw"",""Maestro!A:I""),""SELECT Col7 WHERE Col3 = '""&amp;BE653&amp;""'"", 0), 1, 1),""NO ENCONTRADO"")"),"")</f>
        <v/>
      </c>
      <c r="BJ653" s="16">
        <f t="shared" si="15"/>
        <v>0</v>
      </c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4"/>
      <c r="BX653" s="14"/>
      <c r="BY653" s="14"/>
      <c r="BZ653" s="14"/>
      <c r="CA653" s="14"/>
      <c r="CB653" s="14"/>
      <c r="CC653" s="14"/>
      <c r="CD653" s="14"/>
      <c r="CE653" s="14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</row>
    <row r="654">
      <c r="A654" s="12"/>
      <c r="B654" s="14"/>
      <c r="C654" s="14"/>
      <c r="D654" s="14"/>
      <c r="E654" s="12"/>
      <c r="F654" s="307"/>
      <c r="G654" s="307"/>
      <c r="H654" s="12"/>
      <c r="I654" s="30"/>
      <c r="J654" s="12"/>
      <c r="K654" s="12"/>
      <c r="L654" s="12"/>
      <c r="M654" s="12"/>
      <c r="N654" s="12"/>
      <c r="O654" s="308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4"/>
      <c r="BF654" s="12"/>
      <c r="BG654" s="12"/>
      <c r="BH654" s="12" t="str">
        <f>IFERROR(__xludf.DUMMYFUNCTION("IFERROR(INDEX(QUERY(IMPORTRANGE(""1T7HG8KEs-Ob7f3M5atEVN9Yn7IeORGp0QGvggB62ELw"",""Maestro!A:I""),""SELECT Col8 WHERE Col3 = '""&amp;BE654&amp;""'"", 0), 1, 1),""NO ENCONTRADO"")"),"")</f>
        <v/>
      </c>
      <c r="BI654" s="12" t="str">
        <f>IFERROR(__xludf.DUMMYFUNCTION("IFERROR(INDEX(QUERY(IMPORTRANGE(""1T7HG8KEs-Ob7f3M5atEVN9Yn7IeORGp0QGvggB62ELw"",""Maestro!A:I""),""SELECT Col7 WHERE Col3 = '""&amp;BE654&amp;""'"", 0), 1, 1),""NO ENCONTRADO"")"),"")</f>
        <v/>
      </c>
      <c r="BJ654" s="16">
        <f t="shared" si="15"/>
        <v>0</v>
      </c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4"/>
      <c r="BX654" s="14"/>
      <c r="BY654" s="14"/>
      <c r="BZ654" s="14"/>
      <c r="CA654" s="14"/>
      <c r="CB654" s="14"/>
      <c r="CC654" s="14"/>
      <c r="CD654" s="14"/>
      <c r="CE654" s="14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</row>
    <row r="655">
      <c r="A655" s="12"/>
      <c r="B655" s="14"/>
      <c r="C655" s="14"/>
      <c r="D655" s="14"/>
      <c r="E655" s="12"/>
      <c r="F655" s="307"/>
      <c r="G655" s="307"/>
      <c r="H655" s="12"/>
      <c r="I655" s="30"/>
      <c r="J655" s="12"/>
      <c r="K655" s="12"/>
      <c r="L655" s="12"/>
      <c r="M655" s="12"/>
      <c r="N655" s="12"/>
      <c r="O655" s="308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4"/>
      <c r="BF655" s="12"/>
      <c r="BG655" s="12"/>
      <c r="BH655" s="12" t="str">
        <f>IFERROR(__xludf.DUMMYFUNCTION("IFERROR(INDEX(QUERY(IMPORTRANGE(""1T7HG8KEs-Ob7f3M5atEVN9Yn7IeORGp0QGvggB62ELw"",""Maestro!A:I""),""SELECT Col8 WHERE Col3 = '""&amp;BE655&amp;""'"", 0), 1, 1),""NO ENCONTRADO"")"),"")</f>
        <v/>
      </c>
      <c r="BI655" s="12" t="str">
        <f>IFERROR(__xludf.DUMMYFUNCTION("IFERROR(INDEX(QUERY(IMPORTRANGE(""1T7HG8KEs-Ob7f3M5atEVN9Yn7IeORGp0QGvggB62ELw"",""Maestro!A:I""),""SELECT Col7 WHERE Col3 = '""&amp;BE655&amp;""'"", 0), 1, 1),""NO ENCONTRADO"")"),"")</f>
        <v/>
      </c>
      <c r="BJ655" s="16">
        <f t="shared" si="15"/>
        <v>0</v>
      </c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4"/>
      <c r="BX655" s="14"/>
      <c r="BY655" s="14"/>
      <c r="BZ655" s="14"/>
      <c r="CA655" s="14"/>
      <c r="CB655" s="14"/>
      <c r="CC655" s="14"/>
      <c r="CD655" s="14"/>
      <c r="CE655" s="14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</row>
    <row r="656">
      <c r="A656" s="12"/>
      <c r="B656" s="14"/>
      <c r="C656" s="14"/>
      <c r="D656" s="14"/>
      <c r="E656" s="12"/>
      <c r="F656" s="307"/>
      <c r="G656" s="307"/>
      <c r="H656" s="12"/>
      <c r="I656" s="30"/>
      <c r="J656" s="12"/>
      <c r="K656" s="12"/>
      <c r="L656" s="12"/>
      <c r="M656" s="12"/>
      <c r="N656" s="12"/>
      <c r="O656" s="308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4"/>
      <c r="BF656" s="12"/>
      <c r="BG656" s="12"/>
      <c r="BH656" s="12" t="str">
        <f>IFERROR(__xludf.DUMMYFUNCTION("IFERROR(INDEX(QUERY(IMPORTRANGE(""1T7HG8KEs-Ob7f3M5atEVN9Yn7IeORGp0QGvggB62ELw"",""Maestro!A:I""),""SELECT Col8 WHERE Col3 = '""&amp;BE656&amp;""'"", 0), 1, 1),""NO ENCONTRADO"")"),"")</f>
        <v/>
      </c>
      <c r="BI656" s="12" t="str">
        <f>IFERROR(__xludf.DUMMYFUNCTION("IFERROR(INDEX(QUERY(IMPORTRANGE(""1T7HG8KEs-Ob7f3M5atEVN9Yn7IeORGp0QGvggB62ELw"",""Maestro!A:I""),""SELECT Col7 WHERE Col3 = '""&amp;BE656&amp;""'"", 0), 1, 1),""NO ENCONTRADO"")"),"")</f>
        <v/>
      </c>
      <c r="BJ656" s="16">
        <f t="shared" si="15"/>
        <v>0</v>
      </c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4"/>
      <c r="BX656" s="14"/>
      <c r="BY656" s="14"/>
      <c r="BZ656" s="14"/>
      <c r="CA656" s="14"/>
      <c r="CB656" s="14"/>
      <c r="CC656" s="14"/>
      <c r="CD656" s="14"/>
      <c r="CE656" s="14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</row>
    <row r="657">
      <c r="A657" s="12"/>
      <c r="B657" s="14"/>
      <c r="C657" s="14"/>
      <c r="D657" s="14"/>
      <c r="E657" s="12"/>
      <c r="F657" s="307"/>
      <c r="G657" s="307"/>
      <c r="H657" s="12"/>
      <c r="I657" s="30"/>
      <c r="J657" s="12"/>
      <c r="K657" s="12"/>
      <c r="L657" s="12"/>
      <c r="M657" s="12"/>
      <c r="N657" s="12"/>
      <c r="O657" s="308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4"/>
      <c r="BF657" s="12"/>
      <c r="BG657" s="12"/>
      <c r="BH657" s="12" t="str">
        <f>IFERROR(__xludf.DUMMYFUNCTION("IFERROR(INDEX(QUERY(IMPORTRANGE(""1T7HG8KEs-Ob7f3M5atEVN9Yn7IeORGp0QGvggB62ELw"",""Maestro!A:I""),""SELECT Col8 WHERE Col3 = '""&amp;BE657&amp;""'"", 0), 1, 1),""NO ENCONTRADO"")"),"")</f>
        <v/>
      </c>
      <c r="BI657" s="12" t="str">
        <f>IFERROR(__xludf.DUMMYFUNCTION("IFERROR(INDEX(QUERY(IMPORTRANGE(""1T7HG8KEs-Ob7f3M5atEVN9Yn7IeORGp0QGvggB62ELw"",""Maestro!A:I""),""SELECT Col7 WHERE Col3 = '""&amp;BE657&amp;""'"", 0), 1, 1),""NO ENCONTRADO"")"),"")</f>
        <v/>
      </c>
      <c r="BJ657" s="16">
        <f t="shared" si="15"/>
        <v>0</v>
      </c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4"/>
      <c r="BX657" s="14"/>
      <c r="BY657" s="14"/>
      <c r="BZ657" s="14"/>
      <c r="CA657" s="14"/>
      <c r="CB657" s="14"/>
      <c r="CC657" s="14"/>
      <c r="CD657" s="14"/>
      <c r="CE657" s="14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</row>
    <row r="658">
      <c r="A658" s="12"/>
      <c r="B658" s="14"/>
      <c r="C658" s="14"/>
      <c r="D658" s="14"/>
      <c r="E658" s="12"/>
      <c r="F658" s="307"/>
      <c r="G658" s="307"/>
      <c r="H658" s="12"/>
      <c r="I658" s="30"/>
      <c r="J658" s="12"/>
      <c r="K658" s="12"/>
      <c r="L658" s="12"/>
      <c r="M658" s="12"/>
      <c r="N658" s="12"/>
      <c r="O658" s="308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4"/>
      <c r="BF658" s="12"/>
      <c r="BG658" s="12"/>
      <c r="BH658" s="12" t="str">
        <f>IFERROR(__xludf.DUMMYFUNCTION("IFERROR(INDEX(QUERY(IMPORTRANGE(""1T7HG8KEs-Ob7f3M5atEVN9Yn7IeORGp0QGvggB62ELw"",""Maestro!A:I""),""SELECT Col8 WHERE Col3 = '""&amp;BE658&amp;""'"", 0), 1, 1),""NO ENCONTRADO"")"),"")</f>
        <v/>
      </c>
      <c r="BI658" s="12" t="str">
        <f>IFERROR(__xludf.DUMMYFUNCTION("IFERROR(INDEX(QUERY(IMPORTRANGE(""1T7HG8KEs-Ob7f3M5atEVN9Yn7IeORGp0QGvggB62ELw"",""Maestro!A:I""),""SELECT Col7 WHERE Col3 = '""&amp;BE658&amp;""'"", 0), 1, 1),""NO ENCONTRADO"")"),"")</f>
        <v/>
      </c>
      <c r="BJ658" s="16">
        <f t="shared" si="15"/>
        <v>0</v>
      </c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4"/>
      <c r="BX658" s="14"/>
      <c r="BY658" s="14"/>
      <c r="BZ658" s="14"/>
      <c r="CA658" s="14"/>
      <c r="CB658" s="14"/>
      <c r="CC658" s="14"/>
      <c r="CD658" s="14"/>
      <c r="CE658" s="14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</row>
    <row r="659">
      <c r="A659" s="12"/>
      <c r="B659" s="14"/>
      <c r="C659" s="14"/>
      <c r="D659" s="14"/>
      <c r="E659" s="12"/>
      <c r="F659" s="307"/>
      <c r="G659" s="307"/>
      <c r="H659" s="12"/>
      <c r="I659" s="30"/>
      <c r="J659" s="12"/>
      <c r="K659" s="12"/>
      <c r="L659" s="12"/>
      <c r="M659" s="12"/>
      <c r="N659" s="12"/>
      <c r="O659" s="308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4"/>
      <c r="BF659" s="12"/>
      <c r="BG659" s="12"/>
      <c r="BH659" s="12" t="str">
        <f>IFERROR(__xludf.DUMMYFUNCTION("IFERROR(INDEX(QUERY(IMPORTRANGE(""1T7HG8KEs-Ob7f3M5atEVN9Yn7IeORGp0QGvggB62ELw"",""Maestro!A:I""),""SELECT Col8 WHERE Col3 = '""&amp;BE659&amp;""'"", 0), 1, 1),""NO ENCONTRADO"")"),"")</f>
        <v/>
      </c>
      <c r="BI659" s="12" t="str">
        <f>IFERROR(__xludf.DUMMYFUNCTION("IFERROR(INDEX(QUERY(IMPORTRANGE(""1T7HG8KEs-Ob7f3M5atEVN9Yn7IeORGp0QGvggB62ELw"",""Maestro!A:I""),""SELECT Col7 WHERE Col3 = '""&amp;BE659&amp;""'"", 0), 1, 1),""NO ENCONTRADO"")"),"")</f>
        <v/>
      </c>
      <c r="BJ659" s="16">
        <f t="shared" si="15"/>
        <v>0</v>
      </c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4"/>
      <c r="BX659" s="14"/>
      <c r="BY659" s="14"/>
      <c r="BZ659" s="14"/>
      <c r="CA659" s="14"/>
      <c r="CB659" s="14"/>
      <c r="CC659" s="14"/>
      <c r="CD659" s="14"/>
      <c r="CE659" s="14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</row>
    <row r="660">
      <c r="A660" s="12"/>
      <c r="B660" s="14"/>
      <c r="C660" s="14"/>
      <c r="D660" s="14"/>
      <c r="E660" s="12"/>
      <c r="F660" s="307"/>
      <c r="G660" s="307"/>
      <c r="H660" s="12"/>
      <c r="I660" s="30"/>
      <c r="J660" s="12"/>
      <c r="K660" s="12"/>
      <c r="L660" s="12"/>
      <c r="M660" s="12"/>
      <c r="N660" s="12"/>
      <c r="O660" s="308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4"/>
      <c r="BF660" s="12"/>
      <c r="BG660" s="12"/>
      <c r="BH660" s="12" t="str">
        <f>IFERROR(__xludf.DUMMYFUNCTION("IFERROR(INDEX(QUERY(IMPORTRANGE(""1T7HG8KEs-Ob7f3M5atEVN9Yn7IeORGp0QGvggB62ELw"",""Maestro!A:I""),""SELECT Col8 WHERE Col3 = '""&amp;BE660&amp;""'"", 0), 1, 1),""NO ENCONTRADO"")"),"")</f>
        <v/>
      </c>
      <c r="BI660" s="12" t="str">
        <f>IFERROR(__xludf.DUMMYFUNCTION("IFERROR(INDEX(QUERY(IMPORTRANGE(""1T7HG8KEs-Ob7f3M5atEVN9Yn7IeORGp0QGvggB62ELw"",""Maestro!A:I""),""SELECT Col7 WHERE Col3 = '""&amp;BE660&amp;""'"", 0), 1, 1),""NO ENCONTRADO"")"),"")</f>
        <v/>
      </c>
      <c r="BJ660" s="16">
        <f t="shared" si="15"/>
        <v>0</v>
      </c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4"/>
      <c r="BX660" s="14"/>
      <c r="BY660" s="14"/>
      <c r="BZ660" s="14"/>
      <c r="CA660" s="14"/>
      <c r="CB660" s="14"/>
      <c r="CC660" s="14"/>
      <c r="CD660" s="14"/>
      <c r="CE660" s="14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</row>
    <row r="661">
      <c r="A661" s="12"/>
      <c r="B661" s="14"/>
      <c r="C661" s="14"/>
      <c r="D661" s="14"/>
      <c r="E661" s="12"/>
      <c r="F661" s="307"/>
      <c r="G661" s="307"/>
      <c r="H661" s="12"/>
      <c r="I661" s="30"/>
      <c r="J661" s="12"/>
      <c r="K661" s="12"/>
      <c r="L661" s="12"/>
      <c r="M661" s="12"/>
      <c r="N661" s="12"/>
      <c r="O661" s="308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4"/>
      <c r="BF661" s="12"/>
      <c r="BG661" s="12"/>
      <c r="BH661" s="12" t="str">
        <f>IFERROR(__xludf.DUMMYFUNCTION("IFERROR(INDEX(QUERY(IMPORTRANGE(""1T7HG8KEs-Ob7f3M5atEVN9Yn7IeORGp0QGvggB62ELw"",""Maestro!A:I""),""SELECT Col8 WHERE Col3 = '""&amp;BE661&amp;""'"", 0), 1, 1),""NO ENCONTRADO"")"),"")</f>
        <v/>
      </c>
      <c r="BI661" s="12" t="str">
        <f>IFERROR(__xludf.DUMMYFUNCTION("IFERROR(INDEX(QUERY(IMPORTRANGE(""1T7HG8KEs-Ob7f3M5atEVN9Yn7IeORGp0QGvggB62ELw"",""Maestro!A:I""),""SELECT Col7 WHERE Col3 = '""&amp;BE661&amp;""'"", 0), 1, 1),""NO ENCONTRADO"")"),"")</f>
        <v/>
      </c>
      <c r="BJ661" s="16">
        <f t="shared" si="15"/>
        <v>0</v>
      </c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4"/>
      <c r="BX661" s="14"/>
      <c r="BY661" s="14"/>
      <c r="BZ661" s="14"/>
      <c r="CA661" s="14"/>
      <c r="CB661" s="14"/>
      <c r="CC661" s="14"/>
      <c r="CD661" s="14"/>
      <c r="CE661" s="14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</row>
    <row r="662">
      <c r="A662" s="12"/>
      <c r="B662" s="14"/>
      <c r="C662" s="14"/>
      <c r="D662" s="14"/>
      <c r="E662" s="12"/>
      <c r="F662" s="307"/>
      <c r="G662" s="307"/>
      <c r="H662" s="12"/>
      <c r="I662" s="30"/>
      <c r="J662" s="12"/>
      <c r="K662" s="12"/>
      <c r="L662" s="12"/>
      <c r="M662" s="12"/>
      <c r="N662" s="12"/>
      <c r="O662" s="308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4"/>
      <c r="BF662" s="12"/>
      <c r="BG662" s="12"/>
      <c r="BH662" s="12" t="str">
        <f>IFERROR(__xludf.DUMMYFUNCTION("IFERROR(INDEX(QUERY(IMPORTRANGE(""1T7HG8KEs-Ob7f3M5atEVN9Yn7IeORGp0QGvggB62ELw"",""Maestro!A:I""),""SELECT Col8 WHERE Col3 = '""&amp;BE662&amp;""'"", 0), 1, 1),""NO ENCONTRADO"")"),"")</f>
        <v/>
      </c>
      <c r="BI662" s="12" t="str">
        <f>IFERROR(__xludf.DUMMYFUNCTION("IFERROR(INDEX(QUERY(IMPORTRANGE(""1T7HG8KEs-Ob7f3M5atEVN9Yn7IeORGp0QGvggB62ELw"",""Maestro!A:I""),""SELECT Col7 WHERE Col3 = '""&amp;BE662&amp;""'"", 0), 1, 1),""NO ENCONTRADO"")"),"")</f>
        <v/>
      </c>
      <c r="BJ662" s="16">
        <f t="shared" si="15"/>
        <v>0</v>
      </c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4"/>
      <c r="BX662" s="14"/>
      <c r="BY662" s="14"/>
      <c r="BZ662" s="14"/>
      <c r="CA662" s="14"/>
      <c r="CB662" s="14"/>
      <c r="CC662" s="14"/>
      <c r="CD662" s="14"/>
      <c r="CE662" s="14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</row>
    <row r="663">
      <c r="A663" s="12"/>
      <c r="B663" s="14"/>
      <c r="C663" s="14"/>
      <c r="D663" s="14"/>
      <c r="E663" s="12"/>
      <c r="F663" s="307"/>
      <c r="G663" s="307"/>
      <c r="H663" s="12"/>
      <c r="I663" s="30"/>
      <c r="J663" s="12"/>
      <c r="K663" s="12"/>
      <c r="L663" s="12"/>
      <c r="M663" s="12"/>
      <c r="N663" s="12"/>
      <c r="O663" s="308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4"/>
      <c r="BF663" s="12"/>
      <c r="BG663" s="12"/>
      <c r="BH663" s="12" t="str">
        <f>IFERROR(__xludf.DUMMYFUNCTION("IFERROR(INDEX(QUERY(IMPORTRANGE(""1T7HG8KEs-Ob7f3M5atEVN9Yn7IeORGp0QGvggB62ELw"",""Maestro!A:I""),""SELECT Col8 WHERE Col3 = '""&amp;BE663&amp;""'"", 0), 1, 1),""NO ENCONTRADO"")"),"")</f>
        <v/>
      </c>
      <c r="BI663" s="12" t="str">
        <f>IFERROR(__xludf.DUMMYFUNCTION("IFERROR(INDEX(QUERY(IMPORTRANGE(""1T7HG8KEs-Ob7f3M5atEVN9Yn7IeORGp0QGvggB62ELw"",""Maestro!A:I""),""SELECT Col7 WHERE Col3 = '""&amp;BE663&amp;""'"", 0), 1, 1),""NO ENCONTRADO"")"),"")</f>
        <v/>
      </c>
      <c r="BJ663" s="16">
        <f t="shared" si="15"/>
        <v>0</v>
      </c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4"/>
      <c r="BX663" s="14"/>
      <c r="BY663" s="14"/>
      <c r="BZ663" s="14"/>
      <c r="CA663" s="14"/>
      <c r="CB663" s="14"/>
      <c r="CC663" s="14"/>
      <c r="CD663" s="14"/>
      <c r="CE663" s="14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</row>
    <row r="664">
      <c r="A664" s="12"/>
      <c r="B664" s="14"/>
      <c r="C664" s="14"/>
      <c r="D664" s="14"/>
      <c r="E664" s="12"/>
      <c r="F664" s="307"/>
      <c r="G664" s="307"/>
      <c r="H664" s="12"/>
      <c r="I664" s="30"/>
      <c r="J664" s="12"/>
      <c r="K664" s="12"/>
      <c r="L664" s="12"/>
      <c r="M664" s="12"/>
      <c r="N664" s="12"/>
      <c r="O664" s="308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4"/>
      <c r="BF664" s="12"/>
      <c r="BG664" s="12"/>
      <c r="BH664" s="12" t="str">
        <f>IFERROR(__xludf.DUMMYFUNCTION("IFERROR(INDEX(QUERY(IMPORTRANGE(""1T7HG8KEs-Ob7f3M5atEVN9Yn7IeORGp0QGvggB62ELw"",""Maestro!A:I""),""SELECT Col8 WHERE Col3 = '""&amp;BE664&amp;""'"", 0), 1, 1),""NO ENCONTRADO"")"),"")</f>
        <v/>
      </c>
      <c r="BI664" s="12" t="str">
        <f>IFERROR(__xludf.DUMMYFUNCTION("IFERROR(INDEX(QUERY(IMPORTRANGE(""1T7HG8KEs-Ob7f3M5atEVN9Yn7IeORGp0QGvggB62ELw"",""Maestro!A:I""),""SELECT Col7 WHERE Col3 = '""&amp;BE664&amp;""'"", 0), 1, 1),""NO ENCONTRADO"")"),"")</f>
        <v/>
      </c>
      <c r="BJ664" s="16">
        <f t="shared" si="15"/>
        <v>0</v>
      </c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4"/>
      <c r="BX664" s="14"/>
      <c r="BY664" s="14"/>
      <c r="BZ664" s="14"/>
      <c r="CA664" s="14"/>
      <c r="CB664" s="14"/>
      <c r="CC664" s="14"/>
      <c r="CD664" s="14"/>
      <c r="CE664" s="14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</row>
    <row r="665">
      <c r="A665" s="12"/>
      <c r="B665" s="14"/>
      <c r="C665" s="14"/>
      <c r="D665" s="14"/>
      <c r="E665" s="12"/>
      <c r="F665" s="307"/>
      <c r="G665" s="307"/>
      <c r="H665" s="12"/>
      <c r="I665" s="30"/>
      <c r="J665" s="12"/>
      <c r="K665" s="12"/>
      <c r="L665" s="12"/>
      <c r="M665" s="12"/>
      <c r="N665" s="12"/>
      <c r="O665" s="308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4"/>
      <c r="BF665" s="12"/>
      <c r="BG665" s="12"/>
      <c r="BH665" s="12" t="str">
        <f>IFERROR(__xludf.DUMMYFUNCTION("IFERROR(INDEX(QUERY(IMPORTRANGE(""1T7HG8KEs-Ob7f3M5atEVN9Yn7IeORGp0QGvggB62ELw"",""Maestro!A:I""),""SELECT Col8 WHERE Col3 = '""&amp;BE665&amp;""'"", 0), 1, 1),""NO ENCONTRADO"")"),"")</f>
        <v/>
      </c>
      <c r="BI665" s="12" t="str">
        <f>IFERROR(__xludf.DUMMYFUNCTION("IFERROR(INDEX(QUERY(IMPORTRANGE(""1T7HG8KEs-Ob7f3M5atEVN9Yn7IeORGp0QGvggB62ELw"",""Maestro!A:I""),""SELECT Col7 WHERE Col3 = '""&amp;BE665&amp;""'"", 0), 1, 1),""NO ENCONTRADO"")"),"")</f>
        <v/>
      </c>
      <c r="BJ665" s="16">
        <f t="shared" si="15"/>
        <v>0</v>
      </c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4"/>
      <c r="BX665" s="14"/>
      <c r="BY665" s="14"/>
      <c r="BZ665" s="14"/>
      <c r="CA665" s="14"/>
      <c r="CB665" s="14"/>
      <c r="CC665" s="14"/>
      <c r="CD665" s="14"/>
      <c r="CE665" s="14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</row>
    <row r="666">
      <c r="A666" s="12"/>
      <c r="B666" s="14"/>
      <c r="C666" s="14"/>
      <c r="D666" s="14"/>
      <c r="E666" s="12"/>
      <c r="F666" s="307"/>
      <c r="G666" s="307"/>
      <c r="H666" s="12"/>
      <c r="I666" s="30"/>
      <c r="J666" s="12"/>
      <c r="K666" s="12"/>
      <c r="L666" s="12"/>
      <c r="M666" s="12"/>
      <c r="N666" s="12"/>
      <c r="O666" s="308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4"/>
      <c r="BF666" s="12"/>
      <c r="BG666" s="12"/>
      <c r="BH666" s="12" t="str">
        <f>IFERROR(__xludf.DUMMYFUNCTION("IFERROR(INDEX(QUERY(IMPORTRANGE(""1T7HG8KEs-Ob7f3M5atEVN9Yn7IeORGp0QGvggB62ELw"",""Maestro!A:I""),""SELECT Col8 WHERE Col3 = '""&amp;BE666&amp;""'"", 0), 1, 1),""NO ENCONTRADO"")"),"")</f>
        <v/>
      </c>
      <c r="BI666" s="12" t="str">
        <f>IFERROR(__xludf.DUMMYFUNCTION("IFERROR(INDEX(QUERY(IMPORTRANGE(""1T7HG8KEs-Ob7f3M5atEVN9Yn7IeORGp0QGvggB62ELw"",""Maestro!A:I""),""SELECT Col7 WHERE Col3 = '""&amp;BE666&amp;""'"", 0), 1, 1),""NO ENCONTRADO"")"),"")</f>
        <v/>
      </c>
      <c r="BJ666" s="16">
        <f t="shared" si="15"/>
        <v>0</v>
      </c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4"/>
      <c r="BX666" s="14"/>
      <c r="BY666" s="14"/>
      <c r="BZ666" s="14"/>
      <c r="CA666" s="14"/>
      <c r="CB666" s="14"/>
      <c r="CC666" s="14"/>
      <c r="CD666" s="14"/>
      <c r="CE666" s="14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</row>
    <row r="667">
      <c r="A667" s="12"/>
      <c r="B667" s="14"/>
      <c r="C667" s="14"/>
      <c r="D667" s="14"/>
      <c r="E667" s="12"/>
      <c r="F667" s="307"/>
      <c r="G667" s="307"/>
      <c r="H667" s="12"/>
      <c r="I667" s="30"/>
      <c r="J667" s="12"/>
      <c r="K667" s="12"/>
      <c r="L667" s="12"/>
      <c r="M667" s="12"/>
      <c r="N667" s="12"/>
      <c r="O667" s="308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4"/>
      <c r="BF667" s="12"/>
      <c r="BG667" s="12"/>
      <c r="BH667" s="12" t="str">
        <f>IFERROR(__xludf.DUMMYFUNCTION("IFERROR(INDEX(QUERY(IMPORTRANGE(""1T7HG8KEs-Ob7f3M5atEVN9Yn7IeORGp0QGvggB62ELw"",""Maestro!A:I""),""SELECT Col8 WHERE Col3 = '""&amp;BE667&amp;""'"", 0), 1, 1),""NO ENCONTRADO"")"),"")</f>
        <v/>
      </c>
      <c r="BI667" s="12" t="str">
        <f>IFERROR(__xludf.DUMMYFUNCTION("IFERROR(INDEX(QUERY(IMPORTRANGE(""1T7HG8KEs-Ob7f3M5atEVN9Yn7IeORGp0QGvggB62ELw"",""Maestro!A:I""),""SELECT Col7 WHERE Col3 = '""&amp;BE667&amp;""'"", 0), 1, 1),""NO ENCONTRADO"")"),"")</f>
        <v/>
      </c>
      <c r="BJ667" s="16">
        <f t="shared" si="15"/>
        <v>0</v>
      </c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4"/>
      <c r="BX667" s="14"/>
      <c r="BY667" s="14"/>
      <c r="BZ667" s="14"/>
      <c r="CA667" s="14"/>
      <c r="CB667" s="14"/>
      <c r="CC667" s="14"/>
      <c r="CD667" s="14"/>
      <c r="CE667" s="14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</row>
    <row r="668">
      <c r="A668" s="12"/>
      <c r="B668" s="14"/>
      <c r="C668" s="14"/>
      <c r="D668" s="14"/>
      <c r="E668" s="12"/>
      <c r="F668" s="307"/>
      <c r="G668" s="307"/>
      <c r="H668" s="12"/>
      <c r="I668" s="30"/>
      <c r="J668" s="12"/>
      <c r="K668" s="12"/>
      <c r="L668" s="12"/>
      <c r="M668" s="12"/>
      <c r="N668" s="12"/>
      <c r="O668" s="308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4"/>
      <c r="BF668" s="12"/>
      <c r="BG668" s="12"/>
      <c r="BH668" s="12" t="str">
        <f>IFERROR(__xludf.DUMMYFUNCTION("IFERROR(INDEX(QUERY(IMPORTRANGE(""1T7HG8KEs-Ob7f3M5atEVN9Yn7IeORGp0QGvggB62ELw"",""Maestro!A:I""),""SELECT Col8 WHERE Col3 = '""&amp;BE668&amp;""'"", 0), 1, 1),""NO ENCONTRADO"")"),"")</f>
        <v/>
      </c>
      <c r="BI668" s="12" t="str">
        <f>IFERROR(__xludf.DUMMYFUNCTION("IFERROR(INDEX(QUERY(IMPORTRANGE(""1T7HG8KEs-Ob7f3M5atEVN9Yn7IeORGp0QGvggB62ELw"",""Maestro!A:I""),""SELECT Col7 WHERE Col3 = '""&amp;BE668&amp;""'"", 0), 1, 1),""NO ENCONTRADO"")"),"")</f>
        <v/>
      </c>
      <c r="BJ668" s="16">
        <f t="shared" si="15"/>
        <v>0</v>
      </c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4"/>
      <c r="BX668" s="14"/>
      <c r="BY668" s="14"/>
      <c r="BZ668" s="14"/>
      <c r="CA668" s="14"/>
      <c r="CB668" s="14"/>
      <c r="CC668" s="14"/>
      <c r="CD668" s="14"/>
      <c r="CE668" s="14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</row>
    <row r="669">
      <c r="A669" s="12"/>
      <c r="B669" s="14"/>
      <c r="C669" s="14"/>
      <c r="D669" s="14"/>
      <c r="E669" s="12"/>
      <c r="F669" s="307"/>
      <c r="G669" s="307"/>
      <c r="H669" s="12"/>
      <c r="I669" s="30"/>
      <c r="J669" s="12"/>
      <c r="K669" s="12"/>
      <c r="L669" s="12"/>
      <c r="M669" s="12"/>
      <c r="N669" s="12"/>
      <c r="O669" s="308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4"/>
      <c r="BF669" s="12"/>
      <c r="BG669" s="12"/>
      <c r="BH669" s="12" t="str">
        <f>IFERROR(__xludf.DUMMYFUNCTION("IFERROR(INDEX(QUERY(IMPORTRANGE(""1T7HG8KEs-Ob7f3M5atEVN9Yn7IeORGp0QGvggB62ELw"",""Maestro!A:I""),""SELECT Col8 WHERE Col3 = '""&amp;BE669&amp;""'"", 0), 1, 1),""NO ENCONTRADO"")"),"")</f>
        <v/>
      </c>
      <c r="BI669" s="12" t="str">
        <f>IFERROR(__xludf.DUMMYFUNCTION("IFERROR(INDEX(QUERY(IMPORTRANGE(""1T7HG8KEs-Ob7f3M5atEVN9Yn7IeORGp0QGvggB62ELw"",""Maestro!A:I""),""SELECT Col7 WHERE Col3 = '""&amp;BE669&amp;""'"", 0), 1, 1),""NO ENCONTRADO"")"),"")</f>
        <v/>
      </c>
      <c r="BJ669" s="16">
        <f t="shared" si="15"/>
        <v>0</v>
      </c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4"/>
      <c r="BX669" s="14"/>
      <c r="BY669" s="14"/>
      <c r="BZ669" s="14"/>
      <c r="CA669" s="14"/>
      <c r="CB669" s="14"/>
      <c r="CC669" s="14"/>
      <c r="CD669" s="14"/>
      <c r="CE669" s="14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</row>
    <row r="670">
      <c r="A670" s="12"/>
      <c r="B670" s="14"/>
      <c r="C670" s="14"/>
      <c r="D670" s="14"/>
      <c r="E670" s="12"/>
      <c r="F670" s="307"/>
      <c r="G670" s="307"/>
      <c r="H670" s="12"/>
      <c r="I670" s="30"/>
      <c r="J670" s="12"/>
      <c r="K670" s="12"/>
      <c r="L670" s="12"/>
      <c r="M670" s="12"/>
      <c r="N670" s="12"/>
      <c r="O670" s="308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4"/>
      <c r="BF670" s="12"/>
      <c r="BG670" s="12"/>
      <c r="BH670" s="12" t="str">
        <f>IFERROR(__xludf.DUMMYFUNCTION("IFERROR(INDEX(QUERY(IMPORTRANGE(""1T7HG8KEs-Ob7f3M5atEVN9Yn7IeORGp0QGvggB62ELw"",""Maestro!A:I""),""SELECT Col8 WHERE Col3 = '""&amp;BE670&amp;""'"", 0), 1, 1),""NO ENCONTRADO"")"),"")</f>
        <v/>
      </c>
      <c r="BI670" s="12" t="str">
        <f>IFERROR(__xludf.DUMMYFUNCTION("IFERROR(INDEX(QUERY(IMPORTRANGE(""1T7HG8KEs-Ob7f3M5atEVN9Yn7IeORGp0QGvggB62ELw"",""Maestro!A:I""),""SELECT Col7 WHERE Col3 = '""&amp;BE670&amp;""'"", 0), 1, 1),""NO ENCONTRADO"")"),"")</f>
        <v/>
      </c>
      <c r="BJ670" s="16">
        <f t="shared" si="15"/>
        <v>0</v>
      </c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4"/>
      <c r="BX670" s="14"/>
      <c r="BY670" s="14"/>
      <c r="BZ670" s="14"/>
      <c r="CA670" s="14"/>
      <c r="CB670" s="14"/>
      <c r="CC670" s="14"/>
      <c r="CD670" s="14"/>
      <c r="CE670" s="14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</row>
    <row r="671">
      <c r="A671" s="12"/>
      <c r="B671" s="14"/>
      <c r="C671" s="14"/>
      <c r="D671" s="14"/>
      <c r="E671" s="12"/>
      <c r="F671" s="307"/>
      <c r="G671" s="307"/>
      <c r="H671" s="12"/>
      <c r="I671" s="30"/>
      <c r="J671" s="12"/>
      <c r="K671" s="12"/>
      <c r="L671" s="12"/>
      <c r="M671" s="12"/>
      <c r="N671" s="12"/>
      <c r="O671" s="308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4"/>
      <c r="BF671" s="12"/>
      <c r="BG671" s="12"/>
      <c r="BH671" s="12" t="str">
        <f>IFERROR(__xludf.DUMMYFUNCTION("IFERROR(INDEX(QUERY(IMPORTRANGE(""1T7HG8KEs-Ob7f3M5atEVN9Yn7IeORGp0QGvggB62ELw"",""Maestro!A:I""),""SELECT Col8 WHERE Col3 = '""&amp;BE671&amp;""'"", 0), 1, 1),""NO ENCONTRADO"")"),"")</f>
        <v/>
      </c>
      <c r="BI671" s="12" t="str">
        <f>IFERROR(__xludf.DUMMYFUNCTION("IFERROR(INDEX(QUERY(IMPORTRANGE(""1T7HG8KEs-Ob7f3M5atEVN9Yn7IeORGp0QGvggB62ELw"",""Maestro!A:I""),""SELECT Col7 WHERE Col3 = '""&amp;BE671&amp;""'"", 0), 1, 1),""NO ENCONTRADO"")"),"")</f>
        <v/>
      </c>
      <c r="BJ671" s="16">
        <f t="shared" si="15"/>
        <v>0</v>
      </c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4"/>
      <c r="BX671" s="14"/>
      <c r="BY671" s="14"/>
      <c r="BZ671" s="14"/>
      <c r="CA671" s="14"/>
      <c r="CB671" s="14"/>
      <c r="CC671" s="14"/>
      <c r="CD671" s="14"/>
      <c r="CE671" s="14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</row>
    <row r="672">
      <c r="A672" s="12"/>
      <c r="B672" s="14"/>
      <c r="C672" s="14"/>
      <c r="D672" s="14"/>
      <c r="E672" s="12"/>
      <c r="F672" s="307"/>
      <c r="G672" s="307"/>
      <c r="H672" s="12"/>
      <c r="I672" s="30"/>
      <c r="J672" s="12"/>
      <c r="K672" s="12"/>
      <c r="L672" s="12"/>
      <c r="M672" s="12"/>
      <c r="N672" s="12"/>
      <c r="O672" s="308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4"/>
      <c r="BF672" s="12"/>
      <c r="BG672" s="12"/>
      <c r="BH672" s="12" t="str">
        <f>IFERROR(__xludf.DUMMYFUNCTION("IFERROR(INDEX(QUERY(IMPORTRANGE(""1T7HG8KEs-Ob7f3M5atEVN9Yn7IeORGp0QGvggB62ELw"",""Maestro!A:I""),""SELECT Col8 WHERE Col3 = '""&amp;BE672&amp;""'"", 0), 1, 1),""NO ENCONTRADO"")"),"")</f>
        <v/>
      </c>
      <c r="BI672" s="12" t="str">
        <f>IFERROR(__xludf.DUMMYFUNCTION("IFERROR(INDEX(QUERY(IMPORTRANGE(""1T7HG8KEs-Ob7f3M5atEVN9Yn7IeORGp0QGvggB62ELw"",""Maestro!A:I""),""SELECT Col7 WHERE Col3 = '""&amp;BE672&amp;""'"", 0), 1, 1),""NO ENCONTRADO"")"),"")</f>
        <v/>
      </c>
      <c r="BJ672" s="16">
        <f t="shared" si="15"/>
        <v>0</v>
      </c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4"/>
      <c r="BX672" s="14"/>
      <c r="BY672" s="14"/>
      <c r="BZ672" s="14"/>
      <c r="CA672" s="14"/>
      <c r="CB672" s="14"/>
      <c r="CC672" s="14"/>
      <c r="CD672" s="14"/>
      <c r="CE672" s="14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</row>
    <row r="673">
      <c r="A673" s="12"/>
      <c r="B673" s="14"/>
      <c r="C673" s="14"/>
      <c r="D673" s="14"/>
      <c r="E673" s="12"/>
      <c r="F673" s="307"/>
      <c r="G673" s="307"/>
      <c r="H673" s="12"/>
      <c r="I673" s="30"/>
      <c r="J673" s="12"/>
      <c r="K673" s="12"/>
      <c r="L673" s="12"/>
      <c r="M673" s="12"/>
      <c r="N673" s="12"/>
      <c r="O673" s="308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4"/>
      <c r="BF673" s="12"/>
      <c r="BG673" s="12"/>
      <c r="BH673" s="12" t="str">
        <f>IFERROR(__xludf.DUMMYFUNCTION("IFERROR(INDEX(QUERY(IMPORTRANGE(""1T7HG8KEs-Ob7f3M5atEVN9Yn7IeORGp0QGvggB62ELw"",""Maestro!A:I""),""SELECT Col8 WHERE Col3 = '""&amp;BE673&amp;""'"", 0), 1, 1),""NO ENCONTRADO"")"),"")</f>
        <v/>
      </c>
      <c r="BI673" s="12" t="str">
        <f>IFERROR(__xludf.DUMMYFUNCTION("IFERROR(INDEX(QUERY(IMPORTRANGE(""1T7HG8KEs-Ob7f3M5atEVN9Yn7IeORGp0QGvggB62ELw"",""Maestro!A:I""),""SELECT Col7 WHERE Col3 = '""&amp;BE673&amp;""'"", 0), 1, 1),""NO ENCONTRADO"")"),"")</f>
        <v/>
      </c>
      <c r="BJ673" s="16">
        <f t="shared" si="15"/>
        <v>0</v>
      </c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4"/>
      <c r="BX673" s="14"/>
      <c r="BY673" s="14"/>
      <c r="BZ673" s="14"/>
      <c r="CA673" s="14"/>
      <c r="CB673" s="14"/>
      <c r="CC673" s="14"/>
      <c r="CD673" s="14"/>
      <c r="CE673" s="14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</row>
    <row r="674">
      <c r="A674" s="12"/>
      <c r="B674" s="14"/>
      <c r="C674" s="14"/>
      <c r="D674" s="14"/>
      <c r="E674" s="12"/>
      <c r="F674" s="307"/>
      <c r="G674" s="307"/>
      <c r="H674" s="12"/>
      <c r="I674" s="30"/>
      <c r="J674" s="12"/>
      <c r="K674" s="12"/>
      <c r="L674" s="12"/>
      <c r="M674" s="12"/>
      <c r="N674" s="12"/>
      <c r="O674" s="308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4"/>
      <c r="BF674" s="12"/>
      <c r="BG674" s="12"/>
      <c r="BH674" s="12" t="str">
        <f>IFERROR(__xludf.DUMMYFUNCTION("IFERROR(INDEX(QUERY(IMPORTRANGE(""1T7HG8KEs-Ob7f3M5atEVN9Yn7IeORGp0QGvggB62ELw"",""Maestro!A:I""),""SELECT Col8 WHERE Col3 = '""&amp;BE674&amp;""'"", 0), 1, 1),""NO ENCONTRADO"")"),"")</f>
        <v/>
      </c>
      <c r="BI674" s="12" t="str">
        <f>IFERROR(__xludf.DUMMYFUNCTION("IFERROR(INDEX(QUERY(IMPORTRANGE(""1T7HG8KEs-Ob7f3M5atEVN9Yn7IeORGp0QGvggB62ELw"",""Maestro!A:I""),""SELECT Col7 WHERE Col3 = '""&amp;BE674&amp;""'"", 0), 1, 1),""NO ENCONTRADO"")"),"")</f>
        <v/>
      </c>
      <c r="BJ674" s="16">
        <f t="shared" si="15"/>
        <v>0</v>
      </c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4"/>
      <c r="BX674" s="14"/>
      <c r="BY674" s="14"/>
      <c r="BZ674" s="14"/>
      <c r="CA674" s="14"/>
      <c r="CB674" s="14"/>
      <c r="CC674" s="14"/>
      <c r="CD674" s="14"/>
      <c r="CE674" s="14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</row>
    <row r="675">
      <c r="A675" s="12"/>
      <c r="B675" s="14"/>
      <c r="C675" s="14"/>
      <c r="D675" s="14"/>
      <c r="E675" s="12"/>
      <c r="F675" s="307"/>
      <c r="G675" s="307"/>
      <c r="H675" s="12"/>
      <c r="I675" s="30"/>
      <c r="J675" s="12"/>
      <c r="K675" s="12"/>
      <c r="L675" s="12"/>
      <c r="M675" s="12"/>
      <c r="N675" s="12"/>
      <c r="O675" s="308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4"/>
      <c r="BF675" s="12"/>
      <c r="BG675" s="12"/>
      <c r="BH675" s="12" t="str">
        <f>IFERROR(__xludf.DUMMYFUNCTION("IFERROR(INDEX(QUERY(IMPORTRANGE(""1T7HG8KEs-Ob7f3M5atEVN9Yn7IeORGp0QGvggB62ELw"",""Maestro!A:I""),""SELECT Col8 WHERE Col3 = '""&amp;BE675&amp;""'"", 0), 1, 1),""NO ENCONTRADO"")"),"")</f>
        <v/>
      </c>
      <c r="BI675" s="12" t="str">
        <f>IFERROR(__xludf.DUMMYFUNCTION("IFERROR(INDEX(QUERY(IMPORTRANGE(""1T7HG8KEs-Ob7f3M5atEVN9Yn7IeORGp0QGvggB62ELw"",""Maestro!A:I""),""SELECT Col7 WHERE Col3 = '""&amp;BE675&amp;""'"", 0), 1, 1),""NO ENCONTRADO"")"),"")</f>
        <v/>
      </c>
      <c r="BJ675" s="16">
        <f t="shared" si="15"/>
        <v>0</v>
      </c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4"/>
      <c r="BX675" s="14"/>
      <c r="BY675" s="14"/>
      <c r="BZ675" s="14"/>
      <c r="CA675" s="14"/>
      <c r="CB675" s="14"/>
      <c r="CC675" s="14"/>
      <c r="CD675" s="14"/>
      <c r="CE675" s="14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</row>
    <row r="676">
      <c r="A676" s="12"/>
      <c r="B676" s="14"/>
      <c r="C676" s="14"/>
      <c r="D676" s="14"/>
      <c r="E676" s="12"/>
      <c r="F676" s="307"/>
      <c r="G676" s="307"/>
      <c r="H676" s="12"/>
      <c r="I676" s="30"/>
      <c r="J676" s="12"/>
      <c r="K676" s="12"/>
      <c r="L676" s="12"/>
      <c r="M676" s="12"/>
      <c r="N676" s="12"/>
      <c r="O676" s="308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4"/>
      <c r="BF676" s="12"/>
      <c r="BG676" s="12"/>
      <c r="BH676" s="12" t="str">
        <f>IFERROR(__xludf.DUMMYFUNCTION("IFERROR(INDEX(QUERY(IMPORTRANGE(""1T7HG8KEs-Ob7f3M5atEVN9Yn7IeORGp0QGvggB62ELw"",""Maestro!A:I""),""SELECT Col8 WHERE Col3 = '""&amp;BE676&amp;""'"", 0), 1, 1),""NO ENCONTRADO"")"),"")</f>
        <v/>
      </c>
      <c r="BI676" s="12" t="str">
        <f>IFERROR(__xludf.DUMMYFUNCTION("IFERROR(INDEX(QUERY(IMPORTRANGE(""1T7HG8KEs-Ob7f3M5atEVN9Yn7IeORGp0QGvggB62ELw"",""Maestro!A:I""),""SELECT Col7 WHERE Col3 = '""&amp;BE676&amp;""'"", 0), 1, 1),""NO ENCONTRADO"")"),"")</f>
        <v/>
      </c>
      <c r="BJ676" s="16">
        <f t="shared" si="15"/>
        <v>0</v>
      </c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4"/>
      <c r="BX676" s="14"/>
      <c r="BY676" s="14"/>
      <c r="BZ676" s="14"/>
      <c r="CA676" s="14"/>
      <c r="CB676" s="14"/>
      <c r="CC676" s="14"/>
      <c r="CD676" s="14"/>
      <c r="CE676" s="14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</row>
    <row r="677">
      <c r="A677" s="12"/>
      <c r="B677" s="14"/>
      <c r="C677" s="14"/>
      <c r="D677" s="14"/>
      <c r="E677" s="12"/>
      <c r="F677" s="307"/>
      <c r="G677" s="307"/>
      <c r="H677" s="12"/>
      <c r="I677" s="30"/>
      <c r="J677" s="12"/>
      <c r="K677" s="12"/>
      <c r="L677" s="12"/>
      <c r="M677" s="12"/>
      <c r="N677" s="12"/>
      <c r="O677" s="308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4"/>
      <c r="BF677" s="12"/>
      <c r="BG677" s="12"/>
      <c r="BH677" s="12" t="str">
        <f>IFERROR(__xludf.DUMMYFUNCTION("IFERROR(INDEX(QUERY(IMPORTRANGE(""1T7HG8KEs-Ob7f3M5atEVN9Yn7IeORGp0QGvggB62ELw"",""Maestro!A:I""),""SELECT Col8 WHERE Col3 = '""&amp;BE677&amp;""'"", 0), 1, 1),""NO ENCONTRADO"")"),"")</f>
        <v/>
      </c>
      <c r="BI677" s="12" t="str">
        <f>IFERROR(__xludf.DUMMYFUNCTION("IFERROR(INDEX(QUERY(IMPORTRANGE(""1T7HG8KEs-Ob7f3M5atEVN9Yn7IeORGp0QGvggB62ELw"",""Maestro!A:I""),""SELECT Col7 WHERE Col3 = '""&amp;BE677&amp;""'"", 0), 1, 1),""NO ENCONTRADO"")"),"")</f>
        <v/>
      </c>
      <c r="BJ677" s="16">
        <f t="shared" si="15"/>
        <v>0</v>
      </c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4"/>
      <c r="BX677" s="14"/>
      <c r="BY677" s="14"/>
      <c r="BZ677" s="14"/>
      <c r="CA677" s="14"/>
      <c r="CB677" s="14"/>
      <c r="CC677" s="14"/>
      <c r="CD677" s="14"/>
      <c r="CE677" s="14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</row>
    <row r="678">
      <c r="A678" s="12"/>
      <c r="B678" s="14"/>
      <c r="C678" s="14"/>
      <c r="D678" s="14"/>
      <c r="E678" s="12"/>
      <c r="F678" s="307"/>
      <c r="G678" s="307"/>
      <c r="H678" s="12"/>
      <c r="I678" s="30"/>
      <c r="J678" s="12"/>
      <c r="K678" s="12"/>
      <c r="L678" s="12"/>
      <c r="M678" s="12"/>
      <c r="N678" s="12"/>
      <c r="O678" s="308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4"/>
      <c r="BF678" s="12"/>
      <c r="BG678" s="12"/>
      <c r="BH678" s="12" t="str">
        <f>IFERROR(__xludf.DUMMYFUNCTION("IFERROR(INDEX(QUERY(IMPORTRANGE(""1T7HG8KEs-Ob7f3M5atEVN9Yn7IeORGp0QGvggB62ELw"",""Maestro!A:I""),""SELECT Col8 WHERE Col3 = '""&amp;BE678&amp;""'"", 0), 1, 1),""NO ENCONTRADO"")"),"")</f>
        <v/>
      </c>
      <c r="BI678" s="12" t="str">
        <f>IFERROR(__xludf.DUMMYFUNCTION("IFERROR(INDEX(QUERY(IMPORTRANGE(""1T7HG8KEs-Ob7f3M5atEVN9Yn7IeORGp0QGvggB62ELw"",""Maestro!A:I""),""SELECT Col7 WHERE Col3 = '""&amp;BE678&amp;""'"", 0), 1, 1),""NO ENCONTRADO"")"),"")</f>
        <v/>
      </c>
      <c r="BJ678" s="16">
        <f t="shared" si="15"/>
        <v>0</v>
      </c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4"/>
      <c r="BX678" s="14"/>
      <c r="BY678" s="14"/>
      <c r="BZ678" s="14"/>
      <c r="CA678" s="14"/>
      <c r="CB678" s="14"/>
      <c r="CC678" s="14"/>
      <c r="CD678" s="14"/>
      <c r="CE678" s="14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</row>
    <row r="679">
      <c r="A679" s="12"/>
      <c r="B679" s="14"/>
      <c r="C679" s="14"/>
      <c r="D679" s="14"/>
      <c r="E679" s="12"/>
      <c r="F679" s="307"/>
      <c r="G679" s="307"/>
      <c r="H679" s="12"/>
      <c r="I679" s="30"/>
      <c r="J679" s="12"/>
      <c r="K679" s="12"/>
      <c r="L679" s="12"/>
      <c r="M679" s="12"/>
      <c r="N679" s="12"/>
      <c r="O679" s="308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4"/>
      <c r="BF679" s="12"/>
      <c r="BG679" s="12"/>
      <c r="BH679" s="12" t="str">
        <f>IFERROR(__xludf.DUMMYFUNCTION("IFERROR(INDEX(QUERY(IMPORTRANGE(""1T7HG8KEs-Ob7f3M5atEVN9Yn7IeORGp0QGvggB62ELw"",""Maestro!A:I""),""SELECT Col8 WHERE Col3 = '""&amp;BE679&amp;""'"", 0), 1, 1),""NO ENCONTRADO"")"),"")</f>
        <v/>
      </c>
      <c r="BI679" s="12" t="str">
        <f>IFERROR(__xludf.DUMMYFUNCTION("IFERROR(INDEX(QUERY(IMPORTRANGE(""1T7HG8KEs-Ob7f3M5atEVN9Yn7IeORGp0QGvggB62ELw"",""Maestro!A:I""),""SELECT Col7 WHERE Col3 = '""&amp;BE679&amp;""'"", 0), 1, 1),""NO ENCONTRADO"")"),"")</f>
        <v/>
      </c>
      <c r="BJ679" s="16">
        <f t="shared" si="15"/>
        <v>0</v>
      </c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4"/>
      <c r="BX679" s="14"/>
      <c r="BY679" s="14"/>
      <c r="BZ679" s="14"/>
      <c r="CA679" s="14"/>
      <c r="CB679" s="14"/>
      <c r="CC679" s="14"/>
      <c r="CD679" s="14"/>
      <c r="CE679" s="14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</row>
    <row r="680">
      <c r="A680" s="12"/>
      <c r="B680" s="14"/>
      <c r="C680" s="14"/>
      <c r="D680" s="14"/>
      <c r="E680" s="12"/>
      <c r="F680" s="307"/>
      <c r="G680" s="307"/>
      <c r="H680" s="12"/>
      <c r="I680" s="30"/>
      <c r="J680" s="12"/>
      <c r="K680" s="12"/>
      <c r="L680" s="12"/>
      <c r="M680" s="12"/>
      <c r="N680" s="12"/>
      <c r="O680" s="308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4"/>
      <c r="BF680" s="12"/>
      <c r="BG680" s="12"/>
      <c r="BH680" s="12" t="str">
        <f>IFERROR(__xludf.DUMMYFUNCTION("IFERROR(INDEX(QUERY(IMPORTRANGE(""1T7HG8KEs-Ob7f3M5atEVN9Yn7IeORGp0QGvggB62ELw"",""Maestro!A:I""),""SELECT Col8 WHERE Col3 = '""&amp;BE680&amp;""'"", 0), 1, 1),""NO ENCONTRADO"")"),"")</f>
        <v/>
      </c>
      <c r="BI680" s="12" t="str">
        <f>IFERROR(__xludf.DUMMYFUNCTION("IFERROR(INDEX(QUERY(IMPORTRANGE(""1T7HG8KEs-Ob7f3M5atEVN9Yn7IeORGp0QGvggB62ELw"",""Maestro!A:I""),""SELECT Col7 WHERE Col3 = '""&amp;BE680&amp;""'"", 0), 1, 1),""NO ENCONTRADO"")"),"")</f>
        <v/>
      </c>
      <c r="BJ680" s="16">
        <f t="shared" si="15"/>
        <v>0</v>
      </c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4"/>
      <c r="BX680" s="14"/>
      <c r="BY680" s="14"/>
      <c r="BZ680" s="14"/>
      <c r="CA680" s="14"/>
      <c r="CB680" s="14"/>
      <c r="CC680" s="14"/>
      <c r="CD680" s="14"/>
      <c r="CE680" s="14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</row>
    <row r="681">
      <c r="A681" s="12"/>
      <c r="B681" s="14"/>
      <c r="C681" s="14"/>
      <c r="D681" s="14"/>
      <c r="E681" s="12"/>
      <c r="F681" s="307"/>
      <c r="G681" s="307"/>
      <c r="H681" s="12"/>
      <c r="I681" s="30"/>
      <c r="J681" s="12"/>
      <c r="K681" s="12"/>
      <c r="L681" s="12"/>
      <c r="M681" s="12"/>
      <c r="N681" s="12"/>
      <c r="O681" s="308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4"/>
      <c r="BF681" s="12"/>
      <c r="BG681" s="12"/>
      <c r="BH681" s="12" t="str">
        <f>IFERROR(__xludf.DUMMYFUNCTION("IFERROR(INDEX(QUERY(IMPORTRANGE(""1T7HG8KEs-Ob7f3M5atEVN9Yn7IeORGp0QGvggB62ELw"",""Maestro!A:I""),""SELECT Col8 WHERE Col3 = '""&amp;BE681&amp;""'"", 0), 1, 1),""NO ENCONTRADO"")"),"")</f>
        <v/>
      </c>
      <c r="BI681" s="12" t="str">
        <f>IFERROR(__xludf.DUMMYFUNCTION("IFERROR(INDEX(QUERY(IMPORTRANGE(""1T7HG8KEs-Ob7f3M5atEVN9Yn7IeORGp0QGvggB62ELw"",""Maestro!A:I""),""SELECT Col7 WHERE Col3 = '""&amp;BE681&amp;""'"", 0), 1, 1),""NO ENCONTRADO"")"),"")</f>
        <v/>
      </c>
      <c r="BJ681" s="16">
        <f t="shared" si="15"/>
        <v>0</v>
      </c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4"/>
      <c r="BX681" s="14"/>
      <c r="BY681" s="14"/>
      <c r="BZ681" s="14"/>
      <c r="CA681" s="14"/>
      <c r="CB681" s="14"/>
      <c r="CC681" s="14"/>
      <c r="CD681" s="14"/>
      <c r="CE681" s="14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</row>
    <row r="682">
      <c r="A682" s="12"/>
      <c r="B682" s="14"/>
      <c r="C682" s="14"/>
      <c r="D682" s="14"/>
      <c r="E682" s="12"/>
      <c r="F682" s="307"/>
      <c r="G682" s="307"/>
      <c r="H682" s="12"/>
      <c r="I682" s="30"/>
      <c r="J682" s="12"/>
      <c r="K682" s="12"/>
      <c r="L682" s="12"/>
      <c r="M682" s="12"/>
      <c r="N682" s="12"/>
      <c r="O682" s="308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4"/>
      <c r="BF682" s="12"/>
      <c r="BG682" s="12"/>
      <c r="BH682" s="12" t="str">
        <f>IFERROR(__xludf.DUMMYFUNCTION("IFERROR(INDEX(QUERY(IMPORTRANGE(""1T7HG8KEs-Ob7f3M5atEVN9Yn7IeORGp0QGvggB62ELw"",""Maestro!A:I""),""SELECT Col8 WHERE Col3 = '""&amp;BE682&amp;""'"", 0), 1, 1),""NO ENCONTRADO"")"),"")</f>
        <v/>
      </c>
      <c r="BI682" s="12" t="str">
        <f>IFERROR(__xludf.DUMMYFUNCTION("IFERROR(INDEX(QUERY(IMPORTRANGE(""1T7HG8KEs-Ob7f3M5atEVN9Yn7IeORGp0QGvggB62ELw"",""Maestro!A:I""),""SELECT Col7 WHERE Col3 = '""&amp;BE682&amp;""'"", 0), 1, 1),""NO ENCONTRADO"")"),"")</f>
        <v/>
      </c>
      <c r="BJ682" s="16">
        <f t="shared" si="15"/>
        <v>0</v>
      </c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4"/>
      <c r="BX682" s="14"/>
      <c r="BY682" s="14"/>
      <c r="BZ682" s="14"/>
      <c r="CA682" s="14"/>
      <c r="CB682" s="14"/>
      <c r="CC682" s="14"/>
      <c r="CD682" s="14"/>
      <c r="CE682" s="14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</row>
    <row r="683">
      <c r="A683" s="12"/>
      <c r="B683" s="14"/>
      <c r="C683" s="14"/>
      <c r="D683" s="14"/>
      <c r="E683" s="12"/>
      <c r="F683" s="307"/>
      <c r="G683" s="307"/>
      <c r="H683" s="12"/>
      <c r="I683" s="30"/>
      <c r="J683" s="12"/>
      <c r="K683" s="12"/>
      <c r="L683" s="12"/>
      <c r="M683" s="12"/>
      <c r="N683" s="12"/>
      <c r="O683" s="308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4"/>
      <c r="BF683" s="12"/>
      <c r="BG683" s="12"/>
      <c r="BH683" s="12" t="str">
        <f>IFERROR(__xludf.DUMMYFUNCTION("IFERROR(INDEX(QUERY(IMPORTRANGE(""1T7HG8KEs-Ob7f3M5atEVN9Yn7IeORGp0QGvggB62ELw"",""Maestro!A:I""),""SELECT Col8 WHERE Col3 = '""&amp;BE683&amp;""'"", 0), 1, 1),""NO ENCONTRADO"")"),"")</f>
        <v/>
      </c>
      <c r="BI683" s="12" t="str">
        <f>IFERROR(__xludf.DUMMYFUNCTION("IFERROR(INDEX(QUERY(IMPORTRANGE(""1T7HG8KEs-Ob7f3M5atEVN9Yn7IeORGp0QGvggB62ELw"",""Maestro!A:I""),""SELECT Col7 WHERE Col3 = '""&amp;BE683&amp;""'"", 0), 1, 1),""NO ENCONTRADO"")"),"")</f>
        <v/>
      </c>
      <c r="BJ683" s="16">
        <f t="shared" si="15"/>
        <v>0</v>
      </c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4"/>
      <c r="BX683" s="14"/>
      <c r="BY683" s="14"/>
      <c r="BZ683" s="14"/>
      <c r="CA683" s="14"/>
      <c r="CB683" s="14"/>
      <c r="CC683" s="14"/>
      <c r="CD683" s="14"/>
      <c r="CE683" s="14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</row>
    <row r="684">
      <c r="A684" s="12"/>
      <c r="B684" s="14"/>
      <c r="C684" s="14"/>
      <c r="D684" s="14"/>
      <c r="E684" s="12"/>
      <c r="F684" s="307"/>
      <c r="G684" s="307"/>
      <c r="H684" s="12"/>
      <c r="I684" s="30"/>
      <c r="J684" s="12"/>
      <c r="K684" s="12"/>
      <c r="L684" s="12"/>
      <c r="M684" s="12"/>
      <c r="N684" s="12"/>
      <c r="O684" s="308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4"/>
      <c r="BF684" s="12"/>
      <c r="BG684" s="12"/>
      <c r="BH684" s="12" t="str">
        <f>IFERROR(__xludf.DUMMYFUNCTION("IFERROR(INDEX(QUERY(IMPORTRANGE(""1T7HG8KEs-Ob7f3M5atEVN9Yn7IeORGp0QGvggB62ELw"",""Maestro!A:I""),""SELECT Col8 WHERE Col3 = '""&amp;BE684&amp;""'"", 0), 1, 1),""NO ENCONTRADO"")"),"")</f>
        <v/>
      </c>
      <c r="BI684" s="12" t="str">
        <f>IFERROR(__xludf.DUMMYFUNCTION("IFERROR(INDEX(QUERY(IMPORTRANGE(""1T7HG8KEs-Ob7f3M5atEVN9Yn7IeORGp0QGvggB62ELw"",""Maestro!A:I""),""SELECT Col7 WHERE Col3 = '""&amp;BE684&amp;""'"", 0), 1, 1),""NO ENCONTRADO"")"),"")</f>
        <v/>
      </c>
      <c r="BJ684" s="16">
        <f t="shared" si="15"/>
        <v>0</v>
      </c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4"/>
      <c r="BX684" s="14"/>
      <c r="BY684" s="14"/>
      <c r="BZ684" s="14"/>
      <c r="CA684" s="14"/>
      <c r="CB684" s="14"/>
      <c r="CC684" s="14"/>
      <c r="CD684" s="14"/>
      <c r="CE684" s="14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</row>
    <row r="685">
      <c r="A685" s="12"/>
      <c r="B685" s="14"/>
      <c r="C685" s="14"/>
      <c r="D685" s="14"/>
      <c r="E685" s="12"/>
      <c r="F685" s="307"/>
      <c r="G685" s="307"/>
      <c r="H685" s="12"/>
      <c r="I685" s="30"/>
      <c r="J685" s="12"/>
      <c r="K685" s="12"/>
      <c r="L685" s="12"/>
      <c r="M685" s="12"/>
      <c r="N685" s="12"/>
      <c r="O685" s="308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4"/>
      <c r="BF685" s="12"/>
      <c r="BG685" s="12"/>
      <c r="BH685" s="12" t="str">
        <f>IFERROR(__xludf.DUMMYFUNCTION("IFERROR(INDEX(QUERY(IMPORTRANGE(""1T7HG8KEs-Ob7f3M5atEVN9Yn7IeORGp0QGvggB62ELw"",""Maestro!A:I""),""SELECT Col8 WHERE Col3 = '""&amp;BE685&amp;""'"", 0), 1, 1),""NO ENCONTRADO"")"),"")</f>
        <v/>
      </c>
      <c r="BI685" s="12" t="str">
        <f>IFERROR(__xludf.DUMMYFUNCTION("IFERROR(INDEX(QUERY(IMPORTRANGE(""1T7HG8KEs-Ob7f3M5atEVN9Yn7IeORGp0QGvggB62ELw"",""Maestro!A:I""),""SELECT Col7 WHERE Col3 = '""&amp;BE685&amp;""'"", 0), 1, 1),""NO ENCONTRADO"")"),"")</f>
        <v/>
      </c>
      <c r="BJ685" s="16">
        <f t="shared" si="15"/>
        <v>0</v>
      </c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4"/>
      <c r="BX685" s="14"/>
      <c r="BY685" s="14"/>
      <c r="BZ685" s="14"/>
      <c r="CA685" s="14"/>
      <c r="CB685" s="14"/>
      <c r="CC685" s="14"/>
      <c r="CD685" s="14"/>
      <c r="CE685" s="14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</row>
    <row r="686">
      <c r="A686" s="12"/>
      <c r="B686" s="14"/>
      <c r="C686" s="14"/>
      <c r="D686" s="14"/>
      <c r="E686" s="12"/>
      <c r="F686" s="307"/>
      <c r="G686" s="307"/>
      <c r="H686" s="12"/>
      <c r="I686" s="30"/>
      <c r="J686" s="12"/>
      <c r="K686" s="12"/>
      <c r="L686" s="12"/>
      <c r="M686" s="12"/>
      <c r="N686" s="12"/>
      <c r="O686" s="308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4"/>
      <c r="BF686" s="12"/>
      <c r="BG686" s="12"/>
      <c r="BH686" s="12" t="str">
        <f>IFERROR(__xludf.DUMMYFUNCTION("IFERROR(INDEX(QUERY(IMPORTRANGE(""1T7HG8KEs-Ob7f3M5atEVN9Yn7IeORGp0QGvggB62ELw"",""Maestro!A:I""),""SELECT Col8 WHERE Col3 = '""&amp;BE686&amp;""'"", 0), 1, 1),""NO ENCONTRADO"")"),"")</f>
        <v/>
      </c>
      <c r="BI686" s="12" t="str">
        <f>IFERROR(__xludf.DUMMYFUNCTION("IFERROR(INDEX(QUERY(IMPORTRANGE(""1T7HG8KEs-Ob7f3M5atEVN9Yn7IeORGp0QGvggB62ELw"",""Maestro!A:I""),""SELECT Col7 WHERE Col3 = '""&amp;BE686&amp;""'"", 0), 1, 1),""NO ENCONTRADO"")"),"")</f>
        <v/>
      </c>
      <c r="BJ686" s="16">
        <f t="shared" si="15"/>
        <v>0</v>
      </c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4"/>
      <c r="BX686" s="14"/>
      <c r="BY686" s="14"/>
      <c r="BZ686" s="14"/>
      <c r="CA686" s="14"/>
      <c r="CB686" s="14"/>
      <c r="CC686" s="14"/>
      <c r="CD686" s="14"/>
      <c r="CE686" s="14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</row>
    <row r="687">
      <c r="A687" s="12"/>
      <c r="B687" s="14"/>
      <c r="C687" s="14"/>
      <c r="D687" s="14"/>
      <c r="E687" s="12"/>
      <c r="F687" s="307"/>
      <c r="G687" s="307"/>
      <c r="H687" s="12"/>
      <c r="I687" s="30"/>
      <c r="J687" s="12"/>
      <c r="K687" s="12"/>
      <c r="L687" s="12"/>
      <c r="M687" s="12"/>
      <c r="N687" s="12"/>
      <c r="O687" s="308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4"/>
      <c r="BF687" s="12"/>
      <c r="BG687" s="12"/>
      <c r="BH687" s="12" t="str">
        <f>IFERROR(__xludf.DUMMYFUNCTION("IFERROR(INDEX(QUERY(IMPORTRANGE(""1T7HG8KEs-Ob7f3M5atEVN9Yn7IeORGp0QGvggB62ELw"",""Maestro!A:I""),""SELECT Col8 WHERE Col3 = '""&amp;BE687&amp;""'"", 0), 1, 1),""NO ENCONTRADO"")"),"")</f>
        <v/>
      </c>
      <c r="BI687" s="12" t="str">
        <f>IFERROR(__xludf.DUMMYFUNCTION("IFERROR(INDEX(QUERY(IMPORTRANGE(""1T7HG8KEs-Ob7f3M5atEVN9Yn7IeORGp0QGvggB62ELw"",""Maestro!A:I""),""SELECT Col7 WHERE Col3 = '""&amp;BE687&amp;""'"", 0), 1, 1),""NO ENCONTRADO"")"),"")</f>
        <v/>
      </c>
      <c r="BJ687" s="16">
        <f t="shared" si="15"/>
        <v>0</v>
      </c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4"/>
      <c r="BX687" s="14"/>
      <c r="BY687" s="14"/>
      <c r="BZ687" s="14"/>
      <c r="CA687" s="14"/>
      <c r="CB687" s="14"/>
      <c r="CC687" s="14"/>
      <c r="CD687" s="14"/>
      <c r="CE687" s="14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</row>
    <row r="688">
      <c r="A688" s="12"/>
      <c r="B688" s="14"/>
      <c r="C688" s="14"/>
      <c r="D688" s="14"/>
      <c r="E688" s="12"/>
      <c r="F688" s="307"/>
      <c r="G688" s="307"/>
      <c r="H688" s="12"/>
      <c r="I688" s="30"/>
      <c r="J688" s="12"/>
      <c r="K688" s="12"/>
      <c r="L688" s="12"/>
      <c r="M688" s="12"/>
      <c r="N688" s="12"/>
      <c r="O688" s="308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4"/>
      <c r="BF688" s="12"/>
      <c r="BG688" s="12"/>
      <c r="BH688" s="12" t="str">
        <f>IFERROR(__xludf.DUMMYFUNCTION("IFERROR(INDEX(QUERY(IMPORTRANGE(""1T7HG8KEs-Ob7f3M5atEVN9Yn7IeORGp0QGvggB62ELw"",""Maestro!A:I""),""SELECT Col8 WHERE Col3 = '""&amp;BE688&amp;""'"", 0), 1, 1),""NO ENCONTRADO"")"),"")</f>
        <v/>
      </c>
      <c r="BI688" s="12" t="str">
        <f>IFERROR(__xludf.DUMMYFUNCTION("IFERROR(INDEX(QUERY(IMPORTRANGE(""1T7HG8KEs-Ob7f3M5atEVN9Yn7IeORGp0QGvggB62ELw"",""Maestro!A:I""),""SELECT Col7 WHERE Col3 = '""&amp;BE688&amp;""'"", 0), 1, 1),""NO ENCONTRADO"")"),"")</f>
        <v/>
      </c>
      <c r="BJ688" s="16">
        <f t="shared" si="15"/>
        <v>0</v>
      </c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4"/>
      <c r="BX688" s="14"/>
      <c r="BY688" s="14"/>
      <c r="BZ688" s="14"/>
      <c r="CA688" s="14"/>
      <c r="CB688" s="14"/>
      <c r="CC688" s="14"/>
      <c r="CD688" s="14"/>
      <c r="CE688" s="14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</row>
    <row r="689">
      <c r="A689" s="12"/>
      <c r="B689" s="14"/>
      <c r="C689" s="14"/>
      <c r="D689" s="14"/>
      <c r="E689" s="12"/>
      <c r="F689" s="307"/>
      <c r="G689" s="307"/>
      <c r="H689" s="12"/>
      <c r="I689" s="30"/>
      <c r="J689" s="12"/>
      <c r="K689" s="12"/>
      <c r="L689" s="12"/>
      <c r="M689" s="12"/>
      <c r="N689" s="12"/>
      <c r="O689" s="308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4"/>
      <c r="BF689" s="12"/>
      <c r="BG689" s="12"/>
      <c r="BH689" s="12" t="str">
        <f>IFERROR(__xludf.DUMMYFUNCTION("IFERROR(INDEX(QUERY(IMPORTRANGE(""1T7HG8KEs-Ob7f3M5atEVN9Yn7IeORGp0QGvggB62ELw"",""Maestro!A:I""),""SELECT Col8 WHERE Col3 = '""&amp;BE689&amp;""'"", 0), 1, 1),""NO ENCONTRADO"")"),"")</f>
        <v/>
      </c>
      <c r="BI689" s="12" t="str">
        <f>IFERROR(__xludf.DUMMYFUNCTION("IFERROR(INDEX(QUERY(IMPORTRANGE(""1T7HG8KEs-Ob7f3M5atEVN9Yn7IeORGp0QGvggB62ELw"",""Maestro!A:I""),""SELECT Col7 WHERE Col3 = '""&amp;BE689&amp;""'"", 0), 1, 1),""NO ENCONTRADO"")"),"")</f>
        <v/>
      </c>
      <c r="BJ689" s="16">
        <f t="shared" si="15"/>
        <v>0</v>
      </c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4"/>
      <c r="BX689" s="14"/>
      <c r="BY689" s="14"/>
      <c r="BZ689" s="14"/>
      <c r="CA689" s="14"/>
      <c r="CB689" s="14"/>
      <c r="CC689" s="14"/>
      <c r="CD689" s="14"/>
      <c r="CE689" s="14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</row>
    <row r="690">
      <c r="A690" s="12"/>
      <c r="B690" s="14"/>
      <c r="C690" s="14"/>
      <c r="D690" s="14"/>
      <c r="E690" s="12"/>
      <c r="F690" s="307"/>
      <c r="G690" s="307"/>
      <c r="H690" s="12"/>
      <c r="I690" s="30"/>
      <c r="J690" s="12"/>
      <c r="K690" s="12"/>
      <c r="L690" s="12"/>
      <c r="M690" s="12"/>
      <c r="N690" s="12"/>
      <c r="O690" s="308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4"/>
      <c r="BF690" s="12"/>
      <c r="BG690" s="12"/>
      <c r="BH690" s="12" t="str">
        <f>IFERROR(__xludf.DUMMYFUNCTION("IFERROR(INDEX(QUERY(IMPORTRANGE(""1T7HG8KEs-Ob7f3M5atEVN9Yn7IeORGp0QGvggB62ELw"",""Maestro!A:I""),""SELECT Col8 WHERE Col3 = '""&amp;BE690&amp;""'"", 0), 1, 1),""NO ENCONTRADO"")"),"")</f>
        <v/>
      </c>
      <c r="BI690" s="12" t="str">
        <f>IFERROR(__xludf.DUMMYFUNCTION("IFERROR(INDEX(QUERY(IMPORTRANGE(""1T7HG8KEs-Ob7f3M5atEVN9Yn7IeORGp0QGvggB62ELw"",""Maestro!A:I""),""SELECT Col7 WHERE Col3 = '""&amp;BE690&amp;""'"", 0), 1, 1),""NO ENCONTRADO"")"),"")</f>
        <v/>
      </c>
      <c r="BJ690" s="16">
        <f t="shared" si="15"/>
        <v>0</v>
      </c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4"/>
      <c r="BX690" s="14"/>
      <c r="BY690" s="14"/>
      <c r="BZ690" s="14"/>
      <c r="CA690" s="14"/>
      <c r="CB690" s="14"/>
      <c r="CC690" s="14"/>
      <c r="CD690" s="14"/>
      <c r="CE690" s="14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</row>
    <row r="691">
      <c r="A691" s="12"/>
      <c r="B691" s="14"/>
      <c r="C691" s="14"/>
      <c r="D691" s="14"/>
      <c r="E691" s="12"/>
      <c r="F691" s="307"/>
      <c r="G691" s="307"/>
      <c r="H691" s="12"/>
      <c r="I691" s="30"/>
      <c r="J691" s="12"/>
      <c r="K691" s="12"/>
      <c r="L691" s="12"/>
      <c r="M691" s="12"/>
      <c r="N691" s="12"/>
      <c r="O691" s="308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4"/>
      <c r="BF691" s="12"/>
      <c r="BG691" s="12"/>
      <c r="BH691" s="12" t="str">
        <f>IFERROR(__xludf.DUMMYFUNCTION("IFERROR(INDEX(QUERY(IMPORTRANGE(""1T7HG8KEs-Ob7f3M5atEVN9Yn7IeORGp0QGvggB62ELw"",""Maestro!A:I""),""SELECT Col8 WHERE Col3 = '""&amp;BE691&amp;""'"", 0), 1, 1),""NO ENCONTRADO"")"),"")</f>
        <v/>
      </c>
      <c r="BI691" s="12" t="str">
        <f>IFERROR(__xludf.DUMMYFUNCTION("IFERROR(INDEX(QUERY(IMPORTRANGE(""1T7HG8KEs-Ob7f3M5atEVN9Yn7IeORGp0QGvggB62ELw"",""Maestro!A:I""),""SELECT Col7 WHERE Col3 = '""&amp;BE691&amp;""'"", 0), 1, 1),""NO ENCONTRADO"")"),"")</f>
        <v/>
      </c>
      <c r="BJ691" s="16">
        <f t="shared" si="15"/>
        <v>0</v>
      </c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4"/>
      <c r="BX691" s="14"/>
      <c r="BY691" s="14"/>
      <c r="BZ691" s="14"/>
      <c r="CA691" s="14"/>
      <c r="CB691" s="14"/>
      <c r="CC691" s="14"/>
      <c r="CD691" s="14"/>
      <c r="CE691" s="14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</row>
    <row r="692">
      <c r="A692" s="12"/>
      <c r="B692" s="14"/>
      <c r="C692" s="14"/>
      <c r="D692" s="14"/>
      <c r="E692" s="12"/>
      <c r="F692" s="307"/>
      <c r="G692" s="307"/>
      <c r="H692" s="12"/>
      <c r="I692" s="30"/>
      <c r="J692" s="12"/>
      <c r="K692" s="12"/>
      <c r="L692" s="12"/>
      <c r="M692" s="12"/>
      <c r="N692" s="12"/>
      <c r="O692" s="308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4"/>
      <c r="BF692" s="12"/>
      <c r="BG692" s="12"/>
      <c r="BH692" s="12" t="str">
        <f>IFERROR(__xludf.DUMMYFUNCTION("IFERROR(INDEX(QUERY(IMPORTRANGE(""1T7HG8KEs-Ob7f3M5atEVN9Yn7IeORGp0QGvggB62ELw"",""Maestro!A:I""),""SELECT Col8 WHERE Col3 = '""&amp;BE692&amp;""'"", 0), 1, 1),""NO ENCONTRADO"")"),"")</f>
        <v/>
      </c>
      <c r="BI692" s="12" t="str">
        <f>IFERROR(__xludf.DUMMYFUNCTION("IFERROR(INDEX(QUERY(IMPORTRANGE(""1T7HG8KEs-Ob7f3M5atEVN9Yn7IeORGp0QGvggB62ELw"",""Maestro!A:I""),""SELECT Col7 WHERE Col3 = '""&amp;BE692&amp;""'"", 0), 1, 1),""NO ENCONTRADO"")"),"")</f>
        <v/>
      </c>
      <c r="BJ692" s="16">
        <f t="shared" si="15"/>
        <v>0</v>
      </c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4"/>
      <c r="BX692" s="14"/>
      <c r="BY692" s="14"/>
      <c r="BZ692" s="14"/>
      <c r="CA692" s="14"/>
      <c r="CB692" s="14"/>
      <c r="CC692" s="14"/>
      <c r="CD692" s="14"/>
      <c r="CE692" s="14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</row>
    <row r="693">
      <c r="A693" s="12"/>
      <c r="B693" s="14"/>
      <c r="C693" s="14"/>
      <c r="D693" s="14"/>
      <c r="E693" s="12"/>
      <c r="F693" s="307"/>
      <c r="G693" s="307"/>
      <c r="H693" s="12"/>
      <c r="I693" s="30"/>
      <c r="J693" s="12"/>
      <c r="K693" s="12"/>
      <c r="L693" s="12"/>
      <c r="M693" s="12"/>
      <c r="N693" s="12"/>
      <c r="O693" s="308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4"/>
      <c r="BF693" s="12"/>
      <c r="BG693" s="12"/>
      <c r="BH693" s="12" t="str">
        <f>IFERROR(__xludf.DUMMYFUNCTION("IFERROR(INDEX(QUERY(IMPORTRANGE(""1T7HG8KEs-Ob7f3M5atEVN9Yn7IeORGp0QGvggB62ELw"",""Maestro!A:I""),""SELECT Col8 WHERE Col3 = '""&amp;BE693&amp;""'"", 0), 1, 1),""NO ENCONTRADO"")"),"")</f>
        <v/>
      </c>
      <c r="BI693" s="12" t="str">
        <f>IFERROR(__xludf.DUMMYFUNCTION("IFERROR(INDEX(QUERY(IMPORTRANGE(""1T7HG8KEs-Ob7f3M5atEVN9Yn7IeORGp0QGvggB62ELw"",""Maestro!A:I""),""SELECT Col7 WHERE Col3 = '""&amp;BE693&amp;""'"", 0), 1, 1),""NO ENCONTRADO"")"),"")</f>
        <v/>
      </c>
      <c r="BJ693" s="16">
        <f t="shared" si="15"/>
        <v>0</v>
      </c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4"/>
      <c r="BX693" s="14"/>
      <c r="BY693" s="14"/>
      <c r="BZ693" s="14"/>
      <c r="CA693" s="14"/>
      <c r="CB693" s="14"/>
      <c r="CC693" s="14"/>
      <c r="CD693" s="14"/>
      <c r="CE693" s="14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</row>
    <row r="694">
      <c r="A694" s="12"/>
      <c r="B694" s="14"/>
      <c r="C694" s="14"/>
      <c r="D694" s="14"/>
      <c r="E694" s="12"/>
      <c r="F694" s="307"/>
      <c r="G694" s="307"/>
      <c r="H694" s="12"/>
      <c r="I694" s="30"/>
      <c r="J694" s="12"/>
      <c r="K694" s="12"/>
      <c r="L694" s="12"/>
      <c r="M694" s="12"/>
      <c r="N694" s="12"/>
      <c r="O694" s="308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4"/>
      <c r="BF694" s="12"/>
      <c r="BG694" s="12"/>
      <c r="BH694" s="12" t="str">
        <f>IFERROR(__xludf.DUMMYFUNCTION("IFERROR(INDEX(QUERY(IMPORTRANGE(""1T7HG8KEs-Ob7f3M5atEVN9Yn7IeORGp0QGvggB62ELw"",""Maestro!A:I""),""SELECT Col8 WHERE Col3 = '""&amp;BE694&amp;""'"", 0), 1, 1),""NO ENCONTRADO"")"),"")</f>
        <v/>
      </c>
      <c r="BI694" s="12" t="str">
        <f>IFERROR(__xludf.DUMMYFUNCTION("IFERROR(INDEX(QUERY(IMPORTRANGE(""1T7HG8KEs-Ob7f3M5atEVN9Yn7IeORGp0QGvggB62ELw"",""Maestro!A:I""),""SELECT Col7 WHERE Col3 = '""&amp;BE694&amp;""'"", 0), 1, 1),""NO ENCONTRADO"")"),"")</f>
        <v/>
      </c>
      <c r="BJ694" s="16">
        <f t="shared" si="15"/>
        <v>0</v>
      </c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4"/>
      <c r="BX694" s="14"/>
      <c r="BY694" s="14"/>
      <c r="BZ694" s="14"/>
      <c r="CA694" s="14"/>
      <c r="CB694" s="14"/>
      <c r="CC694" s="14"/>
      <c r="CD694" s="14"/>
      <c r="CE694" s="14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</row>
    <row r="695">
      <c r="A695" s="12"/>
      <c r="B695" s="14"/>
      <c r="C695" s="14"/>
      <c r="D695" s="14"/>
      <c r="E695" s="12"/>
      <c r="F695" s="307"/>
      <c r="G695" s="307"/>
      <c r="H695" s="12"/>
      <c r="I695" s="30"/>
      <c r="J695" s="12"/>
      <c r="K695" s="12"/>
      <c r="L695" s="12"/>
      <c r="M695" s="12"/>
      <c r="N695" s="12"/>
      <c r="O695" s="308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4"/>
      <c r="BF695" s="12"/>
      <c r="BG695" s="12"/>
      <c r="BH695" s="12" t="str">
        <f>IFERROR(__xludf.DUMMYFUNCTION("IFERROR(INDEX(QUERY(IMPORTRANGE(""1T7HG8KEs-Ob7f3M5atEVN9Yn7IeORGp0QGvggB62ELw"",""Maestro!A:I""),""SELECT Col8 WHERE Col3 = '""&amp;BE695&amp;""'"", 0), 1, 1),""NO ENCONTRADO"")"),"")</f>
        <v/>
      </c>
      <c r="BI695" s="12" t="str">
        <f>IFERROR(__xludf.DUMMYFUNCTION("IFERROR(INDEX(QUERY(IMPORTRANGE(""1T7HG8KEs-Ob7f3M5atEVN9Yn7IeORGp0QGvggB62ELw"",""Maestro!A:I""),""SELECT Col7 WHERE Col3 = '""&amp;BE695&amp;""'"", 0), 1, 1),""NO ENCONTRADO"")"),"")</f>
        <v/>
      </c>
      <c r="BJ695" s="16">
        <f t="shared" si="15"/>
        <v>0</v>
      </c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4"/>
      <c r="BX695" s="14"/>
      <c r="BY695" s="14"/>
      <c r="BZ695" s="14"/>
      <c r="CA695" s="14"/>
      <c r="CB695" s="14"/>
      <c r="CC695" s="14"/>
      <c r="CD695" s="14"/>
      <c r="CE695" s="14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</row>
    <row r="696">
      <c r="A696" s="12"/>
      <c r="B696" s="14"/>
      <c r="C696" s="14"/>
      <c r="D696" s="14"/>
      <c r="E696" s="12"/>
      <c r="F696" s="307"/>
      <c r="G696" s="307"/>
      <c r="H696" s="12"/>
      <c r="I696" s="30"/>
      <c r="J696" s="12"/>
      <c r="K696" s="12"/>
      <c r="L696" s="12"/>
      <c r="M696" s="12"/>
      <c r="N696" s="12"/>
      <c r="O696" s="308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4"/>
      <c r="BF696" s="12"/>
      <c r="BG696" s="12"/>
      <c r="BH696" s="12" t="str">
        <f>IFERROR(__xludf.DUMMYFUNCTION("IFERROR(INDEX(QUERY(IMPORTRANGE(""1T7HG8KEs-Ob7f3M5atEVN9Yn7IeORGp0QGvggB62ELw"",""Maestro!A:I""),""SELECT Col8 WHERE Col3 = '""&amp;BE696&amp;""'"", 0), 1, 1),""NO ENCONTRADO"")"),"")</f>
        <v/>
      </c>
      <c r="BI696" s="12" t="str">
        <f>IFERROR(__xludf.DUMMYFUNCTION("IFERROR(INDEX(QUERY(IMPORTRANGE(""1T7HG8KEs-Ob7f3M5atEVN9Yn7IeORGp0QGvggB62ELw"",""Maestro!A:I""),""SELECT Col7 WHERE Col3 = '""&amp;BE696&amp;""'"", 0), 1, 1),""NO ENCONTRADO"")"),"")</f>
        <v/>
      </c>
      <c r="BJ696" s="16">
        <f t="shared" si="15"/>
        <v>0</v>
      </c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4"/>
      <c r="BX696" s="14"/>
      <c r="BY696" s="14"/>
      <c r="BZ696" s="14"/>
      <c r="CA696" s="14"/>
      <c r="CB696" s="14"/>
      <c r="CC696" s="14"/>
      <c r="CD696" s="14"/>
      <c r="CE696" s="14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</row>
    <row r="697">
      <c r="A697" s="12"/>
      <c r="B697" s="14"/>
      <c r="C697" s="14"/>
      <c r="D697" s="14"/>
      <c r="E697" s="12"/>
      <c r="F697" s="307"/>
      <c r="G697" s="307"/>
      <c r="H697" s="12"/>
      <c r="I697" s="30"/>
      <c r="J697" s="12"/>
      <c r="K697" s="12"/>
      <c r="L697" s="12"/>
      <c r="M697" s="12"/>
      <c r="N697" s="12"/>
      <c r="O697" s="308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4"/>
      <c r="BF697" s="12"/>
      <c r="BG697" s="12"/>
      <c r="BH697" s="12" t="str">
        <f>IFERROR(__xludf.DUMMYFUNCTION("IFERROR(INDEX(QUERY(IMPORTRANGE(""1T7HG8KEs-Ob7f3M5atEVN9Yn7IeORGp0QGvggB62ELw"",""Maestro!A:I""),""SELECT Col8 WHERE Col3 = '""&amp;BE697&amp;""'"", 0), 1, 1),""NO ENCONTRADO"")"),"")</f>
        <v/>
      </c>
      <c r="BI697" s="12" t="str">
        <f>IFERROR(__xludf.DUMMYFUNCTION("IFERROR(INDEX(QUERY(IMPORTRANGE(""1T7HG8KEs-Ob7f3M5atEVN9Yn7IeORGp0QGvggB62ELw"",""Maestro!A:I""),""SELECT Col7 WHERE Col3 = '""&amp;BE697&amp;""'"", 0), 1, 1),""NO ENCONTRADO"")"),"")</f>
        <v/>
      </c>
      <c r="BJ697" s="16">
        <f t="shared" si="15"/>
        <v>0</v>
      </c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4"/>
      <c r="BX697" s="14"/>
      <c r="BY697" s="14"/>
      <c r="BZ697" s="14"/>
      <c r="CA697" s="14"/>
      <c r="CB697" s="14"/>
      <c r="CC697" s="14"/>
      <c r="CD697" s="14"/>
      <c r="CE697" s="14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</row>
    <row r="698">
      <c r="A698" s="12"/>
      <c r="B698" s="14"/>
      <c r="C698" s="14"/>
      <c r="D698" s="14"/>
      <c r="E698" s="12"/>
      <c r="F698" s="307"/>
      <c r="G698" s="307"/>
      <c r="H698" s="12"/>
      <c r="I698" s="30"/>
      <c r="J698" s="12"/>
      <c r="K698" s="12"/>
      <c r="L698" s="12"/>
      <c r="M698" s="12"/>
      <c r="N698" s="12"/>
      <c r="O698" s="308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4"/>
      <c r="BF698" s="12"/>
      <c r="BG698" s="12"/>
      <c r="BH698" s="12" t="str">
        <f>IFERROR(__xludf.DUMMYFUNCTION("IFERROR(INDEX(QUERY(IMPORTRANGE(""1T7HG8KEs-Ob7f3M5atEVN9Yn7IeORGp0QGvggB62ELw"",""Maestro!A:I""),""SELECT Col8 WHERE Col3 = '""&amp;BE698&amp;""'"", 0), 1, 1),""NO ENCONTRADO"")"),"")</f>
        <v/>
      </c>
      <c r="BI698" s="12" t="str">
        <f>IFERROR(__xludf.DUMMYFUNCTION("IFERROR(INDEX(QUERY(IMPORTRANGE(""1T7HG8KEs-Ob7f3M5atEVN9Yn7IeORGp0QGvggB62ELw"",""Maestro!A:I""),""SELECT Col7 WHERE Col3 = '""&amp;BE698&amp;""'"", 0), 1, 1),""NO ENCONTRADO"")"),"")</f>
        <v/>
      </c>
      <c r="BJ698" s="16">
        <f t="shared" si="15"/>
        <v>0</v>
      </c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4"/>
      <c r="BX698" s="14"/>
      <c r="BY698" s="14"/>
      <c r="BZ698" s="14"/>
      <c r="CA698" s="14"/>
      <c r="CB698" s="14"/>
      <c r="CC698" s="14"/>
      <c r="CD698" s="14"/>
      <c r="CE698" s="14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</row>
    <row r="699">
      <c r="A699" s="12"/>
      <c r="B699" s="14"/>
      <c r="C699" s="14"/>
      <c r="D699" s="14"/>
      <c r="E699" s="12"/>
      <c r="F699" s="307"/>
      <c r="G699" s="307"/>
      <c r="H699" s="12"/>
      <c r="I699" s="30"/>
      <c r="J699" s="12"/>
      <c r="K699" s="12"/>
      <c r="L699" s="12"/>
      <c r="M699" s="12"/>
      <c r="N699" s="12"/>
      <c r="O699" s="308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4"/>
      <c r="BF699" s="12"/>
      <c r="BG699" s="12"/>
      <c r="BH699" s="12" t="str">
        <f>IFERROR(__xludf.DUMMYFUNCTION("IFERROR(INDEX(QUERY(IMPORTRANGE(""1T7HG8KEs-Ob7f3M5atEVN9Yn7IeORGp0QGvggB62ELw"",""Maestro!A:I""),""SELECT Col8 WHERE Col3 = '""&amp;BE699&amp;""'"", 0), 1, 1),""NO ENCONTRADO"")"),"")</f>
        <v/>
      </c>
      <c r="BI699" s="12" t="str">
        <f>IFERROR(__xludf.DUMMYFUNCTION("IFERROR(INDEX(QUERY(IMPORTRANGE(""1T7HG8KEs-Ob7f3M5atEVN9Yn7IeORGp0QGvggB62ELw"",""Maestro!A:I""),""SELECT Col7 WHERE Col3 = '""&amp;BE699&amp;""'"", 0), 1, 1),""NO ENCONTRADO"")"),"")</f>
        <v/>
      </c>
      <c r="BJ699" s="16">
        <f t="shared" si="15"/>
        <v>0</v>
      </c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4"/>
      <c r="BX699" s="14"/>
      <c r="BY699" s="14"/>
      <c r="BZ699" s="14"/>
      <c r="CA699" s="14"/>
      <c r="CB699" s="14"/>
      <c r="CC699" s="14"/>
      <c r="CD699" s="14"/>
      <c r="CE699" s="14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</row>
    <row r="700">
      <c r="A700" s="12"/>
      <c r="B700" s="14"/>
      <c r="C700" s="14"/>
      <c r="D700" s="14"/>
      <c r="E700" s="12"/>
      <c r="F700" s="307"/>
      <c r="G700" s="307"/>
      <c r="H700" s="12"/>
      <c r="I700" s="30"/>
      <c r="J700" s="12"/>
      <c r="K700" s="12"/>
      <c r="L700" s="12"/>
      <c r="M700" s="12"/>
      <c r="N700" s="12"/>
      <c r="O700" s="308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4"/>
      <c r="BF700" s="12"/>
      <c r="BG700" s="12"/>
      <c r="BH700" s="12" t="str">
        <f>IFERROR(__xludf.DUMMYFUNCTION("IFERROR(INDEX(QUERY(IMPORTRANGE(""1T7HG8KEs-Ob7f3M5atEVN9Yn7IeORGp0QGvggB62ELw"",""Maestro!A:I""),""SELECT Col8 WHERE Col3 = '""&amp;BE700&amp;""'"", 0), 1, 1),""NO ENCONTRADO"")"),"")</f>
        <v/>
      </c>
      <c r="BI700" s="12" t="str">
        <f>IFERROR(__xludf.DUMMYFUNCTION("IFERROR(INDEX(QUERY(IMPORTRANGE(""1T7HG8KEs-Ob7f3M5atEVN9Yn7IeORGp0QGvggB62ELw"",""Maestro!A:I""),""SELECT Col7 WHERE Col3 = '""&amp;BE700&amp;""'"", 0), 1, 1),""NO ENCONTRADO"")"),"")</f>
        <v/>
      </c>
      <c r="BJ700" s="16">
        <f t="shared" si="15"/>
        <v>0</v>
      </c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4"/>
      <c r="BX700" s="14"/>
      <c r="BY700" s="14"/>
      <c r="BZ700" s="14"/>
      <c r="CA700" s="14"/>
      <c r="CB700" s="14"/>
      <c r="CC700" s="14"/>
      <c r="CD700" s="14"/>
      <c r="CE700" s="14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</row>
    <row r="701">
      <c r="A701" s="12"/>
      <c r="B701" s="14"/>
      <c r="C701" s="14"/>
      <c r="D701" s="14"/>
      <c r="E701" s="12"/>
      <c r="F701" s="307"/>
      <c r="G701" s="307"/>
      <c r="H701" s="12"/>
      <c r="I701" s="30"/>
      <c r="J701" s="12"/>
      <c r="K701" s="12"/>
      <c r="L701" s="12"/>
      <c r="M701" s="12"/>
      <c r="N701" s="12"/>
      <c r="O701" s="308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4"/>
      <c r="BF701" s="12"/>
      <c r="BG701" s="12"/>
      <c r="BH701" s="12" t="str">
        <f>IFERROR(__xludf.DUMMYFUNCTION("IFERROR(INDEX(QUERY(IMPORTRANGE(""1T7HG8KEs-Ob7f3M5atEVN9Yn7IeORGp0QGvggB62ELw"",""Maestro!A:I""),""SELECT Col8 WHERE Col3 = '""&amp;BE701&amp;""'"", 0), 1, 1),""NO ENCONTRADO"")"),"")</f>
        <v/>
      </c>
      <c r="BI701" s="12" t="str">
        <f>IFERROR(__xludf.DUMMYFUNCTION("IFERROR(INDEX(QUERY(IMPORTRANGE(""1T7HG8KEs-Ob7f3M5atEVN9Yn7IeORGp0QGvggB62ELw"",""Maestro!A:I""),""SELECT Col7 WHERE Col3 = '""&amp;BE701&amp;""'"", 0), 1, 1),""NO ENCONTRADO"")"),"")</f>
        <v/>
      </c>
      <c r="BJ701" s="16">
        <f t="shared" si="15"/>
        <v>0</v>
      </c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4"/>
      <c r="BX701" s="14"/>
      <c r="BY701" s="14"/>
      <c r="BZ701" s="14"/>
      <c r="CA701" s="14"/>
      <c r="CB701" s="14"/>
      <c r="CC701" s="14"/>
      <c r="CD701" s="14"/>
      <c r="CE701" s="14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</row>
    <row r="702">
      <c r="A702" s="12"/>
      <c r="B702" s="14"/>
      <c r="C702" s="14"/>
      <c r="D702" s="14"/>
      <c r="E702" s="12"/>
      <c r="F702" s="307"/>
      <c r="G702" s="307"/>
      <c r="H702" s="12"/>
      <c r="I702" s="30"/>
      <c r="J702" s="12"/>
      <c r="K702" s="12"/>
      <c r="L702" s="12"/>
      <c r="M702" s="12"/>
      <c r="N702" s="12"/>
      <c r="O702" s="308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4"/>
      <c r="BF702" s="12"/>
      <c r="BG702" s="12"/>
      <c r="BH702" s="12" t="str">
        <f>IFERROR(__xludf.DUMMYFUNCTION("IFERROR(INDEX(QUERY(IMPORTRANGE(""1T7HG8KEs-Ob7f3M5atEVN9Yn7IeORGp0QGvggB62ELw"",""Maestro!A:I""),""SELECT Col8 WHERE Col3 = '""&amp;BE702&amp;""'"", 0), 1, 1),""NO ENCONTRADO"")"),"")</f>
        <v/>
      </c>
      <c r="BI702" s="12" t="str">
        <f>IFERROR(__xludf.DUMMYFUNCTION("IFERROR(INDEX(QUERY(IMPORTRANGE(""1T7HG8KEs-Ob7f3M5atEVN9Yn7IeORGp0QGvggB62ELw"",""Maestro!A:I""),""SELECT Col7 WHERE Col3 = '""&amp;BE702&amp;""'"", 0), 1, 1),""NO ENCONTRADO"")"),"")</f>
        <v/>
      </c>
      <c r="BJ702" s="16">
        <f t="shared" si="15"/>
        <v>0</v>
      </c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4"/>
      <c r="BX702" s="14"/>
      <c r="BY702" s="14"/>
      <c r="BZ702" s="14"/>
      <c r="CA702" s="14"/>
      <c r="CB702" s="14"/>
      <c r="CC702" s="14"/>
      <c r="CD702" s="14"/>
      <c r="CE702" s="14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</row>
    <row r="703">
      <c r="A703" s="12"/>
      <c r="B703" s="14"/>
      <c r="C703" s="14"/>
      <c r="D703" s="14"/>
      <c r="E703" s="12"/>
      <c r="F703" s="307"/>
      <c r="G703" s="307"/>
      <c r="H703" s="12"/>
      <c r="I703" s="30"/>
      <c r="J703" s="12"/>
      <c r="K703" s="12"/>
      <c r="L703" s="12"/>
      <c r="M703" s="12"/>
      <c r="N703" s="12"/>
      <c r="O703" s="308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4"/>
      <c r="BF703" s="12"/>
      <c r="BG703" s="12"/>
      <c r="BH703" s="12" t="str">
        <f>IFERROR(__xludf.DUMMYFUNCTION("IFERROR(INDEX(QUERY(IMPORTRANGE(""1T7HG8KEs-Ob7f3M5atEVN9Yn7IeORGp0QGvggB62ELw"",""Maestro!A:I""),""SELECT Col8 WHERE Col3 = '""&amp;BE703&amp;""'"", 0), 1, 1),""NO ENCONTRADO"")"),"")</f>
        <v/>
      </c>
      <c r="BI703" s="12" t="str">
        <f>IFERROR(__xludf.DUMMYFUNCTION("IFERROR(INDEX(QUERY(IMPORTRANGE(""1T7HG8KEs-Ob7f3M5atEVN9Yn7IeORGp0QGvggB62ELw"",""Maestro!A:I""),""SELECT Col7 WHERE Col3 = '""&amp;BE703&amp;""'"", 0), 1, 1),""NO ENCONTRADO"")"),"")</f>
        <v/>
      </c>
      <c r="BJ703" s="16">
        <f t="shared" si="15"/>
        <v>0</v>
      </c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4"/>
      <c r="BX703" s="14"/>
      <c r="BY703" s="14"/>
      <c r="BZ703" s="14"/>
      <c r="CA703" s="14"/>
      <c r="CB703" s="14"/>
      <c r="CC703" s="14"/>
      <c r="CD703" s="14"/>
      <c r="CE703" s="14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</row>
    <row r="704">
      <c r="A704" s="12"/>
      <c r="B704" s="14"/>
      <c r="C704" s="14"/>
      <c r="D704" s="14"/>
      <c r="E704" s="12"/>
      <c r="F704" s="307"/>
      <c r="G704" s="307"/>
      <c r="H704" s="12"/>
      <c r="I704" s="30"/>
      <c r="J704" s="12"/>
      <c r="K704" s="12"/>
      <c r="L704" s="12"/>
      <c r="M704" s="12"/>
      <c r="N704" s="12"/>
      <c r="O704" s="308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4"/>
      <c r="BF704" s="12"/>
      <c r="BG704" s="12"/>
      <c r="BH704" s="12" t="str">
        <f>IFERROR(__xludf.DUMMYFUNCTION("IFERROR(INDEX(QUERY(IMPORTRANGE(""1T7HG8KEs-Ob7f3M5atEVN9Yn7IeORGp0QGvggB62ELw"",""Maestro!A:I""),""SELECT Col8 WHERE Col3 = '""&amp;BE704&amp;""'"", 0), 1, 1),""NO ENCONTRADO"")"),"")</f>
        <v/>
      </c>
      <c r="BI704" s="12" t="str">
        <f>IFERROR(__xludf.DUMMYFUNCTION("IFERROR(INDEX(QUERY(IMPORTRANGE(""1T7HG8KEs-Ob7f3M5atEVN9Yn7IeORGp0QGvggB62ELw"",""Maestro!A:I""),""SELECT Col7 WHERE Col3 = '""&amp;BE704&amp;""'"", 0), 1, 1),""NO ENCONTRADO"")"),"")</f>
        <v/>
      </c>
      <c r="BJ704" s="16">
        <f t="shared" si="15"/>
        <v>0</v>
      </c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4"/>
      <c r="BX704" s="14"/>
      <c r="BY704" s="14"/>
      <c r="BZ704" s="14"/>
      <c r="CA704" s="14"/>
      <c r="CB704" s="14"/>
      <c r="CC704" s="14"/>
      <c r="CD704" s="14"/>
      <c r="CE704" s="14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</row>
    <row r="705">
      <c r="A705" s="12"/>
      <c r="B705" s="14"/>
      <c r="C705" s="14"/>
      <c r="D705" s="14"/>
      <c r="E705" s="12"/>
      <c r="F705" s="307"/>
      <c r="G705" s="307"/>
      <c r="H705" s="12"/>
      <c r="I705" s="30"/>
      <c r="J705" s="12"/>
      <c r="K705" s="12"/>
      <c r="L705" s="12"/>
      <c r="M705" s="12"/>
      <c r="N705" s="12"/>
      <c r="O705" s="308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4"/>
      <c r="BF705" s="12"/>
      <c r="BG705" s="12"/>
      <c r="BH705" s="12" t="str">
        <f>IFERROR(__xludf.DUMMYFUNCTION("IFERROR(INDEX(QUERY(IMPORTRANGE(""1T7HG8KEs-Ob7f3M5atEVN9Yn7IeORGp0QGvggB62ELw"",""Maestro!A:I""),""SELECT Col8 WHERE Col3 = '""&amp;BE705&amp;""'"", 0), 1, 1),""NO ENCONTRADO"")"),"")</f>
        <v/>
      </c>
      <c r="BI705" s="12" t="str">
        <f>IFERROR(__xludf.DUMMYFUNCTION("IFERROR(INDEX(QUERY(IMPORTRANGE(""1T7HG8KEs-Ob7f3M5atEVN9Yn7IeORGp0QGvggB62ELw"",""Maestro!A:I""),""SELECT Col7 WHERE Col3 = '""&amp;BE705&amp;""'"", 0), 1, 1),""NO ENCONTRADO"")"),"")</f>
        <v/>
      </c>
      <c r="BJ705" s="16">
        <f t="shared" si="15"/>
        <v>0</v>
      </c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4"/>
      <c r="BX705" s="14"/>
      <c r="BY705" s="14"/>
      <c r="BZ705" s="14"/>
      <c r="CA705" s="14"/>
      <c r="CB705" s="14"/>
      <c r="CC705" s="14"/>
      <c r="CD705" s="14"/>
      <c r="CE705" s="14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</row>
    <row r="706">
      <c r="A706" s="12"/>
      <c r="B706" s="14"/>
      <c r="C706" s="14"/>
      <c r="D706" s="14"/>
      <c r="E706" s="12"/>
      <c r="F706" s="307"/>
      <c r="G706" s="307"/>
      <c r="H706" s="12"/>
      <c r="I706" s="30"/>
      <c r="J706" s="12"/>
      <c r="K706" s="12"/>
      <c r="L706" s="12"/>
      <c r="M706" s="12"/>
      <c r="N706" s="12"/>
      <c r="O706" s="308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4"/>
      <c r="BF706" s="12"/>
      <c r="BG706" s="12"/>
      <c r="BH706" s="12" t="str">
        <f>IFERROR(__xludf.DUMMYFUNCTION("IFERROR(INDEX(QUERY(IMPORTRANGE(""1T7HG8KEs-Ob7f3M5atEVN9Yn7IeORGp0QGvggB62ELw"",""Maestro!A:I""),""SELECT Col8 WHERE Col3 = '""&amp;BE706&amp;""'"", 0), 1, 1),""NO ENCONTRADO"")"),"")</f>
        <v/>
      </c>
      <c r="BI706" s="12" t="str">
        <f>IFERROR(__xludf.DUMMYFUNCTION("IFERROR(INDEX(QUERY(IMPORTRANGE(""1T7HG8KEs-Ob7f3M5atEVN9Yn7IeORGp0QGvggB62ELw"",""Maestro!A:I""),""SELECT Col7 WHERE Col3 = '""&amp;BE706&amp;""'"", 0), 1, 1),""NO ENCONTRADO"")"),"")</f>
        <v/>
      </c>
      <c r="BJ706" s="16">
        <f t="shared" si="15"/>
        <v>0</v>
      </c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4"/>
      <c r="BX706" s="14"/>
      <c r="BY706" s="14"/>
      <c r="BZ706" s="14"/>
      <c r="CA706" s="14"/>
      <c r="CB706" s="14"/>
      <c r="CC706" s="14"/>
      <c r="CD706" s="14"/>
      <c r="CE706" s="14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</row>
    <row r="707">
      <c r="A707" s="12"/>
      <c r="B707" s="14"/>
      <c r="C707" s="14"/>
      <c r="D707" s="14"/>
      <c r="E707" s="12"/>
      <c r="F707" s="307"/>
      <c r="G707" s="307"/>
      <c r="H707" s="12"/>
      <c r="I707" s="30"/>
      <c r="J707" s="12"/>
      <c r="K707" s="12"/>
      <c r="L707" s="12"/>
      <c r="M707" s="12"/>
      <c r="N707" s="12"/>
      <c r="O707" s="308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4"/>
      <c r="BF707" s="12"/>
      <c r="BG707" s="12"/>
      <c r="BH707" s="12" t="str">
        <f>IFERROR(__xludf.DUMMYFUNCTION("IFERROR(INDEX(QUERY(IMPORTRANGE(""1T7HG8KEs-Ob7f3M5atEVN9Yn7IeORGp0QGvggB62ELw"",""Maestro!A:I""),""SELECT Col8 WHERE Col3 = '""&amp;BE707&amp;""'"", 0), 1, 1),""NO ENCONTRADO"")"),"")</f>
        <v/>
      </c>
      <c r="BI707" s="12" t="str">
        <f>IFERROR(__xludf.DUMMYFUNCTION("IFERROR(INDEX(QUERY(IMPORTRANGE(""1T7HG8KEs-Ob7f3M5atEVN9Yn7IeORGp0QGvggB62ELw"",""Maestro!A:I""),""SELECT Col7 WHERE Col3 = '""&amp;BE707&amp;""'"", 0), 1, 1),""NO ENCONTRADO"")"),"")</f>
        <v/>
      </c>
      <c r="BJ707" s="16">
        <f t="shared" si="15"/>
        <v>0</v>
      </c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4"/>
      <c r="BX707" s="14"/>
      <c r="BY707" s="14"/>
      <c r="BZ707" s="14"/>
      <c r="CA707" s="14"/>
      <c r="CB707" s="14"/>
      <c r="CC707" s="14"/>
      <c r="CD707" s="14"/>
      <c r="CE707" s="14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</row>
    <row r="708">
      <c r="A708" s="12"/>
      <c r="B708" s="14"/>
      <c r="C708" s="14"/>
      <c r="D708" s="14"/>
      <c r="E708" s="12"/>
      <c r="F708" s="307"/>
      <c r="G708" s="307"/>
      <c r="H708" s="12"/>
      <c r="I708" s="30"/>
      <c r="J708" s="12"/>
      <c r="K708" s="12"/>
      <c r="L708" s="12"/>
      <c r="M708" s="12"/>
      <c r="N708" s="12"/>
      <c r="O708" s="308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4"/>
      <c r="BF708" s="12"/>
      <c r="BG708" s="12"/>
      <c r="BH708" s="12" t="str">
        <f>IFERROR(__xludf.DUMMYFUNCTION("IFERROR(INDEX(QUERY(IMPORTRANGE(""1T7HG8KEs-Ob7f3M5atEVN9Yn7IeORGp0QGvggB62ELw"",""Maestro!A:I""),""SELECT Col8 WHERE Col3 = '""&amp;BE708&amp;""'"", 0), 1, 1),""NO ENCONTRADO"")"),"")</f>
        <v/>
      </c>
      <c r="BI708" s="12" t="str">
        <f>IFERROR(__xludf.DUMMYFUNCTION("IFERROR(INDEX(QUERY(IMPORTRANGE(""1T7HG8KEs-Ob7f3M5atEVN9Yn7IeORGp0QGvggB62ELw"",""Maestro!A:I""),""SELECT Col7 WHERE Col3 = '""&amp;BE708&amp;""'"", 0), 1, 1),""NO ENCONTRADO"")"),"")</f>
        <v/>
      </c>
      <c r="BJ708" s="16">
        <f t="shared" si="15"/>
        <v>0</v>
      </c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4"/>
      <c r="BX708" s="14"/>
      <c r="BY708" s="14"/>
      <c r="BZ708" s="14"/>
      <c r="CA708" s="14"/>
      <c r="CB708" s="14"/>
      <c r="CC708" s="14"/>
      <c r="CD708" s="14"/>
      <c r="CE708" s="14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</row>
    <row r="709">
      <c r="A709" s="12"/>
      <c r="B709" s="14"/>
      <c r="C709" s="14"/>
      <c r="D709" s="14"/>
      <c r="E709" s="12"/>
      <c r="F709" s="307"/>
      <c r="G709" s="307"/>
      <c r="H709" s="12"/>
      <c r="I709" s="30"/>
      <c r="J709" s="12"/>
      <c r="K709" s="12"/>
      <c r="L709" s="12"/>
      <c r="M709" s="12"/>
      <c r="N709" s="12"/>
      <c r="O709" s="308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4"/>
      <c r="BF709" s="12"/>
      <c r="BG709" s="12"/>
      <c r="BH709" s="12" t="str">
        <f>IFERROR(__xludf.DUMMYFUNCTION("IFERROR(INDEX(QUERY(IMPORTRANGE(""1T7HG8KEs-Ob7f3M5atEVN9Yn7IeORGp0QGvggB62ELw"",""Maestro!A:I""),""SELECT Col8 WHERE Col3 = '""&amp;BE709&amp;""'"", 0), 1, 1),""NO ENCONTRADO"")"),"")</f>
        <v/>
      </c>
      <c r="BI709" s="12" t="str">
        <f>IFERROR(__xludf.DUMMYFUNCTION("IFERROR(INDEX(QUERY(IMPORTRANGE(""1T7HG8KEs-Ob7f3M5atEVN9Yn7IeORGp0QGvggB62ELw"",""Maestro!A:I""),""SELECT Col7 WHERE Col3 = '""&amp;BE709&amp;""'"", 0), 1, 1),""NO ENCONTRADO"")"),"")</f>
        <v/>
      </c>
      <c r="BJ709" s="16">
        <f t="shared" si="15"/>
        <v>0</v>
      </c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4"/>
      <c r="BX709" s="14"/>
      <c r="BY709" s="14"/>
      <c r="BZ709" s="14"/>
      <c r="CA709" s="14"/>
      <c r="CB709" s="14"/>
      <c r="CC709" s="14"/>
      <c r="CD709" s="14"/>
      <c r="CE709" s="14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</row>
    <row r="710">
      <c r="A710" s="12"/>
      <c r="B710" s="14"/>
      <c r="C710" s="14"/>
      <c r="D710" s="14"/>
      <c r="E710" s="12"/>
      <c r="F710" s="307"/>
      <c r="G710" s="307"/>
      <c r="H710" s="12"/>
      <c r="I710" s="30"/>
      <c r="J710" s="12"/>
      <c r="K710" s="12"/>
      <c r="L710" s="12"/>
      <c r="M710" s="12"/>
      <c r="N710" s="12"/>
      <c r="O710" s="308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4"/>
      <c r="BF710" s="12"/>
      <c r="BG710" s="12"/>
      <c r="BH710" s="12" t="str">
        <f>IFERROR(__xludf.DUMMYFUNCTION("IFERROR(INDEX(QUERY(IMPORTRANGE(""1T7HG8KEs-Ob7f3M5atEVN9Yn7IeORGp0QGvggB62ELw"",""Maestro!A:I""),""SELECT Col8 WHERE Col3 = '""&amp;BE710&amp;""'"", 0), 1, 1),""NO ENCONTRADO"")"),"")</f>
        <v/>
      </c>
      <c r="BI710" s="12" t="str">
        <f>IFERROR(__xludf.DUMMYFUNCTION("IFERROR(INDEX(QUERY(IMPORTRANGE(""1T7HG8KEs-Ob7f3M5atEVN9Yn7IeORGp0QGvggB62ELw"",""Maestro!A:I""),""SELECT Col7 WHERE Col3 = '""&amp;BE710&amp;""'"", 0), 1, 1),""NO ENCONTRADO"")"),"")</f>
        <v/>
      </c>
      <c r="BJ710" s="16">
        <f t="shared" si="15"/>
        <v>0</v>
      </c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4"/>
      <c r="BX710" s="14"/>
      <c r="BY710" s="14"/>
      <c r="BZ710" s="14"/>
      <c r="CA710" s="14"/>
      <c r="CB710" s="14"/>
      <c r="CC710" s="14"/>
      <c r="CD710" s="14"/>
      <c r="CE710" s="14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</row>
    <row r="711">
      <c r="A711" s="12"/>
      <c r="B711" s="14"/>
      <c r="C711" s="14"/>
      <c r="D711" s="14"/>
      <c r="E711" s="12"/>
      <c r="F711" s="307"/>
      <c r="G711" s="307"/>
      <c r="H711" s="12"/>
      <c r="I711" s="30"/>
      <c r="J711" s="12"/>
      <c r="K711" s="12"/>
      <c r="L711" s="12"/>
      <c r="M711" s="12"/>
      <c r="N711" s="12"/>
      <c r="O711" s="308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4"/>
      <c r="BF711" s="12"/>
      <c r="BG711" s="12"/>
      <c r="BH711" s="12" t="str">
        <f>IFERROR(__xludf.DUMMYFUNCTION("IFERROR(INDEX(QUERY(IMPORTRANGE(""1T7HG8KEs-Ob7f3M5atEVN9Yn7IeORGp0QGvggB62ELw"",""Maestro!A:I""),""SELECT Col8 WHERE Col3 = '""&amp;BE711&amp;""'"", 0), 1, 1),""NO ENCONTRADO"")"),"")</f>
        <v/>
      </c>
      <c r="BI711" s="12" t="str">
        <f>IFERROR(__xludf.DUMMYFUNCTION("IFERROR(INDEX(QUERY(IMPORTRANGE(""1T7HG8KEs-Ob7f3M5atEVN9Yn7IeORGp0QGvggB62ELw"",""Maestro!A:I""),""SELECT Col7 WHERE Col3 = '""&amp;BE711&amp;""'"", 0), 1, 1),""NO ENCONTRADO"")"),"")</f>
        <v/>
      </c>
      <c r="BJ711" s="16">
        <f t="shared" si="15"/>
        <v>0</v>
      </c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4"/>
      <c r="BX711" s="14"/>
      <c r="BY711" s="14"/>
      <c r="BZ711" s="14"/>
      <c r="CA711" s="14"/>
      <c r="CB711" s="14"/>
      <c r="CC711" s="14"/>
      <c r="CD711" s="14"/>
      <c r="CE711" s="14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</row>
    <row r="712">
      <c r="A712" s="12"/>
      <c r="B712" s="14"/>
      <c r="C712" s="14"/>
      <c r="D712" s="14"/>
      <c r="E712" s="12"/>
      <c r="F712" s="307"/>
      <c r="G712" s="307"/>
      <c r="H712" s="12"/>
      <c r="I712" s="30"/>
      <c r="J712" s="12"/>
      <c r="K712" s="12"/>
      <c r="L712" s="12"/>
      <c r="M712" s="12"/>
      <c r="N712" s="12"/>
      <c r="O712" s="308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4"/>
      <c r="BF712" s="12"/>
      <c r="BG712" s="12"/>
      <c r="BH712" s="12" t="str">
        <f>IFERROR(__xludf.DUMMYFUNCTION("IFERROR(INDEX(QUERY(IMPORTRANGE(""1T7HG8KEs-Ob7f3M5atEVN9Yn7IeORGp0QGvggB62ELw"",""Maestro!A:I""),""SELECT Col8 WHERE Col3 = '""&amp;BE712&amp;""'"", 0), 1, 1),""NO ENCONTRADO"")"),"")</f>
        <v/>
      </c>
      <c r="BI712" s="12" t="str">
        <f>IFERROR(__xludf.DUMMYFUNCTION("IFERROR(INDEX(QUERY(IMPORTRANGE(""1T7HG8KEs-Ob7f3M5atEVN9Yn7IeORGp0QGvggB62ELw"",""Maestro!A:I""),""SELECT Col7 WHERE Col3 = '""&amp;BE712&amp;""'"", 0), 1, 1),""NO ENCONTRADO"")"),"")</f>
        <v/>
      </c>
      <c r="BJ712" s="16">
        <f t="shared" si="15"/>
        <v>0</v>
      </c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4"/>
      <c r="BX712" s="14"/>
      <c r="BY712" s="14"/>
      <c r="BZ712" s="14"/>
      <c r="CA712" s="14"/>
      <c r="CB712" s="14"/>
      <c r="CC712" s="14"/>
      <c r="CD712" s="14"/>
      <c r="CE712" s="14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</row>
    <row r="713">
      <c r="A713" s="12"/>
      <c r="B713" s="14"/>
      <c r="C713" s="14"/>
      <c r="D713" s="14"/>
      <c r="E713" s="12"/>
      <c r="F713" s="307"/>
      <c r="G713" s="307"/>
      <c r="H713" s="12"/>
      <c r="I713" s="30"/>
      <c r="J713" s="12"/>
      <c r="K713" s="12"/>
      <c r="L713" s="12"/>
      <c r="M713" s="12"/>
      <c r="N713" s="12"/>
      <c r="O713" s="308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4"/>
      <c r="BF713" s="12"/>
      <c r="BG713" s="12"/>
      <c r="BH713" s="12" t="str">
        <f>IFERROR(__xludf.DUMMYFUNCTION("IFERROR(INDEX(QUERY(IMPORTRANGE(""1T7HG8KEs-Ob7f3M5atEVN9Yn7IeORGp0QGvggB62ELw"",""Maestro!A:I""),""SELECT Col8 WHERE Col3 = '""&amp;BE713&amp;""'"", 0), 1, 1),""NO ENCONTRADO"")"),"")</f>
        <v/>
      </c>
      <c r="BI713" s="12" t="str">
        <f>IFERROR(__xludf.DUMMYFUNCTION("IFERROR(INDEX(QUERY(IMPORTRANGE(""1T7HG8KEs-Ob7f3M5atEVN9Yn7IeORGp0QGvggB62ELw"",""Maestro!A:I""),""SELECT Col7 WHERE Col3 = '""&amp;BE713&amp;""'"", 0), 1, 1),""NO ENCONTRADO"")"),"")</f>
        <v/>
      </c>
      <c r="BJ713" s="16">
        <f t="shared" si="15"/>
        <v>0</v>
      </c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4"/>
      <c r="BX713" s="14"/>
      <c r="BY713" s="14"/>
      <c r="BZ713" s="14"/>
      <c r="CA713" s="14"/>
      <c r="CB713" s="14"/>
      <c r="CC713" s="14"/>
      <c r="CD713" s="14"/>
      <c r="CE713" s="14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</row>
    <row r="714">
      <c r="A714" s="12"/>
      <c r="B714" s="14"/>
      <c r="C714" s="14"/>
      <c r="D714" s="14"/>
      <c r="E714" s="12"/>
      <c r="F714" s="307"/>
      <c r="G714" s="307"/>
      <c r="H714" s="12"/>
      <c r="I714" s="30"/>
      <c r="J714" s="12"/>
      <c r="K714" s="12"/>
      <c r="L714" s="12"/>
      <c r="M714" s="12"/>
      <c r="N714" s="12"/>
      <c r="O714" s="308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4"/>
      <c r="BF714" s="12"/>
      <c r="BG714" s="12"/>
      <c r="BH714" s="12" t="str">
        <f>IFERROR(__xludf.DUMMYFUNCTION("IFERROR(INDEX(QUERY(IMPORTRANGE(""1T7HG8KEs-Ob7f3M5atEVN9Yn7IeORGp0QGvggB62ELw"",""Maestro!A:I""),""SELECT Col8 WHERE Col3 = '""&amp;BE714&amp;""'"", 0), 1, 1),""NO ENCONTRADO"")"),"")</f>
        <v/>
      </c>
      <c r="BI714" s="12" t="str">
        <f>IFERROR(__xludf.DUMMYFUNCTION("IFERROR(INDEX(QUERY(IMPORTRANGE(""1T7HG8KEs-Ob7f3M5atEVN9Yn7IeORGp0QGvggB62ELw"",""Maestro!A:I""),""SELECT Col7 WHERE Col3 = '""&amp;BE714&amp;""'"", 0), 1, 1),""NO ENCONTRADO"")"),"")</f>
        <v/>
      </c>
      <c r="BJ714" s="16">
        <f t="shared" si="15"/>
        <v>0</v>
      </c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4"/>
      <c r="BX714" s="14"/>
      <c r="BY714" s="14"/>
      <c r="BZ714" s="14"/>
      <c r="CA714" s="14"/>
      <c r="CB714" s="14"/>
      <c r="CC714" s="14"/>
      <c r="CD714" s="14"/>
      <c r="CE714" s="14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</row>
    <row r="715">
      <c r="A715" s="12"/>
      <c r="B715" s="14"/>
      <c r="C715" s="14"/>
      <c r="D715" s="14"/>
      <c r="E715" s="12"/>
      <c r="F715" s="307"/>
      <c r="G715" s="307"/>
      <c r="H715" s="12"/>
      <c r="I715" s="30"/>
      <c r="J715" s="12"/>
      <c r="K715" s="12"/>
      <c r="L715" s="12"/>
      <c r="M715" s="12"/>
      <c r="N715" s="12"/>
      <c r="O715" s="308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4"/>
      <c r="BF715" s="12"/>
      <c r="BG715" s="12"/>
      <c r="BH715" s="12" t="str">
        <f>IFERROR(__xludf.DUMMYFUNCTION("IFERROR(INDEX(QUERY(IMPORTRANGE(""1T7HG8KEs-Ob7f3M5atEVN9Yn7IeORGp0QGvggB62ELw"",""Maestro!A:I""),""SELECT Col8 WHERE Col3 = '""&amp;BE715&amp;""'"", 0), 1, 1),""NO ENCONTRADO"")"),"")</f>
        <v/>
      </c>
      <c r="BI715" s="12" t="str">
        <f>IFERROR(__xludf.DUMMYFUNCTION("IFERROR(INDEX(QUERY(IMPORTRANGE(""1T7HG8KEs-Ob7f3M5atEVN9Yn7IeORGp0QGvggB62ELw"",""Maestro!A:I""),""SELECT Col7 WHERE Col3 = '""&amp;BE715&amp;""'"", 0), 1, 1),""NO ENCONTRADO"")"),"")</f>
        <v/>
      </c>
      <c r="BJ715" s="16">
        <f t="shared" si="15"/>
        <v>0</v>
      </c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4"/>
      <c r="BX715" s="14"/>
      <c r="BY715" s="14"/>
      <c r="BZ715" s="14"/>
      <c r="CA715" s="14"/>
      <c r="CB715" s="14"/>
      <c r="CC715" s="14"/>
      <c r="CD715" s="14"/>
      <c r="CE715" s="14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</row>
    <row r="716">
      <c r="A716" s="12"/>
      <c r="B716" s="14"/>
      <c r="C716" s="14"/>
      <c r="D716" s="14"/>
      <c r="E716" s="12"/>
      <c r="F716" s="307"/>
      <c r="G716" s="307"/>
      <c r="H716" s="12"/>
      <c r="I716" s="30"/>
      <c r="J716" s="12"/>
      <c r="K716" s="12"/>
      <c r="L716" s="12"/>
      <c r="M716" s="12"/>
      <c r="N716" s="12"/>
      <c r="O716" s="308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4"/>
      <c r="BF716" s="12"/>
      <c r="BG716" s="12"/>
      <c r="BH716" s="12" t="str">
        <f>IFERROR(__xludf.DUMMYFUNCTION("IFERROR(INDEX(QUERY(IMPORTRANGE(""1T7HG8KEs-Ob7f3M5atEVN9Yn7IeORGp0QGvggB62ELw"",""Maestro!A:I""),""SELECT Col8 WHERE Col3 = '""&amp;BE716&amp;""'"", 0), 1, 1),""NO ENCONTRADO"")"),"")</f>
        <v/>
      </c>
      <c r="BI716" s="12" t="str">
        <f>IFERROR(__xludf.DUMMYFUNCTION("IFERROR(INDEX(QUERY(IMPORTRANGE(""1T7HG8KEs-Ob7f3M5atEVN9Yn7IeORGp0QGvggB62ELw"",""Maestro!A:I""),""SELECT Col7 WHERE Col3 = '""&amp;BE716&amp;""'"", 0), 1, 1),""NO ENCONTRADO"")"),"")</f>
        <v/>
      </c>
      <c r="BJ716" s="16">
        <f t="shared" si="15"/>
        <v>0</v>
      </c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4"/>
      <c r="BX716" s="14"/>
      <c r="BY716" s="14"/>
      <c r="BZ716" s="14"/>
      <c r="CA716" s="14"/>
      <c r="CB716" s="14"/>
      <c r="CC716" s="14"/>
      <c r="CD716" s="14"/>
      <c r="CE716" s="14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</row>
    <row r="717">
      <c r="A717" s="12"/>
      <c r="B717" s="14"/>
      <c r="C717" s="14"/>
      <c r="D717" s="14"/>
      <c r="E717" s="12"/>
      <c r="F717" s="307"/>
      <c r="G717" s="307"/>
      <c r="H717" s="12"/>
      <c r="I717" s="30"/>
      <c r="J717" s="12"/>
      <c r="K717" s="12"/>
      <c r="L717" s="12"/>
      <c r="M717" s="12"/>
      <c r="N717" s="12"/>
      <c r="O717" s="308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4"/>
      <c r="BF717" s="12"/>
      <c r="BG717" s="12"/>
      <c r="BH717" s="12" t="str">
        <f>IFERROR(__xludf.DUMMYFUNCTION("IFERROR(INDEX(QUERY(IMPORTRANGE(""1T7HG8KEs-Ob7f3M5atEVN9Yn7IeORGp0QGvggB62ELw"",""Maestro!A:I""),""SELECT Col8 WHERE Col3 = '""&amp;BE717&amp;""'"", 0), 1, 1),""NO ENCONTRADO"")"),"")</f>
        <v/>
      </c>
      <c r="BI717" s="12" t="str">
        <f>IFERROR(__xludf.DUMMYFUNCTION("IFERROR(INDEX(QUERY(IMPORTRANGE(""1T7HG8KEs-Ob7f3M5atEVN9Yn7IeORGp0QGvggB62ELw"",""Maestro!A:I""),""SELECT Col7 WHERE Col3 = '""&amp;BE717&amp;""'"", 0), 1, 1),""NO ENCONTRADO"")"),"")</f>
        <v/>
      </c>
      <c r="BJ717" s="16">
        <f t="shared" si="15"/>
        <v>0</v>
      </c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4"/>
      <c r="BX717" s="14"/>
      <c r="BY717" s="14"/>
      <c r="BZ717" s="14"/>
      <c r="CA717" s="14"/>
      <c r="CB717" s="14"/>
      <c r="CC717" s="14"/>
      <c r="CD717" s="14"/>
      <c r="CE717" s="14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</row>
    <row r="718">
      <c r="A718" s="12"/>
      <c r="B718" s="14"/>
      <c r="C718" s="14"/>
      <c r="D718" s="14"/>
      <c r="E718" s="12"/>
      <c r="F718" s="307"/>
      <c r="G718" s="307"/>
      <c r="H718" s="12"/>
      <c r="I718" s="30"/>
      <c r="J718" s="12"/>
      <c r="K718" s="12"/>
      <c r="L718" s="12"/>
      <c r="M718" s="12"/>
      <c r="N718" s="12"/>
      <c r="O718" s="308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4"/>
      <c r="BF718" s="12"/>
      <c r="BG718" s="12"/>
      <c r="BH718" s="12" t="str">
        <f>IFERROR(__xludf.DUMMYFUNCTION("IFERROR(INDEX(QUERY(IMPORTRANGE(""1T7HG8KEs-Ob7f3M5atEVN9Yn7IeORGp0QGvggB62ELw"",""Maestro!A:I""),""SELECT Col8 WHERE Col3 = '""&amp;BE718&amp;""'"", 0), 1, 1),""NO ENCONTRADO"")"),"")</f>
        <v/>
      </c>
      <c r="BI718" s="12" t="str">
        <f>IFERROR(__xludf.DUMMYFUNCTION("IFERROR(INDEX(QUERY(IMPORTRANGE(""1T7HG8KEs-Ob7f3M5atEVN9Yn7IeORGp0QGvggB62ELw"",""Maestro!A:I""),""SELECT Col7 WHERE Col3 = '""&amp;BE718&amp;""'"", 0), 1, 1),""NO ENCONTRADO"")"),"")</f>
        <v/>
      </c>
      <c r="BJ718" s="16">
        <f t="shared" si="15"/>
        <v>0</v>
      </c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4"/>
      <c r="BX718" s="14"/>
      <c r="BY718" s="14"/>
      <c r="BZ718" s="14"/>
      <c r="CA718" s="14"/>
      <c r="CB718" s="14"/>
      <c r="CC718" s="14"/>
      <c r="CD718" s="14"/>
      <c r="CE718" s="14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</row>
    <row r="719">
      <c r="A719" s="12"/>
      <c r="B719" s="14"/>
      <c r="C719" s="14"/>
      <c r="D719" s="14"/>
      <c r="E719" s="12"/>
      <c r="F719" s="307"/>
      <c r="G719" s="307"/>
      <c r="H719" s="12"/>
      <c r="I719" s="30"/>
      <c r="J719" s="12"/>
      <c r="K719" s="12"/>
      <c r="L719" s="12"/>
      <c r="M719" s="12"/>
      <c r="N719" s="12"/>
      <c r="O719" s="308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4"/>
      <c r="BF719" s="12"/>
      <c r="BG719" s="12"/>
      <c r="BH719" s="12" t="str">
        <f>IFERROR(__xludf.DUMMYFUNCTION("IFERROR(INDEX(QUERY(IMPORTRANGE(""1T7HG8KEs-Ob7f3M5atEVN9Yn7IeORGp0QGvggB62ELw"",""Maestro!A:I""),""SELECT Col8 WHERE Col3 = '""&amp;BE719&amp;""'"", 0), 1, 1),""NO ENCONTRADO"")"),"")</f>
        <v/>
      </c>
      <c r="BI719" s="12" t="str">
        <f>IFERROR(__xludf.DUMMYFUNCTION("IFERROR(INDEX(QUERY(IMPORTRANGE(""1T7HG8KEs-Ob7f3M5atEVN9Yn7IeORGp0QGvggB62ELw"",""Maestro!A:I""),""SELECT Col7 WHERE Col3 = '""&amp;BE719&amp;""'"", 0), 1, 1),""NO ENCONTRADO"")"),"")</f>
        <v/>
      </c>
      <c r="BJ719" s="16">
        <f t="shared" si="15"/>
        <v>0</v>
      </c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4"/>
      <c r="BX719" s="14"/>
      <c r="BY719" s="14"/>
      <c r="BZ719" s="14"/>
      <c r="CA719" s="14"/>
      <c r="CB719" s="14"/>
      <c r="CC719" s="14"/>
      <c r="CD719" s="14"/>
      <c r="CE719" s="14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</row>
    <row r="720">
      <c r="A720" s="12"/>
      <c r="B720" s="14"/>
      <c r="C720" s="14"/>
      <c r="D720" s="14"/>
      <c r="E720" s="12"/>
      <c r="F720" s="307"/>
      <c r="G720" s="307"/>
      <c r="H720" s="12"/>
      <c r="I720" s="30"/>
      <c r="J720" s="12"/>
      <c r="K720" s="12"/>
      <c r="L720" s="12"/>
      <c r="M720" s="12"/>
      <c r="N720" s="12"/>
      <c r="O720" s="308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4"/>
      <c r="BF720" s="12"/>
      <c r="BG720" s="12"/>
      <c r="BH720" s="12" t="str">
        <f>IFERROR(__xludf.DUMMYFUNCTION("IFERROR(INDEX(QUERY(IMPORTRANGE(""1T7HG8KEs-Ob7f3M5atEVN9Yn7IeORGp0QGvggB62ELw"",""Maestro!A:I""),""SELECT Col8 WHERE Col3 = '""&amp;BE720&amp;""'"", 0), 1, 1),""NO ENCONTRADO"")"),"")</f>
        <v/>
      </c>
      <c r="BI720" s="12" t="str">
        <f>IFERROR(__xludf.DUMMYFUNCTION("IFERROR(INDEX(QUERY(IMPORTRANGE(""1T7HG8KEs-Ob7f3M5atEVN9Yn7IeORGp0QGvggB62ELw"",""Maestro!A:I""),""SELECT Col7 WHERE Col3 = '""&amp;BE720&amp;""'"", 0), 1, 1),""NO ENCONTRADO"")"),"")</f>
        <v/>
      </c>
      <c r="BJ720" s="16">
        <f t="shared" si="15"/>
        <v>0</v>
      </c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4"/>
      <c r="BX720" s="14"/>
      <c r="BY720" s="14"/>
      <c r="BZ720" s="14"/>
      <c r="CA720" s="14"/>
      <c r="CB720" s="14"/>
      <c r="CC720" s="14"/>
      <c r="CD720" s="14"/>
      <c r="CE720" s="14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</row>
    <row r="721">
      <c r="A721" s="12"/>
      <c r="B721" s="14"/>
      <c r="C721" s="14"/>
      <c r="D721" s="14"/>
      <c r="E721" s="12"/>
      <c r="F721" s="307"/>
      <c r="G721" s="307"/>
      <c r="H721" s="12"/>
      <c r="I721" s="30"/>
      <c r="J721" s="12"/>
      <c r="K721" s="12"/>
      <c r="L721" s="12"/>
      <c r="M721" s="12"/>
      <c r="N721" s="12"/>
      <c r="O721" s="308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4"/>
      <c r="BF721" s="12"/>
      <c r="BG721" s="12"/>
      <c r="BH721" s="12" t="str">
        <f>IFERROR(__xludf.DUMMYFUNCTION("IFERROR(INDEX(QUERY(IMPORTRANGE(""1T7HG8KEs-Ob7f3M5atEVN9Yn7IeORGp0QGvggB62ELw"",""Maestro!A:I""),""SELECT Col8 WHERE Col3 = '""&amp;BE721&amp;""'"", 0), 1, 1),""NO ENCONTRADO"")"),"")</f>
        <v/>
      </c>
      <c r="BI721" s="12" t="str">
        <f>IFERROR(__xludf.DUMMYFUNCTION("IFERROR(INDEX(QUERY(IMPORTRANGE(""1T7HG8KEs-Ob7f3M5atEVN9Yn7IeORGp0QGvggB62ELw"",""Maestro!A:I""),""SELECT Col7 WHERE Col3 = '""&amp;BE721&amp;""'"", 0), 1, 1),""NO ENCONTRADO"")"),"")</f>
        <v/>
      </c>
      <c r="BJ721" s="16">
        <f t="shared" si="15"/>
        <v>0</v>
      </c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4"/>
      <c r="BX721" s="14"/>
      <c r="BY721" s="14"/>
      <c r="BZ721" s="14"/>
      <c r="CA721" s="14"/>
      <c r="CB721" s="14"/>
      <c r="CC721" s="14"/>
      <c r="CD721" s="14"/>
      <c r="CE721" s="14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</row>
    <row r="722">
      <c r="A722" s="12"/>
      <c r="B722" s="14"/>
      <c r="C722" s="14"/>
      <c r="D722" s="14"/>
      <c r="E722" s="12"/>
      <c r="F722" s="307"/>
      <c r="G722" s="307"/>
      <c r="H722" s="12"/>
      <c r="I722" s="30"/>
      <c r="J722" s="12"/>
      <c r="K722" s="12"/>
      <c r="L722" s="12"/>
      <c r="M722" s="12"/>
      <c r="N722" s="12"/>
      <c r="O722" s="308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4"/>
      <c r="BF722" s="12"/>
      <c r="BG722" s="12"/>
      <c r="BH722" s="12" t="str">
        <f>IFERROR(__xludf.DUMMYFUNCTION("IFERROR(INDEX(QUERY(IMPORTRANGE(""1T7HG8KEs-Ob7f3M5atEVN9Yn7IeORGp0QGvggB62ELw"",""Maestro!A:I""),""SELECT Col8 WHERE Col3 = '""&amp;BE722&amp;""'"", 0), 1, 1),""NO ENCONTRADO"")"),"")</f>
        <v/>
      </c>
      <c r="BI722" s="12" t="str">
        <f>IFERROR(__xludf.DUMMYFUNCTION("IFERROR(INDEX(QUERY(IMPORTRANGE(""1T7HG8KEs-Ob7f3M5atEVN9Yn7IeORGp0QGvggB62ELw"",""Maestro!A:I""),""SELECT Col7 WHERE Col3 = '""&amp;BE722&amp;""'"", 0), 1, 1),""NO ENCONTRADO"")"),"")</f>
        <v/>
      </c>
      <c r="BJ722" s="16">
        <f t="shared" si="15"/>
        <v>0</v>
      </c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4"/>
      <c r="BX722" s="14"/>
      <c r="BY722" s="14"/>
      <c r="BZ722" s="14"/>
      <c r="CA722" s="14"/>
      <c r="CB722" s="14"/>
      <c r="CC722" s="14"/>
      <c r="CD722" s="14"/>
      <c r="CE722" s="14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</row>
    <row r="723">
      <c r="A723" s="12"/>
      <c r="B723" s="14"/>
      <c r="C723" s="14"/>
      <c r="D723" s="14"/>
      <c r="E723" s="12"/>
      <c r="F723" s="307"/>
      <c r="G723" s="307"/>
      <c r="H723" s="12"/>
      <c r="I723" s="30"/>
      <c r="J723" s="12"/>
      <c r="K723" s="12"/>
      <c r="L723" s="12"/>
      <c r="M723" s="12"/>
      <c r="N723" s="12"/>
      <c r="O723" s="308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4"/>
      <c r="BF723" s="12"/>
      <c r="BG723" s="12"/>
      <c r="BH723" s="12" t="str">
        <f>IFERROR(__xludf.DUMMYFUNCTION("IFERROR(INDEX(QUERY(IMPORTRANGE(""1T7HG8KEs-Ob7f3M5atEVN9Yn7IeORGp0QGvggB62ELw"",""Maestro!A:I""),""SELECT Col8 WHERE Col3 = '""&amp;BE723&amp;""'"", 0), 1, 1),""NO ENCONTRADO"")"),"")</f>
        <v/>
      </c>
      <c r="BI723" s="12" t="str">
        <f>IFERROR(__xludf.DUMMYFUNCTION("IFERROR(INDEX(QUERY(IMPORTRANGE(""1T7HG8KEs-Ob7f3M5atEVN9Yn7IeORGp0QGvggB62ELw"",""Maestro!A:I""),""SELECT Col7 WHERE Col3 = '""&amp;BE723&amp;""'"", 0), 1, 1),""NO ENCONTRADO"")"),"")</f>
        <v/>
      </c>
      <c r="BJ723" s="16">
        <f t="shared" si="15"/>
        <v>0</v>
      </c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4"/>
      <c r="BX723" s="14"/>
      <c r="BY723" s="14"/>
      <c r="BZ723" s="14"/>
      <c r="CA723" s="14"/>
      <c r="CB723" s="14"/>
      <c r="CC723" s="14"/>
      <c r="CD723" s="14"/>
      <c r="CE723" s="14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</row>
    <row r="724">
      <c r="A724" s="12"/>
      <c r="B724" s="14"/>
      <c r="C724" s="14"/>
      <c r="D724" s="14"/>
      <c r="E724" s="12"/>
      <c r="F724" s="307"/>
      <c r="G724" s="307"/>
      <c r="H724" s="12"/>
      <c r="I724" s="30"/>
      <c r="J724" s="12"/>
      <c r="K724" s="12"/>
      <c r="L724" s="12"/>
      <c r="M724" s="12"/>
      <c r="N724" s="12"/>
      <c r="O724" s="308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4"/>
      <c r="BF724" s="12"/>
      <c r="BG724" s="12"/>
      <c r="BH724" s="12" t="str">
        <f>IFERROR(__xludf.DUMMYFUNCTION("IFERROR(INDEX(QUERY(IMPORTRANGE(""1T7HG8KEs-Ob7f3M5atEVN9Yn7IeORGp0QGvggB62ELw"",""Maestro!A:I""),""SELECT Col8 WHERE Col3 = '""&amp;BE724&amp;""'"", 0), 1, 1),""NO ENCONTRADO"")"),"")</f>
        <v/>
      </c>
      <c r="BI724" s="12" t="str">
        <f>IFERROR(__xludf.DUMMYFUNCTION("IFERROR(INDEX(QUERY(IMPORTRANGE(""1T7HG8KEs-Ob7f3M5atEVN9Yn7IeORGp0QGvggB62ELw"",""Maestro!A:I""),""SELECT Col7 WHERE Col3 = '""&amp;BE724&amp;""'"", 0), 1, 1),""NO ENCONTRADO"")"),"")</f>
        <v/>
      </c>
      <c r="BJ724" s="16">
        <f t="shared" si="15"/>
        <v>0</v>
      </c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4"/>
      <c r="BX724" s="14"/>
      <c r="BY724" s="14"/>
      <c r="BZ724" s="14"/>
      <c r="CA724" s="14"/>
      <c r="CB724" s="14"/>
      <c r="CC724" s="14"/>
      <c r="CD724" s="14"/>
      <c r="CE724" s="14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</row>
    <row r="725">
      <c r="A725" s="12"/>
      <c r="B725" s="14"/>
      <c r="C725" s="14"/>
      <c r="D725" s="14"/>
      <c r="E725" s="12"/>
      <c r="F725" s="307"/>
      <c r="G725" s="307"/>
      <c r="H725" s="12"/>
      <c r="I725" s="30"/>
      <c r="J725" s="12"/>
      <c r="K725" s="12"/>
      <c r="L725" s="12"/>
      <c r="M725" s="12"/>
      <c r="N725" s="12"/>
      <c r="O725" s="308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4"/>
      <c r="BF725" s="12"/>
      <c r="BG725" s="12"/>
      <c r="BH725" s="12" t="str">
        <f>IFERROR(__xludf.DUMMYFUNCTION("IFERROR(INDEX(QUERY(IMPORTRANGE(""1T7HG8KEs-Ob7f3M5atEVN9Yn7IeORGp0QGvggB62ELw"",""Maestro!A:I""),""SELECT Col8 WHERE Col3 = '""&amp;BE725&amp;""'"", 0), 1, 1),""NO ENCONTRADO"")"),"")</f>
        <v/>
      </c>
      <c r="BI725" s="12" t="str">
        <f>IFERROR(__xludf.DUMMYFUNCTION("IFERROR(INDEX(QUERY(IMPORTRANGE(""1T7HG8KEs-Ob7f3M5atEVN9Yn7IeORGp0QGvggB62ELw"",""Maestro!A:I""),""SELECT Col7 WHERE Col3 = '""&amp;BE725&amp;""'"", 0), 1, 1),""NO ENCONTRADO"")"),"")</f>
        <v/>
      </c>
      <c r="BJ725" s="16">
        <f t="shared" si="15"/>
        <v>0</v>
      </c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4"/>
      <c r="BX725" s="14"/>
      <c r="BY725" s="14"/>
      <c r="BZ725" s="14"/>
      <c r="CA725" s="14"/>
      <c r="CB725" s="14"/>
      <c r="CC725" s="14"/>
      <c r="CD725" s="14"/>
      <c r="CE725" s="14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</row>
    <row r="726">
      <c r="A726" s="12"/>
      <c r="B726" s="14"/>
      <c r="C726" s="14"/>
      <c r="D726" s="14"/>
      <c r="E726" s="12"/>
      <c r="F726" s="307"/>
      <c r="G726" s="307"/>
      <c r="H726" s="12"/>
      <c r="I726" s="30"/>
      <c r="J726" s="12"/>
      <c r="K726" s="12"/>
      <c r="L726" s="12"/>
      <c r="M726" s="12"/>
      <c r="N726" s="12"/>
      <c r="O726" s="308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4"/>
      <c r="BF726" s="12"/>
      <c r="BG726" s="12"/>
      <c r="BH726" s="12" t="str">
        <f>IFERROR(__xludf.DUMMYFUNCTION("IFERROR(INDEX(QUERY(IMPORTRANGE(""1T7HG8KEs-Ob7f3M5atEVN9Yn7IeORGp0QGvggB62ELw"",""Maestro!A:I""),""SELECT Col8 WHERE Col3 = '""&amp;BE726&amp;""'"", 0), 1, 1),""NO ENCONTRADO"")"),"")</f>
        <v/>
      </c>
      <c r="BI726" s="12" t="str">
        <f>IFERROR(__xludf.DUMMYFUNCTION("IFERROR(INDEX(QUERY(IMPORTRANGE(""1T7HG8KEs-Ob7f3M5atEVN9Yn7IeORGp0QGvggB62ELw"",""Maestro!A:I""),""SELECT Col7 WHERE Col3 = '""&amp;BE726&amp;""'"", 0), 1, 1),""NO ENCONTRADO"")"),"")</f>
        <v/>
      </c>
      <c r="BJ726" s="16">
        <f t="shared" si="15"/>
        <v>0</v>
      </c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4"/>
      <c r="BX726" s="14"/>
      <c r="BY726" s="14"/>
      <c r="BZ726" s="14"/>
      <c r="CA726" s="14"/>
      <c r="CB726" s="14"/>
      <c r="CC726" s="14"/>
      <c r="CD726" s="14"/>
      <c r="CE726" s="14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</row>
    <row r="727">
      <c r="A727" s="12"/>
      <c r="B727" s="14"/>
      <c r="C727" s="14"/>
      <c r="D727" s="14"/>
      <c r="E727" s="12"/>
      <c r="F727" s="307"/>
      <c r="G727" s="307"/>
      <c r="H727" s="12"/>
      <c r="I727" s="30"/>
      <c r="J727" s="12"/>
      <c r="K727" s="12"/>
      <c r="L727" s="12"/>
      <c r="M727" s="12"/>
      <c r="N727" s="12"/>
      <c r="O727" s="308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4"/>
      <c r="BF727" s="12"/>
      <c r="BG727" s="12"/>
      <c r="BH727" s="12" t="str">
        <f>IFERROR(__xludf.DUMMYFUNCTION("IFERROR(INDEX(QUERY(IMPORTRANGE(""1T7HG8KEs-Ob7f3M5atEVN9Yn7IeORGp0QGvggB62ELw"",""Maestro!A:I""),""SELECT Col8 WHERE Col3 = '""&amp;BE727&amp;""'"", 0), 1, 1),""NO ENCONTRADO"")"),"")</f>
        <v/>
      </c>
      <c r="BI727" s="12" t="str">
        <f>IFERROR(__xludf.DUMMYFUNCTION("IFERROR(INDEX(QUERY(IMPORTRANGE(""1T7HG8KEs-Ob7f3M5atEVN9Yn7IeORGp0QGvggB62ELw"",""Maestro!A:I""),""SELECT Col7 WHERE Col3 = '""&amp;BE727&amp;""'"", 0), 1, 1),""NO ENCONTRADO"")"),"")</f>
        <v/>
      </c>
      <c r="BJ727" s="16">
        <f t="shared" si="15"/>
        <v>0</v>
      </c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4"/>
      <c r="BX727" s="14"/>
      <c r="BY727" s="14"/>
      <c r="BZ727" s="14"/>
      <c r="CA727" s="14"/>
      <c r="CB727" s="14"/>
      <c r="CC727" s="14"/>
      <c r="CD727" s="14"/>
      <c r="CE727" s="14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</row>
    <row r="728">
      <c r="A728" s="12"/>
      <c r="B728" s="14"/>
      <c r="C728" s="14"/>
      <c r="D728" s="14"/>
      <c r="E728" s="12"/>
      <c r="F728" s="307"/>
      <c r="G728" s="307"/>
      <c r="H728" s="12"/>
      <c r="I728" s="30"/>
      <c r="J728" s="12"/>
      <c r="K728" s="12"/>
      <c r="L728" s="12"/>
      <c r="M728" s="12"/>
      <c r="N728" s="12"/>
      <c r="O728" s="308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4"/>
      <c r="BF728" s="12"/>
      <c r="BG728" s="12"/>
      <c r="BH728" s="12" t="str">
        <f>IFERROR(__xludf.DUMMYFUNCTION("IFERROR(INDEX(QUERY(IMPORTRANGE(""1T7HG8KEs-Ob7f3M5atEVN9Yn7IeORGp0QGvggB62ELw"",""Maestro!A:I""),""SELECT Col8 WHERE Col3 = '""&amp;BE728&amp;""'"", 0), 1, 1),""NO ENCONTRADO"")"),"")</f>
        <v/>
      </c>
      <c r="BI728" s="12" t="str">
        <f>IFERROR(__xludf.DUMMYFUNCTION("IFERROR(INDEX(QUERY(IMPORTRANGE(""1T7HG8KEs-Ob7f3M5atEVN9Yn7IeORGp0QGvggB62ELw"",""Maestro!A:I""),""SELECT Col7 WHERE Col3 = '""&amp;BE728&amp;""'"", 0), 1, 1),""NO ENCONTRADO"")"),"")</f>
        <v/>
      </c>
      <c r="BJ728" s="16">
        <f t="shared" si="15"/>
        <v>0</v>
      </c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4"/>
      <c r="BX728" s="14"/>
      <c r="BY728" s="14"/>
      <c r="BZ728" s="14"/>
      <c r="CA728" s="14"/>
      <c r="CB728" s="14"/>
      <c r="CC728" s="14"/>
      <c r="CD728" s="14"/>
      <c r="CE728" s="14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</row>
    <row r="729">
      <c r="A729" s="12"/>
      <c r="B729" s="14"/>
      <c r="C729" s="14"/>
      <c r="D729" s="14"/>
      <c r="E729" s="12"/>
      <c r="F729" s="307"/>
      <c r="G729" s="307"/>
      <c r="H729" s="12"/>
      <c r="I729" s="30"/>
      <c r="J729" s="12"/>
      <c r="K729" s="12"/>
      <c r="L729" s="12"/>
      <c r="M729" s="12"/>
      <c r="N729" s="12"/>
      <c r="O729" s="308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4"/>
      <c r="BF729" s="12"/>
      <c r="BG729" s="12"/>
      <c r="BH729" s="12" t="str">
        <f>IFERROR(__xludf.DUMMYFUNCTION("IFERROR(INDEX(QUERY(IMPORTRANGE(""1T7HG8KEs-Ob7f3M5atEVN9Yn7IeORGp0QGvggB62ELw"",""Maestro!A:I""),""SELECT Col8 WHERE Col3 = '""&amp;BE729&amp;""'"", 0), 1, 1),""NO ENCONTRADO"")"),"")</f>
        <v/>
      </c>
      <c r="BI729" s="12" t="str">
        <f>IFERROR(__xludf.DUMMYFUNCTION("IFERROR(INDEX(QUERY(IMPORTRANGE(""1T7HG8KEs-Ob7f3M5atEVN9Yn7IeORGp0QGvggB62ELw"",""Maestro!A:I""),""SELECT Col7 WHERE Col3 = '""&amp;BE729&amp;""'"", 0), 1, 1),""NO ENCONTRADO"")"),"")</f>
        <v/>
      </c>
      <c r="BJ729" s="16">
        <f t="shared" si="15"/>
        <v>0</v>
      </c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4"/>
      <c r="BX729" s="14"/>
      <c r="BY729" s="14"/>
      <c r="BZ729" s="14"/>
      <c r="CA729" s="14"/>
      <c r="CB729" s="14"/>
      <c r="CC729" s="14"/>
      <c r="CD729" s="14"/>
      <c r="CE729" s="14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</row>
    <row r="730">
      <c r="A730" s="12"/>
      <c r="B730" s="14"/>
      <c r="C730" s="14"/>
      <c r="D730" s="14"/>
      <c r="E730" s="12"/>
      <c r="F730" s="307"/>
      <c r="G730" s="307"/>
      <c r="H730" s="12"/>
      <c r="I730" s="30"/>
      <c r="J730" s="12"/>
      <c r="K730" s="12"/>
      <c r="L730" s="12"/>
      <c r="M730" s="12"/>
      <c r="N730" s="12"/>
      <c r="O730" s="308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4"/>
      <c r="BF730" s="12"/>
      <c r="BG730" s="12"/>
      <c r="BH730" s="12" t="str">
        <f>IFERROR(__xludf.DUMMYFUNCTION("IFERROR(INDEX(QUERY(IMPORTRANGE(""1T7HG8KEs-Ob7f3M5atEVN9Yn7IeORGp0QGvggB62ELw"",""Maestro!A:I""),""SELECT Col8 WHERE Col3 = '""&amp;BE730&amp;""'"", 0), 1, 1),""NO ENCONTRADO"")"),"")</f>
        <v/>
      </c>
      <c r="BI730" s="12" t="str">
        <f>IFERROR(__xludf.DUMMYFUNCTION("IFERROR(INDEX(QUERY(IMPORTRANGE(""1T7HG8KEs-Ob7f3M5atEVN9Yn7IeORGp0QGvggB62ELw"",""Maestro!A:I""),""SELECT Col7 WHERE Col3 = '""&amp;BE730&amp;""'"", 0), 1, 1),""NO ENCONTRADO"")"),"")</f>
        <v/>
      </c>
      <c r="BJ730" s="16">
        <f t="shared" si="15"/>
        <v>0</v>
      </c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4"/>
      <c r="BX730" s="14"/>
      <c r="BY730" s="14"/>
      <c r="BZ730" s="14"/>
      <c r="CA730" s="14"/>
      <c r="CB730" s="14"/>
      <c r="CC730" s="14"/>
      <c r="CD730" s="14"/>
      <c r="CE730" s="14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</row>
    <row r="731">
      <c r="A731" s="12"/>
      <c r="B731" s="14"/>
      <c r="C731" s="14"/>
      <c r="D731" s="14"/>
      <c r="E731" s="12"/>
      <c r="F731" s="307"/>
      <c r="G731" s="307"/>
      <c r="H731" s="12"/>
      <c r="I731" s="30"/>
      <c r="J731" s="12"/>
      <c r="K731" s="12"/>
      <c r="L731" s="12"/>
      <c r="M731" s="12"/>
      <c r="N731" s="12"/>
      <c r="O731" s="308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4"/>
      <c r="BF731" s="12"/>
      <c r="BG731" s="12"/>
      <c r="BH731" s="12" t="str">
        <f>IFERROR(__xludf.DUMMYFUNCTION("IFERROR(INDEX(QUERY(IMPORTRANGE(""1T7HG8KEs-Ob7f3M5atEVN9Yn7IeORGp0QGvggB62ELw"",""Maestro!A:I""),""SELECT Col8 WHERE Col3 = '""&amp;BE731&amp;""'"", 0), 1, 1),""NO ENCONTRADO"")"),"")</f>
        <v/>
      </c>
      <c r="BI731" s="12" t="str">
        <f>IFERROR(__xludf.DUMMYFUNCTION("IFERROR(INDEX(QUERY(IMPORTRANGE(""1T7HG8KEs-Ob7f3M5atEVN9Yn7IeORGp0QGvggB62ELw"",""Maestro!A:I""),""SELECT Col7 WHERE Col3 = '""&amp;BE731&amp;""'"", 0), 1, 1),""NO ENCONTRADO"")"),"")</f>
        <v/>
      </c>
      <c r="BJ731" s="16">
        <f t="shared" si="15"/>
        <v>0</v>
      </c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4"/>
      <c r="BX731" s="14"/>
      <c r="BY731" s="14"/>
      <c r="BZ731" s="14"/>
      <c r="CA731" s="14"/>
      <c r="CB731" s="14"/>
      <c r="CC731" s="14"/>
      <c r="CD731" s="14"/>
      <c r="CE731" s="14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</row>
    <row r="732">
      <c r="A732" s="12"/>
      <c r="B732" s="14"/>
      <c r="C732" s="14"/>
      <c r="D732" s="14"/>
      <c r="E732" s="12"/>
      <c r="F732" s="307"/>
      <c r="G732" s="307"/>
      <c r="H732" s="12"/>
      <c r="I732" s="30"/>
      <c r="J732" s="12"/>
      <c r="K732" s="12"/>
      <c r="L732" s="12"/>
      <c r="M732" s="12"/>
      <c r="N732" s="12"/>
      <c r="O732" s="308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4"/>
      <c r="BF732" s="12"/>
      <c r="BG732" s="12"/>
      <c r="BH732" s="12" t="str">
        <f>IFERROR(__xludf.DUMMYFUNCTION("IFERROR(INDEX(QUERY(IMPORTRANGE(""1T7HG8KEs-Ob7f3M5atEVN9Yn7IeORGp0QGvggB62ELw"",""Maestro!A:I""),""SELECT Col8 WHERE Col3 = '""&amp;BE732&amp;""'"", 0), 1, 1),""NO ENCONTRADO"")"),"")</f>
        <v/>
      </c>
      <c r="BI732" s="12" t="str">
        <f>IFERROR(__xludf.DUMMYFUNCTION("IFERROR(INDEX(QUERY(IMPORTRANGE(""1T7HG8KEs-Ob7f3M5atEVN9Yn7IeORGp0QGvggB62ELw"",""Maestro!A:I""),""SELECT Col7 WHERE Col3 = '""&amp;BE732&amp;""'"", 0), 1, 1),""NO ENCONTRADO"")"),"")</f>
        <v/>
      </c>
      <c r="BJ732" s="16">
        <f t="shared" si="15"/>
        <v>0</v>
      </c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4"/>
      <c r="BX732" s="14"/>
      <c r="BY732" s="14"/>
      <c r="BZ732" s="14"/>
      <c r="CA732" s="14"/>
      <c r="CB732" s="14"/>
      <c r="CC732" s="14"/>
      <c r="CD732" s="14"/>
      <c r="CE732" s="14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</row>
    <row r="733">
      <c r="A733" s="12"/>
      <c r="B733" s="14"/>
      <c r="C733" s="14"/>
      <c r="D733" s="14"/>
      <c r="E733" s="12"/>
      <c r="F733" s="307"/>
      <c r="G733" s="307"/>
      <c r="H733" s="12"/>
      <c r="I733" s="30"/>
      <c r="J733" s="12"/>
      <c r="K733" s="12"/>
      <c r="L733" s="12"/>
      <c r="M733" s="12"/>
      <c r="N733" s="12"/>
      <c r="O733" s="308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4"/>
      <c r="BF733" s="12"/>
      <c r="BG733" s="12"/>
      <c r="BH733" s="12" t="str">
        <f>IFERROR(__xludf.DUMMYFUNCTION("IFERROR(INDEX(QUERY(IMPORTRANGE(""1T7HG8KEs-Ob7f3M5atEVN9Yn7IeORGp0QGvggB62ELw"",""Maestro!A:I""),""SELECT Col8 WHERE Col3 = '""&amp;BE733&amp;""'"", 0), 1, 1),""NO ENCONTRADO"")"),"")</f>
        <v/>
      </c>
      <c r="BI733" s="12" t="str">
        <f>IFERROR(__xludf.DUMMYFUNCTION("IFERROR(INDEX(QUERY(IMPORTRANGE(""1T7HG8KEs-Ob7f3M5atEVN9Yn7IeORGp0QGvggB62ELw"",""Maestro!A:I""),""SELECT Col7 WHERE Col3 = '""&amp;BE733&amp;""'"", 0), 1, 1),""NO ENCONTRADO"")"),"")</f>
        <v/>
      </c>
      <c r="BJ733" s="16">
        <f t="shared" si="15"/>
        <v>0</v>
      </c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4"/>
      <c r="BX733" s="14"/>
      <c r="BY733" s="14"/>
      <c r="BZ733" s="14"/>
      <c r="CA733" s="14"/>
      <c r="CB733" s="14"/>
      <c r="CC733" s="14"/>
      <c r="CD733" s="14"/>
      <c r="CE733" s="14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</row>
    <row r="734">
      <c r="A734" s="12"/>
      <c r="B734" s="14"/>
      <c r="C734" s="14"/>
      <c r="D734" s="14"/>
      <c r="E734" s="12"/>
      <c r="F734" s="307"/>
      <c r="G734" s="307"/>
      <c r="H734" s="12"/>
      <c r="I734" s="30"/>
      <c r="J734" s="12"/>
      <c r="K734" s="12"/>
      <c r="L734" s="12"/>
      <c r="M734" s="12"/>
      <c r="N734" s="12"/>
      <c r="O734" s="308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4"/>
      <c r="BF734" s="12"/>
      <c r="BG734" s="12"/>
      <c r="BH734" s="12" t="str">
        <f>IFERROR(__xludf.DUMMYFUNCTION("IFERROR(INDEX(QUERY(IMPORTRANGE(""1T7HG8KEs-Ob7f3M5atEVN9Yn7IeORGp0QGvggB62ELw"",""Maestro!A:I""),""SELECT Col8 WHERE Col3 = '""&amp;BE734&amp;""'"", 0), 1, 1),""NO ENCONTRADO"")"),"")</f>
        <v/>
      </c>
      <c r="BI734" s="12" t="str">
        <f>IFERROR(__xludf.DUMMYFUNCTION("IFERROR(INDEX(QUERY(IMPORTRANGE(""1T7HG8KEs-Ob7f3M5atEVN9Yn7IeORGp0QGvggB62ELw"",""Maestro!A:I""),""SELECT Col7 WHERE Col3 = '""&amp;BE734&amp;""'"", 0), 1, 1),""NO ENCONTRADO"")"),"")</f>
        <v/>
      </c>
      <c r="BJ734" s="16">
        <f t="shared" si="15"/>
        <v>0</v>
      </c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4"/>
      <c r="BX734" s="14"/>
      <c r="BY734" s="14"/>
      <c r="BZ734" s="14"/>
      <c r="CA734" s="14"/>
      <c r="CB734" s="14"/>
      <c r="CC734" s="14"/>
      <c r="CD734" s="14"/>
      <c r="CE734" s="14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</row>
    <row r="735">
      <c r="A735" s="12"/>
      <c r="B735" s="14"/>
      <c r="C735" s="14"/>
      <c r="D735" s="14"/>
      <c r="E735" s="12"/>
      <c r="F735" s="307"/>
      <c r="G735" s="307"/>
      <c r="H735" s="12"/>
      <c r="I735" s="30"/>
      <c r="J735" s="12"/>
      <c r="K735" s="12"/>
      <c r="L735" s="12"/>
      <c r="M735" s="12"/>
      <c r="N735" s="12"/>
      <c r="O735" s="308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4"/>
      <c r="BF735" s="12"/>
      <c r="BG735" s="12"/>
      <c r="BH735" s="12" t="str">
        <f>IFERROR(__xludf.DUMMYFUNCTION("IFERROR(INDEX(QUERY(IMPORTRANGE(""1T7HG8KEs-Ob7f3M5atEVN9Yn7IeORGp0QGvggB62ELw"",""Maestro!A:I""),""SELECT Col8 WHERE Col3 = '""&amp;BE735&amp;""'"", 0), 1, 1),""NO ENCONTRADO"")"),"")</f>
        <v/>
      </c>
      <c r="BI735" s="12" t="str">
        <f>IFERROR(__xludf.DUMMYFUNCTION("IFERROR(INDEX(QUERY(IMPORTRANGE(""1T7HG8KEs-Ob7f3M5atEVN9Yn7IeORGp0QGvggB62ELw"",""Maestro!A:I""),""SELECT Col7 WHERE Col3 = '""&amp;BE735&amp;""'"", 0), 1, 1),""NO ENCONTRADO"")"),"")</f>
        <v/>
      </c>
      <c r="BJ735" s="16">
        <f t="shared" si="15"/>
        <v>0</v>
      </c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4"/>
      <c r="BX735" s="14"/>
      <c r="BY735" s="14"/>
      <c r="BZ735" s="14"/>
      <c r="CA735" s="14"/>
      <c r="CB735" s="14"/>
      <c r="CC735" s="14"/>
      <c r="CD735" s="14"/>
      <c r="CE735" s="14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</row>
    <row r="736">
      <c r="A736" s="12"/>
      <c r="B736" s="14"/>
      <c r="C736" s="14"/>
      <c r="D736" s="14"/>
      <c r="E736" s="12"/>
      <c r="F736" s="307"/>
      <c r="G736" s="307"/>
      <c r="H736" s="12"/>
      <c r="I736" s="30"/>
      <c r="J736" s="12"/>
      <c r="K736" s="12"/>
      <c r="L736" s="12"/>
      <c r="M736" s="12"/>
      <c r="N736" s="12"/>
      <c r="O736" s="308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4"/>
      <c r="BF736" s="12"/>
      <c r="BG736" s="12"/>
      <c r="BH736" s="12" t="str">
        <f>IFERROR(__xludf.DUMMYFUNCTION("IFERROR(INDEX(QUERY(IMPORTRANGE(""1T7HG8KEs-Ob7f3M5atEVN9Yn7IeORGp0QGvggB62ELw"",""Maestro!A:I""),""SELECT Col8 WHERE Col3 = '""&amp;BE736&amp;""'"", 0), 1, 1),""NO ENCONTRADO"")"),"")</f>
        <v/>
      </c>
      <c r="BI736" s="12" t="str">
        <f>IFERROR(__xludf.DUMMYFUNCTION("IFERROR(INDEX(QUERY(IMPORTRANGE(""1T7HG8KEs-Ob7f3M5atEVN9Yn7IeORGp0QGvggB62ELw"",""Maestro!A:I""),""SELECT Col7 WHERE Col3 = '""&amp;BE736&amp;""'"", 0), 1, 1),""NO ENCONTRADO"")"),"")</f>
        <v/>
      </c>
      <c r="BJ736" s="16">
        <f t="shared" si="15"/>
        <v>0</v>
      </c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4"/>
      <c r="BX736" s="14"/>
      <c r="BY736" s="14"/>
      <c r="BZ736" s="14"/>
      <c r="CA736" s="14"/>
      <c r="CB736" s="14"/>
      <c r="CC736" s="14"/>
      <c r="CD736" s="14"/>
      <c r="CE736" s="14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</row>
    <row r="737">
      <c r="A737" s="12"/>
      <c r="B737" s="14"/>
      <c r="C737" s="14"/>
      <c r="D737" s="14"/>
      <c r="E737" s="12"/>
      <c r="F737" s="307"/>
      <c r="G737" s="307"/>
      <c r="H737" s="12"/>
      <c r="I737" s="30"/>
      <c r="J737" s="12"/>
      <c r="K737" s="12"/>
      <c r="L737" s="12"/>
      <c r="M737" s="12"/>
      <c r="N737" s="12"/>
      <c r="O737" s="308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4"/>
      <c r="BF737" s="12"/>
      <c r="BG737" s="12"/>
      <c r="BH737" s="12" t="str">
        <f>IFERROR(__xludf.DUMMYFUNCTION("IFERROR(INDEX(QUERY(IMPORTRANGE(""1T7HG8KEs-Ob7f3M5atEVN9Yn7IeORGp0QGvggB62ELw"",""Maestro!A:I""),""SELECT Col8 WHERE Col3 = '""&amp;BE737&amp;""'"", 0), 1, 1),""NO ENCONTRADO"")"),"")</f>
        <v/>
      </c>
      <c r="BI737" s="12" t="str">
        <f>IFERROR(__xludf.DUMMYFUNCTION("IFERROR(INDEX(QUERY(IMPORTRANGE(""1T7HG8KEs-Ob7f3M5atEVN9Yn7IeORGp0QGvggB62ELw"",""Maestro!A:I""),""SELECT Col7 WHERE Col3 = '""&amp;BE737&amp;""'"", 0), 1, 1),""NO ENCONTRADO"")"),"")</f>
        <v/>
      </c>
      <c r="BJ737" s="16">
        <f t="shared" si="15"/>
        <v>0</v>
      </c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4"/>
      <c r="BX737" s="14"/>
      <c r="BY737" s="14"/>
      <c r="BZ737" s="14"/>
      <c r="CA737" s="14"/>
      <c r="CB737" s="14"/>
      <c r="CC737" s="14"/>
      <c r="CD737" s="14"/>
      <c r="CE737" s="14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</row>
    <row r="738">
      <c r="A738" s="12"/>
      <c r="B738" s="14"/>
      <c r="C738" s="14"/>
      <c r="D738" s="14"/>
      <c r="E738" s="12"/>
      <c r="F738" s="307"/>
      <c r="G738" s="307"/>
      <c r="H738" s="12"/>
      <c r="I738" s="30"/>
      <c r="J738" s="12"/>
      <c r="K738" s="12"/>
      <c r="L738" s="12"/>
      <c r="M738" s="12"/>
      <c r="N738" s="12"/>
      <c r="O738" s="308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4"/>
      <c r="BF738" s="12"/>
      <c r="BG738" s="12"/>
      <c r="BH738" s="12" t="str">
        <f>IFERROR(__xludf.DUMMYFUNCTION("IFERROR(INDEX(QUERY(IMPORTRANGE(""1T7HG8KEs-Ob7f3M5atEVN9Yn7IeORGp0QGvggB62ELw"",""Maestro!A:I""),""SELECT Col8 WHERE Col3 = '""&amp;BE738&amp;""'"", 0), 1, 1),""NO ENCONTRADO"")"),"")</f>
        <v/>
      </c>
      <c r="BI738" s="12" t="str">
        <f>IFERROR(__xludf.DUMMYFUNCTION("IFERROR(INDEX(QUERY(IMPORTRANGE(""1T7HG8KEs-Ob7f3M5atEVN9Yn7IeORGp0QGvggB62ELw"",""Maestro!A:I""),""SELECT Col7 WHERE Col3 = '""&amp;BE738&amp;""'"", 0), 1, 1),""NO ENCONTRADO"")"),"")</f>
        <v/>
      </c>
      <c r="BJ738" s="16">
        <f t="shared" si="15"/>
        <v>0</v>
      </c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4"/>
      <c r="BX738" s="14"/>
      <c r="BY738" s="14"/>
      <c r="BZ738" s="14"/>
      <c r="CA738" s="14"/>
      <c r="CB738" s="14"/>
      <c r="CC738" s="14"/>
      <c r="CD738" s="14"/>
      <c r="CE738" s="14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</row>
    <row r="739">
      <c r="A739" s="12"/>
      <c r="B739" s="14"/>
      <c r="C739" s="14"/>
      <c r="D739" s="14"/>
      <c r="E739" s="12"/>
      <c r="F739" s="307"/>
      <c r="G739" s="307"/>
      <c r="H739" s="12"/>
      <c r="I739" s="30"/>
      <c r="J739" s="12"/>
      <c r="K739" s="12"/>
      <c r="L739" s="12"/>
      <c r="M739" s="12"/>
      <c r="N739" s="12"/>
      <c r="O739" s="308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4"/>
      <c r="BF739" s="12"/>
      <c r="BG739" s="12"/>
      <c r="BH739" s="12" t="str">
        <f>IFERROR(__xludf.DUMMYFUNCTION("IFERROR(INDEX(QUERY(IMPORTRANGE(""1T7HG8KEs-Ob7f3M5atEVN9Yn7IeORGp0QGvggB62ELw"",""Maestro!A:I""),""SELECT Col8 WHERE Col3 = '""&amp;BE739&amp;""'"", 0), 1, 1),""NO ENCONTRADO"")"),"")</f>
        <v/>
      </c>
      <c r="BI739" s="12" t="str">
        <f>IFERROR(__xludf.DUMMYFUNCTION("IFERROR(INDEX(QUERY(IMPORTRANGE(""1T7HG8KEs-Ob7f3M5atEVN9Yn7IeORGp0QGvggB62ELw"",""Maestro!A:I""),""SELECT Col7 WHERE Col3 = '""&amp;BE739&amp;""'"", 0), 1, 1),""NO ENCONTRADO"")"),"")</f>
        <v/>
      </c>
      <c r="BJ739" s="16">
        <f t="shared" si="15"/>
        <v>0</v>
      </c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4"/>
      <c r="BX739" s="14"/>
      <c r="BY739" s="14"/>
      <c r="BZ739" s="14"/>
      <c r="CA739" s="14"/>
      <c r="CB739" s="14"/>
      <c r="CC739" s="14"/>
      <c r="CD739" s="14"/>
      <c r="CE739" s="14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</row>
    <row r="740">
      <c r="A740" s="12"/>
      <c r="B740" s="14"/>
      <c r="C740" s="14"/>
      <c r="D740" s="14"/>
      <c r="E740" s="12"/>
      <c r="F740" s="307"/>
      <c r="G740" s="307"/>
      <c r="H740" s="12"/>
      <c r="I740" s="30"/>
      <c r="J740" s="12"/>
      <c r="K740" s="12"/>
      <c r="L740" s="12"/>
      <c r="M740" s="12"/>
      <c r="N740" s="12"/>
      <c r="O740" s="308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4"/>
      <c r="BF740" s="12"/>
      <c r="BG740" s="12"/>
      <c r="BH740" s="12" t="str">
        <f>IFERROR(__xludf.DUMMYFUNCTION("IFERROR(INDEX(QUERY(IMPORTRANGE(""1T7HG8KEs-Ob7f3M5atEVN9Yn7IeORGp0QGvggB62ELw"",""Maestro!A:I""),""SELECT Col8 WHERE Col3 = '""&amp;BE740&amp;""'"", 0), 1, 1),""NO ENCONTRADO"")"),"")</f>
        <v/>
      </c>
      <c r="BI740" s="12" t="str">
        <f>IFERROR(__xludf.DUMMYFUNCTION("IFERROR(INDEX(QUERY(IMPORTRANGE(""1T7HG8KEs-Ob7f3M5atEVN9Yn7IeORGp0QGvggB62ELw"",""Maestro!A:I""),""SELECT Col7 WHERE Col3 = '""&amp;BE740&amp;""'"", 0), 1, 1),""NO ENCONTRADO"")"),"")</f>
        <v/>
      </c>
      <c r="BJ740" s="16">
        <f t="shared" si="15"/>
        <v>0</v>
      </c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4"/>
      <c r="BX740" s="14"/>
      <c r="BY740" s="14"/>
      <c r="BZ740" s="14"/>
      <c r="CA740" s="14"/>
      <c r="CB740" s="14"/>
      <c r="CC740" s="14"/>
      <c r="CD740" s="14"/>
      <c r="CE740" s="14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</row>
    <row r="741">
      <c r="A741" s="12"/>
      <c r="B741" s="14"/>
      <c r="C741" s="14"/>
      <c r="D741" s="14"/>
      <c r="E741" s="12"/>
      <c r="F741" s="307"/>
      <c r="G741" s="307"/>
      <c r="H741" s="12"/>
      <c r="I741" s="30"/>
      <c r="J741" s="12"/>
      <c r="K741" s="12"/>
      <c r="L741" s="12"/>
      <c r="M741" s="12"/>
      <c r="N741" s="12"/>
      <c r="O741" s="308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4"/>
      <c r="BF741" s="12"/>
      <c r="BG741" s="12"/>
      <c r="BH741" s="12" t="str">
        <f>IFERROR(__xludf.DUMMYFUNCTION("IFERROR(INDEX(QUERY(IMPORTRANGE(""1T7HG8KEs-Ob7f3M5atEVN9Yn7IeORGp0QGvggB62ELw"",""Maestro!A:I""),""SELECT Col8 WHERE Col3 = '""&amp;BE741&amp;""'"", 0), 1, 1),""NO ENCONTRADO"")"),"")</f>
        <v/>
      </c>
      <c r="BI741" s="12" t="str">
        <f>IFERROR(__xludf.DUMMYFUNCTION("IFERROR(INDEX(QUERY(IMPORTRANGE(""1T7HG8KEs-Ob7f3M5atEVN9Yn7IeORGp0QGvggB62ELw"",""Maestro!A:I""),""SELECT Col7 WHERE Col3 = '""&amp;BE741&amp;""'"", 0), 1, 1),""NO ENCONTRADO"")"),"")</f>
        <v/>
      </c>
      <c r="BJ741" s="16">
        <f t="shared" si="15"/>
        <v>0</v>
      </c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4"/>
      <c r="BX741" s="14"/>
      <c r="BY741" s="14"/>
      <c r="BZ741" s="14"/>
      <c r="CA741" s="14"/>
      <c r="CB741" s="14"/>
      <c r="CC741" s="14"/>
      <c r="CD741" s="14"/>
      <c r="CE741" s="14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</row>
    <row r="742">
      <c r="A742" s="12"/>
      <c r="B742" s="14"/>
      <c r="C742" s="14"/>
      <c r="D742" s="14"/>
      <c r="E742" s="12"/>
      <c r="F742" s="307"/>
      <c r="G742" s="307"/>
      <c r="H742" s="12"/>
      <c r="I742" s="30"/>
      <c r="J742" s="12"/>
      <c r="K742" s="12"/>
      <c r="L742" s="12"/>
      <c r="M742" s="12"/>
      <c r="N742" s="12"/>
      <c r="O742" s="308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4"/>
      <c r="BF742" s="12"/>
      <c r="BG742" s="12"/>
      <c r="BH742" s="12" t="str">
        <f>IFERROR(__xludf.DUMMYFUNCTION("IFERROR(INDEX(QUERY(IMPORTRANGE(""1T7HG8KEs-Ob7f3M5atEVN9Yn7IeORGp0QGvggB62ELw"",""Maestro!A:I""),""SELECT Col8 WHERE Col3 = '""&amp;BE742&amp;""'"", 0), 1, 1),""NO ENCONTRADO"")"),"")</f>
        <v/>
      </c>
      <c r="BI742" s="12" t="str">
        <f>IFERROR(__xludf.DUMMYFUNCTION("IFERROR(INDEX(QUERY(IMPORTRANGE(""1T7HG8KEs-Ob7f3M5atEVN9Yn7IeORGp0QGvggB62ELw"",""Maestro!A:I""),""SELECT Col7 WHERE Col3 = '""&amp;BE742&amp;""'"", 0), 1, 1),""NO ENCONTRADO"")"),"")</f>
        <v/>
      </c>
      <c r="BJ742" s="16">
        <f t="shared" si="15"/>
        <v>0</v>
      </c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4"/>
      <c r="BX742" s="14"/>
      <c r="BY742" s="14"/>
      <c r="BZ742" s="14"/>
      <c r="CA742" s="14"/>
      <c r="CB742" s="14"/>
      <c r="CC742" s="14"/>
      <c r="CD742" s="14"/>
      <c r="CE742" s="14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</row>
    <row r="743">
      <c r="A743" s="12"/>
      <c r="B743" s="14"/>
      <c r="C743" s="14"/>
      <c r="D743" s="14"/>
      <c r="E743" s="12"/>
      <c r="F743" s="307"/>
      <c r="G743" s="307"/>
      <c r="H743" s="12"/>
      <c r="I743" s="30"/>
      <c r="J743" s="12"/>
      <c r="K743" s="12"/>
      <c r="L743" s="12"/>
      <c r="M743" s="12"/>
      <c r="N743" s="12"/>
      <c r="O743" s="308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4"/>
      <c r="BF743" s="12"/>
      <c r="BG743" s="12"/>
      <c r="BH743" s="12" t="str">
        <f>IFERROR(__xludf.DUMMYFUNCTION("IFERROR(INDEX(QUERY(IMPORTRANGE(""1T7HG8KEs-Ob7f3M5atEVN9Yn7IeORGp0QGvggB62ELw"",""Maestro!A:I""),""SELECT Col8 WHERE Col3 = '""&amp;BE743&amp;""'"", 0), 1, 1),""NO ENCONTRADO"")"),"")</f>
        <v/>
      </c>
      <c r="BI743" s="12" t="str">
        <f>IFERROR(__xludf.DUMMYFUNCTION("IFERROR(INDEX(QUERY(IMPORTRANGE(""1T7HG8KEs-Ob7f3M5atEVN9Yn7IeORGp0QGvggB62ELw"",""Maestro!A:I""),""SELECT Col7 WHERE Col3 = '""&amp;BE743&amp;""'"", 0), 1, 1),""NO ENCONTRADO"")"),"")</f>
        <v/>
      </c>
      <c r="BJ743" s="16">
        <f t="shared" si="15"/>
        <v>0</v>
      </c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4"/>
      <c r="BX743" s="14"/>
      <c r="BY743" s="14"/>
      <c r="BZ743" s="14"/>
      <c r="CA743" s="14"/>
      <c r="CB743" s="14"/>
      <c r="CC743" s="14"/>
      <c r="CD743" s="14"/>
      <c r="CE743" s="14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</row>
    <row r="744">
      <c r="A744" s="12"/>
      <c r="B744" s="14"/>
      <c r="C744" s="14"/>
      <c r="D744" s="14"/>
      <c r="E744" s="12"/>
      <c r="F744" s="307"/>
      <c r="G744" s="307"/>
      <c r="H744" s="12"/>
      <c r="I744" s="30"/>
      <c r="J744" s="12"/>
      <c r="K744" s="12"/>
      <c r="L744" s="12"/>
      <c r="M744" s="12"/>
      <c r="N744" s="12"/>
      <c r="O744" s="308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4"/>
      <c r="BF744" s="12"/>
      <c r="BG744" s="12"/>
      <c r="BH744" s="12" t="str">
        <f>IFERROR(__xludf.DUMMYFUNCTION("IFERROR(INDEX(QUERY(IMPORTRANGE(""1T7HG8KEs-Ob7f3M5atEVN9Yn7IeORGp0QGvggB62ELw"",""Maestro!A:I""),""SELECT Col8 WHERE Col3 = '""&amp;BE744&amp;""'"", 0), 1, 1),""NO ENCONTRADO"")"),"")</f>
        <v/>
      </c>
      <c r="BI744" s="12" t="str">
        <f>IFERROR(__xludf.DUMMYFUNCTION("IFERROR(INDEX(QUERY(IMPORTRANGE(""1T7HG8KEs-Ob7f3M5atEVN9Yn7IeORGp0QGvggB62ELw"",""Maestro!A:I""),""SELECT Col7 WHERE Col3 = '""&amp;BE744&amp;""'"", 0), 1, 1),""NO ENCONTRADO"")"),"")</f>
        <v/>
      </c>
      <c r="BJ744" s="16">
        <f t="shared" si="15"/>
        <v>0</v>
      </c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4"/>
      <c r="BX744" s="14"/>
      <c r="BY744" s="14"/>
      <c r="BZ744" s="14"/>
      <c r="CA744" s="14"/>
      <c r="CB744" s="14"/>
      <c r="CC744" s="14"/>
      <c r="CD744" s="14"/>
      <c r="CE744" s="14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</row>
    <row r="745">
      <c r="A745" s="12"/>
      <c r="B745" s="14"/>
      <c r="C745" s="14"/>
      <c r="D745" s="14"/>
      <c r="E745" s="12"/>
      <c r="F745" s="307"/>
      <c r="G745" s="307"/>
      <c r="H745" s="12"/>
      <c r="I745" s="30"/>
      <c r="J745" s="12"/>
      <c r="K745" s="12"/>
      <c r="L745" s="12"/>
      <c r="M745" s="12"/>
      <c r="N745" s="12"/>
      <c r="O745" s="308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4"/>
      <c r="BF745" s="12"/>
      <c r="BG745" s="12"/>
      <c r="BH745" s="12" t="str">
        <f>IFERROR(__xludf.DUMMYFUNCTION("IFERROR(INDEX(QUERY(IMPORTRANGE(""1T7HG8KEs-Ob7f3M5atEVN9Yn7IeORGp0QGvggB62ELw"",""Maestro!A:I""),""SELECT Col8 WHERE Col3 = '""&amp;BE745&amp;""'"", 0), 1, 1),""NO ENCONTRADO"")"),"")</f>
        <v/>
      </c>
      <c r="BI745" s="12" t="str">
        <f>IFERROR(__xludf.DUMMYFUNCTION("IFERROR(INDEX(QUERY(IMPORTRANGE(""1T7HG8KEs-Ob7f3M5atEVN9Yn7IeORGp0QGvggB62ELw"",""Maestro!A:I""),""SELECT Col7 WHERE Col3 = '""&amp;BE745&amp;""'"", 0), 1, 1),""NO ENCONTRADO"")"),"")</f>
        <v/>
      </c>
      <c r="BJ745" s="16">
        <f t="shared" si="15"/>
        <v>0</v>
      </c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4"/>
      <c r="BX745" s="14"/>
      <c r="BY745" s="14"/>
      <c r="BZ745" s="14"/>
      <c r="CA745" s="14"/>
      <c r="CB745" s="14"/>
      <c r="CC745" s="14"/>
      <c r="CD745" s="14"/>
      <c r="CE745" s="14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</row>
    <row r="746">
      <c r="A746" s="12"/>
      <c r="B746" s="14"/>
      <c r="C746" s="14"/>
      <c r="D746" s="14"/>
      <c r="E746" s="12"/>
      <c r="F746" s="307"/>
      <c r="G746" s="307"/>
      <c r="H746" s="12"/>
      <c r="I746" s="30"/>
      <c r="J746" s="12"/>
      <c r="K746" s="12"/>
      <c r="L746" s="12"/>
      <c r="M746" s="12"/>
      <c r="N746" s="12"/>
      <c r="O746" s="308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4"/>
      <c r="BF746" s="12"/>
      <c r="BG746" s="12"/>
      <c r="BH746" s="12" t="str">
        <f>IFERROR(__xludf.DUMMYFUNCTION("IFERROR(INDEX(QUERY(IMPORTRANGE(""1T7HG8KEs-Ob7f3M5atEVN9Yn7IeORGp0QGvggB62ELw"",""Maestro!A:I""),""SELECT Col8 WHERE Col3 = '""&amp;BE746&amp;""'"", 0), 1, 1),""NO ENCONTRADO"")"),"")</f>
        <v/>
      </c>
      <c r="BI746" s="12" t="str">
        <f>IFERROR(__xludf.DUMMYFUNCTION("IFERROR(INDEX(QUERY(IMPORTRANGE(""1T7HG8KEs-Ob7f3M5atEVN9Yn7IeORGp0QGvggB62ELw"",""Maestro!A:I""),""SELECT Col7 WHERE Col3 = '""&amp;BE746&amp;""'"", 0), 1, 1),""NO ENCONTRADO"")"),"")</f>
        <v/>
      </c>
      <c r="BJ746" s="16">
        <f t="shared" si="15"/>
        <v>0</v>
      </c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4"/>
      <c r="BX746" s="14"/>
      <c r="BY746" s="14"/>
      <c r="BZ746" s="14"/>
      <c r="CA746" s="14"/>
      <c r="CB746" s="14"/>
      <c r="CC746" s="14"/>
      <c r="CD746" s="14"/>
      <c r="CE746" s="14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</row>
    <row r="747">
      <c r="A747" s="12"/>
      <c r="B747" s="14"/>
      <c r="C747" s="14"/>
      <c r="D747" s="14"/>
      <c r="E747" s="12"/>
      <c r="F747" s="307"/>
      <c r="G747" s="307"/>
      <c r="H747" s="12"/>
      <c r="I747" s="30"/>
      <c r="J747" s="12"/>
      <c r="K747" s="12"/>
      <c r="L747" s="12"/>
      <c r="M747" s="12"/>
      <c r="N747" s="12"/>
      <c r="O747" s="308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4"/>
      <c r="BF747" s="12"/>
      <c r="BG747" s="12"/>
      <c r="BH747" s="12" t="str">
        <f>IFERROR(__xludf.DUMMYFUNCTION("IFERROR(INDEX(QUERY(IMPORTRANGE(""1T7HG8KEs-Ob7f3M5atEVN9Yn7IeORGp0QGvggB62ELw"",""Maestro!A:I""),""SELECT Col8 WHERE Col3 = '""&amp;BE747&amp;""'"", 0), 1, 1),""NO ENCONTRADO"")"),"")</f>
        <v/>
      </c>
      <c r="BI747" s="12" t="str">
        <f>IFERROR(__xludf.DUMMYFUNCTION("IFERROR(INDEX(QUERY(IMPORTRANGE(""1T7HG8KEs-Ob7f3M5atEVN9Yn7IeORGp0QGvggB62ELw"",""Maestro!A:I""),""SELECT Col7 WHERE Col3 = '""&amp;BE747&amp;""'"", 0), 1, 1),""NO ENCONTRADO"")"),"")</f>
        <v/>
      </c>
      <c r="BJ747" s="16">
        <f t="shared" si="15"/>
        <v>0</v>
      </c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4"/>
      <c r="BX747" s="14"/>
      <c r="BY747" s="14"/>
      <c r="BZ747" s="14"/>
      <c r="CA747" s="14"/>
      <c r="CB747" s="14"/>
      <c r="CC747" s="14"/>
      <c r="CD747" s="14"/>
      <c r="CE747" s="14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</row>
    <row r="748">
      <c r="A748" s="12"/>
      <c r="B748" s="14"/>
      <c r="C748" s="14"/>
      <c r="D748" s="14"/>
      <c r="E748" s="12"/>
      <c r="F748" s="307"/>
      <c r="G748" s="307"/>
      <c r="H748" s="12"/>
      <c r="I748" s="30"/>
      <c r="J748" s="12"/>
      <c r="K748" s="12"/>
      <c r="L748" s="12"/>
      <c r="M748" s="12"/>
      <c r="N748" s="12"/>
      <c r="O748" s="308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4"/>
      <c r="BF748" s="12"/>
      <c r="BG748" s="12"/>
      <c r="BH748" s="12" t="str">
        <f>IFERROR(__xludf.DUMMYFUNCTION("IFERROR(INDEX(QUERY(IMPORTRANGE(""1T7HG8KEs-Ob7f3M5atEVN9Yn7IeORGp0QGvggB62ELw"",""Maestro!A:I""),""SELECT Col8 WHERE Col3 = '""&amp;BE748&amp;""'"", 0), 1, 1),""NO ENCONTRADO"")"),"")</f>
        <v/>
      </c>
      <c r="BI748" s="12" t="str">
        <f>IFERROR(__xludf.DUMMYFUNCTION("IFERROR(INDEX(QUERY(IMPORTRANGE(""1T7HG8KEs-Ob7f3M5atEVN9Yn7IeORGp0QGvggB62ELw"",""Maestro!A:I""),""SELECT Col7 WHERE Col3 = '""&amp;BE748&amp;""'"", 0), 1, 1),""NO ENCONTRADO"")"),"")</f>
        <v/>
      </c>
      <c r="BJ748" s="16">
        <f t="shared" si="15"/>
        <v>0</v>
      </c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4"/>
      <c r="BX748" s="14"/>
      <c r="BY748" s="14"/>
      <c r="BZ748" s="14"/>
      <c r="CA748" s="14"/>
      <c r="CB748" s="14"/>
      <c r="CC748" s="14"/>
      <c r="CD748" s="14"/>
      <c r="CE748" s="14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</row>
    <row r="749">
      <c r="A749" s="12"/>
      <c r="B749" s="14"/>
      <c r="C749" s="14"/>
      <c r="D749" s="14"/>
      <c r="E749" s="12"/>
      <c r="F749" s="307"/>
      <c r="G749" s="307"/>
      <c r="H749" s="12"/>
      <c r="I749" s="30"/>
      <c r="J749" s="12"/>
      <c r="K749" s="12"/>
      <c r="L749" s="12"/>
      <c r="M749" s="12"/>
      <c r="N749" s="12"/>
      <c r="O749" s="308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4"/>
      <c r="BF749" s="12"/>
      <c r="BG749" s="12"/>
      <c r="BH749" s="12" t="str">
        <f>IFERROR(__xludf.DUMMYFUNCTION("IFERROR(INDEX(QUERY(IMPORTRANGE(""1T7HG8KEs-Ob7f3M5atEVN9Yn7IeORGp0QGvggB62ELw"",""Maestro!A:I""),""SELECT Col8 WHERE Col3 = '""&amp;BE749&amp;""'"", 0), 1, 1),""NO ENCONTRADO"")"),"")</f>
        <v/>
      </c>
      <c r="BI749" s="12" t="str">
        <f>IFERROR(__xludf.DUMMYFUNCTION("IFERROR(INDEX(QUERY(IMPORTRANGE(""1T7HG8KEs-Ob7f3M5atEVN9Yn7IeORGp0QGvggB62ELw"",""Maestro!A:I""),""SELECT Col7 WHERE Col3 = '""&amp;BE749&amp;""'"", 0), 1, 1),""NO ENCONTRADO"")"),"")</f>
        <v/>
      </c>
      <c r="BJ749" s="16">
        <f t="shared" si="15"/>
        <v>0</v>
      </c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4"/>
      <c r="BX749" s="14"/>
      <c r="BY749" s="14"/>
      <c r="BZ749" s="14"/>
      <c r="CA749" s="14"/>
      <c r="CB749" s="14"/>
      <c r="CC749" s="14"/>
      <c r="CD749" s="14"/>
      <c r="CE749" s="14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</row>
    <row r="750">
      <c r="A750" s="12"/>
      <c r="B750" s="14"/>
      <c r="C750" s="14"/>
      <c r="D750" s="14"/>
      <c r="E750" s="12"/>
      <c r="F750" s="307"/>
      <c r="G750" s="307"/>
      <c r="H750" s="12"/>
      <c r="I750" s="30"/>
      <c r="J750" s="12"/>
      <c r="K750" s="12"/>
      <c r="L750" s="12"/>
      <c r="M750" s="12"/>
      <c r="N750" s="12"/>
      <c r="O750" s="308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4"/>
      <c r="BF750" s="12"/>
      <c r="BG750" s="12"/>
      <c r="BH750" s="12" t="str">
        <f>IFERROR(__xludf.DUMMYFUNCTION("IFERROR(INDEX(QUERY(IMPORTRANGE(""1T7HG8KEs-Ob7f3M5atEVN9Yn7IeORGp0QGvggB62ELw"",""Maestro!A:I""),""SELECT Col8 WHERE Col3 = '""&amp;BE750&amp;""'"", 0), 1, 1),""NO ENCONTRADO"")"),"")</f>
        <v/>
      </c>
      <c r="BI750" s="12" t="str">
        <f>IFERROR(__xludf.DUMMYFUNCTION("IFERROR(INDEX(QUERY(IMPORTRANGE(""1T7HG8KEs-Ob7f3M5atEVN9Yn7IeORGp0QGvggB62ELw"",""Maestro!A:I""),""SELECT Col7 WHERE Col3 = '""&amp;BE750&amp;""'"", 0), 1, 1),""NO ENCONTRADO"")"),"")</f>
        <v/>
      </c>
      <c r="BJ750" s="16">
        <f t="shared" si="15"/>
        <v>0</v>
      </c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4"/>
      <c r="BX750" s="14"/>
      <c r="BY750" s="14"/>
      <c r="BZ750" s="14"/>
      <c r="CA750" s="14"/>
      <c r="CB750" s="14"/>
      <c r="CC750" s="14"/>
      <c r="CD750" s="14"/>
      <c r="CE750" s="14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</row>
    <row r="751">
      <c r="A751" s="12"/>
      <c r="B751" s="14"/>
      <c r="C751" s="14"/>
      <c r="D751" s="14"/>
      <c r="E751" s="12"/>
      <c r="F751" s="307"/>
      <c r="G751" s="307"/>
      <c r="H751" s="12"/>
      <c r="I751" s="30"/>
      <c r="J751" s="12"/>
      <c r="K751" s="12"/>
      <c r="L751" s="12"/>
      <c r="M751" s="12"/>
      <c r="N751" s="12"/>
      <c r="O751" s="308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4"/>
      <c r="BF751" s="12"/>
      <c r="BG751" s="12"/>
      <c r="BH751" s="12" t="str">
        <f>IFERROR(__xludf.DUMMYFUNCTION("IFERROR(INDEX(QUERY(IMPORTRANGE(""1T7HG8KEs-Ob7f3M5atEVN9Yn7IeORGp0QGvggB62ELw"",""Maestro!A:I""),""SELECT Col8 WHERE Col3 = '""&amp;BE751&amp;""'"", 0), 1, 1),""NO ENCONTRADO"")"),"")</f>
        <v/>
      </c>
      <c r="BI751" s="12" t="str">
        <f>IFERROR(__xludf.DUMMYFUNCTION("IFERROR(INDEX(QUERY(IMPORTRANGE(""1T7HG8KEs-Ob7f3M5atEVN9Yn7IeORGp0QGvggB62ELw"",""Maestro!A:I""),""SELECT Col7 WHERE Col3 = '""&amp;BE751&amp;""'"", 0), 1, 1),""NO ENCONTRADO"")"),"")</f>
        <v/>
      </c>
      <c r="BJ751" s="16">
        <f t="shared" si="15"/>
        <v>0</v>
      </c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4"/>
      <c r="BX751" s="14"/>
      <c r="BY751" s="14"/>
      <c r="BZ751" s="14"/>
      <c r="CA751" s="14"/>
      <c r="CB751" s="14"/>
      <c r="CC751" s="14"/>
      <c r="CD751" s="14"/>
      <c r="CE751" s="14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</row>
    <row r="752">
      <c r="A752" s="12"/>
      <c r="B752" s="14"/>
      <c r="C752" s="14"/>
      <c r="D752" s="14"/>
      <c r="E752" s="12"/>
      <c r="F752" s="307"/>
      <c r="G752" s="307"/>
      <c r="H752" s="12"/>
      <c r="I752" s="30"/>
      <c r="J752" s="12"/>
      <c r="K752" s="12"/>
      <c r="L752" s="12"/>
      <c r="M752" s="12"/>
      <c r="N752" s="12"/>
      <c r="O752" s="308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4"/>
      <c r="BF752" s="12"/>
      <c r="BG752" s="12"/>
      <c r="BH752" s="12" t="str">
        <f>IFERROR(__xludf.DUMMYFUNCTION("IFERROR(INDEX(QUERY(IMPORTRANGE(""1T7HG8KEs-Ob7f3M5atEVN9Yn7IeORGp0QGvggB62ELw"",""Maestro!A:I""),""SELECT Col8 WHERE Col3 = '""&amp;BE752&amp;""'"", 0), 1, 1),""NO ENCONTRADO"")"),"")</f>
        <v/>
      </c>
      <c r="BI752" s="12" t="str">
        <f>IFERROR(__xludf.DUMMYFUNCTION("IFERROR(INDEX(QUERY(IMPORTRANGE(""1T7HG8KEs-Ob7f3M5atEVN9Yn7IeORGp0QGvggB62ELw"",""Maestro!A:I""),""SELECT Col7 WHERE Col3 = '""&amp;BE752&amp;""'"", 0), 1, 1),""NO ENCONTRADO"")"),"")</f>
        <v/>
      </c>
      <c r="BJ752" s="16">
        <f t="shared" si="15"/>
        <v>0</v>
      </c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4"/>
      <c r="BX752" s="14"/>
      <c r="BY752" s="14"/>
      <c r="BZ752" s="14"/>
      <c r="CA752" s="14"/>
      <c r="CB752" s="14"/>
      <c r="CC752" s="14"/>
      <c r="CD752" s="14"/>
      <c r="CE752" s="14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</row>
    <row r="753">
      <c r="A753" s="12"/>
      <c r="B753" s="14"/>
      <c r="C753" s="14"/>
      <c r="D753" s="14"/>
      <c r="E753" s="12"/>
      <c r="F753" s="307"/>
      <c r="G753" s="307"/>
      <c r="H753" s="12"/>
      <c r="I753" s="30"/>
      <c r="J753" s="12"/>
      <c r="K753" s="12"/>
      <c r="L753" s="12"/>
      <c r="M753" s="12"/>
      <c r="N753" s="12"/>
      <c r="O753" s="308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4"/>
      <c r="BF753" s="12"/>
      <c r="BG753" s="12"/>
      <c r="BH753" s="12" t="str">
        <f>IFERROR(__xludf.DUMMYFUNCTION("IFERROR(INDEX(QUERY(IMPORTRANGE(""1T7HG8KEs-Ob7f3M5atEVN9Yn7IeORGp0QGvggB62ELw"",""Maestro!A:I""),""SELECT Col8 WHERE Col3 = '""&amp;BE753&amp;""'"", 0), 1, 1),""NO ENCONTRADO"")"),"")</f>
        <v/>
      </c>
      <c r="BI753" s="12" t="str">
        <f>IFERROR(__xludf.DUMMYFUNCTION("IFERROR(INDEX(QUERY(IMPORTRANGE(""1T7HG8KEs-Ob7f3M5atEVN9Yn7IeORGp0QGvggB62ELw"",""Maestro!A:I""),""SELECT Col7 WHERE Col3 = '""&amp;BE753&amp;""'"", 0), 1, 1),""NO ENCONTRADO"")"),"")</f>
        <v/>
      </c>
      <c r="BJ753" s="16">
        <f t="shared" si="15"/>
        <v>0</v>
      </c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4"/>
      <c r="BX753" s="14"/>
      <c r="BY753" s="14"/>
      <c r="BZ753" s="14"/>
      <c r="CA753" s="14"/>
      <c r="CB753" s="14"/>
      <c r="CC753" s="14"/>
      <c r="CD753" s="14"/>
      <c r="CE753" s="14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</row>
    <row r="754">
      <c r="A754" s="12"/>
      <c r="B754" s="14"/>
      <c r="C754" s="14"/>
      <c r="D754" s="14"/>
      <c r="E754" s="12"/>
      <c r="F754" s="307"/>
      <c r="G754" s="307"/>
      <c r="H754" s="12"/>
      <c r="I754" s="30"/>
      <c r="J754" s="12"/>
      <c r="K754" s="12"/>
      <c r="L754" s="12"/>
      <c r="M754" s="12"/>
      <c r="N754" s="12"/>
      <c r="O754" s="308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4"/>
      <c r="BF754" s="12"/>
      <c r="BG754" s="12"/>
      <c r="BH754" s="12" t="str">
        <f>IFERROR(__xludf.DUMMYFUNCTION("IFERROR(INDEX(QUERY(IMPORTRANGE(""1T7HG8KEs-Ob7f3M5atEVN9Yn7IeORGp0QGvggB62ELw"",""Maestro!A:I""),""SELECT Col8 WHERE Col3 = '""&amp;BE754&amp;""'"", 0), 1, 1),""NO ENCONTRADO"")"),"")</f>
        <v/>
      </c>
      <c r="BI754" s="12" t="str">
        <f>IFERROR(__xludf.DUMMYFUNCTION("IFERROR(INDEX(QUERY(IMPORTRANGE(""1T7HG8KEs-Ob7f3M5atEVN9Yn7IeORGp0QGvggB62ELw"",""Maestro!A:I""),""SELECT Col7 WHERE Col3 = '""&amp;BE754&amp;""'"", 0), 1, 1),""NO ENCONTRADO"")"),"")</f>
        <v/>
      </c>
      <c r="BJ754" s="16">
        <f t="shared" si="15"/>
        <v>0</v>
      </c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4"/>
      <c r="BX754" s="14"/>
      <c r="BY754" s="14"/>
      <c r="BZ754" s="14"/>
      <c r="CA754" s="14"/>
      <c r="CB754" s="14"/>
      <c r="CC754" s="14"/>
      <c r="CD754" s="14"/>
      <c r="CE754" s="14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</row>
    <row r="755">
      <c r="A755" s="12"/>
      <c r="B755" s="14"/>
      <c r="C755" s="14"/>
      <c r="D755" s="14"/>
      <c r="E755" s="12"/>
      <c r="F755" s="307"/>
      <c r="G755" s="307"/>
      <c r="H755" s="12"/>
      <c r="I755" s="30"/>
      <c r="J755" s="12"/>
      <c r="K755" s="12"/>
      <c r="L755" s="12"/>
      <c r="M755" s="12"/>
      <c r="N755" s="12"/>
      <c r="O755" s="308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4"/>
      <c r="BF755" s="12"/>
      <c r="BG755" s="12"/>
      <c r="BH755" s="12" t="str">
        <f>IFERROR(__xludf.DUMMYFUNCTION("IFERROR(INDEX(QUERY(IMPORTRANGE(""1T7HG8KEs-Ob7f3M5atEVN9Yn7IeORGp0QGvggB62ELw"",""Maestro!A:I""),""SELECT Col8 WHERE Col3 = '""&amp;BE755&amp;""'"", 0), 1, 1),""NO ENCONTRADO"")"),"")</f>
        <v/>
      </c>
      <c r="BI755" s="12" t="str">
        <f>IFERROR(__xludf.DUMMYFUNCTION("IFERROR(INDEX(QUERY(IMPORTRANGE(""1T7HG8KEs-Ob7f3M5atEVN9Yn7IeORGp0QGvggB62ELw"",""Maestro!A:I""),""SELECT Col7 WHERE Col3 = '""&amp;BE755&amp;""'"", 0), 1, 1),""NO ENCONTRADO"")"),"")</f>
        <v/>
      </c>
      <c r="BJ755" s="16">
        <f t="shared" si="15"/>
        <v>0</v>
      </c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4"/>
      <c r="BX755" s="14"/>
      <c r="BY755" s="14"/>
      <c r="BZ755" s="14"/>
      <c r="CA755" s="14"/>
      <c r="CB755" s="14"/>
      <c r="CC755" s="14"/>
      <c r="CD755" s="14"/>
      <c r="CE755" s="14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</row>
    <row r="756">
      <c r="A756" s="12"/>
      <c r="B756" s="14"/>
      <c r="C756" s="14"/>
      <c r="D756" s="14"/>
      <c r="E756" s="12"/>
      <c r="F756" s="307"/>
      <c r="G756" s="307"/>
      <c r="H756" s="12"/>
      <c r="I756" s="30"/>
      <c r="J756" s="12"/>
      <c r="K756" s="12"/>
      <c r="L756" s="12"/>
      <c r="M756" s="12"/>
      <c r="N756" s="12"/>
      <c r="O756" s="308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4"/>
      <c r="BF756" s="12"/>
      <c r="BG756" s="12"/>
      <c r="BH756" s="12" t="str">
        <f>IFERROR(__xludf.DUMMYFUNCTION("IFERROR(INDEX(QUERY(IMPORTRANGE(""1T7HG8KEs-Ob7f3M5atEVN9Yn7IeORGp0QGvggB62ELw"",""Maestro!A:I""),""SELECT Col8 WHERE Col3 = '""&amp;BE756&amp;""'"", 0), 1, 1),""NO ENCONTRADO"")"),"")</f>
        <v/>
      </c>
      <c r="BI756" s="12" t="str">
        <f>IFERROR(__xludf.DUMMYFUNCTION("IFERROR(INDEX(QUERY(IMPORTRANGE(""1T7HG8KEs-Ob7f3M5atEVN9Yn7IeORGp0QGvggB62ELw"",""Maestro!A:I""),""SELECT Col7 WHERE Col3 = '""&amp;BE756&amp;""'"", 0), 1, 1),""NO ENCONTRADO"")"),"")</f>
        <v/>
      </c>
      <c r="BJ756" s="16">
        <f t="shared" si="15"/>
        <v>0</v>
      </c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4"/>
      <c r="BX756" s="14"/>
      <c r="BY756" s="14"/>
      <c r="BZ756" s="14"/>
      <c r="CA756" s="14"/>
      <c r="CB756" s="14"/>
      <c r="CC756" s="14"/>
      <c r="CD756" s="14"/>
      <c r="CE756" s="14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</row>
    <row r="757">
      <c r="A757" s="12"/>
      <c r="B757" s="14"/>
      <c r="C757" s="14"/>
      <c r="D757" s="14"/>
      <c r="E757" s="12"/>
      <c r="F757" s="307"/>
      <c r="G757" s="307"/>
      <c r="H757" s="12"/>
      <c r="I757" s="30"/>
      <c r="J757" s="12"/>
      <c r="K757" s="12"/>
      <c r="L757" s="12"/>
      <c r="M757" s="12"/>
      <c r="N757" s="12"/>
      <c r="O757" s="308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4"/>
      <c r="BF757" s="12"/>
      <c r="BG757" s="12"/>
      <c r="BH757" s="12" t="str">
        <f>IFERROR(__xludf.DUMMYFUNCTION("IFERROR(INDEX(QUERY(IMPORTRANGE(""1T7HG8KEs-Ob7f3M5atEVN9Yn7IeORGp0QGvggB62ELw"",""Maestro!A:I""),""SELECT Col8 WHERE Col3 = '""&amp;BE757&amp;""'"", 0), 1, 1),""NO ENCONTRADO"")"),"")</f>
        <v/>
      </c>
      <c r="BI757" s="12" t="str">
        <f>IFERROR(__xludf.DUMMYFUNCTION("IFERROR(INDEX(QUERY(IMPORTRANGE(""1T7HG8KEs-Ob7f3M5atEVN9Yn7IeORGp0QGvggB62ELw"",""Maestro!A:I""),""SELECT Col7 WHERE Col3 = '""&amp;BE757&amp;""'"", 0), 1, 1),""NO ENCONTRADO"")"),"")</f>
        <v/>
      </c>
      <c r="BJ757" s="16">
        <f t="shared" si="15"/>
        <v>0</v>
      </c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4"/>
      <c r="BX757" s="14"/>
      <c r="BY757" s="14"/>
      <c r="BZ757" s="14"/>
      <c r="CA757" s="14"/>
      <c r="CB757" s="14"/>
      <c r="CC757" s="14"/>
      <c r="CD757" s="14"/>
      <c r="CE757" s="14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</row>
    <row r="758">
      <c r="A758" s="12"/>
      <c r="B758" s="14"/>
      <c r="C758" s="14"/>
      <c r="D758" s="14"/>
      <c r="E758" s="12"/>
      <c r="F758" s="307"/>
      <c r="G758" s="307"/>
      <c r="H758" s="12"/>
      <c r="I758" s="30"/>
      <c r="J758" s="12"/>
      <c r="K758" s="12"/>
      <c r="L758" s="12"/>
      <c r="M758" s="12"/>
      <c r="N758" s="12"/>
      <c r="O758" s="308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4"/>
      <c r="BF758" s="12"/>
      <c r="BG758" s="12"/>
      <c r="BH758" s="12" t="str">
        <f>IFERROR(__xludf.DUMMYFUNCTION("IFERROR(INDEX(QUERY(IMPORTRANGE(""1T7HG8KEs-Ob7f3M5atEVN9Yn7IeORGp0QGvggB62ELw"",""Maestro!A:I""),""SELECT Col8 WHERE Col3 = '""&amp;BE758&amp;""'"", 0), 1, 1),""NO ENCONTRADO"")"),"")</f>
        <v/>
      </c>
      <c r="BI758" s="12" t="str">
        <f>IFERROR(__xludf.DUMMYFUNCTION("IFERROR(INDEX(QUERY(IMPORTRANGE(""1T7HG8KEs-Ob7f3M5atEVN9Yn7IeORGp0QGvggB62ELw"",""Maestro!A:I""),""SELECT Col7 WHERE Col3 = '""&amp;BE758&amp;""'"", 0), 1, 1),""NO ENCONTRADO"")"),"")</f>
        <v/>
      </c>
      <c r="BJ758" s="16">
        <f t="shared" si="15"/>
        <v>0</v>
      </c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4"/>
      <c r="BX758" s="14"/>
      <c r="BY758" s="14"/>
      <c r="BZ758" s="14"/>
      <c r="CA758" s="14"/>
      <c r="CB758" s="14"/>
      <c r="CC758" s="14"/>
      <c r="CD758" s="14"/>
      <c r="CE758" s="14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</row>
    <row r="759">
      <c r="A759" s="12"/>
      <c r="B759" s="14"/>
      <c r="C759" s="14"/>
      <c r="D759" s="14"/>
      <c r="E759" s="12"/>
      <c r="F759" s="307"/>
      <c r="G759" s="307"/>
      <c r="H759" s="12"/>
      <c r="I759" s="30"/>
      <c r="J759" s="12"/>
      <c r="K759" s="12"/>
      <c r="L759" s="12"/>
      <c r="M759" s="12"/>
      <c r="N759" s="12"/>
      <c r="O759" s="308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4"/>
      <c r="BF759" s="12"/>
      <c r="BG759" s="12"/>
      <c r="BH759" s="12" t="str">
        <f>IFERROR(__xludf.DUMMYFUNCTION("IFERROR(INDEX(QUERY(IMPORTRANGE(""1T7HG8KEs-Ob7f3M5atEVN9Yn7IeORGp0QGvggB62ELw"",""Maestro!A:I""),""SELECT Col8 WHERE Col3 = '""&amp;BE759&amp;""'"", 0), 1, 1),""NO ENCONTRADO"")"),"")</f>
        <v/>
      </c>
      <c r="BI759" s="12" t="str">
        <f>IFERROR(__xludf.DUMMYFUNCTION("IFERROR(INDEX(QUERY(IMPORTRANGE(""1T7HG8KEs-Ob7f3M5atEVN9Yn7IeORGp0QGvggB62ELw"",""Maestro!A:I""),""SELECT Col7 WHERE Col3 = '""&amp;BE759&amp;""'"", 0), 1, 1),""NO ENCONTRADO"")"),"")</f>
        <v/>
      </c>
      <c r="BJ759" s="16">
        <f t="shared" si="15"/>
        <v>0</v>
      </c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4"/>
      <c r="BX759" s="14"/>
      <c r="BY759" s="14"/>
      <c r="BZ759" s="14"/>
      <c r="CA759" s="14"/>
      <c r="CB759" s="14"/>
      <c r="CC759" s="14"/>
      <c r="CD759" s="14"/>
      <c r="CE759" s="14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</row>
    <row r="760">
      <c r="A760" s="12"/>
      <c r="B760" s="14"/>
      <c r="C760" s="14"/>
      <c r="D760" s="14"/>
      <c r="E760" s="12"/>
      <c r="F760" s="307"/>
      <c r="G760" s="307"/>
      <c r="H760" s="12"/>
      <c r="I760" s="30"/>
      <c r="J760" s="12"/>
      <c r="K760" s="12"/>
      <c r="L760" s="12"/>
      <c r="M760" s="12"/>
      <c r="N760" s="12"/>
      <c r="O760" s="308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4"/>
      <c r="BF760" s="12"/>
      <c r="BG760" s="12"/>
      <c r="BH760" s="12" t="str">
        <f>IFERROR(__xludf.DUMMYFUNCTION("IFERROR(INDEX(QUERY(IMPORTRANGE(""1T7HG8KEs-Ob7f3M5atEVN9Yn7IeORGp0QGvggB62ELw"",""Maestro!A:I""),""SELECT Col8 WHERE Col3 = '""&amp;BE760&amp;""'"", 0), 1, 1),""NO ENCONTRADO"")"),"")</f>
        <v/>
      </c>
      <c r="BI760" s="12" t="str">
        <f>IFERROR(__xludf.DUMMYFUNCTION("IFERROR(INDEX(QUERY(IMPORTRANGE(""1T7HG8KEs-Ob7f3M5atEVN9Yn7IeORGp0QGvggB62ELw"",""Maestro!A:I""),""SELECT Col7 WHERE Col3 = '""&amp;BE760&amp;""'"", 0), 1, 1),""NO ENCONTRADO"")"),"")</f>
        <v/>
      </c>
      <c r="BJ760" s="16">
        <f t="shared" si="15"/>
        <v>0</v>
      </c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4"/>
      <c r="BX760" s="14"/>
      <c r="BY760" s="14"/>
      <c r="BZ760" s="14"/>
      <c r="CA760" s="14"/>
      <c r="CB760" s="14"/>
      <c r="CC760" s="14"/>
      <c r="CD760" s="14"/>
      <c r="CE760" s="14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</row>
    <row r="761">
      <c r="A761" s="12"/>
      <c r="B761" s="14"/>
      <c r="C761" s="14"/>
      <c r="D761" s="14"/>
      <c r="E761" s="12"/>
      <c r="F761" s="307"/>
      <c r="G761" s="307"/>
      <c r="H761" s="12"/>
      <c r="I761" s="30"/>
      <c r="J761" s="12"/>
      <c r="K761" s="12"/>
      <c r="L761" s="12"/>
      <c r="M761" s="12"/>
      <c r="N761" s="12"/>
      <c r="O761" s="308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4"/>
      <c r="BF761" s="12"/>
      <c r="BG761" s="12"/>
      <c r="BH761" s="12" t="str">
        <f>IFERROR(__xludf.DUMMYFUNCTION("IFERROR(INDEX(QUERY(IMPORTRANGE(""1T7HG8KEs-Ob7f3M5atEVN9Yn7IeORGp0QGvggB62ELw"",""Maestro!A:I""),""SELECT Col8 WHERE Col3 = '""&amp;BE761&amp;""'"", 0), 1, 1),""NO ENCONTRADO"")"),"")</f>
        <v/>
      </c>
      <c r="BI761" s="12" t="str">
        <f>IFERROR(__xludf.DUMMYFUNCTION("IFERROR(INDEX(QUERY(IMPORTRANGE(""1T7HG8KEs-Ob7f3M5atEVN9Yn7IeORGp0QGvggB62ELw"",""Maestro!A:I""),""SELECT Col7 WHERE Col3 = '""&amp;BE761&amp;""'"", 0), 1, 1),""NO ENCONTRADO"")"),"")</f>
        <v/>
      </c>
      <c r="BJ761" s="16">
        <f t="shared" si="15"/>
        <v>0</v>
      </c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4"/>
      <c r="BX761" s="14"/>
      <c r="BY761" s="14"/>
      <c r="BZ761" s="14"/>
      <c r="CA761" s="14"/>
      <c r="CB761" s="14"/>
      <c r="CC761" s="14"/>
      <c r="CD761" s="14"/>
      <c r="CE761" s="14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</row>
    <row r="762">
      <c r="A762" s="12"/>
      <c r="B762" s="14"/>
      <c r="C762" s="14"/>
      <c r="D762" s="14"/>
      <c r="E762" s="12"/>
      <c r="F762" s="307"/>
      <c r="G762" s="307"/>
      <c r="H762" s="12"/>
      <c r="I762" s="30"/>
      <c r="J762" s="12"/>
      <c r="K762" s="12"/>
      <c r="L762" s="12"/>
      <c r="M762" s="12"/>
      <c r="N762" s="12"/>
      <c r="O762" s="308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4"/>
      <c r="BF762" s="12"/>
      <c r="BG762" s="12"/>
      <c r="BH762" s="12" t="str">
        <f>IFERROR(__xludf.DUMMYFUNCTION("IFERROR(INDEX(QUERY(IMPORTRANGE(""1T7HG8KEs-Ob7f3M5atEVN9Yn7IeORGp0QGvggB62ELw"",""Maestro!A:I""),""SELECT Col8 WHERE Col3 = '""&amp;BE762&amp;""'"", 0), 1, 1),""NO ENCONTRADO"")"),"")</f>
        <v/>
      </c>
      <c r="BI762" s="12" t="str">
        <f>IFERROR(__xludf.DUMMYFUNCTION("IFERROR(INDEX(QUERY(IMPORTRANGE(""1T7HG8KEs-Ob7f3M5atEVN9Yn7IeORGp0QGvggB62ELw"",""Maestro!A:I""),""SELECT Col7 WHERE Col3 = '""&amp;BE762&amp;""'"", 0), 1, 1),""NO ENCONTRADO"")"),"")</f>
        <v/>
      </c>
      <c r="BJ762" s="16">
        <f t="shared" si="15"/>
        <v>0</v>
      </c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4"/>
      <c r="BX762" s="14"/>
      <c r="BY762" s="14"/>
      <c r="BZ762" s="14"/>
      <c r="CA762" s="14"/>
      <c r="CB762" s="14"/>
      <c r="CC762" s="14"/>
      <c r="CD762" s="14"/>
      <c r="CE762" s="14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</row>
    <row r="763">
      <c r="A763" s="12"/>
      <c r="B763" s="14"/>
      <c r="C763" s="14"/>
      <c r="D763" s="14"/>
      <c r="E763" s="12"/>
      <c r="F763" s="307"/>
      <c r="G763" s="307"/>
      <c r="H763" s="12"/>
      <c r="I763" s="30"/>
      <c r="J763" s="12"/>
      <c r="K763" s="12"/>
      <c r="L763" s="12"/>
      <c r="M763" s="12"/>
      <c r="N763" s="12"/>
      <c r="O763" s="308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4"/>
      <c r="BF763" s="12"/>
      <c r="BG763" s="12"/>
      <c r="BH763" s="12" t="str">
        <f>IFERROR(__xludf.DUMMYFUNCTION("IFERROR(INDEX(QUERY(IMPORTRANGE(""1T7HG8KEs-Ob7f3M5atEVN9Yn7IeORGp0QGvggB62ELw"",""Maestro!A:I""),""SELECT Col8 WHERE Col3 = '""&amp;BE763&amp;""'"", 0), 1, 1),""NO ENCONTRADO"")"),"")</f>
        <v/>
      </c>
      <c r="BI763" s="12" t="str">
        <f>IFERROR(__xludf.DUMMYFUNCTION("IFERROR(INDEX(QUERY(IMPORTRANGE(""1T7HG8KEs-Ob7f3M5atEVN9Yn7IeORGp0QGvggB62ELw"",""Maestro!A:I""),""SELECT Col7 WHERE Col3 = '""&amp;BE763&amp;""'"", 0), 1, 1),""NO ENCONTRADO"")"),"")</f>
        <v/>
      </c>
      <c r="BJ763" s="16">
        <f t="shared" si="15"/>
        <v>0</v>
      </c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4"/>
      <c r="BX763" s="14"/>
      <c r="BY763" s="14"/>
      <c r="BZ763" s="14"/>
      <c r="CA763" s="14"/>
      <c r="CB763" s="14"/>
      <c r="CC763" s="14"/>
      <c r="CD763" s="14"/>
      <c r="CE763" s="14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</row>
    <row r="764">
      <c r="A764" s="12"/>
      <c r="B764" s="14"/>
      <c r="C764" s="14"/>
      <c r="D764" s="14"/>
      <c r="E764" s="12"/>
      <c r="F764" s="307"/>
      <c r="G764" s="307"/>
      <c r="H764" s="12"/>
      <c r="I764" s="30"/>
      <c r="J764" s="12"/>
      <c r="K764" s="12"/>
      <c r="L764" s="12"/>
      <c r="M764" s="12"/>
      <c r="N764" s="12"/>
      <c r="O764" s="308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4"/>
      <c r="BF764" s="12"/>
      <c r="BG764" s="12"/>
      <c r="BH764" s="12" t="str">
        <f>IFERROR(__xludf.DUMMYFUNCTION("IFERROR(INDEX(QUERY(IMPORTRANGE(""1T7HG8KEs-Ob7f3M5atEVN9Yn7IeORGp0QGvggB62ELw"",""Maestro!A:I""),""SELECT Col8 WHERE Col3 = '""&amp;BE764&amp;""'"", 0), 1, 1),""NO ENCONTRADO"")"),"")</f>
        <v/>
      </c>
      <c r="BI764" s="12" t="str">
        <f>IFERROR(__xludf.DUMMYFUNCTION("IFERROR(INDEX(QUERY(IMPORTRANGE(""1T7HG8KEs-Ob7f3M5atEVN9Yn7IeORGp0QGvggB62ELw"",""Maestro!A:I""),""SELECT Col7 WHERE Col3 = '""&amp;BE764&amp;""'"", 0), 1, 1),""NO ENCONTRADO"")"),"")</f>
        <v/>
      </c>
      <c r="BJ764" s="16">
        <f t="shared" si="15"/>
        <v>0</v>
      </c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4"/>
      <c r="BX764" s="14"/>
      <c r="BY764" s="14"/>
      <c r="BZ764" s="14"/>
      <c r="CA764" s="14"/>
      <c r="CB764" s="14"/>
      <c r="CC764" s="14"/>
      <c r="CD764" s="14"/>
      <c r="CE764" s="14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</row>
    <row r="765">
      <c r="A765" s="12"/>
      <c r="B765" s="14"/>
      <c r="C765" s="14"/>
      <c r="D765" s="14"/>
      <c r="E765" s="12"/>
      <c r="F765" s="307"/>
      <c r="G765" s="307"/>
      <c r="H765" s="12"/>
      <c r="I765" s="30"/>
      <c r="J765" s="12"/>
      <c r="K765" s="12"/>
      <c r="L765" s="12"/>
      <c r="M765" s="12"/>
      <c r="N765" s="12"/>
      <c r="O765" s="308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4"/>
      <c r="BF765" s="12"/>
      <c r="BG765" s="12"/>
      <c r="BH765" s="12" t="str">
        <f>IFERROR(__xludf.DUMMYFUNCTION("IFERROR(INDEX(QUERY(IMPORTRANGE(""1T7HG8KEs-Ob7f3M5atEVN9Yn7IeORGp0QGvggB62ELw"",""Maestro!A:I""),""SELECT Col8 WHERE Col3 = '""&amp;BE765&amp;""'"", 0), 1, 1),""NO ENCONTRADO"")"),"")</f>
        <v/>
      </c>
      <c r="BI765" s="12" t="str">
        <f>IFERROR(__xludf.DUMMYFUNCTION("IFERROR(INDEX(QUERY(IMPORTRANGE(""1T7HG8KEs-Ob7f3M5atEVN9Yn7IeORGp0QGvggB62ELw"",""Maestro!A:I""),""SELECT Col7 WHERE Col3 = '""&amp;BE765&amp;""'"", 0), 1, 1),""NO ENCONTRADO"")"),"")</f>
        <v/>
      </c>
      <c r="BJ765" s="16">
        <f t="shared" si="15"/>
        <v>0</v>
      </c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4"/>
      <c r="BX765" s="14"/>
      <c r="BY765" s="14"/>
      <c r="BZ765" s="14"/>
      <c r="CA765" s="14"/>
      <c r="CB765" s="14"/>
      <c r="CC765" s="14"/>
      <c r="CD765" s="14"/>
      <c r="CE765" s="14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</row>
    <row r="766">
      <c r="A766" s="12"/>
      <c r="B766" s="14"/>
      <c r="C766" s="14"/>
      <c r="D766" s="14"/>
      <c r="E766" s="12"/>
      <c r="F766" s="307"/>
      <c r="G766" s="307"/>
      <c r="H766" s="12"/>
      <c r="I766" s="30"/>
      <c r="J766" s="12"/>
      <c r="K766" s="12"/>
      <c r="L766" s="12"/>
      <c r="M766" s="12"/>
      <c r="N766" s="12"/>
      <c r="O766" s="308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4"/>
      <c r="BF766" s="12"/>
      <c r="BG766" s="12"/>
      <c r="BH766" s="12" t="str">
        <f>IFERROR(__xludf.DUMMYFUNCTION("IFERROR(INDEX(QUERY(IMPORTRANGE(""1T7HG8KEs-Ob7f3M5atEVN9Yn7IeORGp0QGvggB62ELw"",""Maestro!A:I""),""SELECT Col8 WHERE Col3 = '""&amp;BE766&amp;""'"", 0), 1, 1),""NO ENCONTRADO"")"),"")</f>
        <v/>
      </c>
      <c r="BI766" s="12" t="str">
        <f>IFERROR(__xludf.DUMMYFUNCTION("IFERROR(INDEX(QUERY(IMPORTRANGE(""1T7HG8KEs-Ob7f3M5atEVN9Yn7IeORGp0QGvggB62ELw"",""Maestro!A:I""),""SELECT Col7 WHERE Col3 = '""&amp;BE766&amp;""'"", 0), 1, 1),""NO ENCONTRADO"")"),"")</f>
        <v/>
      </c>
      <c r="BJ766" s="16">
        <f t="shared" si="15"/>
        <v>0</v>
      </c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4"/>
      <c r="BX766" s="14"/>
      <c r="BY766" s="14"/>
      <c r="BZ766" s="14"/>
      <c r="CA766" s="14"/>
      <c r="CB766" s="14"/>
      <c r="CC766" s="14"/>
      <c r="CD766" s="14"/>
      <c r="CE766" s="14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</row>
    <row r="767">
      <c r="A767" s="12"/>
      <c r="B767" s="14"/>
      <c r="C767" s="14"/>
      <c r="D767" s="14"/>
      <c r="E767" s="12"/>
      <c r="F767" s="307"/>
      <c r="G767" s="307"/>
      <c r="H767" s="12"/>
      <c r="I767" s="30"/>
      <c r="J767" s="12"/>
      <c r="K767" s="12"/>
      <c r="L767" s="12"/>
      <c r="M767" s="12"/>
      <c r="N767" s="12"/>
      <c r="O767" s="308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4"/>
      <c r="BF767" s="12"/>
      <c r="BG767" s="12"/>
      <c r="BH767" s="12" t="str">
        <f>IFERROR(__xludf.DUMMYFUNCTION("IFERROR(INDEX(QUERY(IMPORTRANGE(""1T7HG8KEs-Ob7f3M5atEVN9Yn7IeORGp0QGvggB62ELw"",""Maestro!A:I""),""SELECT Col8 WHERE Col3 = '""&amp;BE767&amp;""'"", 0), 1, 1),""NO ENCONTRADO"")"),"")</f>
        <v/>
      </c>
      <c r="BI767" s="12" t="str">
        <f>IFERROR(__xludf.DUMMYFUNCTION("IFERROR(INDEX(QUERY(IMPORTRANGE(""1T7HG8KEs-Ob7f3M5atEVN9Yn7IeORGp0QGvggB62ELw"",""Maestro!A:I""),""SELECT Col7 WHERE Col3 = '""&amp;BE767&amp;""'"", 0), 1, 1),""NO ENCONTRADO"")"),"")</f>
        <v/>
      </c>
      <c r="BJ767" s="16">
        <f t="shared" si="15"/>
        <v>0</v>
      </c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4"/>
      <c r="BX767" s="14"/>
      <c r="BY767" s="14"/>
      <c r="BZ767" s="14"/>
      <c r="CA767" s="14"/>
      <c r="CB767" s="14"/>
      <c r="CC767" s="14"/>
      <c r="CD767" s="14"/>
      <c r="CE767" s="14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</row>
    <row r="768">
      <c r="A768" s="12"/>
      <c r="B768" s="14"/>
      <c r="C768" s="14"/>
      <c r="D768" s="14"/>
      <c r="E768" s="12"/>
      <c r="F768" s="307"/>
      <c r="G768" s="307"/>
      <c r="H768" s="12"/>
      <c r="I768" s="30"/>
      <c r="J768" s="12"/>
      <c r="K768" s="12"/>
      <c r="L768" s="12"/>
      <c r="M768" s="12"/>
      <c r="N768" s="12"/>
      <c r="O768" s="308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4"/>
      <c r="BF768" s="12"/>
      <c r="BG768" s="12"/>
      <c r="BH768" s="12" t="str">
        <f>IFERROR(__xludf.DUMMYFUNCTION("IFERROR(INDEX(QUERY(IMPORTRANGE(""1T7HG8KEs-Ob7f3M5atEVN9Yn7IeORGp0QGvggB62ELw"",""Maestro!A:I""),""SELECT Col8 WHERE Col3 = '""&amp;BE768&amp;""'"", 0), 1, 1),""NO ENCONTRADO"")"),"")</f>
        <v/>
      </c>
      <c r="BI768" s="12" t="str">
        <f>IFERROR(__xludf.DUMMYFUNCTION("IFERROR(INDEX(QUERY(IMPORTRANGE(""1T7HG8KEs-Ob7f3M5atEVN9Yn7IeORGp0QGvggB62ELw"",""Maestro!A:I""),""SELECT Col7 WHERE Col3 = '""&amp;BE768&amp;""'"", 0), 1, 1),""NO ENCONTRADO"")"),"")</f>
        <v/>
      </c>
      <c r="BJ768" s="16">
        <f t="shared" si="15"/>
        <v>0</v>
      </c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4"/>
      <c r="BX768" s="14"/>
      <c r="BY768" s="14"/>
      <c r="BZ768" s="14"/>
      <c r="CA768" s="14"/>
      <c r="CB768" s="14"/>
      <c r="CC768" s="14"/>
      <c r="CD768" s="14"/>
      <c r="CE768" s="14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</row>
    <row r="769">
      <c r="A769" s="12"/>
      <c r="B769" s="14"/>
      <c r="C769" s="14"/>
      <c r="D769" s="14"/>
      <c r="E769" s="12"/>
      <c r="F769" s="307"/>
      <c r="G769" s="307"/>
      <c r="H769" s="12"/>
      <c r="I769" s="30"/>
      <c r="J769" s="12"/>
      <c r="K769" s="12"/>
      <c r="L769" s="12"/>
      <c r="M769" s="12"/>
      <c r="N769" s="12"/>
      <c r="O769" s="308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4"/>
      <c r="BF769" s="12"/>
      <c r="BG769" s="12"/>
      <c r="BH769" s="12" t="str">
        <f>IFERROR(__xludf.DUMMYFUNCTION("IFERROR(INDEX(QUERY(IMPORTRANGE(""1T7HG8KEs-Ob7f3M5atEVN9Yn7IeORGp0QGvggB62ELw"",""Maestro!A:I""),""SELECT Col8 WHERE Col3 = '""&amp;BE769&amp;""'"", 0), 1, 1),""NO ENCONTRADO"")"),"")</f>
        <v/>
      </c>
      <c r="BI769" s="12" t="str">
        <f>IFERROR(__xludf.DUMMYFUNCTION("IFERROR(INDEX(QUERY(IMPORTRANGE(""1T7HG8KEs-Ob7f3M5atEVN9Yn7IeORGp0QGvggB62ELw"",""Maestro!A:I""),""SELECT Col7 WHERE Col3 = '""&amp;BE769&amp;""'"", 0), 1, 1),""NO ENCONTRADO"")"),"")</f>
        <v/>
      </c>
      <c r="BJ769" s="16">
        <f t="shared" si="15"/>
        <v>0</v>
      </c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4"/>
      <c r="BX769" s="14"/>
      <c r="BY769" s="14"/>
      <c r="BZ769" s="14"/>
      <c r="CA769" s="14"/>
      <c r="CB769" s="14"/>
      <c r="CC769" s="14"/>
      <c r="CD769" s="14"/>
      <c r="CE769" s="14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</row>
    <row r="770">
      <c r="A770" s="12"/>
      <c r="B770" s="14"/>
      <c r="C770" s="14"/>
      <c r="D770" s="14"/>
      <c r="E770" s="12"/>
      <c r="F770" s="307"/>
      <c r="G770" s="307"/>
      <c r="H770" s="12"/>
      <c r="I770" s="30"/>
      <c r="J770" s="12"/>
      <c r="K770" s="12"/>
      <c r="L770" s="12"/>
      <c r="M770" s="12"/>
      <c r="N770" s="12"/>
      <c r="O770" s="308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4"/>
      <c r="BF770" s="12"/>
      <c r="BG770" s="12"/>
      <c r="BH770" s="12" t="str">
        <f>IFERROR(__xludf.DUMMYFUNCTION("IFERROR(INDEX(QUERY(IMPORTRANGE(""1T7HG8KEs-Ob7f3M5atEVN9Yn7IeORGp0QGvggB62ELw"",""Maestro!A:I""),""SELECT Col8 WHERE Col3 = '""&amp;BE770&amp;""'"", 0), 1, 1),""NO ENCONTRADO"")"),"")</f>
        <v/>
      </c>
      <c r="BI770" s="12" t="str">
        <f>IFERROR(__xludf.DUMMYFUNCTION("IFERROR(INDEX(QUERY(IMPORTRANGE(""1T7HG8KEs-Ob7f3M5atEVN9Yn7IeORGp0QGvggB62ELw"",""Maestro!A:I""),""SELECT Col7 WHERE Col3 = '""&amp;BE770&amp;""'"", 0), 1, 1),""NO ENCONTRADO"")"),"")</f>
        <v/>
      </c>
      <c r="BJ770" s="16">
        <f t="shared" si="15"/>
        <v>0</v>
      </c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4"/>
      <c r="BX770" s="14"/>
      <c r="BY770" s="14"/>
      <c r="BZ770" s="14"/>
      <c r="CA770" s="14"/>
      <c r="CB770" s="14"/>
      <c r="CC770" s="14"/>
      <c r="CD770" s="14"/>
      <c r="CE770" s="14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</row>
    <row r="771">
      <c r="A771" s="12"/>
      <c r="B771" s="14"/>
      <c r="C771" s="14"/>
      <c r="D771" s="14"/>
      <c r="E771" s="12"/>
      <c r="F771" s="307"/>
      <c r="G771" s="307"/>
      <c r="H771" s="12"/>
      <c r="I771" s="30"/>
      <c r="J771" s="12"/>
      <c r="K771" s="12"/>
      <c r="L771" s="12"/>
      <c r="M771" s="12"/>
      <c r="N771" s="12"/>
      <c r="O771" s="308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4"/>
      <c r="BF771" s="12"/>
      <c r="BG771" s="12"/>
      <c r="BH771" s="12" t="str">
        <f>IFERROR(__xludf.DUMMYFUNCTION("IFERROR(INDEX(QUERY(IMPORTRANGE(""1T7HG8KEs-Ob7f3M5atEVN9Yn7IeORGp0QGvggB62ELw"",""Maestro!A:I""),""SELECT Col8 WHERE Col3 = '""&amp;BE771&amp;""'"", 0), 1, 1),""NO ENCONTRADO"")"),"")</f>
        <v/>
      </c>
      <c r="BI771" s="12" t="str">
        <f>IFERROR(__xludf.DUMMYFUNCTION("IFERROR(INDEX(QUERY(IMPORTRANGE(""1T7HG8KEs-Ob7f3M5atEVN9Yn7IeORGp0QGvggB62ELw"",""Maestro!A:I""),""SELECT Col7 WHERE Col3 = '""&amp;BE771&amp;""'"", 0), 1, 1),""NO ENCONTRADO"")"),"")</f>
        <v/>
      </c>
      <c r="BJ771" s="16">
        <f t="shared" si="15"/>
        <v>0</v>
      </c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4"/>
      <c r="BX771" s="14"/>
      <c r="BY771" s="14"/>
      <c r="BZ771" s="14"/>
      <c r="CA771" s="14"/>
      <c r="CB771" s="14"/>
      <c r="CC771" s="14"/>
      <c r="CD771" s="14"/>
      <c r="CE771" s="14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</row>
    <row r="772">
      <c r="A772" s="12"/>
      <c r="B772" s="14"/>
      <c r="C772" s="14"/>
      <c r="D772" s="14"/>
      <c r="E772" s="12"/>
      <c r="F772" s="307"/>
      <c r="G772" s="307"/>
      <c r="H772" s="12"/>
      <c r="I772" s="30"/>
      <c r="J772" s="12"/>
      <c r="K772" s="12"/>
      <c r="L772" s="12"/>
      <c r="M772" s="12"/>
      <c r="N772" s="12"/>
      <c r="O772" s="308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4"/>
      <c r="BF772" s="12"/>
      <c r="BG772" s="12"/>
      <c r="BH772" s="12" t="str">
        <f>IFERROR(__xludf.DUMMYFUNCTION("IFERROR(INDEX(QUERY(IMPORTRANGE(""1T7HG8KEs-Ob7f3M5atEVN9Yn7IeORGp0QGvggB62ELw"",""Maestro!A:I""),""SELECT Col8 WHERE Col3 = '""&amp;BE772&amp;""'"", 0), 1, 1),""NO ENCONTRADO"")"),"")</f>
        <v/>
      </c>
      <c r="BI772" s="12" t="str">
        <f>IFERROR(__xludf.DUMMYFUNCTION("IFERROR(INDEX(QUERY(IMPORTRANGE(""1T7HG8KEs-Ob7f3M5atEVN9Yn7IeORGp0QGvggB62ELw"",""Maestro!A:I""),""SELECT Col7 WHERE Col3 = '""&amp;BE772&amp;""'"", 0), 1, 1),""NO ENCONTRADO"")"),"")</f>
        <v/>
      </c>
      <c r="BJ772" s="16">
        <f t="shared" si="15"/>
        <v>0</v>
      </c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4"/>
      <c r="BX772" s="14"/>
      <c r="BY772" s="14"/>
      <c r="BZ772" s="14"/>
      <c r="CA772" s="14"/>
      <c r="CB772" s="14"/>
      <c r="CC772" s="14"/>
      <c r="CD772" s="14"/>
      <c r="CE772" s="14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</row>
    <row r="773">
      <c r="A773" s="12"/>
      <c r="B773" s="14"/>
      <c r="C773" s="14"/>
      <c r="D773" s="14"/>
      <c r="E773" s="12"/>
      <c r="F773" s="307"/>
      <c r="G773" s="307"/>
      <c r="H773" s="12"/>
      <c r="I773" s="30"/>
      <c r="J773" s="12"/>
      <c r="K773" s="12"/>
      <c r="L773" s="12"/>
      <c r="M773" s="12"/>
      <c r="N773" s="12"/>
      <c r="O773" s="308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4"/>
      <c r="BF773" s="12"/>
      <c r="BG773" s="12"/>
      <c r="BH773" s="12" t="str">
        <f>IFERROR(__xludf.DUMMYFUNCTION("IFERROR(INDEX(QUERY(IMPORTRANGE(""1T7HG8KEs-Ob7f3M5atEVN9Yn7IeORGp0QGvggB62ELw"",""Maestro!A:I""),""SELECT Col8 WHERE Col3 = '""&amp;BE773&amp;""'"", 0), 1, 1),""NO ENCONTRADO"")"),"")</f>
        <v/>
      </c>
      <c r="BI773" s="12" t="str">
        <f>IFERROR(__xludf.DUMMYFUNCTION("IFERROR(INDEX(QUERY(IMPORTRANGE(""1T7HG8KEs-Ob7f3M5atEVN9Yn7IeORGp0QGvggB62ELw"",""Maestro!A:I""),""SELECT Col7 WHERE Col3 = '""&amp;BE773&amp;""'"", 0), 1, 1),""NO ENCONTRADO"")"),"")</f>
        <v/>
      </c>
      <c r="BJ773" s="16">
        <f t="shared" si="15"/>
        <v>0</v>
      </c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4"/>
      <c r="BX773" s="14"/>
      <c r="BY773" s="14"/>
      <c r="BZ773" s="14"/>
      <c r="CA773" s="14"/>
      <c r="CB773" s="14"/>
      <c r="CC773" s="14"/>
      <c r="CD773" s="14"/>
      <c r="CE773" s="14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</row>
    <row r="774">
      <c r="A774" s="12"/>
      <c r="B774" s="14"/>
      <c r="C774" s="14"/>
      <c r="D774" s="14"/>
      <c r="E774" s="12"/>
      <c r="F774" s="307"/>
      <c r="G774" s="307"/>
      <c r="H774" s="12"/>
      <c r="I774" s="30"/>
      <c r="J774" s="12"/>
      <c r="K774" s="12"/>
      <c r="L774" s="12"/>
      <c r="M774" s="12"/>
      <c r="N774" s="12"/>
      <c r="O774" s="308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4"/>
      <c r="BF774" s="12"/>
      <c r="BG774" s="12"/>
      <c r="BH774" s="12" t="str">
        <f>IFERROR(__xludf.DUMMYFUNCTION("IFERROR(INDEX(QUERY(IMPORTRANGE(""1T7HG8KEs-Ob7f3M5atEVN9Yn7IeORGp0QGvggB62ELw"",""Maestro!A:I""),""SELECT Col8 WHERE Col3 = '""&amp;BE774&amp;""'"", 0), 1, 1),""NO ENCONTRADO"")"),"")</f>
        <v/>
      </c>
      <c r="BI774" s="12" t="str">
        <f>IFERROR(__xludf.DUMMYFUNCTION("IFERROR(INDEX(QUERY(IMPORTRANGE(""1T7HG8KEs-Ob7f3M5atEVN9Yn7IeORGp0QGvggB62ELw"",""Maestro!A:I""),""SELECT Col7 WHERE Col3 = '""&amp;BE774&amp;""'"", 0), 1, 1),""NO ENCONTRADO"")"),"")</f>
        <v/>
      </c>
      <c r="BJ774" s="16">
        <f t="shared" si="15"/>
        <v>0</v>
      </c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4"/>
      <c r="BX774" s="14"/>
      <c r="BY774" s="14"/>
      <c r="BZ774" s="14"/>
      <c r="CA774" s="14"/>
      <c r="CB774" s="14"/>
      <c r="CC774" s="14"/>
      <c r="CD774" s="14"/>
      <c r="CE774" s="14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</row>
    <row r="775">
      <c r="A775" s="12"/>
      <c r="B775" s="14"/>
      <c r="C775" s="14"/>
      <c r="D775" s="14"/>
      <c r="E775" s="12"/>
      <c r="F775" s="307"/>
      <c r="G775" s="307"/>
      <c r="H775" s="12"/>
      <c r="I775" s="30"/>
      <c r="J775" s="12"/>
      <c r="K775" s="12"/>
      <c r="L775" s="12"/>
      <c r="M775" s="12"/>
      <c r="N775" s="12"/>
      <c r="O775" s="308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4"/>
      <c r="BF775" s="12"/>
      <c r="BG775" s="12"/>
      <c r="BH775" s="12" t="str">
        <f>IFERROR(__xludf.DUMMYFUNCTION("IFERROR(INDEX(QUERY(IMPORTRANGE(""1T7HG8KEs-Ob7f3M5atEVN9Yn7IeORGp0QGvggB62ELw"",""Maestro!A:I""),""SELECT Col8 WHERE Col3 = '""&amp;BE775&amp;""'"", 0), 1, 1),""NO ENCONTRADO"")"),"")</f>
        <v/>
      </c>
      <c r="BI775" s="12" t="str">
        <f>IFERROR(__xludf.DUMMYFUNCTION("IFERROR(INDEX(QUERY(IMPORTRANGE(""1T7HG8KEs-Ob7f3M5atEVN9Yn7IeORGp0QGvggB62ELw"",""Maestro!A:I""),""SELECT Col7 WHERE Col3 = '""&amp;BE775&amp;""'"", 0), 1, 1),""NO ENCONTRADO"")"),"")</f>
        <v/>
      </c>
      <c r="BJ775" s="16">
        <f t="shared" si="15"/>
        <v>0</v>
      </c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4"/>
      <c r="BX775" s="14"/>
      <c r="BY775" s="14"/>
      <c r="BZ775" s="14"/>
      <c r="CA775" s="14"/>
      <c r="CB775" s="14"/>
      <c r="CC775" s="14"/>
      <c r="CD775" s="14"/>
      <c r="CE775" s="14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</row>
    <row r="776">
      <c r="A776" s="12"/>
      <c r="B776" s="14"/>
      <c r="C776" s="14"/>
      <c r="D776" s="14"/>
      <c r="E776" s="12"/>
      <c r="F776" s="307"/>
      <c r="G776" s="307"/>
      <c r="H776" s="12"/>
      <c r="I776" s="30"/>
      <c r="J776" s="12"/>
      <c r="K776" s="12"/>
      <c r="L776" s="12"/>
      <c r="M776" s="12"/>
      <c r="N776" s="12"/>
      <c r="O776" s="308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4"/>
      <c r="BF776" s="12"/>
      <c r="BG776" s="12"/>
      <c r="BH776" s="12" t="str">
        <f>IFERROR(__xludf.DUMMYFUNCTION("IFERROR(INDEX(QUERY(IMPORTRANGE(""1T7HG8KEs-Ob7f3M5atEVN9Yn7IeORGp0QGvggB62ELw"",""Maestro!A:I""),""SELECT Col8 WHERE Col3 = '""&amp;BE776&amp;""'"", 0), 1, 1),""NO ENCONTRADO"")"),"")</f>
        <v/>
      </c>
      <c r="BI776" s="12" t="str">
        <f>IFERROR(__xludf.DUMMYFUNCTION("IFERROR(INDEX(QUERY(IMPORTRANGE(""1T7HG8KEs-Ob7f3M5atEVN9Yn7IeORGp0QGvggB62ELw"",""Maestro!A:I""),""SELECT Col7 WHERE Col3 = '""&amp;BE776&amp;""'"", 0), 1, 1),""NO ENCONTRADO"")"),"")</f>
        <v/>
      </c>
      <c r="BJ776" s="16">
        <f t="shared" si="15"/>
        <v>0</v>
      </c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4"/>
      <c r="BX776" s="14"/>
      <c r="BY776" s="14"/>
      <c r="BZ776" s="14"/>
      <c r="CA776" s="14"/>
      <c r="CB776" s="14"/>
      <c r="CC776" s="14"/>
      <c r="CD776" s="14"/>
      <c r="CE776" s="14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</row>
    <row r="777">
      <c r="A777" s="12"/>
      <c r="B777" s="14"/>
      <c r="C777" s="14"/>
      <c r="D777" s="14"/>
      <c r="E777" s="12"/>
      <c r="F777" s="307"/>
      <c r="G777" s="307"/>
      <c r="H777" s="12"/>
      <c r="I777" s="30"/>
      <c r="J777" s="12"/>
      <c r="K777" s="12"/>
      <c r="L777" s="12"/>
      <c r="M777" s="12"/>
      <c r="N777" s="12"/>
      <c r="O777" s="308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4"/>
      <c r="BF777" s="12"/>
      <c r="BG777" s="12"/>
      <c r="BH777" s="12" t="str">
        <f>IFERROR(__xludf.DUMMYFUNCTION("IFERROR(INDEX(QUERY(IMPORTRANGE(""1T7HG8KEs-Ob7f3M5atEVN9Yn7IeORGp0QGvggB62ELw"",""Maestro!A:I""),""SELECT Col8 WHERE Col3 = '""&amp;BE777&amp;""'"", 0), 1, 1),""NO ENCONTRADO"")"),"")</f>
        <v/>
      </c>
      <c r="BI777" s="12" t="str">
        <f>IFERROR(__xludf.DUMMYFUNCTION("IFERROR(INDEX(QUERY(IMPORTRANGE(""1T7HG8KEs-Ob7f3M5atEVN9Yn7IeORGp0QGvggB62ELw"",""Maestro!A:I""),""SELECT Col7 WHERE Col3 = '""&amp;BE777&amp;""'"", 0), 1, 1),""NO ENCONTRADO"")"),"")</f>
        <v/>
      </c>
      <c r="BJ777" s="16">
        <f t="shared" si="15"/>
        <v>0</v>
      </c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4"/>
      <c r="BX777" s="14"/>
      <c r="BY777" s="14"/>
      <c r="BZ777" s="14"/>
      <c r="CA777" s="14"/>
      <c r="CB777" s="14"/>
      <c r="CC777" s="14"/>
      <c r="CD777" s="14"/>
      <c r="CE777" s="14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</row>
    <row r="778">
      <c r="A778" s="12"/>
      <c r="B778" s="14"/>
      <c r="C778" s="14"/>
      <c r="D778" s="14"/>
      <c r="E778" s="12"/>
      <c r="F778" s="307"/>
      <c r="G778" s="307"/>
      <c r="H778" s="12"/>
      <c r="I778" s="30"/>
      <c r="J778" s="12"/>
      <c r="K778" s="12"/>
      <c r="L778" s="12"/>
      <c r="M778" s="12"/>
      <c r="N778" s="12"/>
      <c r="O778" s="308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4"/>
      <c r="BF778" s="12"/>
      <c r="BG778" s="12"/>
      <c r="BH778" s="12" t="str">
        <f>IFERROR(__xludf.DUMMYFUNCTION("IFERROR(INDEX(QUERY(IMPORTRANGE(""1T7HG8KEs-Ob7f3M5atEVN9Yn7IeORGp0QGvggB62ELw"",""Maestro!A:I""),""SELECT Col8 WHERE Col3 = '""&amp;BE778&amp;""'"", 0), 1, 1),""NO ENCONTRADO"")"),"")</f>
        <v/>
      </c>
      <c r="BI778" s="12" t="str">
        <f>IFERROR(__xludf.DUMMYFUNCTION("IFERROR(INDEX(QUERY(IMPORTRANGE(""1T7HG8KEs-Ob7f3M5atEVN9Yn7IeORGp0QGvggB62ELw"",""Maestro!A:I""),""SELECT Col7 WHERE Col3 = '""&amp;BE778&amp;""'"", 0), 1, 1),""NO ENCONTRADO"")"),"")</f>
        <v/>
      </c>
      <c r="BJ778" s="16">
        <f t="shared" si="15"/>
        <v>0</v>
      </c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4"/>
      <c r="BX778" s="14"/>
      <c r="BY778" s="14"/>
      <c r="BZ778" s="14"/>
      <c r="CA778" s="14"/>
      <c r="CB778" s="14"/>
      <c r="CC778" s="14"/>
      <c r="CD778" s="14"/>
      <c r="CE778" s="14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</row>
    <row r="779">
      <c r="A779" s="12"/>
      <c r="B779" s="14"/>
      <c r="C779" s="14"/>
      <c r="D779" s="14"/>
      <c r="E779" s="12"/>
      <c r="F779" s="307"/>
      <c r="G779" s="307"/>
      <c r="H779" s="12"/>
      <c r="I779" s="30"/>
      <c r="J779" s="12"/>
      <c r="K779" s="12"/>
      <c r="L779" s="12"/>
      <c r="M779" s="12"/>
      <c r="N779" s="12"/>
      <c r="O779" s="308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4"/>
      <c r="BF779" s="12"/>
      <c r="BG779" s="12"/>
      <c r="BH779" s="12" t="str">
        <f>IFERROR(__xludf.DUMMYFUNCTION("IFERROR(INDEX(QUERY(IMPORTRANGE(""1T7HG8KEs-Ob7f3M5atEVN9Yn7IeORGp0QGvggB62ELw"",""Maestro!A:I""),""SELECT Col8 WHERE Col3 = '""&amp;BE779&amp;""'"", 0), 1, 1),""NO ENCONTRADO"")"),"")</f>
        <v/>
      </c>
      <c r="BI779" s="12" t="str">
        <f>IFERROR(__xludf.DUMMYFUNCTION("IFERROR(INDEX(QUERY(IMPORTRANGE(""1T7HG8KEs-Ob7f3M5atEVN9Yn7IeORGp0QGvggB62ELw"",""Maestro!A:I""),""SELECT Col7 WHERE Col3 = '""&amp;BE779&amp;""'"", 0), 1, 1),""NO ENCONTRADO"")"),"")</f>
        <v/>
      </c>
      <c r="BJ779" s="16">
        <f t="shared" si="15"/>
        <v>0</v>
      </c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4"/>
      <c r="BX779" s="14"/>
      <c r="BY779" s="14"/>
      <c r="BZ779" s="14"/>
      <c r="CA779" s="14"/>
      <c r="CB779" s="14"/>
      <c r="CC779" s="14"/>
      <c r="CD779" s="14"/>
      <c r="CE779" s="14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</row>
    <row r="780">
      <c r="A780" s="12"/>
      <c r="B780" s="14"/>
      <c r="C780" s="14"/>
      <c r="D780" s="14"/>
      <c r="E780" s="12"/>
      <c r="F780" s="307"/>
      <c r="G780" s="307"/>
      <c r="H780" s="12"/>
      <c r="I780" s="30"/>
      <c r="J780" s="12"/>
      <c r="K780" s="12"/>
      <c r="L780" s="12"/>
      <c r="M780" s="12"/>
      <c r="N780" s="12"/>
      <c r="O780" s="308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4"/>
      <c r="BF780" s="12"/>
      <c r="BG780" s="12"/>
      <c r="BH780" s="12" t="str">
        <f>IFERROR(__xludf.DUMMYFUNCTION("IFERROR(INDEX(QUERY(IMPORTRANGE(""1T7HG8KEs-Ob7f3M5atEVN9Yn7IeORGp0QGvggB62ELw"",""Maestro!A:I""),""SELECT Col8 WHERE Col3 = '""&amp;BE780&amp;""'"", 0), 1, 1),""NO ENCONTRADO"")"),"")</f>
        <v/>
      </c>
      <c r="BI780" s="12" t="str">
        <f>IFERROR(__xludf.DUMMYFUNCTION("IFERROR(INDEX(QUERY(IMPORTRANGE(""1T7HG8KEs-Ob7f3M5atEVN9Yn7IeORGp0QGvggB62ELw"",""Maestro!A:I""),""SELECT Col7 WHERE Col3 = '""&amp;BE780&amp;""'"", 0), 1, 1),""NO ENCONTRADO"")"),"")</f>
        <v/>
      </c>
      <c r="BJ780" s="16">
        <f t="shared" si="15"/>
        <v>0</v>
      </c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4"/>
      <c r="BX780" s="14"/>
      <c r="BY780" s="14"/>
      <c r="BZ780" s="14"/>
      <c r="CA780" s="14"/>
      <c r="CB780" s="14"/>
      <c r="CC780" s="14"/>
      <c r="CD780" s="14"/>
      <c r="CE780" s="14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</row>
    <row r="781">
      <c r="A781" s="12"/>
      <c r="B781" s="14"/>
      <c r="C781" s="14"/>
      <c r="D781" s="14"/>
      <c r="E781" s="12"/>
      <c r="F781" s="307"/>
      <c r="G781" s="307"/>
      <c r="H781" s="12"/>
      <c r="I781" s="30"/>
      <c r="J781" s="12"/>
      <c r="K781" s="12"/>
      <c r="L781" s="12"/>
      <c r="M781" s="12"/>
      <c r="N781" s="12"/>
      <c r="O781" s="308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4"/>
      <c r="BF781" s="12"/>
      <c r="BG781" s="12"/>
      <c r="BH781" s="12" t="str">
        <f>IFERROR(__xludf.DUMMYFUNCTION("IFERROR(INDEX(QUERY(IMPORTRANGE(""1T7HG8KEs-Ob7f3M5atEVN9Yn7IeORGp0QGvggB62ELw"",""Maestro!A:I""),""SELECT Col8 WHERE Col3 = '""&amp;BE781&amp;""'"", 0), 1, 1),""NO ENCONTRADO"")"),"")</f>
        <v/>
      </c>
      <c r="BI781" s="12" t="str">
        <f>IFERROR(__xludf.DUMMYFUNCTION("IFERROR(INDEX(QUERY(IMPORTRANGE(""1T7HG8KEs-Ob7f3M5atEVN9Yn7IeORGp0QGvggB62ELw"",""Maestro!A:I""),""SELECT Col7 WHERE Col3 = '""&amp;BE781&amp;""'"", 0), 1, 1),""NO ENCONTRADO"")"),"")</f>
        <v/>
      </c>
      <c r="BJ781" s="16">
        <f t="shared" si="15"/>
        <v>0</v>
      </c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4"/>
      <c r="BX781" s="14"/>
      <c r="BY781" s="14"/>
      <c r="BZ781" s="14"/>
      <c r="CA781" s="14"/>
      <c r="CB781" s="14"/>
      <c r="CC781" s="14"/>
      <c r="CD781" s="14"/>
      <c r="CE781" s="14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</row>
    <row r="782">
      <c r="A782" s="12"/>
      <c r="B782" s="14"/>
      <c r="C782" s="14"/>
      <c r="D782" s="14"/>
      <c r="E782" s="12"/>
      <c r="F782" s="307"/>
      <c r="G782" s="307"/>
      <c r="H782" s="12"/>
      <c r="I782" s="30"/>
      <c r="J782" s="12"/>
      <c r="K782" s="12"/>
      <c r="L782" s="12"/>
      <c r="M782" s="12"/>
      <c r="N782" s="12"/>
      <c r="O782" s="308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4"/>
      <c r="BF782" s="12"/>
      <c r="BG782" s="12"/>
      <c r="BH782" s="12" t="str">
        <f>IFERROR(__xludf.DUMMYFUNCTION("IFERROR(INDEX(QUERY(IMPORTRANGE(""1T7HG8KEs-Ob7f3M5atEVN9Yn7IeORGp0QGvggB62ELw"",""Maestro!A:I""),""SELECT Col8 WHERE Col3 = '""&amp;BE782&amp;""'"", 0), 1, 1),""NO ENCONTRADO"")"),"")</f>
        <v/>
      </c>
      <c r="BI782" s="12" t="str">
        <f>IFERROR(__xludf.DUMMYFUNCTION("IFERROR(INDEX(QUERY(IMPORTRANGE(""1T7HG8KEs-Ob7f3M5atEVN9Yn7IeORGp0QGvggB62ELw"",""Maestro!A:I""),""SELECT Col7 WHERE Col3 = '""&amp;BE782&amp;""'"", 0), 1, 1),""NO ENCONTRADO"")"),"")</f>
        <v/>
      </c>
      <c r="BJ782" s="16">
        <f t="shared" si="15"/>
        <v>0</v>
      </c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4"/>
      <c r="BX782" s="14"/>
      <c r="BY782" s="14"/>
      <c r="BZ782" s="14"/>
      <c r="CA782" s="14"/>
      <c r="CB782" s="14"/>
      <c r="CC782" s="14"/>
      <c r="CD782" s="14"/>
      <c r="CE782" s="14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</row>
    <row r="783">
      <c r="A783" s="12"/>
      <c r="B783" s="14"/>
      <c r="C783" s="14"/>
      <c r="D783" s="14"/>
      <c r="E783" s="12"/>
      <c r="F783" s="307"/>
      <c r="G783" s="307"/>
      <c r="H783" s="12"/>
      <c r="I783" s="30"/>
      <c r="J783" s="12"/>
      <c r="K783" s="12"/>
      <c r="L783" s="12"/>
      <c r="M783" s="12"/>
      <c r="N783" s="12"/>
      <c r="O783" s="308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4"/>
      <c r="BF783" s="12"/>
      <c r="BG783" s="12"/>
      <c r="BH783" s="12" t="str">
        <f>IFERROR(__xludf.DUMMYFUNCTION("IFERROR(INDEX(QUERY(IMPORTRANGE(""1T7HG8KEs-Ob7f3M5atEVN9Yn7IeORGp0QGvggB62ELw"",""Maestro!A:I""),""SELECT Col8 WHERE Col3 = '""&amp;BE783&amp;""'"", 0), 1, 1),""NO ENCONTRADO"")"),"")</f>
        <v/>
      </c>
      <c r="BI783" s="12" t="str">
        <f>IFERROR(__xludf.DUMMYFUNCTION("IFERROR(INDEX(QUERY(IMPORTRANGE(""1T7HG8KEs-Ob7f3M5atEVN9Yn7IeORGp0QGvggB62ELw"",""Maestro!A:I""),""SELECT Col7 WHERE Col3 = '""&amp;BE783&amp;""'"", 0), 1, 1),""NO ENCONTRADO"")"),"")</f>
        <v/>
      </c>
      <c r="BJ783" s="16">
        <f t="shared" si="15"/>
        <v>0</v>
      </c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4"/>
      <c r="BX783" s="14"/>
      <c r="BY783" s="14"/>
      <c r="BZ783" s="14"/>
      <c r="CA783" s="14"/>
      <c r="CB783" s="14"/>
      <c r="CC783" s="14"/>
      <c r="CD783" s="14"/>
      <c r="CE783" s="14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</row>
    <row r="784">
      <c r="A784" s="12"/>
      <c r="B784" s="14"/>
      <c r="C784" s="14"/>
      <c r="D784" s="14"/>
      <c r="E784" s="12"/>
      <c r="F784" s="307"/>
      <c r="G784" s="307"/>
      <c r="H784" s="12"/>
      <c r="I784" s="30"/>
      <c r="J784" s="12"/>
      <c r="K784" s="12"/>
      <c r="L784" s="12"/>
      <c r="M784" s="12"/>
      <c r="N784" s="12"/>
      <c r="O784" s="308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4"/>
      <c r="BF784" s="12"/>
      <c r="BG784" s="12"/>
      <c r="BH784" s="12" t="str">
        <f>IFERROR(__xludf.DUMMYFUNCTION("IFERROR(INDEX(QUERY(IMPORTRANGE(""1T7HG8KEs-Ob7f3M5atEVN9Yn7IeORGp0QGvggB62ELw"",""Maestro!A:I""),""SELECT Col8 WHERE Col3 = '""&amp;BE784&amp;""'"", 0), 1, 1),""NO ENCONTRADO"")"),"")</f>
        <v/>
      </c>
      <c r="BI784" s="12" t="str">
        <f>IFERROR(__xludf.DUMMYFUNCTION("IFERROR(INDEX(QUERY(IMPORTRANGE(""1T7HG8KEs-Ob7f3M5atEVN9Yn7IeORGp0QGvggB62ELw"",""Maestro!A:I""),""SELECT Col7 WHERE Col3 = '""&amp;BE784&amp;""'"", 0), 1, 1),""NO ENCONTRADO"")"),"")</f>
        <v/>
      </c>
      <c r="BJ784" s="16">
        <f t="shared" si="15"/>
        <v>0</v>
      </c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4"/>
      <c r="BX784" s="14"/>
      <c r="BY784" s="14"/>
      <c r="BZ784" s="14"/>
      <c r="CA784" s="14"/>
      <c r="CB784" s="14"/>
      <c r="CC784" s="14"/>
      <c r="CD784" s="14"/>
      <c r="CE784" s="14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</row>
    <row r="785">
      <c r="A785" s="12"/>
      <c r="B785" s="14"/>
      <c r="C785" s="14"/>
      <c r="D785" s="14"/>
      <c r="E785" s="12"/>
      <c r="F785" s="307"/>
      <c r="G785" s="307"/>
      <c r="H785" s="12"/>
      <c r="I785" s="30"/>
      <c r="J785" s="12"/>
      <c r="K785" s="12"/>
      <c r="L785" s="12"/>
      <c r="M785" s="12"/>
      <c r="N785" s="12"/>
      <c r="O785" s="308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4"/>
      <c r="BF785" s="12"/>
      <c r="BG785" s="12"/>
      <c r="BH785" s="12" t="str">
        <f>IFERROR(__xludf.DUMMYFUNCTION("IFERROR(INDEX(QUERY(IMPORTRANGE(""1T7HG8KEs-Ob7f3M5atEVN9Yn7IeORGp0QGvggB62ELw"",""Maestro!A:I""),""SELECT Col8 WHERE Col3 = '""&amp;BE785&amp;""'"", 0), 1, 1),""NO ENCONTRADO"")"),"")</f>
        <v/>
      </c>
      <c r="BI785" s="12" t="str">
        <f>IFERROR(__xludf.DUMMYFUNCTION("IFERROR(INDEX(QUERY(IMPORTRANGE(""1T7HG8KEs-Ob7f3M5atEVN9Yn7IeORGp0QGvggB62ELw"",""Maestro!A:I""),""SELECT Col7 WHERE Col3 = '""&amp;BE785&amp;""'"", 0), 1, 1),""NO ENCONTRADO"")"),"")</f>
        <v/>
      </c>
      <c r="BJ785" s="16">
        <f t="shared" si="15"/>
        <v>0</v>
      </c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4"/>
      <c r="BX785" s="14"/>
      <c r="BY785" s="14"/>
      <c r="BZ785" s="14"/>
      <c r="CA785" s="14"/>
      <c r="CB785" s="14"/>
      <c r="CC785" s="14"/>
      <c r="CD785" s="14"/>
      <c r="CE785" s="14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</row>
    <row r="786">
      <c r="A786" s="12"/>
      <c r="B786" s="14"/>
      <c r="C786" s="14"/>
      <c r="D786" s="14"/>
      <c r="E786" s="12"/>
      <c r="F786" s="307"/>
      <c r="G786" s="307"/>
      <c r="H786" s="12"/>
      <c r="I786" s="30"/>
      <c r="J786" s="12"/>
      <c r="K786" s="12"/>
      <c r="L786" s="12"/>
      <c r="M786" s="12"/>
      <c r="N786" s="12"/>
      <c r="O786" s="308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4"/>
      <c r="BF786" s="12"/>
      <c r="BG786" s="12"/>
      <c r="BH786" s="12" t="str">
        <f>IFERROR(__xludf.DUMMYFUNCTION("IFERROR(INDEX(QUERY(IMPORTRANGE(""1T7HG8KEs-Ob7f3M5atEVN9Yn7IeORGp0QGvggB62ELw"",""Maestro!A:I""),""SELECT Col8 WHERE Col3 = '""&amp;BE786&amp;""'"", 0), 1, 1),""NO ENCONTRADO"")"),"")</f>
        <v/>
      </c>
      <c r="BI786" s="12" t="str">
        <f>IFERROR(__xludf.DUMMYFUNCTION("IFERROR(INDEX(QUERY(IMPORTRANGE(""1T7HG8KEs-Ob7f3M5atEVN9Yn7IeORGp0QGvggB62ELw"",""Maestro!A:I""),""SELECT Col7 WHERE Col3 = '""&amp;BE786&amp;""'"", 0), 1, 1),""NO ENCONTRADO"")"),"")</f>
        <v/>
      </c>
      <c r="BJ786" s="16">
        <f t="shared" si="15"/>
        <v>0</v>
      </c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4"/>
      <c r="BX786" s="14"/>
      <c r="BY786" s="14"/>
      <c r="BZ786" s="14"/>
      <c r="CA786" s="14"/>
      <c r="CB786" s="14"/>
      <c r="CC786" s="14"/>
      <c r="CD786" s="14"/>
      <c r="CE786" s="14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</row>
    <row r="787">
      <c r="A787" s="12"/>
      <c r="B787" s="14"/>
      <c r="C787" s="14"/>
      <c r="D787" s="14"/>
      <c r="E787" s="12"/>
      <c r="F787" s="307"/>
      <c r="G787" s="307"/>
      <c r="H787" s="12"/>
      <c r="I787" s="30"/>
      <c r="J787" s="12"/>
      <c r="K787" s="12"/>
      <c r="L787" s="12"/>
      <c r="M787" s="12"/>
      <c r="N787" s="12"/>
      <c r="O787" s="308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4"/>
      <c r="BF787" s="12"/>
      <c r="BG787" s="12"/>
      <c r="BH787" s="12" t="str">
        <f>IFERROR(__xludf.DUMMYFUNCTION("IFERROR(INDEX(QUERY(IMPORTRANGE(""1T7HG8KEs-Ob7f3M5atEVN9Yn7IeORGp0QGvggB62ELw"",""Maestro!A:I""),""SELECT Col8 WHERE Col3 = '""&amp;BE787&amp;""'"", 0), 1, 1),""NO ENCONTRADO"")"),"")</f>
        <v/>
      </c>
      <c r="BI787" s="12" t="str">
        <f>IFERROR(__xludf.DUMMYFUNCTION("IFERROR(INDEX(QUERY(IMPORTRANGE(""1T7HG8KEs-Ob7f3M5atEVN9Yn7IeORGp0QGvggB62ELw"",""Maestro!A:I""),""SELECT Col7 WHERE Col3 = '""&amp;BE787&amp;""'"", 0), 1, 1),""NO ENCONTRADO"")"),"")</f>
        <v/>
      </c>
      <c r="BJ787" s="16">
        <f t="shared" si="15"/>
        <v>0</v>
      </c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4"/>
      <c r="BX787" s="14"/>
      <c r="BY787" s="14"/>
      <c r="BZ787" s="14"/>
      <c r="CA787" s="14"/>
      <c r="CB787" s="14"/>
      <c r="CC787" s="14"/>
      <c r="CD787" s="14"/>
      <c r="CE787" s="14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</row>
    <row r="788">
      <c r="A788" s="12"/>
      <c r="B788" s="14"/>
      <c r="C788" s="14"/>
      <c r="D788" s="14"/>
      <c r="E788" s="12"/>
      <c r="F788" s="307"/>
      <c r="G788" s="307"/>
      <c r="H788" s="12"/>
      <c r="I788" s="30"/>
      <c r="J788" s="12"/>
      <c r="K788" s="12"/>
      <c r="L788" s="12"/>
      <c r="M788" s="12"/>
      <c r="N788" s="12"/>
      <c r="O788" s="308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4"/>
      <c r="BF788" s="12"/>
      <c r="BG788" s="12"/>
      <c r="BH788" s="12" t="str">
        <f>IFERROR(__xludf.DUMMYFUNCTION("IFERROR(INDEX(QUERY(IMPORTRANGE(""1T7HG8KEs-Ob7f3M5atEVN9Yn7IeORGp0QGvggB62ELw"",""Maestro!A:I""),""SELECT Col8 WHERE Col3 = '""&amp;BE788&amp;""'"", 0), 1, 1),""NO ENCONTRADO"")"),"")</f>
        <v/>
      </c>
      <c r="BI788" s="12" t="str">
        <f>IFERROR(__xludf.DUMMYFUNCTION("IFERROR(INDEX(QUERY(IMPORTRANGE(""1T7HG8KEs-Ob7f3M5atEVN9Yn7IeORGp0QGvggB62ELw"",""Maestro!A:I""),""SELECT Col7 WHERE Col3 = '""&amp;BE788&amp;""'"", 0), 1, 1),""NO ENCONTRADO"")"),"")</f>
        <v/>
      </c>
      <c r="BJ788" s="16">
        <f t="shared" si="15"/>
        <v>0</v>
      </c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4"/>
      <c r="BX788" s="14"/>
      <c r="BY788" s="14"/>
      <c r="BZ788" s="14"/>
      <c r="CA788" s="14"/>
      <c r="CB788" s="14"/>
      <c r="CC788" s="14"/>
      <c r="CD788" s="14"/>
      <c r="CE788" s="14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</row>
    <row r="789">
      <c r="A789" s="12"/>
      <c r="B789" s="14"/>
      <c r="C789" s="14"/>
      <c r="D789" s="14"/>
      <c r="E789" s="12"/>
      <c r="F789" s="307"/>
      <c r="G789" s="307"/>
      <c r="H789" s="12"/>
      <c r="I789" s="30"/>
      <c r="J789" s="12"/>
      <c r="K789" s="12"/>
      <c r="L789" s="12"/>
      <c r="M789" s="12"/>
      <c r="N789" s="12"/>
      <c r="O789" s="308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4"/>
      <c r="BF789" s="12"/>
      <c r="BG789" s="12"/>
      <c r="BH789" s="12" t="str">
        <f>IFERROR(__xludf.DUMMYFUNCTION("IFERROR(INDEX(QUERY(IMPORTRANGE(""1T7HG8KEs-Ob7f3M5atEVN9Yn7IeORGp0QGvggB62ELw"",""Maestro!A:I""),""SELECT Col8 WHERE Col3 = '""&amp;BE789&amp;""'"", 0), 1, 1),""NO ENCONTRADO"")"),"")</f>
        <v/>
      </c>
      <c r="BI789" s="12" t="str">
        <f>IFERROR(__xludf.DUMMYFUNCTION("IFERROR(INDEX(QUERY(IMPORTRANGE(""1T7HG8KEs-Ob7f3M5atEVN9Yn7IeORGp0QGvggB62ELw"",""Maestro!A:I""),""SELECT Col7 WHERE Col3 = '""&amp;BE789&amp;""'"", 0), 1, 1),""NO ENCONTRADO"")"),"")</f>
        <v/>
      </c>
      <c r="BJ789" s="16">
        <f t="shared" si="15"/>
        <v>0</v>
      </c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4"/>
      <c r="BX789" s="14"/>
      <c r="BY789" s="14"/>
      <c r="BZ789" s="14"/>
      <c r="CA789" s="14"/>
      <c r="CB789" s="14"/>
      <c r="CC789" s="14"/>
      <c r="CD789" s="14"/>
      <c r="CE789" s="14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</row>
    <row r="790">
      <c r="A790" s="12"/>
      <c r="B790" s="14"/>
      <c r="C790" s="14"/>
      <c r="D790" s="14"/>
      <c r="E790" s="12"/>
      <c r="F790" s="307"/>
      <c r="G790" s="307"/>
      <c r="H790" s="12"/>
      <c r="I790" s="30"/>
      <c r="J790" s="12"/>
      <c r="K790" s="12"/>
      <c r="L790" s="12"/>
      <c r="M790" s="12"/>
      <c r="N790" s="12"/>
      <c r="O790" s="308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4"/>
      <c r="BF790" s="12"/>
      <c r="BG790" s="12"/>
      <c r="BH790" s="12" t="str">
        <f>IFERROR(__xludf.DUMMYFUNCTION("IFERROR(INDEX(QUERY(IMPORTRANGE(""1T7HG8KEs-Ob7f3M5atEVN9Yn7IeORGp0QGvggB62ELw"",""Maestro!A:I""),""SELECT Col8 WHERE Col3 = '""&amp;BE790&amp;""'"", 0), 1, 1),""NO ENCONTRADO"")"),"")</f>
        <v/>
      </c>
      <c r="BI790" s="12" t="str">
        <f>IFERROR(__xludf.DUMMYFUNCTION("IFERROR(INDEX(QUERY(IMPORTRANGE(""1T7HG8KEs-Ob7f3M5atEVN9Yn7IeORGp0QGvggB62ELw"",""Maestro!A:I""),""SELECT Col7 WHERE Col3 = '""&amp;BE790&amp;""'"", 0), 1, 1),""NO ENCONTRADO"")"),"")</f>
        <v/>
      </c>
      <c r="BJ790" s="16">
        <f t="shared" si="15"/>
        <v>0</v>
      </c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4"/>
      <c r="BX790" s="14"/>
      <c r="BY790" s="14"/>
      <c r="BZ790" s="14"/>
      <c r="CA790" s="14"/>
      <c r="CB790" s="14"/>
      <c r="CC790" s="14"/>
      <c r="CD790" s="14"/>
      <c r="CE790" s="14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</row>
    <row r="791">
      <c r="A791" s="12"/>
      <c r="B791" s="14"/>
      <c r="C791" s="14"/>
      <c r="D791" s="14"/>
      <c r="E791" s="12"/>
      <c r="F791" s="307"/>
      <c r="G791" s="307"/>
      <c r="H791" s="12"/>
      <c r="I791" s="30"/>
      <c r="J791" s="12"/>
      <c r="K791" s="12"/>
      <c r="L791" s="12"/>
      <c r="M791" s="12"/>
      <c r="N791" s="12"/>
      <c r="O791" s="308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4"/>
      <c r="BF791" s="12"/>
      <c r="BG791" s="12"/>
      <c r="BH791" s="12" t="str">
        <f>IFERROR(__xludf.DUMMYFUNCTION("IFERROR(INDEX(QUERY(IMPORTRANGE(""1T7HG8KEs-Ob7f3M5atEVN9Yn7IeORGp0QGvggB62ELw"",""Maestro!A:I""),""SELECT Col8 WHERE Col3 = '""&amp;BE791&amp;""'"", 0), 1, 1),""NO ENCONTRADO"")"),"")</f>
        <v/>
      </c>
      <c r="BI791" s="12" t="str">
        <f>IFERROR(__xludf.DUMMYFUNCTION("IFERROR(INDEX(QUERY(IMPORTRANGE(""1T7HG8KEs-Ob7f3M5atEVN9Yn7IeORGp0QGvggB62ELw"",""Maestro!A:I""),""SELECT Col7 WHERE Col3 = '""&amp;BE791&amp;""'"", 0), 1, 1),""NO ENCONTRADO"")"),"")</f>
        <v/>
      </c>
      <c r="BJ791" s="16">
        <f t="shared" si="15"/>
        <v>0</v>
      </c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4"/>
      <c r="BX791" s="14"/>
      <c r="BY791" s="14"/>
      <c r="BZ791" s="14"/>
      <c r="CA791" s="14"/>
      <c r="CB791" s="14"/>
      <c r="CC791" s="14"/>
      <c r="CD791" s="14"/>
      <c r="CE791" s="14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</row>
    <row r="792">
      <c r="A792" s="12"/>
      <c r="B792" s="14"/>
      <c r="C792" s="14"/>
      <c r="D792" s="14"/>
      <c r="E792" s="12"/>
      <c r="F792" s="307"/>
      <c r="G792" s="307"/>
      <c r="H792" s="12"/>
      <c r="I792" s="30"/>
      <c r="J792" s="12"/>
      <c r="K792" s="12"/>
      <c r="L792" s="12"/>
      <c r="M792" s="12"/>
      <c r="N792" s="12"/>
      <c r="O792" s="308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4"/>
      <c r="BF792" s="12"/>
      <c r="BG792" s="12"/>
      <c r="BH792" s="12" t="str">
        <f>IFERROR(__xludf.DUMMYFUNCTION("IFERROR(INDEX(QUERY(IMPORTRANGE(""1T7HG8KEs-Ob7f3M5atEVN9Yn7IeORGp0QGvggB62ELw"",""Maestro!A:I""),""SELECT Col8 WHERE Col3 = '""&amp;BE792&amp;""'"", 0), 1, 1),""NO ENCONTRADO"")"),"")</f>
        <v/>
      </c>
      <c r="BI792" s="12" t="str">
        <f>IFERROR(__xludf.DUMMYFUNCTION("IFERROR(INDEX(QUERY(IMPORTRANGE(""1T7HG8KEs-Ob7f3M5atEVN9Yn7IeORGp0QGvggB62ELw"",""Maestro!A:I""),""SELECT Col7 WHERE Col3 = '""&amp;BE792&amp;""'"", 0), 1, 1),""NO ENCONTRADO"")"),"")</f>
        <v/>
      </c>
      <c r="BJ792" s="16">
        <f t="shared" si="15"/>
        <v>0</v>
      </c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4"/>
      <c r="BX792" s="14"/>
      <c r="BY792" s="14"/>
      <c r="BZ792" s="14"/>
      <c r="CA792" s="14"/>
      <c r="CB792" s="14"/>
      <c r="CC792" s="14"/>
      <c r="CD792" s="14"/>
      <c r="CE792" s="14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</row>
    <row r="793">
      <c r="A793" s="12"/>
      <c r="B793" s="14"/>
      <c r="C793" s="14"/>
      <c r="D793" s="14"/>
      <c r="E793" s="12"/>
      <c r="F793" s="307"/>
      <c r="G793" s="307"/>
      <c r="H793" s="12"/>
      <c r="I793" s="30"/>
      <c r="J793" s="12"/>
      <c r="K793" s="12"/>
      <c r="L793" s="12"/>
      <c r="M793" s="12"/>
      <c r="N793" s="12"/>
      <c r="O793" s="308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4"/>
      <c r="BF793" s="12"/>
      <c r="BG793" s="12"/>
      <c r="BH793" s="12" t="str">
        <f>IFERROR(__xludf.DUMMYFUNCTION("IFERROR(INDEX(QUERY(IMPORTRANGE(""1T7HG8KEs-Ob7f3M5atEVN9Yn7IeORGp0QGvggB62ELw"",""Maestro!A:I""),""SELECT Col8 WHERE Col3 = '""&amp;BE793&amp;""'"", 0), 1, 1),""NO ENCONTRADO"")"),"")</f>
        <v/>
      </c>
      <c r="BI793" s="12" t="str">
        <f>IFERROR(__xludf.DUMMYFUNCTION("IFERROR(INDEX(QUERY(IMPORTRANGE(""1T7HG8KEs-Ob7f3M5atEVN9Yn7IeORGp0QGvggB62ELw"",""Maestro!A:I""),""SELECT Col7 WHERE Col3 = '""&amp;BE793&amp;""'"", 0), 1, 1),""NO ENCONTRADO"")"),"")</f>
        <v/>
      </c>
      <c r="BJ793" s="16">
        <f t="shared" si="15"/>
        <v>0</v>
      </c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4"/>
      <c r="BX793" s="14"/>
      <c r="BY793" s="14"/>
      <c r="BZ793" s="14"/>
      <c r="CA793" s="14"/>
      <c r="CB793" s="14"/>
      <c r="CC793" s="14"/>
      <c r="CD793" s="14"/>
      <c r="CE793" s="14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</row>
    <row r="794">
      <c r="A794" s="12"/>
      <c r="B794" s="14"/>
      <c r="C794" s="14"/>
      <c r="D794" s="14"/>
      <c r="E794" s="12"/>
      <c r="F794" s="307"/>
      <c r="G794" s="307"/>
      <c r="H794" s="12"/>
      <c r="I794" s="30"/>
      <c r="J794" s="12"/>
      <c r="K794" s="12"/>
      <c r="L794" s="12"/>
      <c r="M794" s="12"/>
      <c r="N794" s="12"/>
      <c r="O794" s="308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4"/>
      <c r="BF794" s="12"/>
      <c r="BG794" s="12"/>
      <c r="BH794" s="12" t="str">
        <f>IFERROR(__xludf.DUMMYFUNCTION("IFERROR(INDEX(QUERY(IMPORTRANGE(""1T7HG8KEs-Ob7f3M5atEVN9Yn7IeORGp0QGvggB62ELw"",""Maestro!A:I""),""SELECT Col8 WHERE Col3 = '""&amp;BE794&amp;""'"", 0), 1, 1),""NO ENCONTRADO"")"),"")</f>
        <v/>
      </c>
      <c r="BI794" s="12" t="str">
        <f>IFERROR(__xludf.DUMMYFUNCTION("IFERROR(INDEX(QUERY(IMPORTRANGE(""1T7HG8KEs-Ob7f3M5atEVN9Yn7IeORGp0QGvggB62ELw"",""Maestro!A:I""),""SELECT Col7 WHERE Col3 = '""&amp;BE794&amp;""'"", 0), 1, 1),""NO ENCONTRADO"")"),"")</f>
        <v/>
      </c>
      <c r="BJ794" s="16">
        <f t="shared" si="15"/>
        <v>0</v>
      </c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4"/>
      <c r="BX794" s="14"/>
      <c r="BY794" s="14"/>
      <c r="BZ794" s="14"/>
      <c r="CA794" s="14"/>
      <c r="CB794" s="14"/>
      <c r="CC794" s="14"/>
      <c r="CD794" s="14"/>
      <c r="CE794" s="14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</row>
    <row r="795">
      <c r="A795" s="12"/>
      <c r="B795" s="14"/>
      <c r="C795" s="14"/>
      <c r="D795" s="14"/>
      <c r="E795" s="12"/>
      <c r="F795" s="307"/>
      <c r="G795" s="307"/>
      <c r="H795" s="12"/>
      <c r="I795" s="30"/>
      <c r="J795" s="12"/>
      <c r="K795" s="12"/>
      <c r="L795" s="12"/>
      <c r="M795" s="12"/>
      <c r="N795" s="12"/>
      <c r="O795" s="308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4"/>
      <c r="BF795" s="12"/>
      <c r="BG795" s="12"/>
      <c r="BH795" s="12" t="str">
        <f>IFERROR(__xludf.DUMMYFUNCTION("IFERROR(INDEX(QUERY(IMPORTRANGE(""1T7HG8KEs-Ob7f3M5atEVN9Yn7IeORGp0QGvggB62ELw"",""Maestro!A:I""),""SELECT Col8 WHERE Col3 = '""&amp;BE795&amp;""'"", 0), 1, 1),""NO ENCONTRADO"")"),"")</f>
        <v/>
      </c>
      <c r="BI795" s="12" t="str">
        <f>IFERROR(__xludf.DUMMYFUNCTION("IFERROR(INDEX(QUERY(IMPORTRANGE(""1T7HG8KEs-Ob7f3M5atEVN9Yn7IeORGp0QGvggB62ELw"",""Maestro!A:I""),""SELECT Col7 WHERE Col3 = '""&amp;BE795&amp;""'"", 0), 1, 1),""NO ENCONTRADO"")"),"")</f>
        <v/>
      </c>
      <c r="BJ795" s="16">
        <f t="shared" si="15"/>
        <v>0</v>
      </c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4"/>
      <c r="BX795" s="14"/>
      <c r="BY795" s="14"/>
      <c r="BZ795" s="14"/>
      <c r="CA795" s="14"/>
      <c r="CB795" s="14"/>
      <c r="CC795" s="14"/>
      <c r="CD795" s="14"/>
      <c r="CE795" s="14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</row>
    <row r="796">
      <c r="A796" s="12"/>
      <c r="B796" s="14"/>
      <c r="C796" s="14"/>
      <c r="D796" s="14"/>
      <c r="E796" s="12"/>
      <c r="F796" s="307"/>
      <c r="G796" s="307"/>
      <c r="H796" s="12"/>
      <c r="I796" s="30"/>
      <c r="J796" s="12"/>
      <c r="K796" s="12"/>
      <c r="L796" s="12"/>
      <c r="M796" s="12"/>
      <c r="N796" s="12"/>
      <c r="O796" s="308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4"/>
      <c r="BF796" s="12"/>
      <c r="BG796" s="12"/>
      <c r="BH796" s="12" t="str">
        <f>IFERROR(__xludf.DUMMYFUNCTION("IFERROR(INDEX(QUERY(IMPORTRANGE(""1T7HG8KEs-Ob7f3M5atEVN9Yn7IeORGp0QGvggB62ELw"",""Maestro!A:I""),""SELECT Col8 WHERE Col3 = '""&amp;BE796&amp;""'"", 0), 1, 1),""NO ENCONTRADO"")"),"")</f>
        <v/>
      </c>
      <c r="BI796" s="12" t="str">
        <f>IFERROR(__xludf.DUMMYFUNCTION("IFERROR(INDEX(QUERY(IMPORTRANGE(""1T7HG8KEs-Ob7f3M5atEVN9Yn7IeORGp0QGvggB62ELw"",""Maestro!A:I""),""SELECT Col7 WHERE Col3 = '""&amp;BE796&amp;""'"", 0), 1, 1),""NO ENCONTRADO"")"),"")</f>
        <v/>
      </c>
      <c r="BJ796" s="16">
        <f t="shared" si="15"/>
        <v>0</v>
      </c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4"/>
      <c r="BX796" s="14"/>
      <c r="BY796" s="14"/>
      <c r="BZ796" s="14"/>
      <c r="CA796" s="14"/>
      <c r="CB796" s="14"/>
      <c r="CC796" s="14"/>
      <c r="CD796" s="14"/>
      <c r="CE796" s="14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</row>
    <row r="797">
      <c r="A797" s="12"/>
      <c r="B797" s="14"/>
      <c r="C797" s="14"/>
      <c r="D797" s="14"/>
      <c r="E797" s="12"/>
      <c r="F797" s="307"/>
      <c r="G797" s="307"/>
      <c r="H797" s="12"/>
      <c r="I797" s="30"/>
      <c r="J797" s="12"/>
      <c r="K797" s="12"/>
      <c r="L797" s="12"/>
      <c r="M797" s="12"/>
      <c r="N797" s="12"/>
      <c r="O797" s="308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4"/>
      <c r="BF797" s="12"/>
      <c r="BG797" s="12"/>
      <c r="BH797" s="12" t="str">
        <f>IFERROR(__xludf.DUMMYFUNCTION("IFERROR(INDEX(QUERY(IMPORTRANGE(""1T7HG8KEs-Ob7f3M5atEVN9Yn7IeORGp0QGvggB62ELw"",""Maestro!A:I""),""SELECT Col8 WHERE Col3 = '""&amp;BE797&amp;""'"", 0), 1, 1),""NO ENCONTRADO"")"),"")</f>
        <v/>
      </c>
      <c r="BI797" s="12" t="str">
        <f>IFERROR(__xludf.DUMMYFUNCTION("IFERROR(INDEX(QUERY(IMPORTRANGE(""1T7HG8KEs-Ob7f3M5atEVN9Yn7IeORGp0QGvggB62ELw"",""Maestro!A:I""),""SELECT Col7 WHERE Col3 = '""&amp;BE797&amp;""'"", 0), 1, 1),""NO ENCONTRADO"")"),"")</f>
        <v/>
      </c>
      <c r="BJ797" s="16">
        <f t="shared" si="15"/>
        <v>0</v>
      </c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4"/>
      <c r="BX797" s="14"/>
      <c r="BY797" s="14"/>
      <c r="BZ797" s="14"/>
      <c r="CA797" s="14"/>
      <c r="CB797" s="14"/>
      <c r="CC797" s="14"/>
      <c r="CD797" s="14"/>
      <c r="CE797" s="14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</row>
    <row r="798">
      <c r="A798" s="12"/>
      <c r="B798" s="14"/>
      <c r="C798" s="14"/>
      <c r="D798" s="14"/>
      <c r="E798" s="12"/>
      <c r="F798" s="307"/>
      <c r="G798" s="307"/>
      <c r="H798" s="12"/>
      <c r="I798" s="30"/>
      <c r="J798" s="12"/>
      <c r="K798" s="12"/>
      <c r="L798" s="12"/>
      <c r="M798" s="12"/>
      <c r="N798" s="12"/>
      <c r="O798" s="308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4"/>
      <c r="BF798" s="12"/>
      <c r="BG798" s="12"/>
      <c r="BH798" s="12" t="str">
        <f>IFERROR(__xludf.DUMMYFUNCTION("IFERROR(INDEX(QUERY(IMPORTRANGE(""1T7HG8KEs-Ob7f3M5atEVN9Yn7IeORGp0QGvggB62ELw"",""Maestro!A:I""),""SELECT Col8 WHERE Col3 = '""&amp;BE798&amp;""'"", 0), 1, 1),""NO ENCONTRADO"")"),"")</f>
        <v/>
      </c>
      <c r="BI798" s="12" t="str">
        <f>IFERROR(__xludf.DUMMYFUNCTION("IFERROR(INDEX(QUERY(IMPORTRANGE(""1T7HG8KEs-Ob7f3M5atEVN9Yn7IeORGp0QGvggB62ELw"",""Maestro!A:I""),""SELECT Col7 WHERE Col3 = '""&amp;BE798&amp;""'"", 0), 1, 1),""NO ENCONTRADO"")"),"")</f>
        <v/>
      </c>
      <c r="BJ798" s="16">
        <f t="shared" si="15"/>
        <v>0</v>
      </c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4"/>
      <c r="BX798" s="14"/>
      <c r="BY798" s="14"/>
      <c r="BZ798" s="14"/>
      <c r="CA798" s="14"/>
      <c r="CB798" s="14"/>
      <c r="CC798" s="14"/>
      <c r="CD798" s="14"/>
      <c r="CE798" s="14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</row>
    <row r="799">
      <c r="A799" s="12"/>
      <c r="B799" s="14"/>
      <c r="C799" s="14"/>
      <c r="D799" s="14"/>
      <c r="E799" s="12"/>
      <c r="F799" s="307"/>
      <c r="G799" s="307"/>
      <c r="H799" s="12"/>
      <c r="I799" s="30"/>
      <c r="J799" s="12"/>
      <c r="K799" s="12"/>
      <c r="L799" s="12"/>
      <c r="M799" s="12"/>
      <c r="N799" s="12"/>
      <c r="O799" s="308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4"/>
      <c r="BF799" s="12"/>
      <c r="BG799" s="12"/>
      <c r="BH799" s="12" t="str">
        <f>IFERROR(__xludf.DUMMYFUNCTION("IFERROR(INDEX(QUERY(IMPORTRANGE(""1T7HG8KEs-Ob7f3M5atEVN9Yn7IeORGp0QGvggB62ELw"",""Maestro!A:I""),""SELECT Col8 WHERE Col3 = '""&amp;BE799&amp;""'"", 0), 1, 1),""NO ENCONTRADO"")"),"")</f>
        <v/>
      </c>
      <c r="BI799" s="12" t="str">
        <f>IFERROR(__xludf.DUMMYFUNCTION("IFERROR(INDEX(QUERY(IMPORTRANGE(""1T7HG8KEs-Ob7f3M5atEVN9Yn7IeORGp0QGvggB62ELw"",""Maestro!A:I""),""SELECT Col7 WHERE Col3 = '""&amp;BE799&amp;""'"", 0), 1, 1),""NO ENCONTRADO"")"),"")</f>
        <v/>
      </c>
      <c r="BJ799" s="16">
        <f t="shared" si="15"/>
        <v>0</v>
      </c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4"/>
      <c r="BX799" s="14"/>
      <c r="BY799" s="14"/>
      <c r="BZ799" s="14"/>
      <c r="CA799" s="14"/>
      <c r="CB799" s="14"/>
      <c r="CC799" s="14"/>
      <c r="CD799" s="14"/>
      <c r="CE799" s="14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</row>
    <row r="800">
      <c r="A800" s="12"/>
      <c r="B800" s="14"/>
      <c r="C800" s="14"/>
      <c r="D800" s="14"/>
      <c r="E800" s="12"/>
      <c r="F800" s="307"/>
      <c r="G800" s="307"/>
      <c r="H800" s="12"/>
      <c r="I800" s="30"/>
      <c r="J800" s="12"/>
      <c r="K800" s="12"/>
      <c r="L800" s="12"/>
      <c r="M800" s="12"/>
      <c r="N800" s="12"/>
      <c r="O800" s="308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4"/>
      <c r="BF800" s="12"/>
      <c r="BG800" s="12"/>
      <c r="BH800" s="12" t="str">
        <f>IFERROR(__xludf.DUMMYFUNCTION("IFERROR(INDEX(QUERY(IMPORTRANGE(""1T7HG8KEs-Ob7f3M5atEVN9Yn7IeORGp0QGvggB62ELw"",""Maestro!A:I""),""SELECT Col8 WHERE Col3 = '""&amp;BE800&amp;""'"", 0), 1, 1),""NO ENCONTRADO"")"),"")</f>
        <v/>
      </c>
      <c r="BI800" s="12" t="str">
        <f>IFERROR(__xludf.DUMMYFUNCTION("IFERROR(INDEX(QUERY(IMPORTRANGE(""1T7HG8KEs-Ob7f3M5atEVN9Yn7IeORGp0QGvggB62ELw"",""Maestro!A:I""),""SELECT Col7 WHERE Col3 = '""&amp;BE800&amp;""'"", 0), 1, 1),""NO ENCONTRADO"")"),"")</f>
        <v/>
      </c>
      <c r="BJ800" s="16">
        <f t="shared" si="15"/>
        <v>0</v>
      </c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4"/>
      <c r="BX800" s="14"/>
      <c r="BY800" s="14"/>
      <c r="BZ800" s="14"/>
      <c r="CA800" s="14"/>
      <c r="CB800" s="14"/>
      <c r="CC800" s="14"/>
      <c r="CD800" s="14"/>
      <c r="CE800" s="14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</row>
    <row r="801">
      <c r="A801" s="12"/>
      <c r="B801" s="14"/>
      <c r="C801" s="14"/>
      <c r="D801" s="14"/>
      <c r="E801" s="12"/>
      <c r="F801" s="307"/>
      <c r="G801" s="307"/>
      <c r="H801" s="12"/>
      <c r="I801" s="30"/>
      <c r="J801" s="12"/>
      <c r="K801" s="12"/>
      <c r="L801" s="12"/>
      <c r="M801" s="12"/>
      <c r="N801" s="12"/>
      <c r="O801" s="308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4"/>
      <c r="BF801" s="12"/>
      <c r="BG801" s="12"/>
      <c r="BH801" s="12" t="str">
        <f>IFERROR(__xludf.DUMMYFUNCTION("IFERROR(INDEX(QUERY(IMPORTRANGE(""1T7HG8KEs-Ob7f3M5atEVN9Yn7IeORGp0QGvggB62ELw"",""Maestro!A:I""),""SELECT Col8 WHERE Col3 = '""&amp;BE801&amp;""'"", 0), 1, 1),""NO ENCONTRADO"")"),"")</f>
        <v/>
      </c>
      <c r="BI801" s="12" t="str">
        <f>IFERROR(__xludf.DUMMYFUNCTION("IFERROR(INDEX(QUERY(IMPORTRANGE(""1T7HG8KEs-Ob7f3M5atEVN9Yn7IeORGp0QGvggB62ELw"",""Maestro!A:I""),""SELECT Col7 WHERE Col3 = '""&amp;BE801&amp;""'"", 0), 1, 1),""NO ENCONTRADO"")"),"")</f>
        <v/>
      </c>
      <c r="BJ801" s="16">
        <f t="shared" si="15"/>
        <v>0</v>
      </c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4"/>
      <c r="BX801" s="14"/>
      <c r="BY801" s="14"/>
      <c r="BZ801" s="14"/>
      <c r="CA801" s="14"/>
      <c r="CB801" s="14"/>
      <c r="CC801" s="14"/>
      <c r="CD801" s="14"/>
      <c r="CE801" s="14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</row>
    <row r="802">
      <c r="A802" s="12"/>
      <c r="B802" s="14"/>
      <c r="C802" s="14"/>
      <c r="D802" s="14"/>
      <c r="E802" s="12"/>
      <c r="F802" s="307"/>
      <c r="G802" s="307"/>
      <c r="H802" s="12"/>
      <c r="I802" s="30"/>
      <c r="J802" s="12"/>
      <c r="K802" s="12"/>
      <c r="L802" s="12"/>
      <c r="M802" s="12"/>
      <c r="N802" s="12"/>
      <c r="O802" s="308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4"/>
      <c r="BF802" s="12"/>
      <c r="BG802" s="12"/>
      <c r="BH802" s="12" t="str">
        <f>IFERROR(__xludf.DUMMYFUNCTION("IFERROR(INDEX(QUERY(IMPORTRANGE(""1T7HG8KEs-Ob7f3M5atEVN9Yn7IeORGp0QGvggB62ELw"",""Maestro!A:I""),""SELECT Col8 WHERE Col3 = '""&amp;BE802&amp;""'"", 0), 1, 1),""NO ENCONTRADO"")"),"")</f>
        <v/>
      </c>
      <c r="BI802" s="12" t="str">
        <f>IFERROR(__xludf.DUMMYFUNCTION("IFERROR(INDEX(QUERY(IMPORTRANGE(""1T7HG8KEs-Ob7f3M5atEVN9Yn7IeORGp0QGvggB62ELw"",""Maestro!A:I""),""SELECT Col7 WHERE Col3 = '""&amp;BE802&amp;""'"", 0), 1, 1),""NO ENCONTRADO"")"),"")</f>
        <v/>
      </c>
      <c r="BJ802" s="16">
        <f t="shared" si="15"/>
        <v>0</v>
      </c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4"/>
      <c r="BX802" s="14"/>
      <c r="BY802" s="14"/>
      <c r="BZ802" s="14"/>
      <c r="CA802" s="14"/>
      <c r="CB802" s="14"/>
      <c r="CC802" s="14"/>
      <c r="CD802" s="14"/>
      <c r="CE802" s="14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</row>
    <row r="803">
      <c r="A803" s="12"/>
      <c r="B803" s="14"/>
      <c r="C803" s="14"/>
      <c r="D803" s="14"/>
      <c r="E803" s="12"/>
      <c r="F803" s="307"/>
      <c r="G803" s="307"/>
      <c r="H803" s="12"/>
      <c r="I803" s="30"/>
      <c r="J803" s="12"/>
      <c r="K803" s="12"/>
      <c r="L803" s="12"/>
      <c r="M803" s="12"/>
      <c r="N803" s="12"/>
      <c r="O803" s="308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4"/>
      <c r="BF803" s="12"/>
      <c r="BG803" s="12"/>
      <c r="BH803" s="12" t="str">
        <f>IFERROR(__xludf.DUMMYFUNCTION("IFERROR(INDEX(QUERY(IMPORTRANGE(""1T7HG8KEs-Ob7f3M5atEVN9Yn7IeORGp0QGvggB62ELw"",""Maestro!A:I""),""SELECT Col8 WHERE Col3 = '""&amp;BE803&amp;""'"", 0), 1, 1),""NO ENCONTRADO"")"),"")</f>
        <v/>
      </c>
      <c r="BI803" s="12" t="str">
        <f>IFERROR(__xludf.DUMMYFUNCTION("IFERROR(INDEX(QUERY(IMPORTRANGE(""1T7HG8KEs-Ob7f3M5atEVN9Yn7IeORGp0QGvggB62ELw"",""Maestro!A:I""),""SELECT Col7 WHERE Col3 = '""&amp;BE803&amp;""'"", 0), 1, 1),""NO ENCONTRADO"")"),"")</f>
        <v/>
      </c>
      <c r="BJ803" s="16">
        <f t="shared" si="15"/>
        <v>0</v>
      </c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4"/>
      <c r="BX803" s="14"/>
      <c r="BY803" s="14"/>
      <c r="BZ803" s="14"/>
      <c r="CA803" s="14"/>
      <c r="CB803" s="14"/>
      <c r="CC803" s="14"/>
      <c r="CD803" s="14"/>
      <c r="CE803" s="14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</row>
    <row r="804">
      <c r="A804" s="12"/>
      <c r="B804" s="14"/>
      <c r="C804" s="14"/>
      <c r="D804" s="14"/>
      <c r="E804" s="12"/>
      <c r="F804" s="307"/>
      <c r="G804" s="307"/>
      <c r="H804" s="12"/>
      <c r="I804" s="30"/>
      <c r="J804" s="12"/>
      <c r="K804" s="12"/>
      <c r="L804" s="12"/>
      <c r="M804" s="12"/>
      <c r="N804" s="12"/>
      <c r="O804" s="308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4"/>
      <c r="BF804" s="12"/>
      <c r="BG804" s="12"/>
      <c r="BH804" s="12" t="str">
        <f>IFERROR(__xludf.DUMMYFUNCTION("IFERROR(INDEX(QUERY(IMPORTRANGE(""1T7HG8KEs-Ob7f3M5atEVN9Yn7IeORGp0QGvggB62ELw"",""Maestro!A:I""),""SELECT Col8 WHERE Col3 = '""&amp;BE804&amp;""'"", 0), 1, 1),""NO ENCONTRADO"")"),"")</f>
        <v/>
      </c>
      <c r="BI804" s="12" t="str">
        <f>IFERROR(__xludf.DUMMYFUNCTION("IFERROR(INDEX(QUERY(IMPORTRANGE(""1T7HG8KEs-Ob7f3M5atEVN9Yn7IeORGp0QGvggB62ELw"",""Maestro!A:I""),""SELECT Col7 WHERE Col3 = '""&amp;BE804&amp;""'"", 0), 1, 1),""NO ENCONTRADO"")"),"")</f>
        <v/>
      </c>
      <c r="BJ804" s="16">
        <f t="shared" si="15"/>
        <v>0</v>
      </c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4"/>
      <c r="BX804" s="14"/>
      <c r="BY804" s="14"/>
      <c r="BZ804" s="14"/>
      <c r="CA804" s="14"/>
      <c r="CB804" s="14"/>
      <c r="CC804" s="14"/>
      <c r="CD804" s="14"/>
      <c r="CE804" s="14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</row>
    <row r="805">
      <c r="A805" s="12"/>
      <c r="B805" s="14"/>
      <c r="C805" s="14"/>
      <c r="D805" s="14"/>
      <c r="E805" s="12"/>
      <c r="F805" s="307"/>
      <c r="G805" s="307"/>
      <c r="H805" s="12"/>
      <c r="I805" s="30"/>
      <c r="J805" s="12"/>
      <c r="K805" s="12"/>
      <c r="L805" s="12"/>
      <c r="M805" s="12"/>
      <c r="N805" s="12"/>
      <c r="O805" s="308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4"/>
      <c r="BF805" s="12"/>
      <c r="BG805" s="12"/>
      <c r="BH805" s="12" t="str">
        <f>IFERROR(__xludf.DUMMYFUNCTION("IFERROR(INDEX(QUERY(IMPORTRANGE(""1T7HG8KEs-Ob7f3M5atEVN9Yn7IeORGp0QGvggB62ELw"",""Maestro!A:I""),""SELECT Col8 WHERE Col3 = '""&amp;BE805&amp;""'"", 0), 1, 1),""NO ENCONTRADO"")"),"")</f>
        <v/>
      </c>
      <c r="BI805" s="12" t="str">
        <f>IFERROR(__xludf.DUMMYFUNCTION("IFERROR(INDEX(QUERY(IMPORTRANGE(""1T7HG8KEs-Ob7f3M5atEVN9Yn7IeORGp0QGvggB62ELw"",""Maestro!A:I""),""SELECT Col7 WHERE Col3 = '""&amp;BE805&amp;""'"", 0), 1, 1),""NO ENCONTRADO"")"),"")</f>
        <v/>
      </c>
      <c r="BJ805" s="16">
        <f t="shared" si="15"/>
        <v>0</v>
      </c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4"/>
      <c r="BX805" s="14"/>
      <c r="BY805" s="14"/>
      <c r="BZ805" s="14"/>
      <c r="CA805" s="14"/>
      <c r="CB805" s="14"/>
      <c r="CC805" s="14"/>
      <c r="CD805" s="14"/>
      <c r="CE805" s="14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</row>
    <row r="806">
      <c r="A806" s="12"/>
      <c r="B806" s="14"/>
      <c r="C806" s="14"/>
      <c r="D806" s="14"/>
      <c r="E806" s="12"/>
      <c r="F806" s="307"/>
      <c r="G806" s="307"/>
      <c r="H806" s="12"/>
      <c r="I806" s="30"/>
      <c r="J806" s="12"/>
      <c r="K806" s="12"/>
      <c r="L806" s="12"/>
      <c r="M806" s="12"/>
      <c r="N806" s="12"/>
      <c r="O806" s="308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4"/>
      <c r="BF806" s="12"/>
      <c r="BG806" s="12"/>
      <c r="BH806" s="12" t="str">
        <f>IFERROR(__xludf.DUMMYFUNCTION("IFERROR(INDEX(QUERY(IMPORTRANGE(""1T7HG8KEs-Ob7f3M5atEVN9Yn7IeORGp0QGvggB62ELw"",""Maestro!A:I""),""SELECT Col8 WHERE Col3 = '""&amp;BE806&amp;""'"", 0), 1, 1),""NO ENCONTRADO"")"),"")</f>
        <v/>
      </c>
      <c r="BI806" s="12" t="str">
        <f>IFERROR(__xludf.DUMMYFUNCTION("IFERROR(INDEX(QUERY(IMPORTRANGE(""1T7HG8KEs-Ob7f3M5atEVN9Yn7IeORGp0QGvggB62ELw"",""Maestro!A:I""),""SELECT Col7 WHERE Col3 = '""&amp;BE806&amp;""'"", 0), 1, 1),""NO ENCONTRADO"")"),"")</f>
        <v/>
      </c>
      <c r="BJ806" s="16">
        <f t="shared" si="15"/>
        <v>0</v>
      </c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4"/>
      <c r="BX806" s="14"/>
      <c r="BY806" s="14"/>
      <c r="BZ806" s="14"/>
      <c r="CA806" s="14"/>
      <c r="CB806" s="14"/>
      <c r="CC806" s="14"/>
      <c r="CD806" s="14"/>
      <c r="CE806" s="14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</row>
    <row r="807">
      <c r="A807" s="12"/>
      <c r="B807" s="14"/>
      <c r="C807" s="14"/>
      <c r="D807" s="14"/>
      <c r="E807" s="12"/>
      <c r="F807" s="307"/>
      <c r="G807" s="307"/>
      <c r="H807" s="12"/>
      <c r="I807" s="30"/>
      <c r="J807" s="12"/>
      <c r="K807" s="12"/>
      <c r="L807" s="12"/>
      <c r="M807" s="12"/>
      <c r="N807" s="12"/>
      <c r="O807" s="308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4"/>
      <c r="BF807" s="12"/>
      <c r="BG807" s="12"/>
      <c r="BH807" s="12" t="str">
        <f>IFERROR(__xludf.DUMMYFUNCTION("IFERROR(INDEX(QUERY(IMPORTRANGE(""1T7HG8KEs-Ob7f3M5atEVN9Yn7IeORGp0QGvggB62ELw"",""Maestro!A:I""),""SELECT Col8 WHERE Col3 = '""&amp;BE807&amp;""'"", 0), 1, 1),""NO ENCONTRADO"")"),"")</f>
        <v/>
      </c>
      <c r="BI807" s="12" t="str">
        <f>IFERROR(__xludf.DUMMYFUNCTION("IFERROR(INDEX(QUERY(IMPORTRANGE(""1T7HG8KEs-Ob7f3M5atEVN9Yn7IeORGp0QGvggB62ELw"",""Maestro!A:I""),""SELECT Col7 WHERE Col3 = '""&amp;BE807&amp;""'"", 0), 1, 1),""NO ENCONTRADO"")"),"")</f>
        <v/>
      </c>
      <c r="BJ807" s="16">
        <f t="shared" si="15"/>
        <v>0</v>
      </c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4"/>
      <c r="BX807" s="14"/>
      <c r="BY807" s="14"/>
      <c r="BZ807" s="14"/>
      <c r="CA807" s="14"/>
      <c r="CB807" s="14"/>
      <c r="CC807" s="14"/>
      <c r="CD807" s="14"/>
      <c r="CE807" s="14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</row>
    <row r="808">
      <c r="A808" s="12"/>
      <c r="B808" s="14"/>
      <c r="C808" s="14"/>
      <c r="D808" s="14"/>
      <c r="E808" s="12"/>
      <c r="F808" s="307"/>
      <c r="G808" s="307"/>
      <c r="H808" s="12"/>
      <c r="I808" s="30"/>
      <c r="J808" s="12"/>
      <c r="K808" s="12"/>
      <c r="L808" s="12"/>
      <c r="M808" s="12"/>
      <c r="N808" s="12"/>
      <c r="O808" s="308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4"/>
      <c r="BF808" s="12"/>
      <c r="BG808" s="12"/>
      <c r="BH808" s="12" t="str">
        <f>IFERROR(__xludf.DUMMYFUNCTION("IFERROR(INDEX(QUERY(IMPORTRANGE(""1T7HG8KEs-Ob7f3M5atEVN9Yn7IeORGp0QGvggB62ELw"",""Maestro!A:I""),""SELECT Col8 WHERE Col3 = '""&amp;BE808&amp;""'"", 0), 1, 1),""NO ENCONTRADO"")"),"")</f>
        <v/>
      </c>
      <c r="BI808" s="12" t="str">
        <f>IFERROR(__xludf.DUMMYFUNCTION("IFERROR(INDEX(QUERY(IMPORTRANGE(""1T7HG8KEs-Ob7f3M5atEVN9Yn7IeORGp0QGvggB62ELw"",""Maestro!A:I""),""SELECT Col7 WHERE Col3 = '""&amp;BE808&amp;""'"", 0), 1, 1),""NO ENCONTRADO"")"),"")</f>
        <v/>
      </c>
      <c r="BJ808" s="16">
        <f t="shared" si="15"/>
        <v>0</v>
      </c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4"/>
      <c r="BX808" s="14"/>
      <c r="BY808" s="14"/>
      <c r="BZ808" s="14"/>
      <c r="CA808" s="14"/>
      <c r="CB808" s="14"/>
      <c r="CC808" s="14"/>
      <c r="CD808" s="14"/>
      <c r="CE808" s="14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</row>
    <row r="809">
      <c r="A809" s="12"/>
      <c r="B809" s="14"/>
      <c r="C809" s="14"/>
      <c r="D809" s="14"/>
      <c r="E809" s="12"/>
      <c r="F809" s="307"/>
      <c r="G809" s="307"/>
      <c r="H809" s="12"/>
      <c r="I809" s="30"/>
      <c r="J809" s="12"/>
      <c r="K809" s="12"/>
      <c r="L809" s="12"/>
      <c r="M809" s="12"/>
      <c r="N809" s="12"/>
      <c r="O809" s="308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4"/>
      <c r="BF809" s="12"/>
      <c r="BG809" s="12"/>
      <c r="BH809" s="12" t="str">
        <f>IFERROR(__xludf.DUMMYFUNCTION("IFERROR(INDEX(QUERY(IMPORTRANGE(""1T7HG8KEs-Ob7f3M5atEVN9Yn7IeORGp0QGvggB62ELw"",""Maestro!A:I""),""SELECT Col8 WHERE Col3 = '""&amp;BE809&amp;""'"", 0), 1, 1),""NO ENCONTRADO"")"),"")</f>
        <v/>
      </c>
      <c r="BI809" s="12" t="str">
        <f>IFERROR(__xludf.DUMMYFUNCTION("IFERROR(INDEX(QUERY(IMPORTRANGE(""1T7HG8KEs-Ob7f3M5atEVN9Yn7IeORGp0QGvggB62ELw"",""Maestro!A:I""),""SELECT Col7 WHERE Col3 = '""&amp;BE809&amp;""'"", 0), 1, 1),""NO ENCONTRADO"")"),"")</f>
        <v/>
      </c>
      <c r="BJ809" s="16">
        <f t="shared" si="15"/>
        <v>0</v>
      </c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4"/>
      <c r="BX809" s="14"/>
      <c r="BY809" s="14"/>
      <c r="BZ809" s="14"/>
      <c r="CA809" s="14"/>
      <c r="CB809" s="14"/>
      <c r="CC809" s="14"/>
      <c r="CD809" s="14"/>
      <c r="CE809" s="14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</row>
    <row r="810">
      <c r="A810" s="12"/>
      <c r="B810" s="14"/>
      <c r="C810" s="14"/>
      <c r="D810" s="14"/>
      <c r="E810" s="12"/>
      <c r="F810" s="307"/>
      <c r="G810" s="307"/>
      <c r="H810" s="12"/>
      <c r="I810" s="30"/>
      <c r="J810" s="12"/>
      <c r="K810" s="12"/>
      <c r="L810" s="12"/>
      <c r="M810" s="12"/>
      <c r="N810" s="12"/>
      <c r="O810" s="308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4"/>
      <c r="BF810" s="12"/>
      <c r="BG810" s="12"/>
      <c r="BH810" s="12" t="str">
        <f>IFERROR(__xludf.DUMMYFUNCTION("IFERROR(INDEX(QUERY(IMPORTRANGE(""1T7HG8KEs-Ob7f3M5atEVN9Yn7IeORGp0QGvggB62ELw"",""Maestro!A:I""),""SELECT Col8 WHERE Col3 = '""&amp;BE810&amp;""'"", 0), 1, 1),""NO ENCONTRADO"")"),"")</f>
        <v/>
      </c>
      <c r="BI810" s="12" t="str">
        <f>IFERROR(__xludf.DUMMYFUNCTION("IFERROR(INDEX(QUERY(IMPORTRANGE(""1T7HG8KEs-Ob7f3M5atEVN9Yn7IeORGp0QGvggB62ELw"",""Maestro!A:I""),""SELECT Col7 WHERE Col3 = '""&amp;BE810&amp;""'"", 0), 1, 1),""NO ENCONTRADO"")"),"")</f>
        <v/>
      </c>
      <c r="BJ810" s="16">
        <f t="shared" si="15"/>
        <v>0</v>
      </c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4"/>
      <c r="BX810" s="14"/>
      <c r="BY810" s="14"/>
      <c r="BZ810" s="14"/>
      <c r="CA810" s="14"/>
      <c r="CB810" s="14"/>
      <c r="CC810" s="14"/>
      <c r="CD810" s="14"/>
      <c r="CE810" s="14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</row>
    <row r="811">
      <c r="A811" s="12"/>
      <c r="B811" s="14"/>
      <c r="C811" s="14"/>
      <c r="D811" s="14"/>
      <c r="E811" s="12"/>
      <c r="F811" s="307"/>
      <c r="G811" s="307"/>
      <c r="H811" s="12"/>
      <c r="I811" s="30"/>
      <c r="J811" s="12"/>
      <c r="K811" s="12"/>
      <c r="L811" s="12"/>
      <c r="M811" s="12"/>
      <c r="N811" s="12"/>
      <c r="O811" s="308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4"/>
      <c r="BF811" s="12"/>
      <c r="BG811" s="12"/>
      <c r="BH811" s="12" t="str">
        <f>IFERROR(__xludf.DUMMYFUNCTION("IFERROR(INDEX(QUERY(IMPORTRANGE(""1T7HG8KEs-Ob7f3M5atEVN9Yn7IeORGp0QGvggB62ELw"",""Maestro!A:I""),""SELECT Col8 WHERE Col3 = '""&amp;BE811&amp;""'"", 0), 1, 1),""NO ENCONTRADO"")"),"")</f>
        <v/>
      </c>
      <c r="BI811" s="12" t="str">
        <f>IFERROR(__xludf.DUMMYFUNCTION("IFERROR(INDEX(QUERY(IMPORTRANGE(""1T7HG8KEs-Ob7f3M5atEVN9Yn7IeORGp0QGvggB62ELw"",""Maestro!A:I""),""SELECT Col7 WHERE Col3 = '""&amp;BE811&amp;""'"", 0), 1, 1),""NO ENCONTRADO"")"),"")</f>
        <v/>
      </c>
      <c r="BJ811" s="16">
        <f t="shared" si="15"/>
        <v>0</v>
      </c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4"/>
      <c r="BX811" s="14"/>
      <c r="BY811" s="14"/>
      <c r="BZ811" s="14"/>
      <c r="CA811" s="14"/>
      <c r="CB811" s="14"/>
      <c r="CC811" s="14"/>
      <c r="CD811" s="14"/>
      <c r="CE811" s="14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</row>
    <row r="812">
      <c r="A812" s="12"/>
      <c r="B812" s="14"/>
      <c r="C812" s="14"/>
      <c r="D812" s="14"/>
      <c r="E812" s="12"/>
      <c r="F812" s="307"/>
      <c r="G812" s="307"/>
      <c r="H812" s="12"/>
      <c r="I812" s="30"/>
      <c r="J812" s="12"/>
      <c r="K812" s="12"/>
      <c r="L812" s="12"/>
      <c r="M812" s="12"/>
      <c r="N812" s="12"/>
      <c r="O812" s="308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4"/>
      <c r="BF812" s="12"/>
      <c r="BG812" s="12"/>
      <c r="BH812" s="12" t="str">
        <f>IFERROR(__xludf.DUMMYFUNCTION("IFERROR(INDEX(QUERY(IMPORTRANGE(""1T7HG8KEs-Ob7f3M5atEVN9Yn7IeORGp0QGvggB62ELw"",""Maestro!A:I""),""SELECT Col8 WHERE Col3 = '""&amp;BE812&amp;""'"", 0), 1, 1),""NO ENCONTRADO"")"),"")</f>
        <v/>
      </c>
      <c r="BI812" s="12" t="str">
        <f>IFERROR(__xludf.DUMMYFUNCTION("IFERROR(INDEX(QUERY(IMPORTRANGE(""1T7HG8KEs-Ob7f3M5atEVN9Yn7IeORGp0QGvggB62ELw"",""Maestro!A:I""),""SELECT Col7 WHERE Col3 = '""&amp;BE812&amp;""'"", 0), 1, 1),""NO ENCONTRADO"")"),"")</f>
        <v/>
      </c>
      <c r="BJ812" s="16">
        <f t="shared" si="15"/>
        <v>0</v>
      </c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4"/>
      <c r="BX812" s="14"/>
      <c r="BY812" s="14"/>
      <c r="BZ812" s="14"/>
      <c r="CA812" s="14"/>
      <c r="CB812" s="14"/>
      <c r="CC812" s="14"/>
      <c r="CD812" s="14"/>
      <c r="CE812" s="14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</row>
    <row r="813">
      <c r="A813" s="12"/>
      <c r="B813" s="14"/>
      <c r="C813" s="14"/>
      <c r="D813" s="14"/>
      <c r="E813" s="12"/>
      <c r="F813" s="307"/>
      <c r="G813" s="307"/>
      <c r="H813" s="12"/>
      <c r="I813" s="30"/>
      <c r="J813" s="12"/>
      <c r="K813" s="12"/>
      <c r="L813" s="12"/>
      <c r="M813" s="12"/>
      <c r="N813" s="12"/>
      <c r="O813" s="308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4"/>
      <c r="BF813" s="12"/>
      <c r="BG813" s="12"/>
      <c r="BH813" s="12" t="str">
        <f>IFERROR(__xludf.DUMMYFUNCTION("IFERROR(INDEX(QUERY(IMPORTRANGE(""1T7HG8KEs-Ob7f3M5atEVN9Yn7IeORGp0QGvggB62ELw"",""Maestro!A:I""),""SELECT Col8 WHERE Col3 = '""&amp;BE813&amp;""'"", 0), 1, 1),""NO ENCONTRADO"")"),"")</f>
        <v/>
      </c>
      <c r="BI813" s="12" t="str">
        <f>IFERROR(__xludf.DUMMYFUNCTION("IFERROR(INDEX(QUERY(IMPORTRANGE(""1T7HG8KEs-Ob7f3M5atEVN9Yn7IeORGp0QGvggB62ELw"",""Maestro!A:I""),""SELECT Col7 WHERE Col3 = '""&amp;BE813&amp;""'"", 0), 1, 1),""NO ENCONTRADO"")"),"")</f>
        <v/>
      </c>
      <c r="BJ813" s="16">
        <f t="shared" si="15"/>
        <v>0</v>
      </c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4"/>
      <c r="BX813" s="14"/>
      <c r="BY813" s="14"/>
      <c r="BZ813" s="14"/>
      <c r="CA813" s="14"/>
      <c r="CB813" s="14"/>
      <c r="CC813" s="14"/>
      <c r="CD813" s="14"/>
      <c r="CE813" s="14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</row>
    <row r="814">
      <c r="A814" s="12"/>
      <c r="B814" s="14"/>
      <c r="C814" s="14"/>
      <c r="D814" s="14"/>
      <c r="E814" s="12"/>
      <c r="F814" s="307"/>
      <c r="G814" s="307"/>
      <c r="H814" s="12"/>
      <c r="I814" s="30"/>
      <c r="J814" s="12"/>
      <c r="K814" s="12"/>
      <c r="L814" s="12"/>
      <c r="M814" s="12"/>
      <c r="N814" s="12"/>
      <c r="O814" s="308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4"/>
      <c r="BF814" s="12"/>
      <c r="BG814" s="12"/>
      <c r="BH814" s="12" t="str">
        <f>IFERROR(__xludf.DUMMYFUNCTION("IFERROR(INDEX(QUERY(IMPORTRANGE(""1T7HG8KEs-Ob7f3M5atEVN9Yn7IeORGp0QGvggB62ELw"",""Maestro!A:I""),""SELECT Col8 WHERE Col3 = '""&amp;BE814&amp;""'"", 0), 1, 1),""NO ENCONTRADO"")"),"")</f>
        <v/>
      </c>
      <c r="BI814" s="12" t="str">
        <f>IFERROR(__xludf.DUMMYFUNCTION("IFERROR(INDEX(QUERY(IMPORTRANGE(""1T7HG8KEs-Ob7f3M5atEVN9Yn7IeORGp0QGvggB62ELw"",""Maestro!A:I""),""SELECT Col7 WHERE Col3 = '""&amp;BE814&amp;""'"", 0), 1, 1),""NO ENCONTRADO"")"),"")</f>
        <v/>
      </c>
      <c r="BJ814" s="16">
        <f t="shared" si="15"/>
        <v>0</v>
      </c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4"/>
      <c r="BX814" s="14"/>
      <c r="BY814" s="14"/>
      <c r="BZ814" s="14"/>
      <c r="CA814" s="14"/>
      <c r="CB814" s="14"/>
      <c r="CC814" s="14"/>
      <c r="CD814" s="14"/>
      <c r="CE814" s="14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</row>
    <row r="815">
      <c r="A815" s="12"/>
      <c r="B815" s="14"/>
      <c r="C815" s="14"/>
      <c r="D815" s="14"/>
      <c r="E815" s="12"/>
      <c r="F815" s="307"/>
      <c r="G815" s="307"/>
      <c r="H815" s="12"/>
      <c r="I815" s="30"/>
      <c r="J815" s="12"/>
      <c r="K815" s="12"/>
      <c r="L815" s="12"/>
      <c r="M815" s="12"/>
      <c r="N815" s="12"/>
      <c r="O815" s="308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4"/>
      <c r="BF815" s="12"/>
      <c r="BG815" s="12"/>
      <c r="BH815" s="12" t="str">
        <f>IFERROR(__xludf.DUMMYFUNCTION("IFERROR(INDEX(QUERY(IMPORTRANGE(""1T7HG8KEs-Ob7f3M5atEVN9Yn7IeORGp0QGvggB62ELw"",""Maestro!A:I""),""SELECT Col8 WHERE Col3 = '""&amp;BE815&amp;""'"", 0), 1, 1),""NO ENCONTRADO"")"),"")</f>
        <v/>
      </c>
      <c r="BI815" s="12" t="str">
        <f>IFERROR(__xludf.DUMMYFUNCTION("IFERROR(INDEX(QUERY(IMPORTRANGE(""1T7HG8KEs-Ob7f3M5atEVN9Yn7IeORGp0QGvggB62ELw"",""Maestro!A:I""),""SELECT Col7 WHERE Col3 = '""&amp;BE815&amp;""'"", 0), 1, 1),""NO ENCONTRADO"")"),"")</f>
        <v/>
      </c>
      <c r="BJ815" s="16">
        <f t="shared" si="15"/>
        <v>0</v>
      </c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4"/>
      <c r="BX815" s="14"/>
      <c r="BY815" s="14"/>
      <c r="BZ815" s="14"/>
      <c r="CA815" s="14"/>
      <c r="CB815" s="14"/>
      <c r="CC815" s="14"/>
      <c r="CD815" s="14"/>
      <c r="CE815" s="14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</row>
    <row r="816">
      <c r="A816" s="12"/>
      <c r="B816" s="14"/>
      <c r="C816" s="14"/>
      <c r="D816" s="14"/>
      <c r="E816" s="12"/>
      <c r="F816" s="307"/>
      <c r="G816" s="307"/>
      <c r="H816" s="12"/>
      <c r="I816" s="30"/>
      <c r="J816" s="12"/>
      <c r="K816" s="12"/>
      <c r="L816" s="12"/>
      <c r="M816" s="12"/>
      <c r="N816" s="12"/>
      <c r="O816" s="308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4"/>
      <c r="BF816" s="12"/>
      <c r="BG816" s="12"/>
      <c r="BH816" s="12" t="str">
        <f>IFERROR(__xludf.DUMMYFUNCTION("IFERROR(INDEX(QUERY(IMPORTRANGE(""1T7HG8KEs-Ob7f3M5atEVN9Yn7IeORGp0QGvggB62ELw"",""Maestro!A:I""),""SELECT Col8 WHERE Col3 = '""&amp;BE816&amp;""'"", 0), 1, 1),""NO ENCONTRADO"")"),"")</f>
        <v/>
      </c>
      <c r="BI816" s="12" t="str">
        <f>IFERROR(__xludf.DUMMYFUNCTION("IFERROR(INDEX(QUERY(IMPORTRANGE(""1T7HG8KEs-Ob7f3M5atEVN9Yn7IeORGp0QGvggB62ELw"",""Maestro!A:I""),""SELECT Col7 WHERE Col3 = '""&amp;BE816&amp;""'"", 0), 1, 1),""NO ENCONTRADO"")"),"")</f>
        <v/>
      </c>
      <c r="BJ816" s="16">
        <f t="shared" si="15"/>
        <v>0</v>
      </c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4"/>
      <c r="BX816" s="14"/>
      <c r="BY816" s="14"/>
      <c r="BZ816" s="14"/>
      <c r="CA816" s="14"/>
      <c r="CB816" s="14"/>
      <c r="CC816" s="14"/>
      <c r="CD816" s="14"/>
      <c r="CE816" s="14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</row>
    <row r="817">
      <c r="A817" s="12"/>
      <c r="B817" s="14"/>
      <c r="C817" s="14"/>
      <c r="D817" s="14"/>
      <c r="E817" s="12"/>
      <c r="F817" s="307"/>
      <c r="G817" s="307"/>
      <c r="H817" s="12"/>
      <c r="I817" s="30"/>
      <c r="J817" s="12"/>
      <c r="K817" s="12"/>
      <c r="L817" s="12"/>
      <c r="M817" s="12"/>
      <c r="N817" s="12"/>
      <c r="O817" s="308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4"/>
      <c r="BF817" s="12"/>
      <c r="BG817" s="12"/>
      <c r="BH817" s="12" t="str">
        <f>IFERROR(__xludf.DUMMYFUNCTION("IFERROR(INDEX(QUERY(IMPORTRANGE(""1T7HG8KEs-Ob7f3M5atEVN9Yn7IeORGp0QGvggB62ELw"",""Maestro!A:I""),""SELECT Col8 WHERE Col3 = '""&amp;BE817&amp;""'"", 0), 1, 1),""NO ENCONTRADO"")"),"")</f>
        <v/>
      </c>
      <c r="BI817" s="12" t="str">
        <f>IFERROR(__xludf.DUMMYFUNCTION("IFERROR(INDEX(QUERY(IMPORTRANGE(""1T7HG8KEs-Ob7f3M5atEVN9Yn7IeORGp0QGvggB62ELw"",""Maestro!A:I""),""SELECT Col7 WHERE Col3 = '""&amp;BE817&amp;""'"", 0), 1, 1),""NO ENCONTRADO"")"),"")</f>
        <v/>
      </c>
      <c r="BJ817" s="16">
        <f t="shared" si="15"/>
        <v>0</v>
      </c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4"/>
      <c r="BX817" s="14"/>
      <c r="BY817" s="14"/>
      <c r="BZ817" s="14"/>
      <c r="CA817" s="14"/>
      <c r="CB817" s="14"/>
      <c r="CC817" s="14"/>
      <c r="CD817" s="14"/>
      <c r="CE817" s="14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</row>
    <row r="818">
      <c r="A818" s="12"/>
      <c r="B818" s="14"/>
      <c r="C818" s="14"/>
      <c r="D818" s="14"/>
      <c r="E818" s="12"/>
      <c r="F818" s="307"/>
      <c r="G818" s="307"/>
      <c r="H818" s="12"/>
      <c r="I818" s="30"/>
      <c r="J818" s="12"/>
      <c r="K818" s="12"/>
      <c r="L818" s="12"/>
      <c r="M818" s="12"/>
      <c r="N818" s="12"/>
      <c r="O818" s="308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4"/>
      <c r="BF818" s="12"/>
      <c r="BG818" s="12"/>
      <c r="BH818" s="12" t="str">
        <f>IFERROR(__xludf.DUMMYFUNCTION("IFERROR(INDEX(QUERY(IMPORTRANGE(""1T7HG8KEs-Ob7f3M5atEVN9Yn7IeORGp0QGvggB62ELw"",""Maestro!A:I""),""SELECT Col8 WHERE Col3 = '""&amp;BE818&amp;""'"", 0), 1, 1),""NO ENCONTRADO"")"),"")</f>
        <v/>
      </c>
      <c r="BI818" s="12" t="str">
        <f>IFERROR(__xludf.DUMMYFUNCTION("IFERROR(INDEX(QUERY(IMPORTRANGE(""1T7HG8KEs-Ob7f3M5atEVN9Yn7IeORGp0QGvggB62ELw"",""Maestro!A:I""),""SELECT Col7 WHERE Col3 = '""&amp;BE818&amp;""'"", 0), 1, 1),""NO ENCONTRADO"")"),"")</f>
        <v/>
      </c>
      <c r="BJ818" s="16">
        <f t="shared" si="15"/>
        <v>0</v>
      </c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4"/>
      <c r="BX818" s="14"/>
      <c r="BY818" s="14"/>
      <c r="BZ818" s="14"/>
      <c r="CA818" s="14"/>
      <c r="CB818" s="14"/>
      <c r="CC818" s="14"/>
      <c r="CD818" s="14"/>
      <c r="CE818" s="14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</row>
    <row r="819">
      <c r="A819" s="12"/>
      <c r="B819" s="14"/>
      <c r="C819" s="14"/>
      <c r="D819" s="14"/>
      <c r="E819" s="12"/>
      <c r="F819" s="307"/>
      <c r="G819" s="307"/>
      <c r="H819" s="12"/>
      <c r="I819" s="30"/>
      <c r="J819" s="12"/>
      <c r="K819" s="12"/>
      <c r="L819" s="12"/>
      <c r="M819" s="12"/>
      <c r="N819" s="12"/>
      <c r="O819" s="308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4"/>
      <c r="BF819" s="12"/>
      <c r="BG819" s="12"/>
      <c r="BH819" s="12" t="str">
        <f>IFERROR(__xludf.DUMMYFUNCTION("IFERROR(INDEX(QUERY(IMPORTRANGE(""1T7HG8KEs-Ob7f3M5atEVN9Yn7IeORGp0QGvggB62ELw"",""Maestro!A:I""),""SELECT Col8 WHERE Col3 = '""&amp;BE819&amp;""'"", 0), 1, 1),""NO ENCONTRADO"")"),"")</f>
        <v/>
      </c>
      <c r="BI819" s="12" t="str">
        <f>IFERROR(__xludf.DUMMYFUNCTION("IFERROR(INDEX(QUERY(IMPORTRANGE(""1T7HG8KEs-Ob7f3M5atEVN9Yn7IeORGp0QGvggB62ELw"",""Maestro!A:I""),""SELECT Col7 WHERE Col3 = '""&amp;BE819&amp;""'"", 0), 1, 1),""NO ENCONTRADO"")"),"")</f>
        <v/>
      </c>
      <c r="BJ819" s="16">
        <f t="shared" si="15"/>
        <v>0</v>
      </c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4"/>
      <c r="BX819" s="14"/>
      <c r="BY819" s="14"/>
      <c r="BZ819" s="14"/>
      <c r="CA819" s="14"/>
      <c r="CB819" s="14"/>
      <c r="CC819" s="14"/>
      <c r="CD819" s="14"/>
      <c r="CE819" s="14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</row>
    <row r="820">
      <c r="A820" s="12"/>
      <c r="B820" s="14"/>
      <c r="C820" s="14"/>
      <c r="D820" s="14"/>
      <c r="E820" s="12"/>
      <c r="F820" s="307"/>
      <c r="G820" s="307"/>
      <c r="H820" s="12"/>
      <c r="I820" s="30"/>
      <c r="J820" s="12"/>
      <c r="K820" s="12"/>
      <c r="L820" s="12"/>
      <c r="M820" s="12"/>
      <c r="N820" s="12"/>
      <c r="O820" s="308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4"/>
      <c r="BF820" s="12"/>
      <c r="BG820" s="12"/>
      <c r="BH820" s="12" t="str">
        <f>IFERROR(__xludf.DUMMYFUNCTION("IFERROR(INDEX(QUERY(IMPORTRANGE(""1T7HG8KEs-Ob7f3M5atEVN9Yn7IeORGp0QGvggB62ELw"",""Maestro!A:I""),""SELECT Col8 WHERE Col3 = '""&amp;BE820&amp;""'"", 0), 1, 1),""NO ENCONTRADO"")"),"")</f>
        <v/>
      </c>
      <c r="BI820" s="12" t="str">
        <f>IFERROR(__xludf.DUMMYFUNCTION("IFERROR(INDEX(QUERY(IMPORTRANGE(""1T7HG8KEs-Ob7f3M5atEVN9Yn7IeORGp0QGvggB62ELw"",""Maestro!A:I""),""SELECT Col7 WHERE Col3 = '""&amp;BE820&amp;""'"", 0), 1, 1),""NO ENCONTRADO"")"),"")</f>
        <v/>
      </c>
      <c r="BJ820" s="16">
        <f t="shared" si="15"/>
        <v>0</v>
      </c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4"/>
      <c r="BX820" s="14"/>
      <c r="BY820" s="14"/>
      <c r="BZ820" s="14"/>
      <c r="CA820" s="14"/>
      <c r="CB820" s="14"/>
      <c r="CC820" s="14"/>
      <c r="CD820" s="14"/>
      <c r="CE820" s="14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</row>
    <row r="821">
      <c r="A821" s="12"/>
      <c r="B821" s="14"/>
      <c r="C821" s="14"/>
      <c r="D821" s="14"/>
      <c r="E821" s="12"/>
      <c r="F821" s="307"/>
      <c r="G821" s="307"/>
      <c r="H821" s="12"/>
      <c r="I821" s="30"/>
      <c r="J821" s="12"/>
      <c r="K821" s="12"/>
      <c r="L821" s="12"/>
      <c r="M821" s="12"/>
      <c r="N821" s="12"/>
      <c r="O821" s="308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4"/>
      <c r="BF821" s="12"/>
      <c r="BG821" s="12"/>
      <c r="BH821" s="12" t="str">
        <f>IFERROR(__xludf.DUMMYFUNCTION("IFERROR(INDEX(QUERY(IMPORTRANGE(""1T7HG8KEs-Ob7f3M5atEVN9Yn7IeORGp0QGvggB62ELw"",""Maestro!A:I""),""SELECT Col8 WHERE Col3 = '""&amp;BE821&amp;""'"", 0), 1, 1),""NO ENCONTRADO"")"),"")</f>
        <v/>
      </c>
      <c r="BI821" s="12" t="str">
        <f>IFERROR(__xludf.DUMMYFUNCTION("IFERROR(INDEX(QUERY(IMPORTRANGE(""1T7HG8KEs-Ob7f3M5atEVN9Yn7IeORGp0QGvggB62ELw"",""Maestro!A:I""),""SELECT Col7 WHERE Col3 = '""&amp;BE821&amp;""'"", 0), 1, 1),""NO ENCONTRADO"")"),"")</f>
        <v/>
      </c>
      <c r="BJ821" s="16">
        <f t="shared" si="15"/>
        <v>0</v>
      </c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4"/>
      <c r="BX821" s="14"/>
      <c r="BY821" s="14"/>
      <c r="BZ821" s="14"/>
      <c r="CA821" s="14"/>
      <c r="CB821" s="14"/>
      <c r="CC821" s="14"/>
      <c r="CD821" s="14"/>
      <c r="CE821" s="14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</row>
    <row r="822">
      <c r="A822" s="12"/>
      <c r="B822" s="14"/>
      <c r="C822" s="14"/>
      <c r="D822" s="14"/>
      <c r="E822" s="12"/>
      <c r="F822" s="307"/>
      <c r="G822" s="307"/>
      <c r="H822" s="12"/>
      <c r="I822" s="30"/>
      <c r="J822" s="12"/>
      <c r="K822" s="12"/>
      <c r="L822" s="12"/>
      <c r="M822" s="12"/>
      <c r="N822" s="12"/>
      <c r="O822" s="308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4"/>
      <c r="BF822" s="12"/>
      <c r="BG822" s="12"/>
      <c r="BH822" s="12" t="str">
        <f>IFERROR(__xludf.DUMMYFUNCTION("IFERROR(INDEX(QUERY(IMPORTRANGE(""1T7HG8KEs-Ob7f3M5atEVN9Yn7IeORGp0QGvggB62ELw"",""Maestro!A:I""),""SELECT Col8 WHERE Col3 = '""&amp;BE822&amp;""'"", 0), 1, 1),""NO ENCONTRADO"")"),"")</f>
        <v/>
      </c>
      <c r="BI822" s="12" t="str">
        <f>IFERROR(__xludf.DUMMYFUNCTION("IFERROR(INDEX(QUERY(IMPORTRANGE(""1T7HG8KEs-Ob7f3M5atEVN9Yn7IeORGp0QGvggB62ELw"",""Maestro!A:I""),""SELECT Col7 WHERE Col3 = '""&amp;BE822&amp;""'"", 0), 1, 1),""NO ENCONTRADO"")"),"")</f>
        <v/>
      </c>
      <c r="BJ822" s="16">
        <f t="shared" si="15"/>
        <v>0</v>
      </c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4"/>
      <c r="BX822" s="14"/>
      <c r="BY822" s="14"/>
      <c r="BZ822" s="14"/>
      <c r="CA822" s="14"/>
      <c r="CB822" s="14"/>
      <c r="CC822" s="14"/>
      <c r="CD822" s="14"/>
      <c r="CE822" s="14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</row>
    <row r="823">
      <c r="A823" s="12"/>
      <c r="B823" s="14"/>
      <c r="C823" s="14"/>
      <c r="D823" s="14"/>
      <c r="E823" s="12"/>
      <c r="F823" s="307"/>
      <c r="G823" s="307"/>
      <c r="H823" s="12"/>
      <c r="I823" s="30"/>
      <c r="J823" s="12"/>
      <c r="K823" s="12"/>
      <c r="L823" s="12"/>
      <c r="M823" s="12"/>
      <c r="N823" s="12"/>
      <c r="O823" s="308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4"/>
      <c r="BF823" s="12"/>
      <c r="BG823" s="12"/>
      <c r="BH823" s="12" t="str">
        <f>IFERROR(__xludf.DUMMYFUNCTION("IFERROR(INDEX(QUERY(IMPORTRANGE(""1T7HG8KEs-Ob7f3M5atEVN9Yn7IeORGp0QGvggB62ELw"",""Maestro!A:I""),""SELECT Col8 WHERE Col3 = '""&amp;BE823&amp;""'"", 0), 1, 1),""NO ENCONTRADO"")"),"")</f>
        <v/>
      </c>
      <c r="BI823" s="12" t="str">
        <f>IFERROR(__xludf.DUMMYFUNCTION("IFERROR(INDEX(QUERY(IMPORTRANGE(""1T7HG8KEs-Ob7f3M5atEVN9Yn7IeORGp0QGvggB62ELw"",""Maestro!A:I""),""SELECT Col7 WHERE Col3 = '""&amp;BE823&amp;""'"", 0), 1, 1),""NO ENCONTRADO"")"),"")</f>
        <v/>
      </c>
      <c r="BJ823" s="16">
        <f t="shared" si="15"/>
        <v>0</v>
      </c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4"/>
      <c r="BX823" s="14"/>
      <c r="BY823" s="14"/>
      <c r="BZ823" s="14"/>
      <c r="CA823" s="14"/>
      <c r="CB823" s="14"/>
      <c r="CC823" s="14"/>
      <c r="CD823" s="14"/>
      <c r="CE823" s="14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</row>
    <row r="824">
      <c r="A824" s="12"/>
      <c r="B824" s="14"/>
      <c r="C824" s="14"/>
      <c r="D824" s="14"/>
      <c r="E824" s="12"/>
      <c r="F824" s="307"/>
      <c r="G824" s="307"/>
      <c r="H824" s="12"/>
      <c r="I824" s="30"/>
      <c r="J824" s="12"/>
      <c r="K824" s="12"/>
      <c r="L824" s="12"/>
      <c r="M824" s="12"/>
      <c r="N824" s="12"/>
      <c r="O824" s="308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4"/>
      <c r="BF824" s="12"/>
      <c r="BG824" s="12"/>
      <c r="BH824" s="12" t="str">
        <f>IFERROR(__xludf.DUMMYFUNCTION("IFERROR(INDEX(QUERY(IMPORTRANGE(""1T7HG8KEs-Ob7f3M5atEVN9Yn7IeORGp0QGvggB62ELw"",""Maestro!A:I""),""SELECT Col8 WHERE Col3 = '""&amp;BE824&amp;""'"", 0), 1, 1),""NO ENCONTRADO"")"),"")</f>
        <v/>
      </c>
      <c r="BI824" s="12" t="str">
        <f>IFERROR(__xludf.DUMMYFUNCTION("IFERROR(INDEX(QUERY(IMPORTRANGE(""1T7HG8KEs-Ob7f3M5atEVN9Yn7IeORGp0QGvggB62ELw"",""Maestro!A:I""),""SELECT Col7 WHERE Col3 = '""&amp;BE824&amp;""'"", 0), 1, 1),""NO ENCONTRADO"")"),"")</f>
        <v/>
      </c>
      <c r="BJ824" s="16">
        <f t="shared" si="15"/>
        <v>0</v>
      </c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4"/>
      <c r="BX824" s="14"/>
      <c r="BY824" s="14"/>
      <c r="BZ824" s="14"/>
      <c r="CA824" s="14"/>
      <c r="CB824" s="14"/>
      <c r="CC824" s="14"/>
      <c r="CD824" s="14"/>
      <c r="CE824" s="14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</row>
    <row r="825">
      <c r="A825" s="12"/>
      <c r="B825" s="14"/>
      <c r="C825" s="14"/>
      <c r="D825" s="14"/>
      <c r="E825" s="12"/>
      <c r="F825" s="307"/>
      <c r="G825" s="307"/>
      <c r="H825" s="12"/>
      <c r="I825" s="30"/>
      <c r="J825" s="12"/>
      <c r="K825" s="12"/>
      <c r="L825" s="12"/>
      <c r="M825" s="12"/>
      <c r="N825" s="12"/>
      <c r="O825" s="308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4"/>
      <c r="BF825" s="12"/>
      <c r="BG825" s="12"/>
      <c r="BH825" s="12" t="str">
        <f>IFERROR(__xludf.DUMMYFUNCTION("IFERROR(INDEX(QUERY(IMPORTRANGE(""1T7HG8KEs-Ob7f3M5atEVN9Yn7IeORGp0QGvggB62ELw"",""Maestro!A:I""),""SELECT Col8 WHERE Col3 = '""&amp;BE825&amp;""'"", 0), 1, 1),""NO ENCONTRADO"")"),"")</f>
        <v/>
      </c>
      <c r="BI825" s="12" t="str">
        <f>IFERROR(__xludf.DUMMYFUNCTION("IFERROR(INDEX(QUERY(IMPORTRANGE(""1T7HG8KEs-Ob7f3M5atEVN9Yn7IeORGp0QGvggB62ELw"",""Maestro!A:I""),""SELECT Col7 WHERE Col3 = '""&amp;BE825&amp;""'"", 0), 1, 1),""NO ENCONTRADO"")"),"")</f>
        <v/>
      </c>
      <c r="BJ825" s="16">
        <f t="shared" si="15"/>
        <v>0</v>
      </c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4"/>
      <c r="BX825" s="14"/>
      <c r="BY825" s="14"/>
      <c r="BZ825" s="14"/>
      <c r="CA825" s="14"/>
      <c r="CB825" s="14"/>
      <c r="CC825" s="14"/>
      <c r="CD825" s="14"/>
      <c r="CE825" s="14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</row>
    <row r="826">
      <c r="A826" s="12"/>
      <c r="B826" s="14"/>
      <c r="C826" s="14"/>
      <c r="D826" s="14"/>
      <c r="E826" s="12"/>
      <c r="F826" s="307"/>
      <c r="G826" s="307"/>
      <c r="H826" s="12"/>
      <c r="I826" s="30"/>
      <c r="J826" s="12"/>
      <c r="K826" s="12"/>
      <c r="L826" s="12"/>
      <c r="M826" s="12"/>
      <c r="N826" s="12"/>
      <c r="O826" s="308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4"/>
      <c r="BF826" s="12"/>
      <c r="BG826" s="12"/>
      <c r="BH826" s="12" t="str">
        <f>IFERROR(__xludf.DUMMYFUNCTION("IFERROR(INDEX(QUERY(IMPORTRANGE(""1T7HG8KEs-Ob7f3M5atEVN9Yn7IeORGp0QGvggB62ELw"",""Maestro!A:I""),""SELECT Col8 WHERE Col3 = '""&amp;BE826&amp;""'"", 0), 1, 1),""NO ENCONTRADO"")"),"")</f>
        <v/>
      </c>
      <c r="BI826" s="12" t="str">
        <f>IFERROR(__xludf.DUMMYFUNCTION("IFERROR(INDEX(QUERY(IMPORTRANGE(""1T7HG8KEs-Ob7f3M5atEVN9Yn7IeORGp0QGvggB62ELw"",""Maestro!A:I""),""SELECT Col7 WHERE Col3 = '""&amp;BE826&amp;""'"", 0), 1, 1),""NO ENCONTRADO"")"),"")</f>
        <v/>
      </c>
      <c r="BJ826" s="16">
        <f t="shared" si="15"/>
        <v>0</v>
      </c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4"/>
      <c r="BX826" s="14"/>
      <c r="BY826" s="14"/>
      <c r="BZ826" s="14"/>
      <c r="CA826" s="14"/>
      <c r="CB826" s="14"/>
      <c r="CC826" s="14"/>
      <c r="CD826" s="14"/>
      <c r="CE826" s="14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</row>
    <row r="827">
      <c r="A827" s="12"/>
      <c r="B827" s="14"/>
      <c r="C827" s="14"/>
      <c r="D827" s="14"/>
      <c r="E827" s="12"/>
      <c r="F827" s="307"/>
      <c r="G827" s="307"/>
      <c r="H827" s="12"/>
      <c r="I827" s="30"/>
      <c r="J827" s="12"/>
      <c r="K827" s="12"/>
      <c r="L827" s="12"/>
      <c r="M827" s="12"/>
      <c r="N827" s="12"/>
      <c r="O827" s="308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4"/>
      <c r="BF827" s="12"/>
      <c r="BG827" s="12"/>
      <c r="BH827" s="12" t="str">
        <f>IFERROR(__xludf.DUMMYFUNCTION("IFERROR(INDEX(QUERY(IMPORTRANGE(""1T7HG8KEs-Ob7f3M5atEVN9Yn7IeORGp0QGvggB62ELw"",""Maestro!A:I""),""SELECT Col8 WHERE Col3 = '""&amp;BE827&amp;""'"", 0), 1, 1),""NO ENCONTRADO"")"),"")</f>
        <v/>
      </c>
      <c r="BI827" s="12" t="str">
        <f>IFERROR(__xludf.DUMMYFUNCTION("IFERROR(INDEX(QUERY(IMPORTRANGE(""1T7HG8KEs-Ob7f3M5atEVN9Yn7IeORGp0QGvggB62ELw"",""Maestro!A:I""),""SELECT Col7 WHERE Col3 = '""&amp;BE827&amp;""'"", 0), 1, 1),""NO ENCONTRADO"")"),"")</f>
        <v/>
      </c>
      <c r="BJ827" s="16">
        <f t="shared" si="15"/>
        <v>0</v>
      </c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4"/>
      <c r="BX827" s="14"/>
      <c r="BY827" s="14"/>
      <c r="BZ827" s="14"/>
      <c r="CA827" s="14"/>
      <c r="CB827" s="14"/>
      <c r="CC827" s="14"/>
      <c r="CD827" s="14"/>
      <c r="CE827" s="14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</row>
    <row r="828">
      <c r="A828" s="12"/>
      <c r="B828" s="14"/>
      <c r="C828" s="14"/>
      <c r="D828" s="14"/>
      <c r="E828" s="12"/>
      <c r="F828" s="307"/>
      <c r="G828" s="307"/>
      <c r="H828" s="12"/>
      <c r="I828" s="30"/>
      <c r="J828" s="12"/>
      <c r="K828" s="12"/>
      <c r="L828" s="12"/>
      <c r="M828" s="12"/>
      <c r="N828" s="12"/>
      <c r="O828" s="308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4"/>
      <c r="BF828" s="12"/>
      <c r="BG828" s="12"/>
      <c r="BH828" s="12" t="str">
        <f>IFERROR(__xludf.DUMMYFUNCTION("IFERROR(INDEX(QUERY(IMPORTRANGE(""1T7HG8KEs-Ob7f3M5atEVN9Yn7IeORGp0QGvggB62ELw"",""Maestro!A:I""),""SELECT Col8 WHERE Col3 = '""&amp;BE828&amp;""'"", 0), 1, 1),""NO ENCONTRADO"")"),"")</f>
        <v/>
      </c>
      <c r="BI828" s="12" t="str">
        <f>IFERROR(__xludf.DUMMYFUNCTION("IFERROR(INDEX(QUERY(IMPORTRANGE(""1T7HG8KEs-Ob7f3M5atEVN9Yn7IeORGp0QGvggB62ELw"",""Maestro!A:I""),""SELECT Col7 WHERE Col3 = '""&amp;BE828&amp;""'"", 0), 1, 1),""NO ENCONTRADO"")"),"")</f>
        <v/>
      </c>
      <c r="BJ828" s="16">
        <f t="shared" si="15"/>
        <v>0</v>
      </c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4"/>
      <c r="BX828" s="14"/>
      <c r="BY828" s="14"/>
      <c r="BZ828" s="14"/>
      <c r="CA828" s="14"/>
      <c r="CB828" s="14"/>
      <c r="CC828" s="14"/>
      <c r="CD828" s="14"/>
      <c r="CE828" s="14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</row>
    <row r="829">
      <c r="A829" s="12"/>
      <c r="B829" s="14"/>
      <c r="C829" s="14"/>
      <c r="D829" s="14"/>
      <c r="E829" s="12"/>
      <c r="F829" s="307"/>
      <c r="G829" s="307"/>
      <c r="H829" s="12"/>
      <c r="I829" s="30"/>
      <c r="J829" s="12"/>
      <c r="K829" s="12"/>
      <c r="L829" s="12"/>
      <c r="M829" s="12"/>
      <c r="N829" s="12"/>
      <c r="O829" s="308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4"/>
      <c r="BF829" s="12"/>
      <c r="BG829" s="12"/>
      <c r="BH829" s="12" t="str">
        <f>IFERROR(__xludf.DUMMYFUNCTION("IFERROR(INDEX(QUERY(IMPORTRANGE(""1T7HG8KEs-Ob7f3M5atEVN9Yn7IeORGp0QGvggB62ELw"",""Maestro!A:I""),""SELECT Col8 WHERE Col3 = '""&amp;BE829&amp;""'"", 0), 1, 1),""NO ENCONTRADO"")"),"")</f>
        <v/>
      </c>
      <c r="BI829" s="12" t="str">
        <f>IFERROR(__xludf.DUMMYFUNCTION("IFERROR(INDEX(QUERY(IMPORTRANGE(""1T7HG8KEs-Ob7f3M5atEVN9Yn7IeORGp0QGvggB62ELw"",""Maestro!A:I""),""SELECT Col7 WHERE Col3 = '""&amp;BE829&amp;""'"", 0), 1, 1),""NO ENCONTRADO"")"),"")</f>
        <v/>
      </c>
      <c r="BJ829" s="16">
        <f t="shared" si="15"/>
        <v>0</v>
      </c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4"/>
      <c r="BX829" s="14"/>
      <c r="BY829" s="14"/>
      <c r="BZ829" s="14"/>
      <c r="CA829" s="14"/>
      <c r="CB829" s="14"/>
      <c r="CC829" s="14"/>
      <c r="CD829" s="14"/>
      <c r="CE829" s="14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</row>
    <row r="830">
      <c r="A830" s="12"/>
      <c r="B830" s="14"/>
      <c r="C830" s="14"/>
      <c r="D830" s="14"/>
      <c r="E830" s="12"/>
      <c r="F830" s="307"/>
      <c r="G830" s="307"/>
      <c r="H830" s="12"/>
      <c r="I830" s="30"/>
      <c r="J830" s="12"/>
      <c r="K830" s="12"/>
      <c r="L830" s="12"/>
      <c r="M830" s="12"/>
      <c r="N830" s="12"/>
      <c r="O830" s="308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4"/>
      <c r="BF830" s="12"/>
      <c r="BG830" s="12"/>
      <c r="BH830" s="12" t="str">
        <f>IFERROR(__xludf.DUMMYFUNCTION("IFERROR(INDEX(QUERY(IMPORTRANGE(""1T7HG8KEs-Ob7f3M5atEVN9Yn7IeORGp0QGvggB62ELw"",""Maestro!A:I""),""SELECT Col8 WHERE Col3 = '""&amp;BE830&amp;""'"", 0), 1, 1),""NO ENCONTRADO"")"),"")</f>
        <v/>
      </c>
      <c r="BI830" s="12" t="str">
        <f>IFERROR(__xludf.DUMMYFUNCTION("IFERROR(INDEX(QUERY(IMPORTRANGE(""1T7HG8KEs-Ob7f3M5atEVN9Yn7IeORGp0QGvggB62ELw"",""Maestro!A:I""),""SELECT Col7 WHERE Col3 = '""&amp;BE830&amp;""'"", 0), 1, 1),""NO ENCONTRADO"")"),"")</f>
        <v/>
      </c>
      <c r="BJ830" s="16">
        <f t="shared" si="15"/>
        <v>0</v>
      </c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4"/>
      <c r="BX830" s="14"/>
      <c r="BY830" s="14"/>
      <c r="BZ830" s="14"/>
      <c r="CA830" s="14"/>
      <c r="CB830" s="14"/>
      <c r="CC830" s="14"/>
      <c r="CD830" s="14"/>
      <c r="CE830" s="14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</row>
    <row r="831">
      <c r="A831" s="12"/>
      <c r="B831" s="14"/>
      <c r="C831" s="14"/>
      <c r="D831" s="14"/>
      <c r="E831" s="12"/>
      <c r="F831" s="307"/>
      <c r="G831" s="307"/>
      <c r="H831" s="12"/>
      <c r="I831" s="30"/>
      <c r="J831" s="12"/>
      <c r="K831" s="12"/>
      <c r="L831" s="12"/>
      <c r="M831" s="12"/>
      <c r="N831" s="12"/>
      <c r="O831" s="308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4"/>
      <c r="BF831" s="12"/>
      <c r="BG831" s="12"/>
      <c r="BH831" s="12" t="str">
        <f>IFERROR(__xludf.DUMMYFUNCTION("IFERROR(INDEX(QUERY(IMPORTRANGE(""1T7HG8KEs-Ob7f3M5atEVN9Yn7IeORGp0QGvggB62ELw"",""Maestro!A:I""),""SELECT Col8 WHERE Col3 = '""&amp;BE831&amp;""'"", 0), 1, 1),""NO ENCONTRADO"")"),"")</f>
        <v/>
      </c>
      <c r="BI831" s="12" t="str">
        <f>IFERROR(__xludf.DUMMYFUNCTION("IFERROR(INDEX(QUERY(IMPORTRANGE(""1T7HG8KEs-Ob7f3M5atEVN9Yn7IeORGp0QGvggB62ELw"",""Maestro!A:I""),""SELECT Col7 WHERE Col3 = '""&amp;BE831&amp;""'"", 0), 1, 1),""NO ENCONTRADO"")"),"")</f>
        <v/>
      </c>
      <c r="BJ831" s="16">
        <f t="shared" si="15"/>
        <v>0</v>
      </c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4"/>
      <c r="BX831" s="14"/>
      <c r="BY831" s="14"/>
      <c r="BZ831" s="14"/>
      <c r="CA831" s="14"/>
      <c r="CB831" s="14"/>
      <c r="CC831" s="14"/>
      <c r="CD831" s="14"/>
      <c r="CE831" s="14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</row>
    <row r="832">
      <c r="A832" s="12"/>
      <c r="B832" s="14"/>
      <c r="C832" s="14"/>
      <c r="D832" s="14"/>
      <c r="E832" s="12"/>
      <c r="F832" s="307"/>
      <c r="G832" s="307"/>
      <c r="H832" s="12"/>
      <c r="I832" s="30"/>
      <c r="J832" s="12"/>
      <c r="K832" s="12"/>
      <c r="L832" s="12"/>
      <c r="M832" s="12"/>
      <c r="N832" s="12"/>
      <c r="O832" s="308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4"/>
      <c r="BF832" s="12"/>
      <c r="BG832" s="12"/>
      <c r="BH832" s="12" t="str">
        <f>IFERROR(__xludf.DUMMYFUNCTION("IFERROR(INDEX(QUERY(IMPORTRANGE(""1T7HG8KEs-Ob7f3M5atEVN9Yn7IeORGp0QGvggB62ELw"",""Maestro!A:I""),""SELECT Col8 WHERE Col3 = '""&amp;BE832&amp;""'"", 0), 1, 1),""NO ENCONTRADO"")"),"")</f>
        <v/>
      </c>
      <c r="BI832" s="12" t="str">
        <f>IFERROR(__xludf.DUMMYFUNCTION("IFERROR(INDEX(QUERY(IMPORTRANGE(""1T7HG8KEs-Ob7f3M5atEVN9Yn7IeORGp0QGvggB62ELw"",""Maestro!A:I""),""SELECT Col7 WHERE Col3 = '""&amp;BE832&amp;""'"", 0), 1, 1),""NO ENCONTRADO"")"),"")</f>
        <v/>
      </c>
      <c r="BJ832" s="16">
        <f t="shared" si="15"/>
        <v>0</v>
      </c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4"/>
      <c r="BX832" s="14"/>
      <c r="BY832" s="14"/>
      <c r="BZ832" s="14"/>
      <c r="CA832" s="14"/>
      <c r="CB832" s="14"/>
      <c r="CC832" s="14"/>
      <c r="CD832" s="14"/>
      <c r="CE832" s="14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</row>
    <row r="833">
      <c r="A833" s="12"/>
      <c r="B833" s="14"/>
      <c r="C833" s="14"/>
      <c r="D833" s="14"/>
      <c r="E833" s="12"/>
      <c r="F833" s="307"/>
      <c r="G833" s="307"/>
      <c r="H833" s="12"/>
      <c r="I833" s="30"/>
      <c r="J833" s="12"/>
      <c r="K833" s="12"/>
      <c r="L833" s="12"/>
      <c r="M833" s="12"/>
      <c r="N833" s="12"/>
      <c r="O833" s="308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4"/>
      <c r="BF833" s="12"/>
      <c r="BG833" s="12"/>
      <c r="BH833" s="12" t="str">
        <f>IFERROR(__xludf.DUMMYFUNCTION("IFERROR(INDEX(QUERY(IMPORTRANGE(""1T7HG8KEs-Ob7f3M5atEVN9Yn7IeORGp0QGvggB62ELw"",""Maestro!A:I""),""SELECT Col8 WHERE Col3 = '""&amp;BE833&amp;""'"", 0), 1, 1),""NO ENCONTRADO"")"),"")</f>
        <v/>
      </c>
      <c r="BI833" s="12" t="str">
        <f>IFERROR(__xludf.DUMMYFUNCTION("IFERROR(INDEX(QUERY(IMPORTRANGE(""1T7HG8KEs-Ob7f3M5atEVN9Yn7IeORGp0QGvggB62ELw"",""Maestro!A:I""),""SELECT Col7 WHERE Col3 = '""&amp;BE833&amp;""'"", 0), 1, 1),""NO ENCONTRADO"")"),"")</f>
        <v/>
      </c>
      <c r="BJ833" s="16">
        <f t="shared" si="15"/>
        <v>0</v>
      </c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4"/>
      <c r="BX833" s="14"/>
      <c r="BY833" s="14"/>
      <c r="BZ833" s="14"/>
      <c r="CA833" s="14"/>
      <c r="CB833" s="14"/>
      <c r="CC833" s="14"/>
      <c r="CD833" s="14"/>
      <c r="CE833" s="14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</row>
    <row r="834">
      <c r="A834" s="12"/>
      <c r="B834" s="14"/>
      <c r="C834" s="14"/>
      <c r="D834" s="14"/>
      <c r="E834" s="12"/>
      <c r="F834" s="307"/>
      <c r="G834" s="307"/>
      <c r="H834" s="12"/>
      <c r="I834" s="30"/>
      <c r="J834" s="12"/>
      <c r="K834" s="12"/>
      <c r="L834" s="12"/>
      <c r="M834" s="12"/>
      <c r="N834" s="12"/>
      <c r="O834" s="308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4"/>
      <c r="BF834" s="12"/>
      <c r="BG834" s="12"/>
      <c r="BH834" s="12" t="str">
        <f>IFERROR(__xludf.DUMMYFUNCTION("IFERROR(INDEX(QUERY(IMPORTRANGE(""1T7HG8KEs-Ob7f3M5atEVN9Yn7IeORGp0QGvggB62ELw"",""Maestro!A:I""),""SELECT Col8 WHERE Col3 = '""&amp;BE834&amp;""'"", 0), 1, 1),""NO ENCONTRADO"")"),"")</f>
        <v/>
      </c>
      <c r="BI834" s="12" t="str">
        <f>IFERROR(__xludf.DUMMYFUNCTION("IFERROR(INDEX(QUERY(IMPORTRANGE(""1T7HG8KEs-Ob7f3M5atEVN9Yn7IeORGp0QGvggB62ELw"",""Maestro!A:I""),""SELECT Col7 WHERE Col3 = '""&amp;BE834&amp;""'"", 0), 1, 1),""NO ENCONTRADO"")"),"")</f>
        <v/>
      </c>
      <c r="BJ834" s="16">
        <f t="shared" si="15"/>
        <v>0</v>
      </c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4"/>
      <c r="BX834" s="14"/>
      <c r="BY834" s="14"/>
      <c r="BZ834" s="14"/>
      <c r="CA834" s="14"/>
      <c r="CB834" s="14"/>
      <c r="CC834" s="14"/>
      <c r="CD834" s="14"/>
      <c r="CE834" s="14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</row>
    <row r="835">
      <c r="A835" s="12"/>
      <c r="B835" s="14"/>
      <c r="C835" s="14"/>
      <c r="D835" s="14"/>
      <c r="E835" s="12"/>
      <c r="F835" s="307"/>
      <c r="G835" s="307"/>
      <c r="H835" s="12"/>
      <c r="I835" s="30"/>
      <c r="J835" s="12"/>
      <c r="K835" s="12"/>
      <c r="L835" s="12"/>
      <c r="M835" s="12"/>
      <c r="N835" s="12"/>
      <c r="O835" s="308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4"/>
      <c r="BF835" s="12"/>
      <c r="BG835" s="12"/>
      <c r="BH835" s="12" t="str">
        <f>IFERROR(__xludf.DUMMYFUNCTION("IFERROR(INDEX(QUERY(IMPORTRANGE(""1T7HG8KEs-Ob7f3M5atEVN9Yn7IeORGp0QGvggB62ELw"",""Maestro!A:I""),""SELECT Col8 WHERE Col3 = '""&amp;BE835&amp;""'"", 0), 1, 1),""NO ENCONTRADO"")"),"")</f>
        <v/>
      </c>
      <c r="BI835" s="12" t="str">
        <f>IFERROR(__xludf.DUMMYFUNCTION("IFERROR(INDEX(QUERY(IMPORTRANGE(""1T7HG8KEs-Ob7f3M5atEVN9Yn7IeORGp0QGvggB62ELw"",""Maestro!A:I""),""SELECT Col7 WHERE Col3 = '""&amp;BE835&amp;""'"", 0), 1, 1),""NO ENCONTRADO"")"),"")</f>
        <v/>
      </c>
      <c r="BJ835" s="16">
        <f t="shared" si="15"/>
        <v>0</v>
      </c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4"/>
      <c r="BX835" s="14"/>
      <c r="BY835" s="14"/>
      <c r="BZ835" s="14"/>
      <c r="CA835" s="14"/>
      <c r="CB835" s="14"/>
      <c r="CC835" s="14"/>
      <c r="CD835" s="14"/>
      <c r="CE835" s="14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</row>
    <row r="836">
      <c r="A836" s="12"/>
      <c r="B836" s="14"/>
      <c r="C836" s="14"/>
      <c r="D836" s="14"/>
      <c r="E836" s="12"/>
      <c r="F836" s="307"/>
      <c r="G836" s="307"/>
      <c r="H836" s="12"/>
      <c r="I836" s="30"/>
      <c r="J836" s="12"/>
      <c r="K836" s="12"/>
      <c r="L836" s="12"/>
      <c r="M836" s="12"/>
      <c r="N836" s="12"/>
      <c r="O836" s="308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4"/>
      <c r="BF836" s="12"/>
      <c r="BG836" s="12"/>
      <c r="BH836" s="12" t="str">
        <f>IFERROR(__xludf.DUMMYFUNCTION("IFERROR(INDEX(QUERY(IMPORTRANGE(""1T7HG8KEs-Ob7f3M5atEVN9Yn7IeORGp0QGvggB62ELw"",""Maestro!A:I""),""SELECT Col8 WHERE Col3 = '""&amp;BE836&amp;""'"", 0), 1, 1),""NO ENCONTRADO"")"),"")</f>
        <v/>
      </c>
      <c r="BI836" s="12" t="str">
        <f>IFERROR(__xludf.DUMMYFUNCTION("IFERROR(INDEX(QUERY(IMPORTRANGE(""1T7HG8KEs-Ob7f3M5atEVN9Yn7IeORGp0QGvggB62ELw"",""Maestro!A:I""),""SELECT Col7 WHERE Col3 = '""&amp;BE836&amp;""'"", 0), 1, 1),""NO ENCONTRADO"")"),"")</f>
        <v/>
      </c>
      <c r="BJ836" s="16">
        <f t="shared" si="15"/>
        <v>0</v>
      </c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4"/>
      <c r="BX836" s="14"/>
      <c r="BY836" s="14"/>
      <c r="BZ836" s="14"/>
      <c r="CA836" s="14"/>
      <c r="CB836" s="14"/>
      <c r="CC836" s="14"/>
      <c r="CD836" s="14"/>
      <c r="CE836" s="14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</row>
    <row r="837">
      <c r="A837" s="12"/>
      <c r="B837" s="14"/>
      <c r="C837" s="14"/>
      <c r="D837" s="14"/>
      <c r="E837" s="12"/>
      <c r="F837" s="307"/>
      <c r="G837" s="307"/>
      <c r="H837" s="12"/>
      <c r="I837" s="30"/>
      <c r="J837" s="12"/>
      <c r="K837" s="12"/>
      <c r="L837" s="12"/>
      <c r="M837" s="12"/>
      <c r="N837" s="12"/>
      <c r="O837" s="308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4"/>
      <c r="BF837" s="12"/>
      <c r="BG837" s="12"/>
      <c r="BH837" s="12" t="str">
        <f>IFERROR(__xludf.DUMMYFUNCTION("IFERROR(INDEX(QUERY(IMPORTRANGE(""1T7HG8KEs-Ob7f3M5atEVN9Yn7IeORGp0QGvggB62ELw"",""Maestro!A:I""),""SELECT Col8 WHERE Col3 = '""&amp;BE837&amp;""'"", 0), 1, 1),""NO ENCONTRADO"")"),"")</f>
        <v/>
      </c>
      <c r="BI837" s="12" t="str">
        <f>IFERROR(__xludf.DUMMYFUNCTION("IFERROR(INDEX(QUERY(IMPORTRANGE(""1T7HG8KEs-Ob7f3M5atEVN9Yn7IeORGp0QGvggB62ELw"",""Maestro!A:I""),""SELECT Col7 WHERE Col3 = '""&amp;BE837&amp;""'"", 0), 1, 1),""NO ENCONTRADO"")"),"")</f>
        <v/>
      </c>
      <c r="BJ837" s="16">
        <f t="shared" si="15"/>
        <v>0</v>
      </c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4"/>
      <c r="BX837" s="14"/>
      <c r="BY837" s="14"/>
      <c r="BZ837" s="14"/>
      <c r="CA837" s="14"/>
      <c r="CB837" s="14"/>
      <c r="CC837" s="14"/>
      <c r="CD837" s="14"/>
      <c r="CE837" s="14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</row>
    <row r="838">
      <c r="A838" s="12"/>
      <c r="B838" s="14"/>
      <c r="C838" s="14"/>
      <c r="D838" s="14"/>
      <c r="E838" s="12"/>
      <c r="F838" s="307"/>
      <c r="G838" s="307"/>
      <c r="H838" s="12"/>
      <c r="I838" s="30"/>
      <c r="J838" s="12"/>
      <c r="K838" s="12"/>
      <c r="L838" s="12"/>
      <c r="M838" s="12"/>
      <c r="N838" s="12"/>
      <c r="O838" s="308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4"/>
      <c r="BF838" s="12"/>
      <c r="BG838" s="12"/>
      <c r="BH838" s="12" t="str">
        <f>IFERROR(__xludf.DUMMYFUNCTION("IFERROR(INDEX(QUERY(IMPORTRANGE(""1T7HG8KEs-Ob7f3M5atEVN9Yn7IeORGp0QGvggB62ELw"",""Maestro!A:I""),""SELECT Col8 WHERE Col3 = '""&amp;BE838&amp;""'"", 0), 1, 1),""NO ENCONTRADO"")"),"")</f>
        <v/>
      </c>
      <c r="BI838" s="12" t="str">
        <f>IFERROR(__xludf.DUMMYFUNCTION("IFERROR(INDEX(QUERY(IMPORTRANGE(""1T7HG8KEs-Ob7f3M5atEVN9Yn7IeORGp0QGvggB62ELw"",""Maestro!A:I""),""SELECT Col7 WHERE Col3 = '""&amp;BE838&amp;""'"", 0), 1, 1),""NO ENCONTRADO"")"),"")</f>
        <v/>
      </c>
      <c r="BJ838" s="16">
        <f t="shared" si="15"/>
        <v>0</v>
      </c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4"/>
      <c r="BX838" s="14"/>
      <c r="BY838" s="14"/>
      <c r="BZ838" s="14"/>
      <c r="CA838" s="14"/>
      <c r="CB838" s="14"/>
      <c r="CC838" s="14"/>
      <c r="CD838" s="14"/>
      <c r="CE838" s="14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</row>
    <row r="839">
      <c r="A839" s="12"/>
      <c r="B839" s="14"/>
      <c r="C839" s="14"/>
      <c r="D839" s="14"/>
      <c r="E839" s="12"/>
      <c r="F839" s="307"/>
      <c r="G839" s="307"/>
      <c r="H839" s="12"/>
      <c r="I839" s="30"/>
      <c r="J839" s="12"/>
      <c r="K839" s="12"/>
      <c r="L839" s="12"/>
      <c r="M839" s="12"/>
      <c r="N839" s="12"/>
      <c r="O839" s="308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4"/>
      <c r="BF839" s="12"/>
      <c r="BG839" s="12"/>
      <c r="BH839" s="12" t="str">
        <f>IFERROR(__xludf.DUMMYFUNCTION("IFERROR(INDEX(QUERY(IMPORTRANGE(""1T7HG8KEs-Ob7f3M5atEVN9Yn7IeORGp0QGvggB62ELw"",""Maestro!A:I""),""SELECT Col8 WHERE Col3 = '""&amp;BE839&amp;""'"", 0), 1, 1),""NO ENCONTRADO"")"),"")</f>
        <v/>
      </c>
      <c r="BI839" s="12" t="str">
        <f>IFERROR(__xludf.DUMMYFUNCTION("IFERROR(INDEX(QUERY(IMPORTRANGE(""1T7HG8KEs-Ob7f3M5atEVN9Yn7IeORGp0QGvggB62ELw"",""Maestro!A:I""),""SELECT Col7 WHERE Col3 = '""&amp;BE839&amp;""'"", 0), 1, 1),""NO ENCONTRADO"")"),"")</f>
        <v/>
      </c>
      <c r="BJ839" s="16">
        <f t="shared" si="15"/>
        <v>0</v>
      </c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4"/>
      <c r="BX839" s="14"/>
      <c r="BY839" s="14"/>
      <c r="BZ839" s="14"/>
      <c r="CA839" s="14"/>
      <c r="CB839" s="14"/>
      <c r="CC839" s="14"/>
      <c r="CD839" s="14"/>
      <c r="CE839" s="14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</row>
    <row r="840">
      <c r="A840" s="12"/>
      <c r="B840" s="14"/>
      <c r="C840" s="14"/>
      <c r="D840" s="14"/>
      <c r="E840" s="12"/>
      <c r="F840" s="307"/>
      <c r="G840" s="307"/>
      <c r="H840" s="12"/>
      <c r="I840" s="30"/>
      <c r="J840" s="12"/>
      <c r="K840" s="12"/>
      <c r="L840" s="12"/>
      <c r="M840" s="12"/>
      <c r="N840" s="12"/>
      <c r="O840" s="308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4"/>
      <c r="BF840" s="12"/>
      <c r="BG840" s="12"/>
      <c r="BH840" s="12" t="str">
        <f>IFERROR(__xludf.DUMMYFUNCTION("IFERROR(INDEX(QUERY(IMPORTRANGE(""1T7HG8KEs-Ob7f3M5atEVN9Yn7IeORGp0QGvggB62ELw"",""Maestro!A:I""),""SELECT Col8 WHERE Col3 = '""&amp;BE840&amp;""'"", 0), 1, 1),""NO ENCONTRADO"")"),"")</f>
        <v/>
      </c>
      <c r="BI840" s="12" t="str">
        <f>IFERROR(__xludf.DUMMYFUNCTION("IFERROR(INDEX(QUERY(IMPORTRANGE(""1T7HG8KEs-Ob7f3M5atEVN9Yn7IeORGp0QGvggB62ELw"",""Maestro!A:I""),""SELECT Col7 WHERE Col3 = '""&amp;BE840&amp;""'"", 0), 1, 1),""NO ENCONTRADO"")"),"")</f>
        <v/>
      </c>
      <c r="BJ840" s="16">
        <f t="shared" si="15"/>
        <v>0</v>
      </c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4"/>
      <c r="BX840" s="14"/>
      <c r="BY840" s="14"/>
      <c r="BZ840" s="14"/>
      <c r="CA840" s="14"/>
      <c r="CB840" s="14"/>
      <c r="CC840" s="14"/>
      <c r="CD840" s="14"/>
      <c r="CE840" s="14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</row>
    <row r="841">
      <c r="A841" s="12"/>
      <c r="B841" s="14"/>
      <c r="C841" s="14"/>
      <c r="D841" s="14"/>
      <c r="E841" s="12"/>
      <c r="F841" s="307"/>
      <c r="G841" s="307"/>
      <c r="H841" s="12"/>
      <c r="I841" s="30"/>
      <c r="J841" s="12"/>
      <c r="K841" s="12"/>
      <c r="L841" s="12"/>
      <c r="M841" s="12"/>
      <c r="N841" s="12"/>
      <c r="O841" s="308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4"/>
      <c r="BF841" s="12"/>
      <c r="BG841" s="12"/>
      <c r="BH841" s="12" t="str">
        <f>IFERROR(__xludf.DUMMYFUNCTION("IFERROR(INDEX(QUERY(IMPORTRANGE(""1T7HG8KEs-Ob7f3M5atEVN9Yn7IeORGp0QGvggB62ELw"",""Maestro!A:I""),""SELECT Col8 WHERE Col3 = '""&amp;BE841&amp;""'"", 0), 1, 1),""NO ENCONTRADO"")"),"")</f>
        <v/>
      </c>
      <c r="BI841" s="12" t="str">
        <f>IFERROR(__xludf.DUMMYFUNCTION("IFERROR(INDEX(QUERY(IMPORTRANGE(""1T7HG8KEs-Ob7f3M5atEVN9Yn7IeORGp0QGvggB62ELw"",""Maestro!A:I""),""SELECT Col7 WHERE Col3 = '""&amp;BE841&amp;""'"", 0), 1, 1),""NO ENCONTRADO"")"),"")</f>
        <v/>
      </c>
      <c r="BJ841" s="16">
        <f t="shared" si="15"/>
        <v>0</v>
      </c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4"/>
      <c r="BX841" s="14"/>
      <c r="BY841" s="14"/>
      <c r="BZ841" s="14"/>
      <c r="CA841" s="14"/>
      <c r="CB841" s="14"/>
      <c r="CC841" s="14"/>
      <c r="CD841" s="14"/>
      <c r="CE841" s="14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</row>
    <row r="842">
      <c r="A842" s="12"/>
      <c r="B842" s="14"/>
      <c r="C842" s="14"/>
      <c r="D842" s="14"/>
      <c r="E842" s="12"/>
      <c r="F842" s="307"/>
      <c r="G842" s="307"/>
      <c r="H842" s="12"/>
      <c r="I842" s="30"/>
      <c r="J842" s="12"/>
      <c r="K842" s="12"/>
      <c r="L842" s="12"/>
      <c r="M842" s="12"/>
      <c r="N842" s="12"/>
      <c r="O842" s="308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4"/>
      <c r="BF842" s="12"/>
      <c r="BG842" s="12"/>
      <c r="BH842" s="12" t="str">
        <f>IFERROR(__xludf.DUMMYFUNCTION("IFERROR(INDEX(QUERY(IMPORTRANGE(""1T7HG8KEs-Ob7f3M5atEVN9Yn7IeORGp0QGvggB62ELw"",""Maestro!A:I""),""SELECT Col8 WHERE Col3 = '""&amp;BE842&amp;""'"", 0), 1, 1),""NO ENCONTRADO"")"),"")</f>
        <v/>
      </c>
      <c r="BI842" s="12" t="str">
        <f>IFERROR(__xludf.DUMMYFUNCTION("IFERROR(INDEX(QUERY(IMPORTRANGE(""1T7HG8KEs-Ob7f3M5atEVN9Yn7IeORGp0QGvggB62ELw"",""Maestro!A:I""),""SELECT Col7 WHERE Col3 = '""&amp;BE842&amp;""'"", 0), 1, 1),""NO ENCONTRADO"")"),"")</f>
        <v/>
      </c>
      <c r="BJ842" s="16">
        <f t="shared" si="15"/>
        <v>0</v>
      </c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4"/>
      <c r="BX842" s="14"/>
      <c r="BY842" s="14"/>
      <c r="BZ842" s="14"/>
      <c r="CA842" s="14"/>
      <c r="CB842" s="14"/>
      <c r="CC842" s="14"/>
      <c r="CD842" s="14"/>
      <c r="CE842" s="14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</row>
    <row r="843">
      <c r="A843" s="12"/>
      <c r="B843" s="14"/>
      <c r="C843" s="14"/>
      <c r="D843" s="14"/>
      <c r="E843" s="12"/>
      <c r="F843" s="307"/>
      <c r="G843" s="307"/>
      <c r="H843" s="12"/>
      <c r="I843" s="30"/>
      <c r="J843" s="12"/>
      <c r="K843" s="12"/>
      <c r="L843" s="12"/>
      <c r="M843" s="12"/>
      <c r="N843" s="12"/>
      <c r="O843" s="308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4"/>
      <c r="BF843" s="12"/>
      <c r="BG843" s="12"/>
      <c r="BH843" s="12" t="str">
        <f>IFERROR(__xludf.DUMMYFUNCTION("IFERROR(INDEX(QUERY(IMPORTRANGE(""1T7HG8KEs-Ob7f3M5atEVN9Yn7IeORGp0QGvggB62ELw"",""Maestro!A:I""),""SELECT Col8 WHERE Col3 = '""&amp;BE843&amp;""'"", 0), 1, 1),""NO ENCONTRADO"")"),"")</f>
        <v/>
      </c>
      <c r="BI843" s="12" t="str">
        <f>IFERROR(__xludf.DUMMYFUNCTION("IFERROR(INDEX(QUERY(IMPORTRANGE(""1T7HG8KEs-Ob7f3M5atEVN9Yn7IeORGp0QGvggB62ELw"",""Maestro!A:I""),""SELECT Col7 WHERE Col3 = '""&amp;BE843&amp;""'"", 0), 1, 1),""NO ENCONTRADO"")"),"")</f>
        <v/>
      </c>
      <c r="BJ843" s="16">
        <f t="shared" si="15"/>
        <v>0</v>
      </c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4"/>
      <c r="BX843" s="14"/>
      <c r="BY843" s="14"/>
      <c r="BZ843" s="14"/>
      <c r="CA843" s="14"/>
      <c r="CB843" s="14"/>
      <c r="CC843" s="14"/>
      <c r="CD843" s="14"/>
      <c r="CE843" s="14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</row>
    <row r="844">
      <c r="A844" s="12"/>
      <c r="B844" s="14"/>
      <c r="C844" s="14"/>
      <c r="D844" s="14"/>
      <c r="E844" s="12"/>
      <c r="F844" s="307"/>
      <c r="G844" s="307"/>
      <c r="H844" s="12"/>
      <c r="I844" s="30"/>
      <c r="J844" s="12"/>
      <c r="K844" s="12"/>
      <c r="L844" s="12"/>
      <c r="M844" s="12"/>
      <c r="N844" s="12"/>
      <c r="O844" s="308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4"/>
      <c r="BF844" s="12"/>
      <c r="BG844" s="12"/>
      <c r="BH844" s="12" t="str">
        <f>IFERROR(__xludf.DUMMYFUNCTION("IFERROR(INDEX(QUERY(IMPORTRANGE(""1T7HG8KEs-Ob7f3M5atEVN9Yn7IeORGp0QGvggB62ELw"",""Maestro!A:I""),""SELECT Col8 WHERE Col3 = '""&amp;BE844&amp;""'"", 0), 1, 1),""NO ENCONTRADO"")"),"")</f>
        <v/>
      </c>
      <c r="BI844" s="12" t="str">
        <f>IFERROR(__xludf.DUMMYFUNCTION("IFERROR(INDEX(QUERY(IMPORTRANGE(""1T7HG8KEs-Ob7f3M5atEVN9Yn7IeORGp0QGvggB62ELw"",""Maestro!A:I""),""SELECT Col7 WHERE Col3 = '""&amp;BE844&amp;""'"", 0), 1, 1),""NO ENCONTRADO"")"),"")</f>
        <v/>
      </c>
      <c r="BJ844" s="16">
        <f t="shared" si="15"/>
        <v>0</v>
      </c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4"/>
      <c r="BX844" s="14"/>
      <c r="BY844" s="14"/>
      <c r="BZ844" s="14"/>
      <c r="CA844" s="14"/>
      <c r="CB844" s="14"/>
      <c r="CC844" s="14"/>
      <c r="CD844" s="14"/>
      <c r="CE844" s="14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</row>
    <row r="845">
      <c r="A845" s="12"/>
      <c r="B845" s="14"/>
      <c r="C845" s="14"/>
      <c r="D845" s="14"/>
      <c r="E845" s="12"/>
      <c r="F845" s="307"/>
      <c r="G845" s="307"/>
      <c r="H845" s="12"/>
      <c r="I845" s="30"/>
      <c r="J845" s="12"/>
      <c r="K845" s="12"/>
      <c r="L845" s="12"/>
      <c r="M845" s="12"/>
      <c r="N845" s="12"/>
      <c r="O845" s="308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4"/>
      <c r="BF845" s="12"/>
      <c r="BG845" s="12"/>
      <c r="BH845" s="12" t="str">
        <f>IFERROR(__xludf.DUMMYFUNCTION("IFERROR(INDEX(QUERY(IMPORTRANGE(""1T7HG8KEs-Ob7f3M5atEVN9Yn7IeORGp0QGvggB62ELw"",""Maestro!A:I""),""SELECT Col8 WHERE Col3 = '""&amp;BE845&amp;""'"", 0), 1, 1),""NO ENCONTRADO"")"),"")</f>
        <v/>
      </c>
      <c r="BI845" s="12" t="str">
        <f>IFERROR(__xludf.DUMMYFUNCTION("IFERROR(INDEX(QUERY(IMPORTRANGE(""1T7HG8KEs-Ob7f3M5atEVN9Yn7IeORGp0QGvggB62ELw"",""Maestro!A:I""),""SELECT Col7 WHERE Col3 = '""&amp;BE845&amp;""'"", 0), 1, 1),""NO ENCONTRADO"")"),"")</f>
        <v/>
      </c>
      <c r="BJ845" s="16">
        <f t="shared" si="15"/>
        <v>0</v>
      </c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4"/>
      <c r="BX845" s="14"/>
      <c r="BY845" s="14"/>
      <c r="BZ845" s="14"/>
      <c r="CA845" s="14"/>
      <c r="CB845" s="14"/>
      <c r="CC845" s="14"/>
      <c r="CD845" s="14"/>
      <c r="CE845" s="14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</row>
    <row r="846">
      <c r="A846" s="12"/>
      <c r="B846" s="14"/>
      <c r="C846" s="14"/>
      <c r="D846" s="14"/>
      <c r="E846" s="12"/>
      <c r="F846" s="307"/>
      <c r="G846" s="307"/>
      <c r="H846" s="12"/>
      <c r="I846" s="30"/>
      <c r="J846" s="12"/>
      <c r="K846" s="12"/>
      <c r="L846" s="12"/>
      <c r="M846" s="12"/>
      <c r="N846" s="12"/>
      <c r="O846" s="308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4"/>
      <c r="BF846" s="12"/>
      <c r="BG846" s="12"/>
      <c r="BH846" s="12" t="str">
        <f>IFERROR(__xludf.DUMMYFUNCTION("IFERROR(INDEX(QUERY(IMPORTRANGE(""1T7HG8KEs-Ob7f3M5atEVN9Yn7IeORGp0QGvggB62ELw"",""Maestro!A:I""),""SELECT Col8 WHERE Col3 = '""&amp;BE846&amp;""'"", 0), 1, 1),""NO ENCONTRADO"")"),"")</f>
        <v/>
      </c>
      <c r="BI846" s="12" t="str">
        <f>IFERROR(__xludf.DUMMYFUNCTION("IFERROR(INDEX(QUERY(IMPORTRANGE(""1T7HG8KEs-Ob7f3M5atEVN9Yn7IeORGp0QGvggB62ELw"",""Maestro!A:I""),""SELECT Col7 WHERE Col3 = '""&amp;BE846&amp;""'"", 0), 1, 1),""NO ENCONTRADO"")"),"")</f>
        <v/>
      </c>
      <c r="BJ846" s="16">
        <f t="shared" si="15"/>
        <v>0</v>
      </c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4"/>
      <c r="BX846" s="14"/>
      <c r="BY846" s="14"/>
      <c r="BZ846" s="14"/>
      <c r="CA846" s="14"/>
      <c r="CB846" s="14"/>
      <c r="CC846" s="14"/>
      <c r="CD846" s="14"/>
      <c r="CE846" s="14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</row>
    <row r="847">
      <c r="A847" s="12"/>
      <c r="B847" s="14"/>
      <c r="C847" s="14"/>
      <c r="D847" s="14"/>
      <c r="E847" s="12"/>
      <c r="F847" s="307"/>
      <c r="G847" s="307"/>
      <c r="H847" s="12"/>
      <c r="I847" s="30"/>
      <c r="J847" s="12"/>
      <c r="K847" s="12"/>
      <c r="L847" s="12"/>
      <c r="M847" s="12"/>
      <c r="N847" s="12"/>
      <c r="O847" s="308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4"/>
      <c r="BF847" s="12"/>
      <c r="BG847" s="12"/>
      <c r="BH847" s="12" t="str">
        <f>IFERROR(__xludf.DUMMYFUNCTION("IFERROR(INDEX(QUERY(IMPORTRANGE(""1T7HG8KEs-Ob7f3M5atEVN9Yn7IeORGp0QGvggB62ELw"",""Maestro!A:I""),""SELECT Col8 WHERE Col3 = '""&amp;BE847&amp;""'"", 0), 1, 1),""NO ENCONTRADO"")"),"")</f>
        <v/>
      </c>
      <c r="BI847" s="12" t="str">
        <f>IFERROR(__xludf.DUMMYFUNCTION("IFERROR(INDEX(QUERY(IMPORTRANGE(""1T7HG8KEs-Ob7f3M5atEVN9Yn7IeORGp0QGvggB62ELw"",""Maestro!A:I""),""SELECT Col7 WHERE Col3 = '""&amp;BE847&amp;""'"", 0), 1, 1),""NO ENCONTRADO"")"),"")</f>
        <v/>
      </c>
      <c r="BJ847" s="16">
        <f t="shared" si="15"/>
        <v>0</v>
      </c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4"/>
      <c r="BX847" s="14"/>
      <c r="BY847" s="14"/>
      <c r="BZ847" s="14"/>
      <c r="CA847" s="14"/>
      <c r="CB847" s="14"/>
      <c r="CC847" s="14"/>
      <c r="CD847" s="14"/>
      <c r="CE847" s="14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</row>
    <row r="848">
      <c r="A848" s="12"/>
      <c r="B848" s="14"/>
      <c r="C848" s="14"/>
      <c r="D848" s="14"/>
      <c r="E848" s="12"/>
      <c r="F848" s="307"/>
      <c r="G848" s="307"/>
      <c r="H848" s="12"/>
      <c r="I848" s="30"/>
      <c r="J848" s="12"/>
      <c r="K848" s="12"/>
      <c r="L848" s="12"/>
      <c r="M848" s="12"/>
      <c r="N848" s="12"/>
      <c r="O848" s="308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4"/>
      <c r="BF848" s="12"/>
      <c r="BG848" s="12"/>
      <c r="BH848" s="12" t="str">
        <f>IFERROR(__xludf.DUMMYFUNCTION("IFERROR(INDEX(QUERY(IMPORTRANGE(""1T7HG8KEs-Ob7f3M5atEVN9Yn7IeORGp0QGvggB62ELw"",""Maestro!A:I""),""SELECT Col8 WHERE Col3 = '""&amp;BE848&amp;""'"", 0), 1, 1),""NO ENCONTRADO"")"),"")</f>
        <v/>
      </c>
      <c r="BI848" s="12" t="str">
        <f>IFERROR(__xludf.DUMMYFUNCTION("IFERROR(INDEX(QUERY(IMPORTRANGE(""1T7HG8KEs-Ob7f3M5atEVN9Yn7IeORGp0QGvggB62ELw"",""Maestro!A:I""),""SELECT Col7 WHERE Col3 = '""&amp;BE848&amp;""'"", 0), 1, 1),""NO ENCONTRADO"")"),"")</f>
        <v/>
      </c>
      <c r="BJ848" s="16">
        <f t="shared" si="15"/>
        <v>0</v>
      </c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4"/>
      <c r="BX848" s="14"/>
      <c r="BY848" s="14"/>
      <c r="BZ848" s="14"/>
      <c r="CA848" s="14"/>
      <c r="CB848" s="14"/>
      <c r="CC848" s="14"/>
      <c r="CD848" s="14"/>
      <c r="CE848" s="14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</row>
    <row r="849">
      <c r="A849" s="12"/>
      <c r="B849" s="14"/>
      <c r="C849" s="14"/>
      <c r="D849" s="14"/>
      <c r="E849" s="12"/>
      <c r="F849" s="307"/>
      <c r="G849" s="307"/>
      <c r="H849" s="12"/>
      <c r="I849" s="30"/>
      <c r="J849" s="12"/>
      <c r="K849" s="12"/>
      <c r="L849" s="12"/>
      <c r="M849" s="12"/>
      <c r="N849" s="12"/>
      <c r="O849" s="308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4"/>
      <c r="BF849" s="12"/>
      <c r="BG849" s="12"/>
      <c r="BH849" s="12" t="str">
        <f>IFERROR(__xludf.DUMMYFUNCTION("IFERROR(INDEX(QUERY(IMPORTRANGE(""1T7HG8KEs-Ob7f3M5atEVN9Yn7IeORGp0QGvggB62ELw"",""Maestro!A:I""),""SELECT Col8 WHERE Col3 = '""&amp;BE849&amp;""'"", 0), 1, 1),""NO ENCONTRADO"")"),"")</f>
        <v/>
      </c>
      <c r="BI849" s="12" t="str">
        <f>IFERROR(__xludf.DUMMYFUNCTION("IFERROR(INDEX(QUERY(IMPORTRANGE(""1T7HG8KEs-Ob7f3M5atEVN9Yn7IeORGp0QGvggB62ELw"",""Maestro!A:I""),""SELECT Col7 WHERE Col3 = '""&amp;BE849&amp;""'"", 0), 1, 1),""NO ENCONTRADO"")"),"")</f>
        <v/>
      </c>
      <c r="BJ849" s="16">
        <f t="shared" si="15"/>
        <v>0</v>
      </c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4"/>
      <c r="BX849" s="14"/>
      <c r="BY849" s="14"/>
      <c r="BZ849" s="14"/>
      <c r="CA849" s="14"/>
      <c r="CB849" s="14"/>
      <c r="CC849" s="14"/>
      <c r="CD849" s="14"/>
      <c r="CE849" s="14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</row>
    <row r="850">
      <c r="A850" s="12"/>
      <c r="B850" s="14"/>
      <c r="C850" s="14"/>
      <c r="D850" s="14"/>
      <c r="E850" s="12"/>
      <c r="F850" s="307"/>
      <c r="G850" s="307"/>
      <c r="H850" s="12"/>
      <c r="I850" s="30"/>
      <c r="J850" s="12"/>
      <c r="K850" s="12"/>
      <c r="L850" s="12"/>
      <c r="M850" s="12"/>
      <c r="N850" s="12"/>
      <c r="O850" s="308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4"/>
      <c r="BF850" s="12"/>
      <c r="BG850" s="12"/>
      <c r="BH850" s="12" t="str">
        <f>IFERROR(__xludf.DUMMYFUNCTION("IFERROR(INDEX(QUERY(IMPORTRANGE(""1T7HG8KEs-Ob7f3M5atEVN9Yn7IeORGp0QGvggB62ELw"",""Maestro!A:I""),""SELECT Col8 WHERE Col3 = '""&amp;BE850&amp;""'"", 0), 1, 1),""NO ENCONTRADO"")"),"")</f>
        <v/>
      </c>
      <c r="BI850" s="12" t="str">
        <f>IFERROR(__xludf.DUMMYFUNCTION("IFERROR(INDEX(QUERY(IMPORTRANGE(""1T7HG8KEs-Ob7f3M5atEVN9Yn7IeORGp0QGvggB62ELw"",""Maestro!A:I""),""SELECT Col7 WHERE Col3 = '""&amp;BE850&amp;""'"", 0), 1, 1),""NO ENCONTRADO"")"),"")</f>
        <v/>
      </c>
      <c r="BJ850" s="16">
        <f t="shared" si="15"/>
        <v>0</v>
      </c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4"/>
      <c r="BX850" s="14"/>
      <c r="BY850" s="14"/>
      <c r="BZ850" s="14"/>
      <c r="CA850" s="14"/>
      <c r="CB850" s="14"/>
      <c r="CC850" s="14"/>
      <c r="CD850" s="14"/>
      <c r="CE850" s="14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</row>
    <row r="851">
      <c r="A851" s="12"/>
      <c r="B851" s="14"/>
      <c r="C851" s="14"/>
      <c r="D851" s="14"/>
      <c r="E851" s="12"/>
      <c r="F851" s="307"/>
      <c r="G851" s="307"/>
      <c r="H851" s="12"/>
      <c r="I851" s="30"/>
      <c r="J851" s="12"/>
      <c r="K851" s="12"/>
      <c r="L851" s="12"/>
      <c r="M851" s="12"/>
      <c r="N851" s="12"/>
      <c r="O851" s="308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4"/>
      <c r="BF851" s="12"/>
      <c r="BG851" s="12"/>
      <c r="BH851" s="12" t="str">
        <f>IFERROR(__xludf.DUMMYFUNCTION("IFERROR(INDEX(QUERY(IMPORTRANGE(""1T7HG8KEs-Ob7f3M5atEVN9Yn7IeORGp0QGvggB62ELw"",""Maestro!A:I""),""SELECT Col8 WHERE Col3 = '""&amp;BE851&amp;""'"", 0), 1, 1),""NO ENCONTRADO"")"),"")</f>
        <v/>
      </c>
      <c r="BI851" s="12" t="str">
        <f>IFERROR(__xludf.DUMMYFUNCTION("IFERROR(INDEX(QUERY(IMPORTRANGE(""1T7HG8KEs-Ob7f3M5atEVN9Yn7IeORGp0QGvggB62ELw"",""Maestro!A:I""),""SELECT Col7 WHERE Col3 = '""&amp;BE851&amp;""'"", 0), 1, 1),""NO ENCONTRADO"")"),"")</f>
        <v/>
      </c>
      <c r="BJ851" s="16">
        <f t="shared" si="15"/>
        <v>0</v>
      </c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4"/>
      <c r="BX851" s="14"/>
      <c r="BY851" s="14"/>
      <c r="BZ851" s="14"/>
      <c r="CA851" s="14"/>
      <c r="CB851" s="14"/>
      <c r="CC851" s="14"/>
      <c r="CD851" s="14"/>
      <c r="CE851" s="14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</row>
    <row r="852">
      <c r="A852" s="12"/>
      <c r="B852" s="14"/>
      <c r="C852" s="14"/>
      <c r="D852" s="14"/>
      <c r="E852" s="12"/>
      <c r="F852" s="307"/>
      <c r="G852" s="307"/>
      <c r="H852" s="12"/>
      <c r="I852" s="30"/>
      <c r="J852" s="12"/>
      <c r="K852" s="12"/>
      <c r="L852" s="12"/>
      <c r="M852" s="12"/>
      <c r="N852" s="12"/>
      <c r="O852" s="308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4"/>
      <c r="BF852" s="12"/>
      <c r="BG852" s="12"/>
      <c r="BH852" s="12" t="str">
        <f>IFERROR(__xludf.DUMMYFUNCTION("IFERROR(INDEX(QUERY(IMPORTRANGE(""1T7HG8KEs-Ob7f3M5atEVN9Yn7IeORGp0QGvggB62ELw"",""Maestro!A:I""),""SELECT Col8 WHERE Col3 = '""&amp;BE852&amp;""'"", 0), 1, 1),""NO ENCONTRADO"")"),"")</f>
        <v/>
      </c>
      <c r="BI852" s="12" t="str">
        <f>IFERROR(__xludf.DUMMYFUNCTION("IFERROR(INDEX(QUERY(IMPORTRANGE(""1T7HG8KEs-Ob7f3M5atEVN9Yn7IeORGp0QGvggB62ELw"",""Maestro!A:I""),""SELECT Col7 WHERE Col3 = '""&amp;BE852&amp;""'"", 0), 1, 1),""NO ENCONTRADO"")"),"")</f>
        <v/>
      </c>
      <c r="BJ852" s="16">
        <f t="shared" si="15"/>
        <v>0</v>
      </c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4"/>
      <c r="BX852" s="14"/>
      <c r="BY852" s="14"/>
      <c r="BZ852" s="14"/>
      <c r="CA852" s="14"/>
      <c r="CB852" s="14"/>
      <c r="CC852" s="14"/>
      <c r="CD852" s="14"/>
      <c r="CE852" s="14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</row>
    <row r="853">
      <c r="A853" s="12"/>
      <c r="B853" s="14"/>
      <c r="C853" s="14"/>
      <c r="D853" s="14"/>
      <c r="E853" s="12"/>
      <c r="F853" s="307"/>
      <c r="G853" s="307"/>
      <c r="H853" s="12"/>
      <c r="I853" s="30"/>
      <c r="J853" s="12"/>
      <c r="K853" s="12"/>
      <c r="L853" s="12"/>
      <c r="M853" s="12"/>
      <c r="N853" s="12"/>
      <c r="O853" s="308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4"/>
      <c r="BF853" s="12"/>
      <c r="BG853" s="12"/>
      <c r="BH853" s="12" t="str">
        <f>IFERROR(__xludf.DUMMYFUNCTION("IFERROR(INDEX(QUERY(IMPORTRANGE(""1T7HG8KEs-Ob7f3M5atEVN9Yn7IeORGp0QGvggB62ELw"",""Maestro!A:I""),""SELECT Col8 WHERE Col3 = '""&amp;BE853&amp;""'"", 0), 1, 1),""NO ENCONTRADO"")"),"")</f>
        <v/>
      </c>
      <c r="BI853" s="12" t="str">
        <f>IFERROR(__xludf.DUMMYFUNCTION("IFERROR(INDEX(QUERY(IMPORTRANGE(""1T7HG8KEs-Ob7f3M5atEVN9Yn7IeORGp0QGvggB62ELw"",""Maestro!A:I""),""SELECT Col7 WHERE Col3 = '""&amp;BE853&amp;""'"", 0), 1, 1),""NO ENCONTRADO"")"),"")</f>
        <v/>
      </c>
      <c r="BJ853" s="16">
        <f t="shared" si="15"/>
        <v>0</v>
      </c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4"/>
      <c r="BX853" s="14"/>
      <c r="BY853" s="14"/>
      <c r="BZ853" s="14"/>
      <c r="CA853" s="14"/>
      <c r="CB853" s="14"/>
      <c r="CC853" s="14"/>
      <c r="CD853" s="14"/>
      <c r="CE853" s="14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</row>
    <row r="854">
      <c r="A854" s="12"/>
      <c r="B854" s="14"/>
      <c r="C854" s="14"/>
      <c r="D854" s="14"/>
      <c r="E854" s="12"/>
      <c r="F854" s="307"/>
      <c r="G854" s="307"/>
      <c r="H854" s="12"/>
      <c r="I854" s="30"/>
      <c r="J854" s="12"/>
      <c r="K854" s="12"/>
      <c r="L854" s="12"/>
      <c r="M854" s="12"/>
      <c r="N854" s="12"/>
      <c r="O854" s="308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4"/>
      <c r="BF854" s="12"/>
      <c r="BG854" s="12"/>
      <c r="BH854" s="12" t="str">
        <f>IFERROR(__xludf.DUMMYFUNCTION("IFERROR(INDEX(QUERY(IMPORTRANGE(""1T7HG8KEs-Ob7f3M5atEVN9Yn7IeORGp0QGvggB62ELw"",""Maestro!A:I""),""SELECT Col8 WHERE Col3 = '""&amp;BE854&amp;""'"", 0), 1, 1),""NO ENCONTRADO"")"),"")</f>
        <v/>
      </c>
      <c r="BI854" s="12" t="str">
        <f>IFERROR(__xludf.DUMMYFUNCTION("IFERROR(INDEX(QUERY(IMPORTRANGE(""1T7HG8KEs-Ob7f3M5atEVN9Yn7IeORGp0QGvggB62ELw"",""Maestro!A:I""),""SELECT Col7 WHERE Col3 = '""&amp;BE854&amp;""'"", 0), 1, 1),""NO ENCONTRADO"")"),"")</f>
        <v/>
      </c>
      <c r="BJ854" s="16">
        <f t="shared" si="15"/>
        <v>0</v>
      </c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4"/>
      <c r="BX854" s="14"/>
      <c r="BY854" s="14"/>
      <c r="BZ854" s="14"/>
      <c r="CA854" s="14"/>
      <c r="CB854" s="14"/>
      <c r="CC854" s="14"/>
      <c r="CD854" s="14"/>
      <c r="CE854" s="14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</row>
    <row r="855">
      <c r="A855" s="12"/>
      <c r="B855" s="14"/>
      <c r="C855" s="14"/>
      <c r="D855" s="14"/>
      <c r="E855" s="12"/>
      <c r="F855" s="307"/>
      <c r="G855" s="307"/>
      <c r="H855" s="12"/>
      <c r="I855" s="30"/>
      <c r="J855" s="12"/>
      <c r="K855" s="12"/>
      <c r="L855" s="12"/>
      <c r="M855" s="12"/>
      <c r="N855" s="12"/>
      <c r="O855" s="308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4"/>
      <c r="BF855" s="12"/>
      <c r="BG855" s="12"/>
      <c r="BH855" s="12" t="str">
        <f>IFERROR(__xludf.DUMMYFUNCTION("IFERROR(INDEX(QUERY(IMPORTRANGE(""1T7HG8KEs-Ob7f3M5atEVN9Yn7IeORGp0QGvggB62ELw"",""Maestro!A:I""),""SELECT Col8 WHERE Col3 = '""&amp;BE855&amp;""'"", 0), 1, 1),""NO ENCONTRADO"")"),"")</f>
        <v/>
      </c>
      <c r="BI855" s="12" t="str">
        <f>IFERROR(__xludf.DUMMYFUNCTION("IFERROR(INDEX(QUERY(IMPORTRANGE(""1T7HG8KEs-Ob7f3M5atEVN9Yn7IeORGp0QGvggB62ELw"",""Maestro!A:I""),""SELECT Col7 WHERE Col3 = '""&amp;BE855&amp;""'"", 0), 1, 1),""NO ENCONTRADO"")"),"")</f>
        <v/>
      </c>
      <c r="BJ855" s="16">
        <f t="shared" si="15"/>
        <v>0</v>
      </c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4"/>
      <c r="BX855" s="14"/>
      <c r="BY855" s="14"/>
      <c r="BZ855" s="14"/>
      <c r="CA855" s="14"/>
      <c r="CB855" s="14"/>
      <c r="CC855" s="14"/>
      <c r="CD855" s="14"/>
      <c r="CE855" s="14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</row>
    <row r="856">
      <c r="A856" s="12"/>
      <c r="B856" s="14"/>
      <c r="C856" s="14"/>
      <c r="D856" s="14"/>
      <c r="E856" s="12"/>
      <c r="F856" s="307"/>
      <c r="G856" s="307"/>
      <c r="H856" s="12"/>
      <c r="I856" s="30"/>
      <c r="J856" s="12"/>
      <c r="K856" s="12"/>
      <c r="L856" s="12"/>
      <c r="M856" s="12"/>
      <c r="N856" s="12"/>
      <c r="O856" s="308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4"/>
      <c r="BF856" s="12"/>
      <c r="BG856" s="12"/>
      <c r="BH856" s="12" t="str">
        <f>IFERROR(__xludf.DUMMYFUNCTION("IFERROR(INDEX(QUERY(IMPORTRANGE(""1T7HG8KEs-Ob7f3M5atEVN9Yn7IeORGp0QGvggB62ELw"",""Maestro!A:I""),""SELECT Col8 WHERE Col3 = '""&amp;BE856&amp;""'"", 0), 1, 1),""NO ENCONTRADO"")"),"")</f>
        <v/>
      </c>
      <c r="BI856" s="12" t="str">
        <f>IFERROR(__xludf.DUMMYFUNCTION("IFERROR(INDEX(QUERY(IMPORTRANGE(""1T7HG8KEs-Ob7f3M5atEVN9Yn7IeORGp0QGvggB62ELw"",""Maestro!A:I""),""SELECT Col7 WHERE Col3 = '""&amp;BE856&amp;""'"", 0), 1, 1),""NO ENCONTRADO"")"),"")</f>
        <v/>
      </c>
      <c r="BJ856" s="16">
        <f t="shared" si="15"/>
        <v>0</v>
      </c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4"/>
      <c r="BX856" s="14"/>
      <c r="BY856" s="14"/>
      <c r="BZ856" s="14"/>
      <c r="CA856" s="14"/>
      <c r="CB856" s="14"/>
      <c r="CC856" s="14"/>
      <c r="CD856" s="14"/>
      <c r="CE856" s="14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</row>
    <row r="857">
      <c r="A857" s="12"/>
      <c r="B857" s="14"/>
      <c r="C857" s="14"/>
      <c r="D857" s="14"/>
      <c r="E857" s="12"/>
      <c r="F857" s="307"/>
      <c r="G857" s="307"/>
      <c r="H857" s="12"/>
      <c r="I857" s="30"/>
      <c r="J857" s="12"/>
      <c r="K857" s="12"/>
      <c r="L857" s="12"/>
      <c r="M857" s="12"/>
      <c r="N857" s="12"/>
      <c r="O857" s="308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4"/>
      <c r="BF857" s="12"/>
      <c r="BG857" s="12"/>
      <c r="BH857" s="12" t="str">
        <f>IFERROR(__xludf.DUMMYFUNCTION("IFERROR(INDEX(QUERY(IMPORTRANGE(""1T7HG8KEs-Ob7f3M5atEVN9Yn7IeORGp0QGvggB62ELw"",""Maestro!A:I""),""SELECT Col8 WHERE Col3 = '""&amp;BE857&amp;""'"", 0), 1, 1),""NO ENCONTRADO"")"),"")</f>
        <v/>
      </c>
      <c r="BI857" s="12" t="str">
        <f>IFERROR(__xludf.DUMMYFUNCTION("IFERROR(INDEX(QUERY(IMPORTRANGE(""1T7HG8KEs-Ob7f3M5atEVN9Yn7IeORGp0QGvggB62ELw"",""Maestro!A:I""),""SELECT Col7 WHERE Col3 = '""&amp;BE857&amp;""'"", 0), 1, 1),""NO ENCONTRADO"")"),"")</f>
        <v/>
      </c>
      <c r="BJ857" s="16">
        <f t="shared" si="15"/>
        <v>0</v>
      </c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4"/>
      <c r="BX857" s="14"/>
      <c r="BY857" s="14"/>
      <c r="BZ857" s="14"/>
      <c r="CA857" s="14"/>
      <c r="CB857" s="14"/>
      <c r="CC857" s="14"/>
      <c r="CD857" s="14"/>
      <c r="CE857" s="14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</row>
    <row r="858">
      <c r="A858" s="12"/>
      <c r="B858" s="14"/>
      <c r="C858" s="14"/>
      <c r="D858" s="14"/>
      <c r="E858" s="12"/>
      <c r="F858" s="307"/>
      <c r="G858" s="307"/>
      <c r="H858" s="12"/>
      <c r="I858" s="30"/>
      <c r="J858" s="12"/>
      <c r="K858" s="12"/>
      <c r="L858" s="12"/>
      <c r="M858" s="12"/>
      <c r="N858" s="12"/>
      <c r="O858" s="308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4"/>
      <c r="BF858" s="12"/>
      <c r="BG858" s="12"/>
      <c r="BH858" s="12" t="str">
        <f>IFERROR(__xludf.DUMMYFUNCTION("IFERROR(INDEX(QUERY(IMPORTRANGE(""1T7HG8KEs-Ob7f3M5atEVN9Yn7IeORGp0QGvggB62ELw"",""Maestro!A:I""),""SELECT Col8 WHERE Col3 = '""&amp;BE858&amp;""'"", 0), 1, 1),""NO ENCONTRADO"")"),"")</f>
        <v/>
      </c>
      <c r="BI858" s="12" t="str">
        <f>IFERROR(__xludf.DUMMYFUNCTION("IFERROR(INDEX(QUERY(IMPORTRANGE(""1T7HG8KEs-Ob7f3M5atEVN9Yn7IeORGp0QGvggB62ELw"",""Maestro!A:I""),""SELECT Col7 WHERE Col3 = '""&amp;BE858&amp;""'"", 0), 1, 1),""NO ENCONTRADO"")"),"")</f>
        <v/>
      </c>
      <c r="BJ858" s="16">
        <f t="shared" si="15"/>
        <v>0</v>
      </c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4"/>
      <c r="BX858" s="14"/>
      <c r="BY858" s="14"/>
      <c r="BZ858" s="14"/>
      <c r="CA858" s="14"/>
      <c r="CB858" s="14"/>
      <c r="CC858" s="14"/>
      <c r="CD858" s="14"/>
      <c r="CE858" s="14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</row>
    <row r="859">
      <c r="A859" s="12"/>
      <c r="B859" s="14"/>
      <c r="C859" s="14"/>
      <c r="D859" s="14"/>
      <c r="E859" s="12"/>
      <c r="F859" s="307"/>
      <c r="G859" s="307"/>
      <c r="H859" s="12"/>
      <c r="I859" s="30"/>
      <c r="J859" s="12"/>
      <c r="K859" s="12"/>
      <c r="L859" s="12"/>
      <c r="M859" s="12"/>
      <c r="N859" s="12"/>
      <c r="O859" s="308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4"/>
      <c r="BF859" s="12"/>
      <c r="BG859" s="12"/>
      <c r="BH859" s="12" t="str">
        <f>IFERROR(__xludf.DUMMYFUNCTION("IFERROR(INDEX(QUERY(IMPORTRANGE(""1T7HG8KEs-Ob7f3M5atEVN9Yn7IeORGp0QGvggB62ELw"",""Maestro!A:I""),""SELECT Col8 WHERE Col3 = '""&amp;BE859&amp;""'"", 0), 1, 1),""NO ENCONTRADO"")"),"")</f>
        <v/>
      </c>
      <c r="BI859" s="12" t="str">
        <f>IFERROR(__xludf.DUMMYFUNCTION("IFERROR(INDEX(QUERY(IMPORTRANGE(""1T7HG8KEs-Ob7f3M5atEVN9Yn7IeORGp0QGvggB62ELw"",""Maestro!A:I""),""SELECT Col7 WHERE Col3 = '""&amp;BE859&amp;""'"", 0), 1, 1),""NO ENCONTRADO"")"),"")</f>
        <v/>
      </c>
      <c r="BJ859" s="16">
        <f t="shared" si="15"/>
        <v>0</v>
      </c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4"/>
      <c r="BX859" s="14"/>
      <c r="BY859" s="14"/>
      <c r="BZ859" s="14"/>
      <c r="CA859" s="14"/>
      <c r="CB859" s="14"/>
      <c r="CC859" s="14"/>
      <c r="CD859" s="14"/>
      <c r="CE859" s="14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</row>
    <row r="860">
      <c r="A860" s="12"/>
      <c r="B860" s="14"/>
      <c r="C860" s="14"/>
      <c r="D860" s="14"/>
      <c r="E860" s="12"/>
      <c r="F860" s="307"/>
      <c r="G860" s="307"/>
      <c r="H860" s="12"/>
      <c r="I860" s="30"/>
      <c r="J860" s="12"/>
      <c r="K860" s="12"/>
      <c r="L860" s="12"/>
      <c r="M860" s="12"/>
      <c r="N860" s="12"/>
      <c r="O860" s="308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4"/>
      <c r="BF860" s="12"/>
      <c r="BG860" s="12"/>
      <c r="BH860" s="12" t="str">
        <f>IFERROR(__xludf.DUMMYFUNCTION("IFERROR(INDEX(QUERY(IMPORTRANGE(""1T7HG8KEs-Ob7f3M5atEVN9Yn7IeORGp0QGvggB62ELw"",""Maestro!A:I""),""SELECT Col8 WHERE Col3 = '""&amp;BE860&amp;""'"", 0), 1, 1),""NO ENCONTRADO"")"),"")</f>
        <v/>
      </c>
      <c r="BI860" s="12" t="str">
        <f>IFERROR(__xludf.DUMMYFUNCTION("IFERROR(INDEX(QUERY(IMPORTRANGE(""1T7HG8KEs-Ob7f3M5atEVN9Yn7IeORGp0QGvggB62ELw"",""Maestro!A:I""),""SELECT Col7 WHERE Col3 = '""&amp;BE860&amp;""'"", 0), 1, 1),""NO ENCONTRADO"")"),"")</f>
        <v/>
      </c>
      <c r="BJ860" s="16">
        <f t="shared" si="15"/>
        <v>0</v>
      </c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4"/>
      <c r="BX860" s="14"/>
      <c r="BY860" s="14"/>
      <c r="BZ860" s="14"/>
      <c r="CA860" s="14"/>
      <c r="CB860" s="14"/>
      <c r="CC860" s="14"/>
      <c r="CD860" s="14"/>
      <c r="CE860" s="14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</row>
    <row r="861">
      <c r="A861" s="12"/>
      <c r="B861" s="14"/>
      <c r="C861" s="14"/>
      <c r="D861" s="14"/>
      <c r="E861" s="12"/>
      <c r="F861" s="307"/>
      <c r="G861" s="307"/>
      <c r="H861" s="12"/>
      <c r="I861" s="30"/>
      <c r="J861" s="12"/>
      <c r="K861" s="12"/>
      <c r="L861" s="12"/>
      <c r="M861" s="12"/>
      <c r="N861" s="12"/>
      <c r="O861" s="308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4"/>
      <c r="BF861" s="12"/>
      <c r="BG861" s="12"/>
      <c r="BH861" s="12" t="str">
        <f>IFERROR(__xludf.DUMMYFUNCTION("IFERROR(INDEX(QUERY(IMPORTRANGE(""1T7HG8KEs-Ob7f3M5atEVN9Yn7IeORGp0QGvggB62ELw"",""Maestro!A:I""),""SELECT Col8 WHERE Col3 = '""&amp;BE861&amp;""'"", 0), 1, 1),""NO ENCONTRADO"")"),"")</f>
        <v/>
      </c>
      <c r="BI861" s="12" t="str">
        <f>IFERROR(__xludf.DUMMYFUNCTION("IFERROR(INDEX(QUERY(IMPORTRANGE(""1T7HG8KEs-Ob7f3M5atEVN9Yn7IeORGp0QGvggB62ELw"",""Maestro!A:I""),""SELECT Col7 WHERE Col3 = '""&amp;BE861&amp;""'"", 0), 1, 1),""NO ENCONTRADO"")"),"")</f>
        <v/>
      </c>
      <c r="BJ861" s="16">
        <f t="shared" si="15"/>
        <v>0</v>
      </c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4"/>
      <c r="BX861" s="14"/>
      <c r="BY861" s="14"/>
      <c r="BZ861" s="14"/>
      <c r="CA861" s="14"/>
      <c r="CB861" s="14"/>
      <c r="CC861" s="14"/>
      <c r="CD861" s="14"/>
      <c r="CE861" s="14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</row>
    <row r="862">
      <c r="A862" s="12"/>
      <c r="B862" s="14"/>
      <c r="C862" s="14"/>
      <c r="D862" s="14"/>
      <c r="E862" s="12"/>
      <c r="F862" s="307"/>
      <c r="G862" s="307"/>
      <c r="H862" s="12"/>
      <c r="I862" s="30"/>
      <c r="J862" s="12"/>
      <c r="K862" s="12"/>
      <c r="L862" s="12"/>
      <c r="M862" s="12"/>
      <c r="N862" s="12"/>
      <c r="O862" s="308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4"/>
      <c r="BF862" s="12"/>
      <c r="BG862" s="12"/>
      <c r="BH862" s="12" t="str">
        <f>IFERROR(__xludf.DUMMYFUNCTION("IFERROR(INDEX(QUERY(IMPORTRANGE(""1T7HG8KEs-Ob7f3M5atEVN9Yn7IeORGp0QGvggB62ELw"",""Maestro!A:I""),""SELECT Col8 WHERE Col3 = '""&amp;BE862&amp;""'"", 0), 1, 1),""NO ENCONTRADO"")"),"")</f>
        <v/>
      </c>
      <c r="BI862" s="12" t="str">
        <f>IFERROR(__xludf.DUMMYFUNCTION("IFERROR(INDEX(QUERY(IMPORTRANGE(""1T7HG8KEs-Ob7f3M5atEVN9Yn7IeORGp0QGvggB62ELw"",""Maestro!A:I""),""SELECT Col7 WHERE Col3 = '""&amp;BE862&amp;""'"", 0), 1, 1),""NO ENCONTRADO"")"),"")</f>
        <v/>
      </c>
      <c r="BJ862" s="16">
        <f t="shared" si="15"/>
        <v>0</v>
      </c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4"/>
      <c r="BX862" s="14"/>
      <c r="BY862" s="14"/>
      <c r="BZ862" s="14"/>
      <c r="CA862" s="14"/>
      <c r="CB862" s="14"/>
      <c r="CC862" s="14"/>
      <c r="CD862" s="14"/>
      <c r="CE862" s="14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</row>
    <row r="863">
      <c r="A863" s="12"/>
      <c r="B863" s="14"/>
      <c r="C863" s="14"/>
      <c r="D863" s="14"/>
      <c r="E863" s="12"/>
      <c r="F863" s="307"/>
      <c r="G863" s="307"/>
      <c r="H863" s="12"/>
      <c r="I863" s="30"/>
      <c r="J863" s="12"/>
      <c r="K863" s="12"/>
      <c r="L863" s="12"/>
      <c r="M863" s="12"/>
      <c r="N863" s="12"/>
      <c r="O863" s="308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4"/>
      <c r="BF863" s="12"/>
      <c r="BG863" s="12"/>
      <c r="BH863" s="12" t="str">
        <f>IFERROR(__xludf.DUMMYFUNCTION("IFERROR(INDEX(QUERY(IMPORTRANGE(""1T7HG8KEs-Ob7f3M5atEVN9Yn7IeORGp0QGvggB62ELw"",""Maestro!A:I""),""SELECT Col8 WHERE Col3 = '""&amp;BE863&amp;""'"", 0), 1, 1),""NO ENCONTRADO"")"),"")</f>
        <v/>
      </c>
      <c r="BI863" s="12" t="str">
        <f>IFERROR(__xludf.DUMMYFUNCTION("IFERROR(INDEX(QUERY(IMPORTRANGE(""1T7HG8KEs-Ob7f3M5atEVN9Yn7IeORGp0QGvggB62ELw"",""Maestro!A:I""),""SELECT Col7 WHERE Col3 = '""&amp;BE863&amp;""'"", 0), 1, 1),""NO ENCONTRADO"")"),"")</f>
        <v/>
      </c>
      <c r="BJ863" s="16">
        <f t="shared" si="15"/>
        <v>0</v>
      </c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4"/>
      <c r="BX863" s="14"/>
      <c r="BY863" s="14"/>
      <c r="BZ863" s="14"/>
      <c r="CA863" s="14"/>
      <c r="CB863" s="14"/>
      <c r="CC863" s="14"/>
      <c r="CD863" s="14"/>
      <c r="CE863" s="14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</row>
    <row r="864">
      <c r="A864" s="12"/>
      <c r="B864" s="14"/>
      <c r="C864" s="14"/>
      <c r="D864" s="14"/>
      <c r="E864" s="12"/>
      <c r="F864" s="307"/>
      <c r="G864" s="307"/>
      <c r="H864" s="12"/>
      <c r="I864" s="30"/>
      <c r="J864" s="12"/>
      <c r="K864" s="12"/>
      <c r="L864" s="12"/>
      <c r="M864" s="12"/>
      <c r="N864" s="12"/>
      <c r="O864" s="308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4"/>
      <c r="BF864" s="12"/>
      <c r="BG864" s="12"/>
      <c r="BH864" s="12" t="str">
        <f>IFERROR(__xludf.DUMMYFUNCTION("IFERROR(INDEX(QUERY(IMPORTRANGE(""1T7HG8KEs-Ob7f3M5atEVN9Yn7IeORGp0QGvggB62ELw"",""Maestro!A:I""),""SELECT Col8 WHERE Col3 = '""&amp;BE864&amp;""'"", 0), 1, 1),""NO ENCONTRADO"")"),"")</f>
        <v/>
      </c>
      <c r="BI864" s="12" t="str">
        <f>IFERROR(__xludf.DUMMYFUNCTION("IFERROR(INDEX(QUERY(IMPORTRANGE(""1T7HG8KEs-Ob7f3M5atEVN9Yn7IeORGp0QGvggB62ELw"",""Maestro!A:I""),""SELECT Col7 WHERE Col3 = '""&amp;BE864&amp;""'"", 0), 1, 1),""NO ENCONTRADO"")"),"")</f>
        <v/>
      </c>
      <c r="BJ864" s="16">
        <f t="shared" si="15"/>
        <v>0</v>
      </c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4"/>
      <c r="BX864" s="14"/>
      <c r="BY864" s="14"/>
      <c r="BZ864" s="14"/>
      <c r="CA864" s="14"/>
      <c r="CB864" s="14"/>
      <c r="CC864" s="14"/>
      <c r="CD864" s="14"/>
      <c r="CE864" s="14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</row>
    <row r="865">
      <c r="A865" s="12"/>
      <c r="B865" s="14"/>
      <c r="C865" s="14"/>
      <c r="D865" s="14"/>
      <c r="E865" s="12"/>
      <c r="F865" s="307"/>
      <c r="G865" s="307"/>
      <c r="H865" s="12"/>
      <c r="I865" s="30"/>
      <c r="J865" s="12"/>
      <c r="K865" s="12"/>
      <c r="L865" s="12"/>
      <c r="M865" s="12"/>
      <c r="N865" s="12"/>
      <c r="O865" s="308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4"/>
      <c r="BF865" s="12"/>
      <c r="BG865" s="12"/>
      <c r="BH865" s="12" t="str">
        <f>IFERROR(__xludf.DUMMYFUNCTION("IFERROR(INDEX(QUERY(IMPORTRANGE(""1T7HG8KEs-Ob7f3M5atEVN9Yn7IeORGp0QGvggB62ELw"",""Maestro!A:I""),""SELECT Col8 WHERE Col3 = '""&amp;BE865&amp;""'"", 0), 1, 1),""NO ENCONTRADO"")"),"")</f>
        <v/>
      </c>
      <c r="BI865" s="12" t="str">
        <f>IFERROR(__xludf.DUMMYFUNCTION("IFERROR(INDEX(QUERY(IMPORTRANGE(""1T7HG8KEs-Ob7f3M5atEVN9Yn7IeORGp0QGvggB62ELw"",""Maestro!A:I""),""SELECT Col7 WHERE Col3 = '""&amp;BE865&amp;""'"", 0), 1, 1),""NO ENCONTRADO"")"),"")</f>
        <v/>
      </c>
      <c r="BJ865" s="16">
        <f t="shared" si="15"/>
        <v>0</v>
      </c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4"/>
      <c r="BX865" s="14"/>
      <c r="BY865" s="14"/>
      <c r="BZ865" s="14"/>
      <c r="CA865" s="14"/>
      <c r="CB865" s="14"/>
      <c r="CC865" s="14"/>
      <c r="CD865" s="14"/>
      <c r="CE865" s="14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</row>
    <row r="866">
      <c r="A866" s="12"/>
      <c r="B866" s="14"/>
      <c r="C866" s="14"/>
      <c r="D866" s="14"/>
      <c r="E866" s="12"/>
      <c r="F866" s="307"/>
      <c r="G866" s="307"/>
      <c r="H866" s="12"/>
      <c r="I866" s="30"/>
      <c r="J866" s="12"/>
      <c r="K866" s="12"/>
      <c r="L866" s="12"/>
      <c r="M866" s="12"/>
      <c r="N866" s="12"/>
      <c r="O866" s="308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4"/>
      <c r="BF866" s="12"/>
      <c r="BG866" s="12"/>
      <c r="BH866" s="12" t="str">
        <f>IFERROR(__xludf.DUMMYFUNCTION("IFERROR(INDEX(QUERY(IMPORTRANGE(""1T7HG8KEs-Ob7f3M5atEVN9Yn7IeORGp0QGvggB62ELw"",""Maestro!A:I""),""SELECT Col8 WHERE Col3 = '""&amp;BE866&amp;""'"", 0), 1, 1),""NO ENCONTRADO"")"),"")</f>
        <v/>
      </c>
      <c r="BI866" s="12" t="str">
        <f>IFERROR(__xludf.DUMMYFUNCTION("IFERROR(INDEX(QUERY(IMPORTRANGE(""1T7HG8KEs-Ob7f3M5atEVN9Yn7IeORGp0QGvggB62ELw"",""Maestro!A:I""),""SELECT Col7 WHERE Col3 = '""&amp;BE866&amp;""'"", 0), 1, 1),""NO ENCONTRADO"")"),"")</f>
        <v/>
      </c>
      <c r="BJ866" s="16">
        <f t="shared" si="15"/>
        <v>0</v>
      </c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4"/>
      <c r="BX866" s="14"/>
      <c r="BY866" s="14"/>
      <c r="BZ866" s="14"/>
      <c r="CA866" s="14"/>
      <c r="CB866" s="14"/>
      <c r="CC866" s="14"/>
      <c r="CD866" s="14"/>
      <c r="CE866" s="14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</row>
    <row r="867">
      <c r="A867" s="12"/>
      <c r="B867" s="14"/>
      <c r="C867" s="14"/>
      <c r="D867" s="14"/>
      <c r="E867" s="12"/>
      <c r="F867" s="307"/>
      <c r="G867" s="307"/>
      <c r="H867" s="12"/>
      <c r="I867" s="30"/>
      <c r="J867" s="12"/>
      <c r="K867" s="12"/>
      <c r="L867" s="12"/>
      <c r="M867" s="12"/>
      <c r="N867" s="12"/>
      <c r="O867" s="308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4"/>
      <c r="BF867" s="12"/>
      <c r="BG867" s="12"/>
      <c r="BH867" s="12" t="str">
        <f>IFERROR(__xludf.DUMMYFUNCTION("IFERROR(INDEX(QUERY(IMPORTRANGE(""1T7HG8KEs-Ob7f3M5atEVN9Yn7IeORGp0QGvggB62ELw"",""Maestro!A:I""),""SELECT Col8 WHERE Col3 = '""&amp;BE867&amp;""'"", 0), 1, 1),""NO ENCONTRADO"")"),"")</f>
        <v/>
      </c>
      <c r="BI867" s="12" t="str">
        <f>IFERROR(__xludf.DUMMYFUNCTION("IFERROR(INDEX(QUERY(IMPORTRANGE(""1T7HG8KEs-Ob7f3M5atEVN9Yn7IeORGp0QGvggB62ELw"",""Maestro!A:I""),""SELECT Col7 WHERE Col3 = '""&amp;BE867&amp;""'"", 0), 1, 1),""NO ENCONTRADO"")"),"")</f>
        <v/>
      </c>
      <c r="BJ867" s="16">
        <f t="shared" si="15"/>
        <v>0</v>
      </c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4"/>
      <c r="BX867" s="14"/>
      <c r="BY867" s="14"/>
      <c r="BZ867" s="14"/>
      <c r="CA867" s="14"/>
      <c r="CB867" s="14"/>
      <c r="CC867" s="14"/>
      <c r="CD867" s="14"/>
      <c r="CE867" s="14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</row>
    <row r="868">
      <c r="A868" s="12"/>
      <c r="B868" s="14"/>
      <c r="C868" s="14"/>
      <c r="D868" s="14"/>
      <c r="E868" s="12"/>
      <c r="F868" s="307"/>
      <c r="G868" s="307"/>
      <c r="H868" s="12"/>
      <c r="I868" s="30"/>
      <c r="J868" s="12"/>
      <c r="K868" s="12"/>
      <c r="L868" s="12"/>
      <c r="M868" s="12"/>
      <c r="N868" s="12"/>
      <c r="O868" s="308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4"/>
      <c r="BF868" s="12"/>
      <c r="BG868" s="12"/>
      <c r="BH868" s="12" t="str">
        <f>IFERROR(__xludf.DUMMYFUNCTION("IFERROR(INDEX(QUERY(IMPORTRANGE(""1T7HG8KEs-Ob7f3M5atEVN9Yn7IeORGp0QGvggB62ELw"",""Maestro!A:I""),""SELECT Col8 WHERE Col3 = '""&amp;BE868&amp;""'"", 0), 1, 1),""NO ENCONTRADO"")"),"")</f>
        <v/>
      </c>
      <c r="BI868" s="12" t="str">
        <f>IFERROR(__xludf.DUMMYFUNCTION("IFERROR(INDEX(QUERY(IMPORTRANGE(""1T7HG8KEs-Ob7f3M5atEVN9Yn7IeORGp0QGvggB62ELw"",""Maestro!A:I""),""SELECT Col7 WHERE Col3 = '""&amp;BE868&amp;""'"", 0), 1, 1),""NO ENCONTRADO"")"),"")</f>
        <v/>
      </c>
      <c r="BJ868" s="16">
        <f t="shared" si="15"/>
        <v>0</v>
      </c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4"/>
      <c r="BX868" s="14"/>
      <c r="BY868" s="14"/>
      <c r="BZ868" s="14"/>
      <c r="CA868" s="14"/>
      <c r="CB868" s="14"/>
      <c r="CC868" s="14"/>
      <c r="CD868" s="14"/>
      <c r="CE868" s="14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</row>
    <row r="869">
      <c r="A869" s="12"/>
      <c r="B869" s="14"/>
      <c r="C869" s="14"/>
      <c r="D869" s="14"/>
      <c r="E869" s="12"/>
      <c r="F869" s="307"/>
      <c r="G869" s="307"/>
      <c r="H869" s="12"/>
      <c r="I869" s="30"/>
      <c r="J869" s="12"/>
      <c r="K869" s="12"/>
      <c r="L869" s="12"/>
      <c r="M869" s="12"/>
      <c r="N869" s="12"/>
      <c r="O869" s="308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4"/>
      <c r="BF869" s="12"/>
      <c r="BG869" s="12"/>
      <c r="BH869" s="12" t="str">
        <f>IFERROR(__xludf.DUMMYFUNCTION("IFERROR(INDEX(QUERY(IMPORTRANGE(""1T7HG8KEs-Ob7f3M5atEVN9Yn7IeORGp0QGvggB62ELw"",""Maestro!A:I""),""SELECT Col8 WHERE Col3 = '""&amp;BE869&amp;""'"", 0), 1, 1),""NO ENCONTRADO"")"),"")</f>
        <v/>
      </c>
      <c r="BI869" s="12" t="str">
        <f>IFERROR(__xludf.DUMMYFUNCTION("IFERROR(INDEX(QUERY(IMPORTRANGE(""1T7HG8KEs-Ob7f3M5atEVN9Yn7IeORGp0QGvggB62ELw"",""Maestro!A:I""),""SELECT Col7 WHERE Col3 = '""&amp;BE869&amp;""'"", 0), 1, 1),""NO ENCONTRADO"")"),"")</f>
        <v/>
      </c>
      <c r="BJ869" s="16">
        <f t="shared" si="15"/>
        <v>0</v>
      </c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4"/>
      <c r="BX869" s="14"/>
      <c r="BY869" s="14"/>
      <c r="BZ869" s="14"/>
      <c r="CA869" s="14"/>
      <c r="CB869" s="14"/>
      <c r="CC869" s="14"/>
      <c r="CD869" s="14"/>
      <c r="CE869" s="14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</row>
    <row r="870">
      <c r="A870" s="12"/>
      <c r="B870" s="14"/>
      <c r="C870" s="14"/>
      <c r="D870" s="14"/>
      <c r="E870" s="12"/>
      <c r="F870" s="307"/>
      <c r="G870" s="307"/>
      <c r="H870" s="12"/>
      <c r="I870" s="30"/>
      <c r="J870" s="12"/>
      <c r="K870" s="12"/>
      <c r="L870" s="12"/>
      <c r="M870" s="12"/>
      <c r="N870" s="12"/>
      <c r="O870" s="308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4"/>
      <c r="BF870" s="12"/>
      <c r="BG870" s="12"/>
      <c r="BH870" s="12" t="str">
        <f>IFERROR(__xludf.DUMMYFUNCTION("IFERROR(INDEX(QUERY(IMPORTRANGE(""1T7HG8KEs-Ob7f3M5atEVN9Yn7IeORGp0QGvggB62ELw"",""Maestro!A:I""),""SELECT Col8 WHERE Col3 = '""&amp;BE870&amp;""'"", 0), 1, 1),""NO ENCONTRADO"")"),"")</f>
        <v/>
      </c>
      <c r="BI870" s="12" t="str">
        <f>IFERROR(__xludf.DUMMYFUNCTION("IFERROR(INDEX(QUERY(IMPORTRANGE(""1T7HG8KEs-Ob7f3M5atEVN9Yn7IeORGp0QGvggB62ELw"",""Maestro!A:I""),""SELECT Col7 WHERE Col3 = '""&amp;BE870&amp;""'"", 0), 1, 1),""NO ENCONTRADO"")"),"")</f>
        <v/>
      </c>
      <c r="BJ870" s="16">
        <f t="shared" si="15"/>
        <v>0</v>
      </c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4"/>
      <c r="BX870" s="14"/>
      <c r="BY870" s="14"/>
      <c r="BZ870" s="14"/>
      <c r="CA870" s="14"/>
      <c r="CB870" s="14"/>
      <c r="CC870" s="14"/>
      <c r="CD870" s="14"/>
      <c r="CE870" s="14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</row>
    <row r="871">
      <c r="A871" s="12"/>
      <c r="B871" s="14"/>
      <c r="C871" s="14"/>
      <c r="D871" s="14"/>
      <c r="E871" s="12"/>
      <c r="F871" s="307"/>
      <c r="G871" s="307"/>
      <c r="H871" s="12"/>
      <c r="I871" s="30"/>
      <c r="J871" s="12"/>
      <c r="K871" s="12"/>
      <c r="L871" s="12"/>
      <c r="M871" s="12"/>
      <c r="N871" s="12"/>
      <c r="O871" s="308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4"/>
      <c r="BF871" s="12"/>
      <c r="BG871" s="12"/>
      <c r="BH871" s="12" t="str">
        <f>IFERROR(__xludf.DUMMYFUNCTION("IFERROR(INDEX(QUERY(IMPORTRANGE(""1T7HG8KEs-Ob7f3M5atEVN9Yn7IeORGp0QGvggB62ELw"",""Maestro!A:I""),""SELECT Col8 WHERE Col3 = '""&amp;BE871&amp;""'"", 0), 1, 1),""NO ENCONTRADO"")"),"")</f>
        <v/>
      </c>
      <c r="BI871" s="12" t="str">
        <f>IFERROR(__xludf.DUMMYFUNCTION("IFERROR(INDEX(QUERY(IMPORTRANGE(""1T7HG8KEs-Ob7f3M5atEVN9Yn7IeORGp0QGvggB62ELw"",""Maestro!A:I""),""SELECT Col7 WHERE Col3 = '""&amp;BE871&amp;""'"", 0), 1, 1),""NO ENCONTRADO"")"),"")</f>
        <v/>
      </c>
      <c r="BJ871" s="16">
        <f t="shared" si="15"/>
        <v>0</v>
      </c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4"/>
      <c r="BX871" s="14"/>
      <c r="BY871" s="14"/>
      <c r="BZ871" s="14"/>
      <c r="CA871" s="14"/>
      <c r="CB871" s="14"/>
      <c r="CC871" s="14"/>
      <c r="CD871" s="14"/>
      <c r="CE871" s="14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</row>
    <row r="872">
      <c r="A872" s="12"/>
      <c r="B872" s="14"/>
      <c r="C872" s="14"/>
      <c r="D872" s="14"/>
      <c r="E872" s="12"/>
      <c r="F872" s="307"/>
      <c r="G872" s="307"/>
      <c r="H872" s="12"/>
      <c r="I872" s="30"/>
      <c r="J872" s="12"/>
      <c r="K872" s="12"/>
      <c r="L872" s="12"/>
      <c r="M872" s="12"/>
      <c r="N872" s="12"/>
      <c r="O872" s="308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4"/>
      <c r="BF872" s="12"/>
      <c r="BG872" s="12"/>
      <c r="BH872" s="12" t="str">
        <f>IFERROR(__xludf.DUMMYFUNCTION("IFERROR(INDEX(QUERY(IMPORTRANGE(""1T7HG8KEs-Ob7f3M5atEVN9Yn7IeORGp0QGvggB62ELw"",""Maestro!A:I""),""SELECT Col8 WHERE Col3 = '""&amp;BE872&amp;""'"", 0), 1, 1),""NO ENCONTRADO"")"),"")</f>
        <v/>
      </c>
      <c r="BI872" s="12" t="str">
        <f>IFERROR(__xludf.DUMMYFUNCTION("IFERROR(INDEX(QUERY(IMPORTRANGE(""1T7HG8KEs-Ob7f3M5atEVN9Yn7IeORGp0QGvggB62ELw"",""Maestro!A:I""),""SELECT Col7 WHERE Col3 = '""&amp;BE872&amp;""'"", 0), 1, 1),""NO ENCONTRADO"")"),"")</f>
        <v/>
      </c>
      <c r="BJ872" s="16">
        <f t="shared" si="15"/>
        <v>0</v>
      </c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4"/>
      <c r="BX872" s="14"/>
      <c r="BY872" s="14"/>
      <c r="BZ872" s="14"/>
      <c r="CA872" s="14"/>
      <c r="CB872" s="14"/>
      <c r="CC872" s="14"/>
      <c r="CD872" s="14"/>
      <c r="CE872" s="14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</row>
    <row r="873">
      <c r="A873" s="12"/>
      <c r="B873" s="14"/>
      <c r="C873" s="14"/>
      <c r="D873" s="14"/>
      <c r="E873" s="12"/>
      <c r="F873" s="307"/>
      <c r="G873" s="307"/>
      <c r="H873" s="12"/>
      <c r="I873" s="30"/>
      <c r="J873" s="12"/>
      <c r="K873" s="12"/>
      <c r="L873" s="12"/>
      <c r="M873" s="12"/>
      <c r="N873" s="12"/>
      <c r="O873" s="308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4"/>
      <c r="BF873" s="12"/>
      <c r="BG873" s="12"/>
      <c r="BH873" s="12" t="str">
        <f>IFERROR(__xludf.DUMMYFUNCTION("IFERROR(INDEX(QUERY(IMPORTRANGE(""1T7HG8KEs-Ob7f3M5atEVN9Yn7IeORGp0QGvggB62ELw"",""Maestro!A:I""),""SELECT Col8 WHERE Col3 = '""&amp;BE873&amp;""'"", 0), 1, 1),""NO ENCONTRADO"")"),"")</f>
        <v/>
      </c>
      <c r="BI873" s="12" t="str">
        <f>IFERROR(__xludf.DUMMYFUNCTION("IFERROR(INDEX(QUERY(IMPORTRANGE(""1T7HG8KEs-Ob7f3M5atEVN9Yn7IeORGp0QGvggB62ELw"",""Maestro!A:I""),""SELECT Col7 WHERE Col3 = '""&amp;BE873&amp;""'"", 0), 1, 1),""NO ENCONTRADO"")"),"")</f>
        <v/>
      </c>
      <c r="BJ873" s="16">
        <f t="shared" si="15"/>
        <v>0</v>
      </c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4"/>
      <c r="BX873" s="14"/>
      <c r="BY873" s="14"/>
      <c r="BZ873" s="14"/>
      <c r="CA873" s="14"/>
      <c r="CB873" s="14"/>
      <c r="CC873" s="14"/>
      <c r="CD873" s="14"/>
      <c r="CE873" s="14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</row>
    <row r="874">
      <c r="A874" s="12"/>
      <c r="B874" s="14"/>
      <c r="C874" s="14"/>
      <c r="D874" s="14"/>
      <c r="E874" s="12"/>
      <c r="F874" s="307"/>
      <c r="G874" s="307"/>
      <c r="H874" s="12"/>
      <c r="I874" s="30"/>
      <c r="J874" s="12"/>
      <c r="K874" s="12"/>
      <c r="L874" s="12"/>
      <c r="M874" s="12"/>
      <c r="N874" s="12"/>
      <c r="O874" s="308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4"/>
      <c r="BF874" s="12"/>
      <c r="BG874" s="12"/>
      <c r="BH874" s="12" t="str">
        <f>IFERROR(__xludf.DUMMYFUNCTION("IFERROR(INDEX(QUERY(IMPORTRANGE(""1T7HG8KEs-Ob7f3M5atEVN9Yn7IeORGp0QGvggB62ELw"",""Maestro!A:I""),""SELECT Col8 WHERE Col3 = '""&amp;BE874&amp;""'"", 0), 1, 1),""NO ENCONTRADO"")"),"")</f>
        <v/>
      </c>
      <c r="BI874" s="12" t="str">
        <f>IFERROR(__xludf.DUMMYFUNCTION("IFERROR(INDEX(QUERY(IMPORTRANGE(""1T7HG8KEs-Ob7f3M5atEVN9Yn7IeORGp0QGvggB62ELw"",""Maestro!A:I""),""SELECT Col7 WHERE Col3 = '""&amp;BE874&amp;""'"", 0), 1, 1),""NO ENCONTRADO"")"),"")</f>
        <v/>
      </c>
      <c r="BJ874" s="16">
        <f t="shared" si="15"/>
        <v>0</v>
      </c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4"/>
      <c r="BX874" s="14"/>
      <c r="BY874" s="14"/>
      <c r="BZ874" s="14"/>
      <c r="CA874" s="14"/>
      <c r="CB874" s="14"/>
      <c r="CC874" s="14"/>
      <c r="CD874" s="14"/>
      <c r="CE874" s="14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</row>
    <row r="875">
      <c r="A875" s="12"/>
      <c r="B875" s="14"/>
      <c r="C875" s="14"/>
      <c r="D875" s="14"/>
      <c r="E875" s="12"/>
      <c r="F875" s="307"/>
      <c r="G875" s="307"/>
      <c r="H875" s="12"/>
      <c r="I875" s="30"/>
      <c r="J875" s="12"/>
      <c r="K875" s="12"/>
      <c r="L875" s="12"/>
      <c r="M875" s="12"/>
      <c r="N875" s="12"/>
      <c r="O875" s="308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4"/>
      <c r="BF875" s="12"/>
      <c r="BG875" s="12"/>
      <c r="BH875" s="12" t="str">
        <f>IFERROR(__xludf.DUMMYFUNCTION("IFERROR(INDEX(QUERY(IMPORTRANGE(""1T7HG8KEs-Ob7f3M5atEVN9Yn7IeORGp0QGvggB62ELw"",""Maestro!A:I""),""SELECT Col8 WHERE Col3 = '""&amp;BE875&amp;""'"", 0), 1, 1),""NO ENCONTRADO"")"),"")</f>
        <v/>
      </c>
      <c r="BI875" s="12" t="str">
        <f>IFERROR(__xludf.DUMMYFUNCTION("IFERROR(INDEX(QUERY(IMPORTRANGE(""1T7HG8KEs-Ob7f3M5atEVN9Yn7IeORGp0QGvggB62ELw"",""Maestro!A:I""),""SELECT Col7 WHERE Col3 = '""&amp;BE875&amp;""'"", 0), 1, 1),""NO ENCONTRADO"")"),"")</f>
        <v/>
      </c>
      <c r="BJ875" s="16">
        <f t="shared" si="15"/>
        <v>0</v>
      </c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4"/>
      <c r="BX875" s="14"/>
      <c r="BY875" s="14"/>
      <c r="BZ875" s="14"/>
      <c r="CA875" s="14"/>
      <c r="CB875" s="14"/>
      <c r="CC875" s="14"/>
      <c r="CD875" s="14"/>
      <c r="CE875" s="14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</row>
    <row r="876">
      <c r="A876" s="12"/>
      <c r="B876" s="14"/>
      <c r="C876" s="14"/>
      <c r="D876" s="14"/>
      <c r="E876" s="12"/>
      <c r="F876" s="307"/>
      <c r="G876" s="307"/>
      <c r="H876" s="12"/>
      <c r="I876" s="30"/>
      <c r="J876" s="12"/>
      <c r="K876" s="12"/>
      <c r="L876" s="12"/>
      <c r="M876" s="12"/>
      <c r="N876" s="12"/>
      <c r="O876" s="308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4"/>
      <c r="BF876" s="12"/>
      <c r="BG876" s="12"/>
      <c r="BH876" s="12" t="str">
        <f>IFERROR(__xludf.DUMMYFUNCTION("IFERROR(INDEX(QUERY(IMPORTRANGE(""1T7HG8KEs-Ob7f3M5atEVN9Yn7IeORGp0QGvggB62ELw"",""Maestro!A:I""),""SELECT Col8 WHERE Col3 = '""&amp;BE876&amp;""'"", 0), 1, 1),""NO ENCONTRADO"")"),"")</f>
        <v/>
      </c>
      <c r="BI876" s="12" t="str">
        <f>IFERROR(__xludf.DUMMYFUNCTION("IFERROR(INDEX(QUERY(IMPORTRANGE(""1T7HG8KEs-Ob7f3M5atEVN9Yn7IeORGp0QGvggB62ELw"",""Maestro!A:I""),""SELECT Col7 WHERE Col3 = '""&amp;BE876&amp;""'"", 0), 1, 1),""NO ENCONTRADO"")"),"")</f>
        <v/>
      </c>
      <c r="BJ876" s="16">
        <f t="shared" si="15"/>
        <v>0</v>
      </c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4"/>
      <c r="BX876" s="14"/>
      <c r="BY876" s="14"/>
      <c r="BZ876" s="14"/>
      <c r="CA876" s="14"/>
      <c r="CB876" s="14"/>
      <c r="CC876" s="14"/>
      <c r="CD876" s="14"/>
      <c r="CE876" s="14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</row>
    <row r="877">
      <c r="A877" s="12"/>
      <c r="B877" s="14"/>
      <c r="C877" s="14"/>
      <c r="D877" s="14"/>
      <c r="E877" s="12"/>
      <c r="F877" s="307"/>
      <c r="G877" s="307"/>
      <c r="H877" s="12"/>
      <c r="I877" s="30"/>
      <c r="J877" s="12"/>
      <c r="K877" s="12"/>
      <c r="L877" s="12"/>
      <c r="M877" s="12"/>
      <c r="N877" s="12"/>
      <c r="O877" s="308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4"/>
      <c r="BF877" s="12"/>
      <c r="BG877" s="12"/>
      <c r="BH877" s="12" t="str">
        <f>IFERROR(__xludf.DUMMYFUNCTION("IFERROR(INDEX(QUERY(IMPORTRANGE(""1T7HG8KEs-Ob7f3M5atEVN9Yn7IeORGp0QGvggB62ELw"",""Maestro!A:I""),""SELECT Col8 WHERE Col3 = '""&amp;BE877&amp;""'"", 0), 1, 1),""NO ENCONTRADO"")"),"")</f>
        <v/>
      </c>
      <c r="BI877" s="12" t="str">
        <f>IFERROR(__xludf.DUMMYFUNCTION("IFERROR(INDEX(QUERY(IMPORTRANGE(""1T7HG8KEs-Ob7f3M5atEVN9Yn7IeORGp0QGvggB62ELw"",""Maestro!A:I""),""SELECT Col7 WHERE Col3 = '""&amp;BE877&amp;""'"", 0), 1, 1),""NO ENCONTRADO"")"),"")</f>
        <v/>
      </c>
      <c r="BJ877" s="16">
        <f t="shared" si="15"/>
        <v>0</v>
      </c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4"/>
      <c r="BX877" s="14"/>
      <c r="BY877" s="14"/>
      <c r="BZ877" s="14"/>
      <c r="CA877" s="14"/>
      <c r="CB877" s="14"/>
      <c r="CC877" s="14"/>
      <c r="CD877" s="14"/>
      <c r="CE877" s="14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</row>
    <row r="878">
      <c r="A878" s="12"/>
      <c r="B878" s="14"/>
      <c r="C878" s="14"/>
      <c r="D878" s="14"/>
      <c r="E878" s="12"/>
      <c r="F878" s="307"/>
      <c r="G878" s="307"/>
      <c r="H878" s="12"/>
      <c r="I878" s="30"/>
      <c r="J878" s="12"/>
      <c r="K878" s="12"/>
      <c r="L878" s="12"/>
      <c r="M878" s="12"/>
      <c r="N878" s="12"/>
      <c r="O878" s="308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4"/>
      <c r="BF878" s="12"/>
      <c r="BG878" s="12"/>
      <c r="BH878" s="12" t="str">
        <f>IFERROR(__xludf.DUMMYFUNCTION("IFERROR(INDEX(QUERY(IMPORTRANGE(""1T7HG8KEs-Ob7f3M5atEVN9Yn7IeORGp0QGvggB62ELw"",""Maestro!A:I""),""SELECT Col8 WHERE Col3 = '""&amp;BE878&amp;""'"", 0), 1, 1),""NO ENCONTRADO"")"),"")</f>
        <v/>
      </c>
      <c r="BI878" s="12" t="str">
        <f>IFERROR(__xludf.DUMMYFUNCTION("IFERROR(INDEX(QUERY(IMPORTRANGE(""1T7HG8KEs-Ob7f3M5atEVN9Yn7IeORGp0QGvggB62ELw"",""Maestro!A:I""),""SELECT Col7 WHERE Col3 = '""&amp;BE878&amp;""'"", 0), 1, 1),""NO ENCONTRADO"")"),"")</f>
        <v/>
      </c>
      <c r="BJ878" s="16">
        <f t="shared" si="15"/>
        <v>0</v>
      </c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4"/>
      <c r="BX878" s="14"/>
      <c r="BY878" s="14"/>
      <c r="BZ878" s="14"/>
      <c r="CA878" s="14"/>
      <c r="CB878" s="14"/>
      <c r="CC878" s="14"/>
      <c r="CD878" s="14"/>
      <c r="CE878" s="14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</row>
    <row r="879">
      <c r="A879" s="12"/>
      <c r="B879" s="14"/>
      <c r="C879" s="14"/>
      <c r="D879" s="14"/>
      <c r="E879" s="12"/>
      <c r="F879" s="307"/>
      <c r="G879" s="307"/>
      <c r="H879" s="12"/>
      <c r="I879" s="30"/>
      <c r="J879" s="12"/>
      <c r="K879" s="12"/>
      <c r="L879" s="12"/>
      <c r="M879" s="12"/>
      <c r="N879" s="12"/>
      <c r="O879" s="308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4"/>
      <c r="BF879" s="12"/>
      <c r="BG879" s="12"/>
      <c r="BH879" s="12" t="str">
        <f>IFERROR(__xludf.DUMMYFUNCTION("IFERROR(INDEX(QUERY(IMPORTRANGE(""1T7HG8KEs-Ob7f3M5atEVN9Yn7IeORGp0QGvggB62ELw"",""Maestro!A:I""),""SELECT Col8 WHERE Col3 = '""&amp;BE879&amp;""'"", 0), 1, 1),""NO ENCONTRADO"")"),"")</f>
        <v/>
      </c>
      <c r="BI879" s="12" t="str">
        <f>IFERROR(__xludf.DUMMYFUNCTION("IFERROR(INDEX(QUERY(IMPORTRANGE(""1T7HG8KEs-Ob7f3M5atEVN9Yn7IeORGp0QGvggB62ELw"",""Maestro!A:I""),""SELECT Col7 WHERE Col3 = '""&amp;BE879&amp;""'"", 0), 1, 1),""NO ENCONTRADO"")"),"")</f>
        <v/>
      </c>
      <c r="BJ879" s="16">
        <f t="shared" si="15"/>
        <v>0</v>
      </c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4"/>
      <c r="BX879" s="14"/>
      <c r="BY879" s="14"/>
      <c r="BZ879" s="14"/>
      <c r="CA879" s="14"/>
      <c r="CB879" s="14"/>
      <c r="CC879" s="14"/>
      <c r="CD879" s="14"/>
      <c r="CE879" s="14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</row>
    <row r="880">
      <c r="A880" s="12"/>
      <c r="B880" s="14"/>
      <c r="C880" s="14"/>
      <c r="D880" s="14"/>
      <c r="E880" s="12"/>
      <c r="F880" s="307"/>
      <c r="G880" s="307"/>
      <c r="H880" s="12"/>
      <c r="I880" s="30"/>
      <c r="J880" s="12"/>
      <c r="K880" s="12"/>
      <c r="L880" s="12"/>
      <c r="M880" s="12"/>
      <c r="N880" s="12"/>
      <c r="O880" s="308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4"/>
      <c r="BF880" s="12"/>
      <c r="BG880" s="12"/>
      <c r="BH880" s="12" t="str">
        <f>IFERROR(__xludf.DUMMYFUNCTION("IFERROR(INDEX(QUERY(IMPORTRANGE(""1T7HG8KEs-Ob7f3M5atEVN9Yn7IeORGp0QGvggB62ELw"",""Maestro!A:I""),""SELECT Col8 WHERE Col3 = '""&amp;BE880&amp;""'"", 0), 1, 1),""NO ENCONTRADO"")"),"")</f>
        <v/>
      </c>
      <c r="BI880" s="12" t="str">
        <f>IFERROR(__xludf.DUMMYFUNCTION("IFERROR(INDEX(QUERY(IMPORTRANGE(""1T7HG8KEs-Ob7f3M5atEVN9Yn7IeORGp0QGvggB62ELw"",""Maestro!A:I""),""SELECT Col7 WHERE Col3 = '""&amp;BE880&amp;""'"", 0), 1, 1),""NO ENCONTRADO"")"),"")</f>
        <v/>
      </c>
      <c r="BJ880" s="16">
        <f t="shared" si="15"/>
        <v>0</v>
      </c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4"/>
      <c r="BX880" s="14"/>
      <c r="BY880" s="14"/>
      <c r="BZ880" s="14"/>
      <c r="CA880" s="14"/>
      <c r="CB880" s="14"/>
      <c r="CC880" s="14"/>
      <c r="CD880" s="14"/>
      <c r="CE880" s="14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</row>
    <row r="881">
      <c r="A881" s="12"/>
      <c r="B881" s="14"/>
      <c r="C881" s="14"/>
      <c r="D881" s="14"/>
      <c r="E881" s="12"/>
      <c r="F881" s="307"/>
      <c r="G881" s="307"/>
      <c r="H881" s="12"/>
      <c r="I881" s="30"/>
      <c r="J881" s="12"/>
      <c r="K881" s="12"/>
      <c r="L881" s="12"/>
      <c r="M881" s="12"/>
      <c r="N881" s="12"/>
      <c r="O881" s="308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4"/>
      <c r="BF881" s="12"/>
      <c r="BG881" s="12"/>
      <c r="BH881" s="12" t="str">
        <f>IFERROR(__xludf.DUMMYFUNCTION("IFERROR(INDEX(QUERY(IMPORTRANGE(""1T7HG8KEs-Ob7f3M5atEVN9Yn7IeORGp0QGvggB62ELw"",""Maestro!A:I""),""SELECT Col8 WHERE Col3 = '""&amp;BE881&amp;""'"", 0), 1, 1),""NO ENCONTRADO"")"),"")</f>
        <v/>
      </c>
      <c r="BI881" s="12" t="str">
        <f>IFERROR(__xludf.DUMMYFUNCTION("IFERROR(INDEX(QUERY(IMPORTRANGE(""1T7HG8KEs-Ob7f3M5atEVN9Yn7IeORGp0QGvggB62ELw"",""Maestro!A:I""),""SELECT Col7 WHERE Col3 = '""&amp;BE881&amp;""'"", 0), 1, 1),""NO ENCONTRADO"")"),"")</f>
        <v/>
      </c>
      <c r="BJ881" s="16">
        <f t="shared" si="15"/>
        <v>0</v>
      </c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4"/>
      <c r="BX881" s="14"/>
      <c r="BY881" s="14"/>
      <c r="BZ881" s="14"/>
      <c r="CA881" s="14"/>
      <c r="CB881" s="14"/>
      <c r="CC881" s="14"/>
      <c r="CD881" s="14"/>
      <c r="CE881" s="14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</row>
    <row r="882">
      <c r="A882" s="12"/>
      <c r="B882" s="14"/>
      <c r="C882" s="14"/>
      <c r="D882" s="14"/>
      <c r="E882" s="12"/>
      <c r="F882" s="307"/>
      <c r="G882" s="307"/>
      <c r="H882" s="12"/>
      <c r="I882" s="30"/>
      <c r="J882" s="12"/>
      <c r="K882" s="12"/>
      <c r="L882" s="12"/>
      <c r="M882" s="12"/>
      <c r="N882" s="12"/>
      <c r="O882" s="308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4"/>
      <c r="BF882" s="12"/>
      <c r="BG882" s="12"/>
      <c r="BH882" s="12" t="str">
        <f>IFERROR(__xludf.DUMMYFUNCTION("IFERROR(INDEX(QUERY(IMPORTRANGE(""1T7HG8KEs-Ob7f3M5atEVN9Yn7IeORGp0QGvggB62ELw"",""Maestro!A:I""),""SELECT Col8 WHERE Col3 = '""&amp;BE882&amp;""'"", 0), 1, 1),""NO ENCONTRADO"")"),"")</f>
        <v/>
      </c>
      <c r="BI882" s="12" t="str">
        <f>IFERROR(__xludf.DUMMYFUNCTION("IFERROR(INDEX(QUERY(IMPORTRANGE(""1T7HG8KEs-Ob7f3M5atEVN9Yn7IeORGp0QGvggB62ELw"",""Maestro!A:I""),""SELECT Col7 WHERE Col3 = '""&amp;BE882&amp;""'"", 0), 1, 1),""NO ENCONTRADO"")"),"")</f>
        <v/>
      </c>
      <c r="BJ882" s="16">
        <f t="shared" si="15"/>
        <v>0</v>
      </c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4"/>
      <c r="BX882" s="14"/>
      <c r="BY882" s="14"/>
      <c r="BZ882" s="14"/>
      <c r="CA882" s="14"/>
      <c r="CB882" s="14"/>
      <c r="CC882" s="14"/>
      <c r="CD882" s="14"/>
      <c r="CE882" s="14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</row>
    <row r="883">
      <c r="A883" s="12"/>
      <c r="B883" s="14"/>
      <c r="C883" s="14"/>
      <c r="D883" s="14"/>
      <c r="E883" s="12"/>
      <c r="F883" s="307"/>
      <c r="G883" s="307"/>
      <c r="H883" s="12"/>
      <c r="I883" s="30"/>
      <c r="J883" s="12"/>
      <c r="K883" s="12"/>
      <c r="L883" s="12"/>
      <c r="M883" s="12"/>
      <c r="N883" s="12"/>
      <c r="O883" s="308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4"/>
      <c r="BF883" s="12"/>
      <c r="BG883" s="12"/>
      <c r="BH883" s="12" t="str">
        <f>IFERROR(__xludf.DUMMYFUNCTION("IFERROR(INDEX(QUERY(IMPORTRANGE(""1T7HG8KEs-Ob7f3M5atEVN9Yn7IeORGp0QGvggB62ELw"",""Maestro!A:I""),""SELECT Col8 WHERE Col3 = '""&amp;BE883&amp;""'"", 0), 1, 1),""NO ENCONTRADO"")"),"")</f>
        <v/>
      </c>
      <c r="BI883" s="12" t="str">
        <f>IFERROR(__xludf.DUMMYFUNCTION("IFERROR(INDEX(QUERY(IMPORTRANGE(""1T7HG8KEs-Ob7f3M5atEVN9Yn7IeORGp0QGvggB62ELw"",""Maestro!A:I""),""SELECT Col7 WHERE Col3 = '""&amp;BE883&amp;""'"", 0), 1, 1),""NO ENCONTRADO"")"),"")</f>
        <v/>
      </c>
      <c r="BJ883" s="16">
        <f t="shared" si="15"/>
        <v>0</v>
      </c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4"/>
      <c r="BX883" s="14"/>
      <c r="BY883" s="14"/>
      <c r="BZ883" s="14"/>
      <c r="CA883" s="14"/>
      <c r="CB883" s="14"/>
      <c r="CC883" s="14"/>
      <c r="CD883" s="14"/>
      <c r="CE883" s="14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</row>
    <row r="884">
      <c r="A884" s="12"/>
      <c r="B884" s="14"/>
      <c r="C884" s="14"/>
      <c r="D884" s="14"/>
      <c r="E884" s="12"/>
      <c r="F884" s="307"/>
      <c r="G884" s="307"/>
      <c r="H884" s="12"/>
      <c r="I884" s="30"/>
      <c r="J884" s="12"/>
      <c r="K884" s="12"/>
      <c r="L884" s="12"/>
      <c r="M884" s="12"/>
      <c r="N884" s="12"/>
      <c r="O884" s="308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4"/>
      <c r="BF884" s="12"/>
      <c r="BG884" s="12"/>
      <c r="BH884" s="12" t="str">
        <f>IFERROR(__xludf.DUMMYFUNCTION("IFERROR(INDEX(QUERY(IMPORTRANGE(""1T7HG8KEs-Ob7f3M5atEVN9Yn7IeORGp0QGvggB62ELw"",""Maestro!A:I""),""SELECT Col8 WHERE Col3 = '""&amp;BE884&amp;""'"", 0), 1, 1),""NO ENCONTRADO"")"),"")</f>
        <v/>
      </c>
      <c r="BI884" s="12" t="str">
        <f>IFERROR(__xludf.DUMMYFUNCTION("IFERROR(INDEX(QUERY(IMPORTRANGE(""1T7HG8KEs-Ob7f3M5atEVN9Yn7IeORGp0QGvggB62ELw"",""Maestro!A:I""),""SELECT Col7 WHERE Col3 = '""&amp;BE884&amp;""'"", 0), 1, 1),""NO ENCONTRADO"")"),"")</f>
        <v/>
      </c>
      <c r="BJ884" s="16">
        <f t="shared" si="15"/>
        <v>0</v>
      </c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4"/>
      <c r="BX884" s="14"/>
      <c r="BY884" s="14"/>
      <c r="BZ884" s="14"/>
      <c r="CA884" s="14"/>
      <c r="CB884" s="14"/>
      <c r="CC884" s="14"/>
      <c r="CD884" s="14"/>
      <c r="CE884" s="14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</row>
    <row r="885">
      <c r="A885" s="12"/>
      <c r="B885" s="14"/>
      <c r="C885" s="14"/>
      <c r="D885" s="14"/>
      <c r="E885" s="12"/>
      <c r="F885" s="307"/>
      <c r="G885" s="307"/>
      <c r="H885" s="12"/>
      <c r="I885" s="30"/>
      <c r="J885" s="12"/>
      <c r="K885" s="12"/>
      <c r="L885" s="12"/>
      <c r="M885" s="12"/>
      <c r="N885" s="12"/>
      <c r="O885" s="308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4"/>
      <c r="BF885" s="12"/>
      <c r="BG885" s="12"/>
      <c r="BH885" s="12" t="str">
        <f>IFERROR(__xludf.DUMMYFUNCTION("IFERROR(INDEX(QUERY(IMPORTRANGE(""1T7HG8KEs-Ob7f3M5atEVN9Yn7IeORGp0QGvggB62ELw"",""Maestro!A:I""),""SELECT Col8 WHERE Col3 = '""&amp;BE885&amp;""'"", 0), 1, 1),""NO ENCONTRADO"")"),"")</f>
        <v/>
      </c>
      <c r="BI885" s="12" t="str">
        <f>IFERROR(__xludf.DUMMYFUNCTION("IFERROR(INDEX(QUERY(IMPORTRANGE(""1T7HG8KEs-Ob7f3M5atEVN9Yn7IeORGp0QGvggB62ELw"",""Maestro!A:I""),""SELECT Col7 WHERE Col3 = '""&amp;BE885&amp;""'"", 0), 1, 1),""NO ENCONTRADO"")"),"")</f>
        <v/>
      </c>
      <c r="BJ885" s="16">
        <f t="shared" si="15"/>
        <v>0</v>
      </c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4"/>
      <c r="BX885" s="14"/>
      <c r="BY885" s="14"/>
      <c r="BZ885" s="14"/>
      <c r="CA885" s="14"/>
      <c r="CB885" s="14"/>
      <c r="CC885" s="14"/>
      <c r="CD885" s="14"/>
      <c r="CE885" s="14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</row>
    <row r="886">
      <c r="A886" s="12"/>
      <c r="B886" s="14"/>
      <c r="C886" s="14"/>
      <c r="D886" s="14"/>
      <c r="E886" s="12"/>
      <c r="F886" s="307"/>
      <c r="G886" s="307"/>
      <c r="H886" s="12"/>
      <c r="I886" s="30"/>
      <c r="J886" s="12"/>
      <c r="K886" s="12"/>
      <c r="L886" s="12"/>
      <c r="M886" s="12"/>
      <c r="N886" s="12"/>
      <c r="O886" s="308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4"/>
      <c r="BF886" s="12"/>
      <c r="BG886" s="12"/>
      <c r="BH886" s="12" t="str">
        <f>IFERROR(__xludf.DUMMYFUNCTION("IFERROR(INDEX(QUERY(IMPORTRANGE(""1T7HG8KEs-Ob7f3M5atEVN9Yn7IeORGp0QGvggB62ELw"",""Maestro!A:I""),""SELECT Col8 WHERE Col3 = '""&amp;BE886&amp;""'"", 0), 1, 1),""NO ENCONTRADO"")"),"")</f>
        <v/>
      </c>
      <c r="BI886" s="12" t="str">
        <f>IFERROR(__xludf.DUMMYFUNCTION("IFERROR(INDEX(QUERY(IMPORTRANGE(""1T7HG8KEs-Ob7f3M5atEVN9Yn7IeORGp0QGvggB62ELw"",""Maestro!A:I""),""SELECT Col7 WHERE Col3 = '""&amp;BE886&amp;""'"", 0), 1, 1),""NO ENCONTRADO"")"),"")</f>
        <v/>
      </c>
      <c r="BJ886" s="16">
        <f t="shared" si="15"/>
        <v>0</v>
      </c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4"/>
      <c r="BX886" s="14"/>
      <c r="BY886" s="14"/>
      <c r="BZ886" s="14"/>
      <c r="CA886" s="14"/>
      <c r="CB886" s="14"/>
      <c r="CC886" s="14"/>
      <c r="CD886" s="14"/>
      <c r="CE886" s="14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</row>
    <row r="887">
      <c r="A887" s="12"/>
      <c r="B887" s="14"/>
      <c r="C887" s="14"/>
      <c r="D887" s="14"/>
      <c r="E887" s="12"/>
      <c r="F887" s="307"/>
      <c r="G887" s="307"/>
      <c r="H887" s="12"/>
      <c r="I887" s="30"/>
      <c r="J887" s="12"/>
      <c r="K887" s="12"/>
      <c r="L887" s="12"/>
      <c r="M887" s="12"/>
      <c r="N887" s="12"/>
      <c r="O887" s="308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4"/>
      <c r="BF887" s="12"/>
      <c r="BG887" s="12"/>
      <c r="BH887" s="12" t="str">
        <f>IFERROR(__xludf.DUMMYFUNCTION("IFERROR(INDEX(QUERY(IMPORTRANGE(""1T7HG8KEs-Ob7f3M5atEVN9Yn7IeORGp0QGvggB62ELw"",""Maestro!A:I""),""SELECT Col8 WHERE Col3 = '""&amp;BE887&amp;""'"", 0), 1, 1),""NO ENCONTRADO"")"),"")</f>
        <v/>
      </c>
      <c r="BI887" s="12" t="str">
        <f>IFERROR(__xludf.DUMMYFUNCTION("IFERROR(INDEX(QUERY(IMPORTRANGE(""1T7HG8KEs-Ob7f3M5atEVN9Yn7IeORGp0QGvggB62ELw"",""Maestro!A:I""),""SELECT Col7 WHERE Col3 = '""&amp;BE887&amp;""'"", 0), 1, 1),""NO ENCONTRADO"")"),"")</f>
        <v/>
      </c>
      <c r="BJ887" s="16">
        <f t="shared" si="15"/>
        <v>0</v>
      </c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4"/>
      <c r="BX887" s="14"/>
      <c r="BY887" s="14"/>
      <c r="BZ887" s="14"/>
      <c r="CA887" s="14"/>
      <c r="CB887" s="14"/>
      <c r="CC887" s="14"/>
      <c r="CD887" s="14"/>
      <c r="CE887" s="14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</row>
    <row r="888">
      <c r="A888" s="12"/>
      <c r="B888" s="14"/>
      <c r="C888" s="14"/>
      <c r="D888" s="14"/>
      <c r="E888" s="12"/>
      <c r="F888" s="307"/>
      <c r="G888" s="307"/>
      <c r="H888" s="12"/>
      <c r="I888" s="30"/>
      <c r="J888" s="12"/>
      <c r="K888" s="12"/>
      <c r="L888" s="12"/>
      <c r="M888" s="12"/>
      <c r="N888" s="12"/>
      <c r="O888" s="308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4"/>
      <c r="BF888" s="12"/>
      <c r="BG888" s="12"/>
      <c r="BH888" s="12" t="str">
        <f>IFERROR(__xludf.DUMMYFUNCTION("IFERROR(INDEX(QUERY(IMPORTRANGE(""1T7HG8KEs-Ob7f3M5atEVN9Yn7IeORGp0QGvggB62ELw"",""Maestro!A:I""),""SELECT Col8 WHERE Col3 = '""&amp;BE888&amp;""'"", 0), 1, 1),""NO ENCONTRADO"")"),"")</f>
        <v/>
      </c>
      <c r="BI888" s="12" t="str">
        <f>IFERROR(__xludf.DUMMYFUNCTION("IFERROR(INDEX(QUERY(IMPORTRANGE(""1T7HG8KEs-Ob7f3M5atEVN9Yn7IeORGp0QGvggB62ELw"",""Maestro!A:I""),""SELECT Col7 WHERE Col3 = '""&amp;BE888&amp;""'"", 0), 1, 1),""NO ENCONTRADO"")"),"")</f>
        <v/>
      </c>
      <c r="BJ888" s="16">
        <f t="shared" si="15"/>
        <v>0</v>
      </c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4"/>
      <c r="BX888" s="14"/>
      <c r="BY888" s="14"/>
      <c r="BZ888" s="14"/>
      <c r="CA888" s="14"/>
      <c r="CB888" s="14"/>
      <c r="CC888" s="14"/>
      <c r="CD888" s="14"/>
      <c r="CE888" s="14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</row>
    <row r="889">
      <c r="A889" s="12"/>
      <c r="B889" s="14"/>
      <c r="C889" s="14"/>
      <c r="D889" s="14"/>
      <c r="E889" s="12"/>
      <c r="F889" s="307"/>
      <c r="G889" s="307"/>
      <c r="H889" s="12"/>
      <c r="I889" s="30"/>
      <c r="J889" s="12"/>
      <c r="K889" s="12"/>
      <c r="L889" s="12"/>
      <c r="M889" s="12"/>
      <c r="N889" s="12"/>
      <c r="O889" s="308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4"/>
      <c r="BF889" s="12"/>
      <c r="BG889" s="12"/>
      <c r="BH889" s="12" t="str">
        <f>IFERROR(__xludf.DUMMYFUNCTION("IFERROR(INDEX(QUERY(IMPORTRANGE(""1T7HG8KEs-Ob7f3M5atEVN9Yn7IeORGp0QGvggB62ELw"",""Maestro!A:I""),""SELECT Col8 WHERE Col3 = '""&amp;BE889&amp;""'"", 0), 1, 1),""NO ENCONTRADO"")"),"")</f>
        <v/>
      </c>
      <c r="BI889" s="12" t="str">
        <f>IFERROR(__xludf.DUMMYFUNCTION("IFERROR(INDEX(QUERY(IMPORTRANGE(""1T7HG8KEs-Ob7f3M5atEVN9Yn7IeORGp0QGvggB62ELw"",""Maestro!A:I""),""SELECT Col7 WHERE Col3 = '""&amp;BE889&amp;""'"", 0), 1, 1),""NO ENCONTRADO"")"),"")</f>
        <v/>
      </c>
      <c r="BJ889" s="16">
        <f t="shared" si="15"/>
        <v>0</v>
      </c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4"/>
      <c r="BX889" s="14"/>
      <c r="BY889" s="14"/>
      <c r="BZ889" s="14"/>
      <c r="CA889" s="14"/>
      <c r="CB889" s="14"/>
      <c r="CC889" s="14"/>
      <c r="CD889" s="14"/>
      <c r="CE889" s="14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</row>
    <row r="890">
      <c r="A890" s="12"/>
      <c r="B890" s="14"/>
      <c r="C890" s="14"/>
      <c r="D890" s="14"/>
      <c r="E890" s="12"/>
      <c r="F890" s="307"/>
      <c r="G890" s="307"/>
      <c r="H890" s="12"/>
      <c r="I890" s="30"/>
      <c r="J890" s="12"/>
      <c r="K890" s="12"/>
      <c r="L890" s="12"/>
      <c r="M890" s="12"/>
      <c r="N890" s="12"/>
      <c r="O890" s="308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4"/>
      <c r="BF890" s="12"/>
      <c r="BG890" s="12"/>
      <c r="BH890" s="12" t="str">
        <f>IFERROR(__xludf.DUMMYFUNCTION("IFERROR(INDEX(QUERY(IMPORTRANGE(""1T7HG8KEs-Ob7f3M5atEVN9Yn7IeORGp0QGvggB62ELw"",""Maestro!A:I""),""SELECT Col8 WHERE Col3 = '""&amp;BE890&amp;""'"", 0), 1, 1),""NO ENCONTRADO"")"),"")</f>
        <v/>
      </c>
      <c r="BI890" s="12" t="str">
        <f>IFERROR(__xludf.DUMMYFUNCTION("IFERROR(INDEX(QUERY(IMPORTRANGE(""1T7HG8KEs-Ob7f3M5atEVN9Yn7IeORGp0QGvggB62ELw"",""Maestro!A:I""),""SELECT Col7 WHERE Col3 = '""&amp;BE890&amp;""'"", 0), 1, 1),""NO ENCONTRADO"")"),"")</f>
        <v/>
      </c>
      <c r="BJ890" s="16">
        <f t="shared" si="15"/>
        <v>0</v>
      </c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4"/>
      <c r="BX890" s="14"/>
      <c r="BY890" s="14"/>
      <c r="BZ890" s="14"/>
      <c r="CA890" s="14"/>
      <c r="CB890" s="14"/>
      <c r="CC890" s="14"/>
      <c r="CD890" s="14"/>
      <c r="CE890" s="14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</row>
    <row r="891">
      <c r="A891" s="12"/>
      <c r="B891" s="14"/>
      <c r="C891" s="14"/>
      <c r="D891" s="14"/>
      <c r="E891" s="12"/>
      <c r="F891" s="307"/>
      <c r="G891" s="307"/>
      <c r="H891" s="12"/>
      <c r="I891" s="30"/>
      <c r="J891" s="12"/>
      <c r="K891" s="12"/>
      <c r="L891" s="12"/>
      <c r="M891" s="12"/>
      <c r="N891" s="12"/>
      <c r="O891" s="308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4"/>
      <c r="BF891" s="12"/>
      <c r="BG891" s="12"/>
      <c r="BH891" s="12" t="str">
        <f>IFERROR(__xludf.DUMMYFUNCTION("IFERROR(INDEX(QUERY(IMPORTRANGE(""1T7HG8KEs-Ob7f3M5atEVN9Yn7IeORGp0QGvggB62ELw"",""Maestro!A:I""),""SELECT Col8 WHERE Col3 = '""&amp;BE891&amp;""'"", 0), 1, 1),""NO ENCONTRADO"")"),"")</f>
        <v/>
      </c>
      <c r="BI891" s="12" t="str">
        <f>IFERROR(__xludf.DUMMYFUNCTION("IFERROR(INDEX(QUERY(IMPORTRANGE(""1T7HG8KEs-Ob7f3M5atEVN9Yn7IeORGp0QGvggB62ELw"",""Maestro!A:I""),""SELECT Col7 WHERE Col3 = '""&amp;BE891&amp;""'"", 0), 1, 1),""NO ENCONTRADO"")"),"")</f>
        <v/>
      </c>
      <c r="BJ891" s="16">
        <f t="shared" si="15"/>
        <v>0</v>
      </c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4"/>
      <c r="BX891" s="14"/>
      <c r="BY891" s="14"/>
      <c r="BZ891" s="14"/>
      <c r="CA891" s="14"/>
      <c r="CB891" s="14"/>
      <c r="CC891" s="14"/>
      <c r="CD891" s="14"/>
      <c r="CE891" s="14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</row>
    <row r="892">
      <c r="A892" s="12"/>
      <c r="B892" s="14"/>
      <c r="C892" s="14"/>
      <c r="D892" s="14"/>
      <c r="E892" s="12"/>
      <c r="F892" s="307"/>
      <c r="G892" s="307"/>
      <c r="H892" s="12"/>
      <c r="I892" s="30"/>
      <c r="J892" s="12"/>
      <c r="K892" s="12"/>
      <c r="L892" s="12"/>
      <c r="M892" s="12"/>
      <c r="N892" s="12"/>
      <c r="O892" s="308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4"/>
      <c r="BF892" s="12"/>
      <c r="BG892" s="12"/>
      <c r="BH892" s="12" t="str">
        <f>IFERROR(__xludf.DUMMYFUNCTION("IFERROR(INDEX(QUERY(IMPORTRANGE(""1T7HG8KEs-Ob7f3M5atEVN9Yn7IeORGp0QGvggB62ELw"",""Maestro!A:I""),""SELECT Col8 WHERE Col3 = '""&amp;BE892&amp;""'"", 0), 1, 1),""NO ENCONTRADO"")"),"")</f>
        <v/>
      </c>
      <c r="BI892" s="12" t="str">
        <f>IFERROR(__xludf.DUMMYFUNCTION("IFERROR(INDEX(QUERY(IMPORTRANGE(""1T7HG8KEs-Ob7f3M5atEVN9Yn7IeORGp0QGvggB62ELw"",""Maestro!A:I""),""SELECT Col7 WHERE Col3 = '""&amp;BE892&amp;""'"", 0), 1, 1),""NO ENCONTRADO"")"),"")</f>
        <v/>
      </c>
      <c r="BJ892" s="16">
        <f t="shared" si="15"/>
        <v>0</v>
      </c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4"/>
      <c r="BX892" s="14"/>
      <c r="BY892" s="14"/>
      <c r="BZ892" s="14"/>
      <c r="CA892" s="14"/>
      <c r="CB892" s="14"/>
      <c r="CC892" s="14"/>
      <c r="CD892" s="14"/>
      <c r="CE892" s="14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</row>
    <row r="893">
      <c r="A893" s="12"/>
      <c r="B893" s="14"/>
      <c r="C893" s="14"/>
      <c r="D893" s="14"/>
      <c r="E893" s="12"/>
      <c r="F893" s="307"/>
      <c r="G893" s="307"/>
      <c r="H893" s="12"/>
      <c r="I893" s="30"/>
      <c r="J893" s="12"/>
      <c r="K893" s="12"/>
      <c r="L893" s="12"/>
      <c r="M893" s="12"/>
      <c r="N893" s="12"/>
      <c r="O893" s="308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4"/>
      <c r="BF893" s="12"/>
      <c r="BG893" s="12"/>
      <c r="BH893" s="12" t="str">
        <f>IFERROR(__xludf.DUMMYFUNCTION("IFERROR(INDEX(QUERY(IMPORTRANGE(""1T7HG8KEs-Ob7f3M5atEVN9Yn7IeORGp0QGvggB62ELw"",""Maestro!A:I""),""SELECT Col8 WHERE Col3 = '""&amp;BE893&amp;""'"", 0), 1, 1),""NO ENCONTRADO"")"),"")</f>
        <v/>
      </c>
      <c r="BI893" s="12" t="str">
        <f>IFERROR(__xludf.DUMMYFUNCTION("IFERROR(INDEX(QUERY(IMPORTRANGE(""1T7HG8KEs-Ob7f3M5atEVN9Yn7IeORGp0QGvggB62ELw"",""Maestro!A:I""),""SELECT Col7 WHERE Col3 = '""&amp;BE893&amp;""'"", 0), 1, 1),""NO ENCONTRADO"")"),"")</f>
        <v/>
      </c>
      <c r="BJ893" s="16">
        <f t="shared" si="15"/>
        <v>0</v>
      </c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4"/>
      <c r="BX893" s="14"/>
      <c r="BY893" s="14"/>
      <c r="BZ893" s="14"/>
      <c r="CA893" s="14"/>
      <c r="CB893" s="14"/>
      <c r="CC893" s="14"/>
      <c r="CD893" s="14"/>
      <c r="CE893" s="14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</row>
    <row r="894">
      <c r="A894" s="12"/>
      <c r="B894" s="14"/>
      <c r="C894" s="14"/>
      <c r="D894" s="14"/>
      <c r="E894" s="12"/>
      <c r="F894" s="307"/>
      <c r="G894" s="307"/>
      <c r="H894" s="12"/>
      <c r="I894" s="30"/>
      <c r="J894" s="12"/>
      <c r="K894" s="12"/>
      <c r="L894" s="12"/>
      <c r="M894" s="12"/>
      <c r="N894" s="12"/>
      <c r="O894" s="308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4"/>
      <c r="BF894" s="12"/>
      <c r="BG894" s="12"/>
      <c r="BH894" s="12" t="str">
        <f>IFERROR(__xludf.DUMMYFUNCTION("IFERROR(INDEX(QUERY(IMPORTRANGE(""1T7HG8KEs-Ob7f3M5atEVN9Yn7IeORGp0QGvggB62ELw"",""Maestro!A:I""),""SELECT Col8 WHERE Col3 = '""&amp;BE894&amp;""'"", 0), 1, 1),""NO ENCONTRADO"")"),"")</f>
        <v/>
      </c>
      <c r="BI894" s="12" t="str">
        <f>IFERROR(__xludf.DUMMYFUNCTION("IFERROR(INDEX(QUERY(IMPORTRANGE(""1T7HG8KEs-Ob7f3M5atEVN9Yn7IeORGp0QGvggB62ELw"",""Maestro!A:I""),""SELECT Col7 WHERE Col3 = '""&amp;BE894&amp;""'"", 0), 1, 1),""NO ENCONTRADO"")"),"")</f>
        <v/>
      </c>
      <c r="BJ894" s="16">
        <f t="shared" si="15"/>
        <v>0</v>
      </c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4"/>
      <c r="BX894" s="14"/>
      <c r="BY894" s="14"/>
      <c r="BZ894" s="14"/>
      <c r="CA894" s="14"/>
      <c r="CB894" s="14"/>
      <c r="CC894" s="14"/>
      <c r="CD894" s="14"/>
      <c r="CE894" s="14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</row>
    <row r="895">
      <c r="A895" s="12"/>
      <c r="B895" s="14"/>
      <c r="C895" s="14"/>
      <c r="D895" s="14"/>
      <c r="E895" s="12"/>
      <c r="F895" s="307"/>
      <c r="G895" s="307"/>
      <c r="H895" s="12"/>
      <c r="I895" s="30"/>
      <c r="J895" s="12"/>
      <c r="K895" s="12"/>
      <c r="L895" s="12"/>
      <c r="M895" s="12"/>
      <c r="N895" s="12"/>
      <c r="O895" s="308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4"/>
      <c r="BF895" s="12"/>
      <c r="BG895" s="12"/>
      <c r="BH895" s="12" t="str">
        <f>IFERROR(__xludf.DUMMYFUNCTION("IFERROR(INDEX(QUERY(IMPORTRANGE(""1T7HG8KEs-Ob7f3M5atEVN9Yn7IeORGp0QGvggB62ELw"",""Maestro!A:I""),""SELECT Col8 WHERE Col3 = '""&amp;BE895&amp;""'"", 0), 1, 1),""NO ENCONTRADO"")"),"")</f>
        <v/>
      </c>
      <c r="BI895" s="12" t="str">
        <f>IFERROR(__xludf.DUMMYFUNCTION("IFERROR(INDEX(QUERY(IMPORTRANGE(""1T7HG8KEs-Ob7f3M5atEVN9Yn7IeORGp0QGvggB62ELw"",""Maestro!A:I""),""SELECT Col7 WHERE Col3 = '""&amp;BE895&amp;""'"", 0), 1, 1),""NO ENCONTRADO"")"),"")</f>
        <v/>
      </c>
      <c r="BJ895" s="16">
        <f t="shared" si="15"/>
        <v>0</v>
      </c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4"/>
      <c r="BX895" s="14"/>
      <c r="BY895" s="14"/>
      <c r="BZ895" s="14"/>
      <c r="CA895" s="14"/>
      <c r="CB895" s="14"/>
      <c r="CC895" s="14"/>
      <c r="CD895" s="14"/>
      <c r="CE895" s="14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</row>
    <row r="896">
      <c r="A896" s="12"/>
      <c r="B896" s="14"/>
      <c r="C896" s="14"/>
      <c r="D896" s="14"/>
      <c r="E896" s="12"/>
      <c r="F896" s="307"/>
      <c r="G896" s="307"/>
      <c r="H896" s="12"/>
      <c r="I896" s="30"/>
      <c r="J896" s="12"/>
      <c r="K896" s="12"/>
      <c r="L896" s="12"/>
      <c r="M896" s="12"/>
      <c r="N896" s="12"/>
      <c r="O896" s="308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4"/>
      <c r="BF896" s="12"/>
      <c r="BG896" s="12"/>
      <c r="BH896" s="12" t="str">
        <f>IFERROR(__xludf.DUMMYFUNCTION("IFERROR(INDEX(QUERY(IMPORTRANGE(""1T7HG8KEs-Ob7f3M5atEVN9Yn7IeORGp0QGvggB62ELw"",""Maestro!A:I""),""SELECT Col8 WHERE Col3 = '""&amp;BE896&amp;""'"", 0), 1, 1),""NO ENCONTRADO"")"),"")</f>
        <v/>
      </c>
      <c r="BI896" s="12" t="str">
        <f>IFERROR(__xludf.DUMMYFUNCTION("IFERROR(INDEX(QUERY(IMPORTRANGE(""1T7HG8KEs-Ob7f3M5atEVN9Yn7IeORGp0QGvggB62ELw"",""Maestro!A:I""),""SELECT Col7 WHERE Col3 = '""&amp;BE896&amp;""'"", 0), 1, 1),""NO ENCONTRADO"")"),"")</f>
        <v/>
      </c>
      <c r="BJ896" s="16">
        <f t="shared" si="15"/>
        <v>0</v>
      </c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4"/>
      <c r="BX896" s="14"/>
      <c r="BY896" s="14"/>
      <c r="BZ896" s="14"/>
      <c r="CA896" s="14"/>
      <c r="CB896" s="14"/>
      <c r="CC896" s="14"/>
      <c r="CD896" s="14"/>
      <c r="CE896" s="14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</row>
    <row r="897">
      <c r="A897" s="12"/>
      <c r="B897" s="14"/>
      <c r="C897" s="14"/>
      <c r="D897" s="14"/>
      <c r="E897" s="12"/>
      <c r="F897" s="307"/>
      <c r="G897" s="307"/>
      <c r="H897" s="12"/>
      <c r="I897" s="30"/>
      <c r="J897" s="12"/>
      <c r="K897" s="12"/>
      <c r="L897" s="12"/>
      <c r="M897" s="12"/>
      <c r="N897" s="12"/>
      <c r="O897" s="308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4"/>
      <c r="BF897" s="12"/>
      <c r="BG897" s="12"/>
      <c r="BH897" s="12" t="str">
        <f>IFERROR(__xludf.DUMMYFUNCTION("IFERROR(INDEX(QUERY(IMPORTRANGE(""1T7HG8KEs-Ob7f3M5atEVN9Yn7IeORGp0QGvggB62ELw"",""Maestro!A:I""),""SELECT Col8 WHERE Col3 = '""&amp;BE897&amp;""'"", 0), 1, 1),""NO ENCONTRADO"")"),"")</f>
        <v/>
      </c>
      <c r="BI897" s="12" t="str">
        <f>IFERROR(__xludf.DUMMYFUNCTION("IFERROR(INDEX(QUERY(IMPORTRANGE(""1T7HG8KEs-Ob7f3M5atEVN9Yn7IeORGp0QGvggB62ELw"",""Maestro!A:I""),""SELECT Col7 WHERE Col3 = '""&amp;BE897&amp;""'"", 0), 1, 1),""NO ENCONTRADO"")"),"")</f>
        <v/>
      </c>
      <c r="BJ897" s="16">
        <f t="shared" si="15"/>
        <v>0</v>
      </c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4"/>
      <c r="BX897" s="14"/>
      <c r="BY897" s="14"/>
      <c r="BZ897" s="14"/>
      <c r="CA897" s="14"/>
      <c r="CB897" s="14"/>
      <c r="CC897" s="14"/>
      <c r="CD897" s="14"/>
      <c r="CE897" s="14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</row>
    <row r="898">
      <c r="A898" s="12"/>
      <c r="B898" s="14"/>
      <c r="C898" s="14"/>
      <c r="D898" s="14"/>
      <c r="E898" s="12"/>
      <c r="F898" s="307"/>
      <c r="G898" s="307"/>
      <c r="H898" s="12"/>
      <c r="I898" s="30"/>
      <c r="J898" s="12"/>
      <c r="K898" s="12"/>
      <c r="L898" s="12"/>
      <c r="M898" s="12"/>
      <c r="N898" s="12"/>
      <c r="O898" s="308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4"/>
      <c r="BF898" s="12"/>
      <c r="BG898" s="12"/>
      <c r="BH898" s="12" t="str">
        <f>IFERROR(__xludf.DUMMYFUNCTION("IFERROR(INDEX(QUERY(IMPORTRANGE(""1T7HG8KEs-Ob7f3M5atEVN9Yn7IeORGp0QGvggB62ELw"",""Maestro!A:I""),""SELECT Col8 WHERE Col3 = '""&amp;BE898&amp;""'"", 0), 1, 1),""NO ENCONTRADO"")"),"")</f>
        <v/>
      </c>
      <c r="BI898" s="12" t="str">
        <f>IFERROR(__xludf.DUMMYFUNCTION("IFERROR(INDEX(QUERY(IMPORTRANGE(""1T7HG8KEs-Ob7f3M5atEVN9Yn7IeORGp0QGvggB62ELw"",""Maestro!A:I""),""SELECT Col7 WHERE Col3 = '""&amp;BE898&amp;""'"", 0), 1, 1),""NO ENCONTRADO"")"),"")</f>
        <v/>
      </c>
      <c r="BJ898" s="16">
        <f t="shared" si="15"/>
        <v>0</v>
      </c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4"/>
      <c r="BX898" s="14"/>
      <c r="BY898" s="14"/>
      <c r="BZ898" s="14"/>
      <c r="CA898" s="14"/>
      <c r="CB898" s="14"/>
      <c r="CC898" s="14"/>
      <c r="CD898" s="14"/>
      <c r="CE898" s="14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</row>
    <row r="899">
      <c r="A899" s="12"/>
      <c r="B899" s="14"/>
      <c r="C899" s="14"/>
      <c r="D899" s="14"/>
      <c r="E899" s="12"/>
      <c r="F899" s="307"/>
      <c r="G899" s="307"/>
      <c r="H899" s="12"/>
      <c r="I899" s="30"/>
      <c r="J899" s="12"/>
      <c r="K899" s="12"/>
      <c r="L899" s="12"/>
      <c r="M899" s="12"/>
      <c r="N899" s="12"/>
      <c r="O899" s="308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4"/>
      <c r="BF899" s="12"/>
      <c r="BG899" s="12"/>
      <c r="BH899" s="12" t="str">
        <f>IFERROR(__xludf.DUMMYFUNCTION("IFERROR(INDEX(QUERY(IMPORTRANGE(""1T7HG8KEs-Ob7f3M5atEVN9Yn7IeORGp0QGvggB62ELw"",""Maestro!A:I""),""SELECT Col8 WHERE Col3 = '""&amp;BE899&amp;""'"", 0), 1, 1),""NO ENCONTRADO"")"),"")</f>
        <v/>
      </c>
      <c r="BI899" s="12" t="str">
        <f>IFERROR(__xludf.DUMMYFUNCTION("IFERROR(INDEX(QUERY(IMPORTRANGE(""1T7HG8KEs-Ob7f3M5atEVN9Yn7IeORGp0QGvggB62ELw"",""Maestro!A:I""),""SELECT Col7 WHERE Col3 = '""&amp;BE899&amp;""'"", 0), 1, 1),""NO ENCONTRADO"")"),"")</f>
        <v/>
      </c>
      <c r="BJ899" s="16">
        <f t="shared" si="15"/>
        <v>0</v>
      </c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4"/>
      <c r="BX899" s="14"/>
      <c r="BY899" s="14"/>
      <c r="BZ899" s="14"/>
      <c r="CA899" s="14"/>
      <c r="CB899" s="14"/>
      <c r="CC899" s="14"/>
      <c r="CD899" s="14"/>
      <c r="CE899" s="14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</row>
    <row r="900">
      <c r="A900" s="12"/>
      <c r="B900" s="14"/>
      <c r="C900" s="14"/>
      <c r="D900" s="14"/>
      <c r="E900" s="12"/>
      <c r="F900" s="307"/>
      <c r="G900" s="307"/>
      <c r="H900" s="12"/>
      <c r="I900" s="30"/>
      <c r="J900" s="12"/>
      <c r="K900" s="12"/>
      <c r="L900" s="12"/>
      <c r="M900" s="12"/>
      <c r="N900" s="12"/>
      <c r="O900" s="308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4"/>
      <c r="BF900" s="12"/>
      <c r="BG900" s="12"/>
      <c r="BH900" s="12" t="str">
        <f>IFERROR(__xludf.DUMMYFUNCTION("IFERROR(INDEX(QUERY(IMPORTRANGE(""1T7HG8KEs-Ob7f3M5atEVN9Yn7IeORGp0QGvggB62ELw"",""Maestro!A:I""),""SELECT Col8 WHERE Col3 = '""&amp;BE900&amp;""'"", 0), 1, 1),""NO ENCONTRADO"")"),"")</f>
        <v/>
      </c>
      <c r="BI900" s="12" t="str">
        <f>IFERROR(__xludf.DUMMYFUNCTION("IFERROR(INDEX(QUERY(IMPORTRANGE(""1T7HG8KEs-Ob7f3M5atEVN9Yn7IeORGp0QGvggB62ELw"",""Maestro!A:I""),""SELECT Col7 WHERE Col3 = '""&amp;BE900&amp;""'"", 0), 1, 1),""NO ENCONTRADO"")"),"")</f>
        <v/>
      </c>
      <c r="BJ900" s="16">
        <f t="shared" si="15"/>
        <v>0</v>
      </c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4"/>
      <c r="BX900" s="14"/>
      <c r="BY900" s="14"/>
      <c r="BZ900" s="14"/>
      <c r="CA900" s="14"/>
      <c r="CB900" s="14"/>
      <c r="CC900" s="14"/>
      <c r="CD900" s="14"/>
      <c r="CE900" s="14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</row>
    <row r="901">
      <c r="A901" s="12"/>
      <c r="B901" s="14"/>
      <c r="C901" s="14"/>
      <c r="D901" s="14"/>
      <c r="E901" s="12"/>
      <c r="F901" s="307"/>
      <c r="G901" s="307"/>
      <c r="H901" s="12"/>
      <c r="I901" s="30"/>
      <c r="J901" s="12"/>
      <c r="K901" s="12"/>
      <c r="L901" s="12"/>
      <c r="M901" s="12"/>
      <c r="N901" s="12"/>
      <c r="O901" s="308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4"/>
      <c r="BF901" s="12"/>
      <c r="BG901" s="12"/>
      <c r="BH901" s="12" t="str">
        <f>IFERROR(__xludf.DUMMYFUNCTION("IFERROR(INDEX(QUERY(IMPORTRANGE(""1T7HG8KEs-Ob7f3M5atEVN9Yn7IeORGp0QGvggB62ELw"",""Maestro!A:I""),""SELECT Col8 WHERE Col3 = '""&amp;BE901&amp;""'"", 0), 1, 1),""NO ENCONTRADO"")"),"")</f>
        <v/>
      </c>
      <c r="BI901" s="12" t="str">
        <f>IFERROR(__xludf.DUMMYFUNCTION("IFERROR(INDEX(QUERY(IMPORTRANGE(""1T7HG8KEs-Ob7f3M5atEVN9Yn7IeORGp0QGvggB62ELw"",""Maestro!A:I""),""SELECT Col7 WHERE Col3 = '""&amp;BE901&amp;""'"", 0), 1, 1),""NO ENCONTRADO"")"),"")</f>
        <v/>
      </c>
      <c r="BJ901" s="16">
        <f t="shared" si="15"/>
        <v>0</v>
      </c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4"/>
      <c r="BX901" s="14"/>
      <c r="BY901" s="14"/>
      <c r="BZ901" s="14"/>
      <c r="CA901" s="14"/>
      <c r="CB901" s="14"/>
      <c r="CC901" s="14"/>
      <c r="CD901" s="14"/>
      <c r="CE901" s="14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</row>
    <row r="902">
      <c r="A902" s="12"/>
      <c r="B902" s="14"/>
      <c r="C902" s="14"/>
      <c r="D902" s="14"/>
      <c r="E902" s="12"/>
      <c r="F902" s="307"/>
      <c r="G902" s="307"/>
      <c r="H902" s="12"/>
      <c r="I902" s="30"/>
      <c r="J902" s="12"/>
      <c r="K902" s="12"/>
      <c r="L902" s="12"/>
      <c r="M902" s="12"/>
      <c r="N902" s="12"/>
      <c r="O902" s="308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4"/>
      <c r="BF902" s="12"/>
      <c r="BG902" s="12"/>
      <c r="BH902" s="12" t="str">
        <f>IFERROR(__xludf.DUMMYFUNCTION("IFERROR(INDEX(QUERY(IMPORTRANGE(""1T7HG8KEs-Ob7f3M5atEVN9Yn7IeORGp0QGvggB62ELw"",""Maestro!A:I""),""SELECT Col8 WHERE Col3 = '""&amp;BE902&amp;""'"", 0), 1, 1),""NO ENCONTRADO"")"),"")</f>
        <v/>
      </c>
      <c r="BI902" s="12" t="str">
        <f>IFERROR(__xludf.DUMMYFUNCTION("IFERROR(INDEX(QUERY(IMPORTRANGE(""1T7HG8KEs-Ob7f3M5atEVN9Yn7IeORGp0QGvggB62ELw"",""Maestro!A:I""),""SELECT Col7 WHERE Col3 = '""&amp;BE902&amp;""'"", 0), 1, 1),""NO ENCONTRADO"")"),"")</f>
        <v/>
      </c>
      <c r="BJ902" s="16">
        <f t="shared" si="15"/>
        <v>0</v>
      </c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4"/>
      <c r="BX902" s="14"/>
      <c r="BY902" s="14"/>
      <c r="BZ902" s="14"/>
      <c r="CA902" s="14"/>
      <c r="CB902" s="14"/>
      <c r="CC902" s="14"/>
      <c r="CD902" s="14"/>
      <c r="CE902" s="14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</row>
    <row r="903">
      <c r="A903" s="12"/>
      <c r="B903" s="14"/>
      <c r="C903" s="14"/>
      <c r="D903" s="14"/>
      <c r="E903" s="12"/>
      <c r="F903" s="307"/>
      <c r="G903" s="307"/>
      <c r="H903" s="12"/>
      <c r="I903" s="30"/>
      <c r="J903" s="12"/>
      <c r="K903" s="12"/>
      <c r="L903" s="12"/>
      <c r="M903" s="12"/>
      <c r="N903" s="12"/>
      <c r="O903" s="308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4"/>
      <c r="BF903" s="12"/>
      <c r="BG903" s="12"/>
      <c r="BH903" s="12" t="str">
        <f>IFERROR(__xludf.DUMMYFUNCTION("IFERROR(INDEX(QUERY(IMPORTRANGE(""1T7HG8KEs-Ob7f3M5atEVN9Yn7IeORGp0QGvggB62ELw"",""Maestro!A:I""),""SELECT Col8 WHERE Col3 = '""&amp;BE903&amp;""'"", 0), 1, 1),""NO ENCONTRADO"")"),"")</f>
        <v/>
      </c>
      <c r="BI903" s="12" t="str">
        <f>IFERROR(__xludf.DUMMYFUNCTION("IFERROR(INDEX(QUERY(IMPORTRANGE(""1T7HG8KEs-Ob7f3M5atEVN9Yn7IeORGp0QGvggB62ELw"",""Maestro!A:I""),""SELECT Col7 WHERE Col3 = '""&amp;BE903&amp;""'"", 0), 1, 1),""NO ENCONTRADO"")"),"")</f>
        <v/>
      </c>
      <c r="BJ903" s="16">
        <f t="shared" si="15"/>
        <v>0</v>
      </c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4"/>
      <c r="BX903" s="14"/>
      <c r="BY903" s="14"/>
      <c r="BZ903" s="14"/>
      <c r="CA903" s="14"/>
      <c r="CB903" s="14"/>
      <c r="CC903" s="14"/>
      <c r="CD903" s="14"/>
      <c r="CE903" s="14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</row>
    <row r="904">
      <c r="A904" s="12"/>
      <c r="B904" s="14"/>
      <c r="C904" s="14"/>
      <c r="D904" s="14"/>
      <c r="E904" s="12"/>
      <c r="F904" s="307"/>
      <c r="G904" s="307"/>
      <c r="H904" s="12"/>
      <c r="I904" s="30"/>
      <c r="J904" s="12"/>
      <c r="K904" s="12"/>
      <c r="L904" s="12"/>
      <c r="M904" s="12"/>
      <c r="N904" s="12"/>
      <c r="O904" s="308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4"/>
      <c r="BF904" s="12"/>
      <c r="BG904" s="12"/>
      <c r="BH904" s="12" t="str">
        <f>IFERROR(__xludf.DUMMYFUNCTION("IFERROR(INDEX(QUERY(IMPORTRANGE(""1T7HG8KEs-Ob7f3M5atEVN9Yn7IeORGp0QGvggB62ELw"",""Maestro!A:I""),""SELECT Col8 WHERE Col3 = '""&amp;BE904&amp;""'"", 0), 1, 1),""NO ENCONTRADO"")"),"")</f>
        <v/>
      </c>
      <c r="BI904" s="12" t="str">
        <f>IFERROR(__xludf.DUMMYFUNCTION("IFERROR(INDEX(QUERY(IMPORTRANGE(""1T7HG8KEs-Ob7f3M5atEVN9Yn7IeORGp0QGvggB62ELw"",""Maestro!A:I""),""SELECT Col7 WHERE Col3 = '""&amp;BE904&amp;""'"", 0), 1, 1),""NO ENCONTRADO"")"),"")</f>
        <v/>
      </c>
      <c r="BJ904" s="16">
        <f t="shared" si="15"/>
        <v>0</v>
      </c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4"/>
      <c r="BX904" s="14"/>
      <c r="BY904" s="14"/>
      <c r="BZ904" s="14"/>
      <c r="CA904" s="14"/>
      <c r="CB904" s="14"/>
      <c r="CC904" s="14"/>
      <c r="CD904" s="14"/>
      <c r="CE904" s="14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</row>
    <row r="905">
      <c r="A905" s="12"/>
      <c r="B905" s="14"/>
      <c r="C905" s="14"/>
      <c r="D905" s="14"/>
      <c r="E905" s="12"/>
      <c r="F905" s="307"/>
      <c r="G905" s="307"/>
      <c r="H905" s="12"/>
      <c r="I905" s="30"/>
      <c r="J905" s="12"/>
      <c r="K905" s="12"/>
      <c r="L905" s="12"/>
      <c r="M905" s="12"/>
      <c r="N905" s="12"/>
      <c r="O905" s="308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4"/>
      <c r="BF905" s="12"/>
      <c r="BG905" s="12"/>
      <c r="BH905" s="12" t="str">
        <f>IFERROR(__xludf.DUMMYFUNCTION("IFERROR(INDEX(QUERY(IMPORTRANGE(""1T7HG8KEs-Ob7f3M5atEVN9Yn7IeORGp0QGvggB62ELw"",""Maestro!A:I""),""SELECT Col8 WHERE Col3 = '""&amp;BE905&amp;""'"", 0), 1, 1),""NO ENCONTRADO"")"),"")</f>
        <v/>
      </c>
      <c r="BI905" s="12" t="str">
        <f>IFERROR(__xludf.DUMMYFUNCTION("IFERROR(INDEX(QUERY(IMPORTRANGE(""1T7HG8KEs-Ob7f3M5atEVN9Yn7IeORGp0QGvggB62ELw"",""Maestro!A:I""),""SELECT Col7 WHERE Col3 = '""&amp;BE905&amp;""'"", 0), 1, 1),""NO ENCONTRADO"")"),"")</f>
        <v/>
      </c>
      <c r="BJ905" s="16">
        <f t="shared" si="15"/>
        <v>0</v>
      </c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4"/>
      <c r="BX905" s="14"/>
      <c r="BY905" s="14"/>
      <c r="BZ905" s="14"/>
      <c r="CA905" s="14"/>
      <c r="CB905" s="14"/>
      <c r="CC905" s="14"/>
      <c r="CD905" s="14"/>
      <c r="CE905" s="14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</row>
    <row r="906">
      <c r="A906" s="12"/>
      <c r="B906" s="14"/>
      <c r="C906" s="14"/>
      <c r="D906" s="14"/>
      <c r="E906" s="12"/>
      <c r="F906" s="307"/>
      <c r="G906" s="307"/>
      <c r="H906" s="12"/>
      <c r="I906" s="30"/>
      <c r="J906" s="12"/>
      <c r="K906" s="12"/>
      <c r="L906" s="12"/>
      <c r="M906" s="12"/>
      <c r="N906" s="12"/>
      <c r="O906" s="308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4"/>
      <c r="BF906" s="12"/>
      <c r="BG906" s="12"/>
      <c r="BH906" s="12" t="str">
        <f>IFERROR(__xludf.DUMMYFUNCTION("IFERROR(INDEX(QUERY(IMPORTRANGE(""1T7HG8KEs-Ob7f3M5atEVN9Yn7IeORGp0QGvggB62ELw"",""Maestro!A:I""),""SELECT Col8 WHERE Col3 = '""&amp;BE906&amp;""'"", 0), 1, 1),""NO ENCONTRADO"")"),"")</f>
        <v/>
      </c>
      <c r="BI906" s="12" t="str">
        <f>IFERROR(__xludf.DUMMYFUNCTION("IFERROR(INDEX(QUERY(IMPORTRANGE(""1T7HG8KEs-Ob7f3M5atEVN9Yn7IeORGp0QGvggB62ELw"",""Maestro!A:I""),""SELECT Col7 WHERE Col3 = '""&amp;BE906&amp;""'"", 0), 1, 1),""NO ENCONTRADO"")"),"")</f>
        <v/>
      </c>
      <c r="BJ906" s="16">
        <f t="shared" si="15"/>
        <v>0</v>
      </c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4"/>
      <c r="BX906" s="14"/>
      <c r="BY906" s="14"/>
      <c r="BZ906" s="14"/>
      <c r="CA906" s="14"/>
      <c r="CB906" s="14"/>
      <c r="CC906" s="14"/>
      <c r="CD906" s="14"/>
      <c r="CE906" s="14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</row>
    <row r="907">
      <c r="A907" s="12"/>
      <c r="B907" s="14"/>
      <c r="C907" s="14"/>
      <c r="D907" s="14"/>
      <c r="E907" s="12"/>
      <c r="F907" s="307"/>
      <c r="G907" s="307"/>
      <c r="H907" s="12"/>
      <c r="I907" s="30"/>
      <c r="J907" s="12"/>
      <c r="K907" s="12"/>
      <c r="L907" s="12"/>
      <c r="M907" s="12"/>
      <c r="N907" s="12"/>
      <c r="O907" s="308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4"/>
      <c r="BF907" s="12"/>
      <c r="BG907" s="12"/>
      <c r="BH907" s="12" t="str">
        <f>IFERROR(__xludf.DUMMYFUNCTION("IFERROR(INDEX(QUERY(IMPORTRANGE(""1T7HG8KEs-Ob7f3M5atEVN9Yn7IeORGp0QGvggB62ELw"",""Maestro!A:I""),""SELECT Col8 WHERE Col3 = '""&amp;BE907&amp;""'"", 0), 1, 1),""NO ENCONTRADO"")"),"")</f>
        <v/>
      </c>
      <c r="BI907" s="12" t="str">
        <f>IFERROR(__xludf.DUMMYFUNCTION("IFERROR(INDEX(QUERY(IMPORTRANGE(""1T7HG8KEs-Ob7f3M5atEVN9Yn7IeORGp0QGvggB62ELw"",""Maestro!A:I""),""SELECT Col7 WHERE Col3 = '""&amp;BE907&amp;""'"", 0), 1, 1),""NO ENCONTRADO"")"),"")</f>
        <v/>
      </c>
      <c r="BJ907" s="16">
        <f t="shared" si="15"/>
        <v>0</v>
      </c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4"/>
      <c r="BX907" s="14"/>
      <c r="BY907" s="14"/>
      <c r="BZ907" s="14"/>
      <c r="CA907" s="14"/>
      <c r="CB907" s="14"/>
      <c r="CC907" s="14"/>
      <c r="CD907" s="14"/>
      <c r="CE907" s="14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</row>
    <row r="908">
      <c r="A908" s="12"/>
      <c r="B908" s="14"/>
      <c r="C908" s="14"/>
      <c r="D908" s="14"/>
      <c r="E908" s="12"/>
      <c r="F908" s="307"/>
      <c r="G908" s="307"/>
      <c r="H908" s="12"/>
      <c r="I908" s="30"/>
      <c r="J908" s="12"/>
      <c r="K908" s="12"/>
      <c r="L908" s="12"/>
      <c r="M908" s="12"/>
      <c r="N908" s="12"/>
      <c r="O908" s="308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4"/>
      <c r="BF908" s="12"/>
      <c r="BG908" s="12"/>
      <c r="BH908" s="12" t="str">
        <f>IFERROR(__xludf.DUMMYFUNCTION("IFERROR(INDEX(QUERY(IMPORTRANGE(""1T7HG8KEs-Ob7f3M5atEVN9Yn7IeORGp0QGvggB62ELw"",""Maestro!A:I""),""SELECT Col8 WHERE Col3 = '""&amp;BE908&amp;""'"", 0), 1, 1),""NO ENCONTRADO"")"),"")</f>
        <v/>
      </c>
      <c r="BI908" s="12" t="str">
        <f>IFERROR(__xludf.DUMMYFUNCTION("IFERROR(INDEX(QUERY(IMPORTRANGE(""1T7HG8KEs-Ob7f3M5atEVN9Yn7IeORGp0QGvggB62ELw"",""Maestro!A:I""),""SELECT Col7 WHERE Col3 = '""&amp;BE908&amp;""'"", 0), 1, 1),""NO ENCONTRADO"")"),"")</f>
        <v/>
      </c>
      <c r="BJ908" s="16">
        <f t="shared" si="15"/>
        <v>0</v>
      </c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4"/>
      <c r="BX908" s="14"/>
      <c r="BY908" s="14"/>
      <c r="BZ908" s="14"/>
      <c r="CA908" s="14"/>
      <c r="CB908" s="14"/>
      <c r="CC908" s="14"/>
      <c r="CD908" s="14"/>
      <c r="CE908" s="14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</row>
    <row r="909">
      <c r="A909" s="12"/>
      <c r="B909" s="14"/>
      <c r="C909" s="14"/>
      <c r="D909" s="14"/>
      <c r="E909" s="12"/>
      <c r="F909" s="307"/>
      <c r="G909" s="307"/>
      <c r="H909" s="12"/>
      <c r="I909" s="30"/>
      <c r="J909" s="12"/>
      <c r="K909" s="12"/>
      <c r="L909" s="12"/>
      <c r="M909" s="12"/>
      <c r="N909" s="12"/>
      <c r="O909" s="308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4"/>
      <c r="BF909" s="12"/>
      <c r="BG909" s="12"/>
      <c r="BH909" s="12" t="str">
        <f>IFERROR(__xludf.DUMMYFUNCTION("IFERROR(INDEX(QUERY(IMPORTRANGE(""1T7HG8KEs-Ob7f3M5atEVN9Yn7IeORGp0QGvggB62ELw"",""Maestro!A:I""),""SELECT Col8 WHERE Col3 = '""&amp;BE909&amp;""'"", 0), 1, 1),""NO ENCONTRADO"")"),"")</f>
        <v/>
      </c>
      <c r="BI909" s="12" t="str">
        <f>IFERROR(__xludf.DUMMYFUNCTION("IFERROR(INDEX(QUERY(IMPORTRANGE(""1T7HG8KEs-Ob7f3M5atEVN9Yn7IeORGp0QGvggB62ELw"",""Maestro!A:I""),""SELECT Col7 WHERE Col3 = '""&amp;BE909&amp;""'"", 0), 1, 1),""NO ENCONTRADO"")"),"")</f>
        <v/>
      </c>
      <c r="BJ909" s="16">
        <f t="shared" si="15"/>
        <v>0</v>
      </c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4"/>
      <c r="BX909" s="14"/>
      <c r="BY909" s="14"/>
      <c r="BZ909" s="14"/>
      <c r="CA909" s="14"/>
      <c r="CB909" s="14"/>
      <c r="CC909" s="14"/>
      <c r="CD909" s="14"/>
      <c r="CE909" s="14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</row>
    <row r="910">
      <c r="A910" s="12"/>
      <c r="B910" s="14"/>
      <c r="C910" s="14"/>
      <c r="D910" s="14"/>
      <c r="E910" s="12"/>
      <c r="F910" s="307"/>
      <c r="G910" s="307"/>
      <c r="H910" s="12"/>
      <c r="I910" s="30"/>
      <c r="J910" s="12"/>
      <c r="K910" s="12"/>
      <c r="L910" s="12"/>
      <c r="M910" s="12"/>
      <c r="N910" s="12"/>
      <c r="O910" s="308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4"/>
      <c r="BF910" s="12"/>
      <c r="BG910" s="12"/>
      <c r="BH910" s="12" t="str">
        <f>IFERROR(__xludf.DUMMYFUNCTION("IFERROR(INDEX(QUERY(IMPORTRANGE(""1T7HG8KEs-Ob7f3M5atEVN9Yn7IeORGp0QGvggB62ELw"",""Maestro!A:I""),""SELECT Col8 WHERE Col3 = '""&amp;BE910&amp;""'"", 0), 1, 1),""NO ENCONTRADO"")"),"")</f>
        <v/>
      </c>
      <c r="BI910" s="12" t="str">
        <f>IFERROR(__xludf.DUMMYFUNCTION("IFERROR(INDEX(QUERY(IMPORTRANGE(""1T7HG8KEs-Ob7f3M5atEVN9Yn7IeORGp0QGvggB62ELw"",""Maestro!A:I""),""SELECT Col7 WHERE Col3 = '""&amp;BE910&amp;""'"", 0), 1, 1),""NO ENCONTRADO"")"),"")</f>
        <v/>
      </c>
      <c r="BJ910" s="16">
        <f t="shared" si="15"/>
        <v>0</v>
      </c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4"/>
      <c r="BX910" s="14"/>
      <c r="BY910" s="14"/>
      <c r="BZ910" s="14"/>
      <c r="CA910" s="14"/>
      <c r="CB910" s="14"/>
      <c r="CC910" s="14"/>
      <c r="CD910" s="14"/>
      <c r="CE910" s="14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</row>
    <row r="911">
      <c r="A911" s="12"/>
      <c r="B911" s="14"/>
      <c r="C911" s="14"/>
      <c r="D911" s="14"/>
      <c r="E911" s="12"/>
      <c r="F911" s="307"/>
      <c r="G911" s="307"/>
      <c r="H911" s="12"/>
      <c r="I911" s="30"/>
      <c r="J911" s="12"/>
      <c r="K911" s="12"/>
      <c r="L911" s="12"/>
      <c r="M911" s="12"/>
      <c r="N911" s="12"/>
      <c r="O911" s="308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4"/>
      <c r="BF911" s="12"/>
      <c r="BG911" s="12"/>
      <c r="BH911" s="12" t="str">
        <f>IFERROR(__xludf.DUMMYFUNCTION("IFERROR(INDEX(QUERY(IMPORTRANGE(""1T7HG8KEs-Ob7f3M5atEVN9Yn7IeORGp0QGvggB62ELw"",""Maestro!A:I""),""SELECT Col8 WHERE Col3 = '""&amp;BE911&amp;""'"", 0), 1, 1),""NO ENCONTRADO"")"),"")</f>
        <v/>
      </c>
      <c r="BI911" s="12" t="str">
        <f>IFERROR(__xludf.DUMMYFUNCTION("IFERROR(INDEX(QUERY(IMPORTRANGE(""1T7HG8KEs-Ob7f3M5atEVN9Yn7IeORGp0QGvggB62ELw"",""Maestro!A:I""),""SELECT Col7 WHERE Col3 = '""&amp;BE911&amp;""'"", 0), 1, 1),""NO ENCONTRADO"")"),"")</f>
        <v/>
      </c>
      <c r="BJ911" s="16">
        <f t="shared" si="15"/>
        <v>0</v>
      </c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4"/>
      <c r="BX911" s="14"/>
      <c r="BY911" s="14"/>
      <c r="BZ911" s="14"/>
      <c r="CA911" s="14"/>
      <c r="CB911" s="14"/>
      <c r="CC911" s="14"/>
      <c r="CD911" s="14"/>
      <c r="CE911" s="14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</row>
    <row r="912">
      <c r="A912" s="12"/>
      <c r="B912" s="14"/>
      <c r="C912" s="14"/>
      <c r="D912" s="14"/>
      <c r="E912" s="12"/>
      <c r="F912" s="307"/>
      <c r="G912" s="307"/>
      <c r="H912" s="12"/>
      <c r="I912" s="30"/>
      <c r="J912" s="12"/>
      <c r="K912" s="12"/>
      <c r="L912" s="12"/>
      <c r="M912" s="12"/>
      <c r="N912" s="12"/>
      <c r="O912" s="308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4"/>
      <c r="BF912" s="12"/>
      <c r="BG912" s="12"/>
      <c r="BH912" s="12" t="str">
        <f>IFERROR(__xludf.DUMMYFUNCTION("IFERROR(INDEX(QUERY(IMPORTRANGE(""1T7HG8KEs-Ob7f3M5atEVN9Yn7IeORGp0QGvggB62ELw"",""Maestro!A:I""),""SELECT Col8 WHERE Col3 = '""&amp;BE912&amp;""'"", 0), 1, 1),""NO ENCONTRADO"")"),"")</f>
        <v/>
      </c>
      <c r="BI912" s="12" t="str">
        <f>IFERROR(__xludf.DUMMYFUNCTION("IFERROR(INDEX(QUERY(IMPORTRANGE(""1T7HG8KEs-Ob7f3M5atEVN9Yn7IeORGp0QGvggB62ELw"",""Maestro!A:I""),""SELECT Col7 WHERE Col3 = '""&amp;BE912&amp;""'"", 0), 1, 1),""NO ENCONTRADO"")"),"")</f>
        <v/>
      </c>
      <c r="BJ912" s="16">
        <f t="shared" si="15"/>
        <v>0</v>
      </c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4"/>
      <c r="BX912" s="14"/>
      <c r="BY912" s="14"/>
      <c r="BZ912" s="14"/>
      <c r="CA912" s="14"/>
      <c r="CB912" s="14"/>
      <c r="CC912" s="14"/>
      <c r="CD912" s="14"/>
      <c r="CE912" s="14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</row>
    <row r="913">
      <c r="A913" s="12"/>
      <c r="B913" s="14"/>
      <c r="C913" s="14"/>
      <c r="D913" s="14"/>
      <c r="E913" s="12"/>
      <c r="F913" s="307"/>
      <c r="G913" s="307"/>
      <c r="H913" s="12"/>
      <c r="I913" s="30"/>
      <c r="J913" s="12"/>
      <c r="K913" s="12"/>
      <c r="L913" s="12"/>
      <c r="M913" s="12"/>
      <c r="N913" s="12"/>
      <c r="O913" s="308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4"/>
      <c r="BF913" s="12"/>
      <c r="BG913" s="12"/>
      <c r="BH913" s="12" t="str">
        <f>IFERROR(__xludf.DUMMYFUNCTION("IFERROR(INDEX(QUERY(IMPORTRANGE(""1T7HG8KEs-Ob7f3M5atEVN9Yn7IeORGp0QGvggB62ELw"",""Maestro!A:I""),""SELECT Col8 WHERE Col3 = '""&amp;BE913&amp;""'"", 0), 1, 1),""NO ENCONTRADO"")"),"")</f>
        <v/>
      </c>
      <c r="BI913" s="12" t="str">
        <f>IFERROR(__xludf.DUMMYFUNCTION("IFERROR(INDEX(QUERY(IMPORTRANGE(""1T7HG8KEs-Ob7f3M5atEVN9Yn7IeORGp0QGvggB62ELw"",""Maestro!A:I""),""SELECT Col7 WHERE Col3 = '""&amp;BE913&amp;""'"", 0), 1, 1),""NO ENCONTRADO"")"),"")</f>
        <v/>
      </c>
      <c r="BJ913" s="16">
        <f t="shared" si="15"/>
        <v>0</v>
      </c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4"/>
      <c r="BX913" s="14"/>
      <c r="BY913" s="14"/>
      <c r="BZ913" s="14"/>
      <c r="CA913" s="14"/>
      <c r="CB913" s="14"/>
      <c r="CC913" s="14"/>
      <c r="CD913" s="14"/>
      <c r="CE913" s="14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</row>
    <row r="914">
      <c r="A914" s="12"/>
      <c r="B914" s="14"/>
      <c r="C914" s="14"/>
      <c r="D914" s="14"/>
      <c r="E914" s="12"/>
      <c r="F914" s="307"/>
      <c r="G914" s="307"/>
      <c r="H914" s="12"/>
      <c r="I914" s="30"/>
      <c r="J914" s="12"/>
      <c r="K914" s="12"/>
      <c r="L914" s="12"/>
      <c r="M914" s="12"/>
      <c r="N914" s="12"/>
      <c r="O914" s="308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4"/>
      <c r="BF914" s="12"/>
      <c r="BG914" s="12"/>
      <c r="BH914" s="12" t="str">
        <f>IFERROR(__xludf.DUMMYFUNCTION("IFERROR(INDEX(QUERY(IMPORTRANGE(""1T7HG8KEs-Ob7f3M5atEVN9Yn7IeORGp0QGvggB62ELw"",""Maestro!A:I""),""SELECT Col8 WHERE Col3 = '""&amp;BE914&amp;""'"", 0), 1, 1),""NO ENCONTRADO"")"),"")</f>
        <v/>
      </c>
      <c r="BI914" s="12" t="str">
        <f>IFERROR(__xludf.DUMMYFUNCTION("IFERROR(INDEX(QUERY(IMPORTRANGE(""1T7HG8KEs-Ob7f3M5atEVN9Yn7IeORGp0QGvggB62ELw"",""Maestro!A:I""),""SELECT Col7 WHERE Col3 = '""&amp;BE914&amp;""'"", 0), 1, 1),""NO ENCONTRADO"")"),"")</f>
        <v/>
      </c>
      <c r="BJ914" s="16">
        <f t="shared" si="15"/>
        <v>0</v>
      </c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4"/>
      <c r="BX914" s="14"/>
      <c r="BY914" s="14"/>
      <c r="BZ914" s="14"/>
      <c r="CA914" s="14"/>
      <c r="CB914" s="14"/>
      <c r="CC914" s="14"/>
      <c r="CD914" s="14"/>
      <c r="CE914" s="14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</row>
    <row r="915">
      <c r="A915" s="12"/>
      <c r="B915" s="14"/>
      <c r="C915" s="14"/>
      <c r="D915" s="14"/>
      <c r="E915" s="12"/>
      <c r="F915" s="307"/>
      <c r="G915" s="307"/>
      <c r="H915" s="12"/>
      <c r="I915" s="30"/>
      <c r="J915" s="12"/>
      <c r="K915" s="12"/>
      <c r="L915" s="12"/>
      <c r="M915" s="12"/>
      <c r="N915" s="12"/>
      <c r="O915" s="308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4"/>
      <c r="BF915" s="12"/>
      <c r="BG915" s="12"/>
      <c r="BH915" s="12" t="str">
        <f>IFERROR(__xludf.DUMMYFUNCTION("IFERROR(INDEX(QUERY(IMPORTRANGE(""1T7HG8KEs-Ob7f3M5atEVN9Yn7IeORGp0QGvggB62ELw"",""Maestro!A:I""),""SELECT Col8 WHERE Col3 = '""&amp;BE915&amp;""'"", 0), 1, 1),""NO ENCONTRADO"")"),"")</f>
        <v/>
      </c>
      <c r="BI915" s="12" t="str">
        <f>IFERROR(__xludf.DUMMYFUNCTION("IFERROR(INDEX(QUERY(IMPORTRANGE(""1T7HG8KEs-Ob7f3M5atEVN9Yn7IeORGp0QGvggB62ELw"",""Maestro!A:I""),""SELECT Col7 WHERE Col3 = '""&amp;BE915&amp;""'"", 0), 1, 1),""NO ENCONTRADO"")"),"")</f>
        <v/>
      </c>
      <c r="BJ915" s="16">
        <f t="shared" si="15"/>
        <v>0</v>
      </c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4"/>
      <c r="BX915" s="14"/>
      <c r="BY915" s="14"/>
      <c r="BZ915" s="14"/>
      <c r="CA915" s="14"/>
      <c r="CB915" s="14"/>
      <c r="CC915" s="14"/>
      <c r="CD915" s="14"/>
      <c r="CE915" s="14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</row>
    <row r="916">
      <c r="A916" s="12"/>
      <c r="B916" s="14"/>
      <c r="C916" s="14"/>
      <c r="D916" s="14"/>
      <c r="E916" s="12"/>
      <c r="F916" s="307"/>
      <c r="G916" s="307"/>
      <c r="H916" s="12"/>
      <c r="I916" s="30"/>
      <c r="J916" s="12"/>
      <c r="K916" s="12"/>
      <c r="L916" s="12"/>
      <c r="M916" s="12"/>
      <c r="N916" s="12"/>
      <c r="O916" s="308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4"/>
      <c r="BF916" s="12"/>
      <c r="BG916" s="12"/>
      <c r="BH916" s="12" t="str">
        <f>IFERROR(__xludf.DUMMYFUNCTION("IFERROR(INDEX(QUERY(IMPORTRANGE(""1T7HG8KEs-Ob7f3M5atEVN9Yn7IeORGp0QGvggB62ELw"",""Maestro!A:I""),""SELECT Col8 WHERE Col3 = '""&amp;BE916&amp;""'"", 0), 1, 1),""NO ENCONTRADO"")"),"")</f>
        <v/>
      </c>
      <c r="BI916" s="12" t="str">
        <f>IFERROR(__xludf.DUMMYFUNCTION("IFERROR(INDEX(QUERY(IMPORTRANGE(""1T7HG8KEs-Ob7f3M5atEVN9Yn7IeORGp0QGvggB62ELw"",""Maestro!A:I""),""SELECT Col7 WHERE Col3 = '""&amp;BE916&amp;""'"", 0), 1, 1),""NO ENCONTRADO"")"),"")</f>
        <v/>
      </c>
      <c r="BJ916" s="16">
        <f t="shared" si="15"/>
        <v>0</v>
      </c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4"/>
      <c r="BX916" s="14"/>
      <c r="BY916" s="14"/>
      <c r="BZ916" s="14"/>
      <c r="CA916" s="14"/>
      <c r="CB916" s="14"/>
      <c r="CC916" s="14"/>
      <c r="CD916" s="14"/>
      <c r="CE916" s="14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</row>
    <row r="917">
      <c r="A917" s="12"/>
      <c r="B917" s="14"/>
      <c r="C917" s="14"/>
      <c r="D917" s="14"/>
      <c r="E917" s="12"/>
      <c r="F917" s="307"/>
      <c r="G917" s="307"/>
      <c r="H917" s="12"/>
      <c r="I917" s="30"/>
      <c r="J917" s="12"/>
      <c r="K917" s="12"/>
      <c r="L917" s="12"/>
      <c r="M917" s="12"/>
      <c r="N917" s="12"/>
      <c r="O917" s="308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4"/>
      <c r="BF917" s="12"/>
      <c r="BG917" s="12"/>
      <c r="BH917" s="12" t="str">
        <f>IFERROR(__xludf.DUMMYFUNCTION("IFERROR(INDEX(QUERY(IMPORTRANGE(""1T7HG8KEs-Ob7f3M5atEVN9Yn7IeORGp0QGvggB62ELw"",""Maestro!A:I""),""SELECT Col8 WHERE Col3 = '""&amp;BE917&amp;""'"", 0), 1, 1),""NO ENCONTRADO"")"),"")</f>
        <v/>
      </c>
      <c r="BI917" s="12" t="str">
        <f>IFERROR(__xludf.DUMMYFUNCTION("IFERROR(INDEX(QUERY(IMPORTRANGE(""1T7HG8KEs-Ob7f3M5atEVN9Yn7IeORGp0QGvggB62ELw"",""Maestro!A:I""),""SELECT Col7 WHERE Col3 = '""&amp;BE917&amp;""'"", 0), 1, 1),""NO ENCONTRADO"")"),"")</f>
        <v/>
      </c>
      <c r="BJ917" s="16">
        <f t="shared" si="15"/>
        <v>0</v>
      </c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4"/>
      <c r="BX917" s="14"/>
      <c r="BY917" s="14"/>
      <c r="BZ917" s="14"/>
      <c r="CA917" s="14"/>
      <c r="CB917" s="14"/>
      <c r="CC917" s="14"/>
      <c r="CD917" s="14"/>
      <c r="CE917" s="14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</row>
    <row r="918">
      <c r="A918" s="12"/>
      <c r="B918" s="14"/>
      <c r="C918" s="14"/>
      <c r="D918" s="14"/>
      <c r="E918" s="12"/>
      <c r="F918" s="307"/>
      <c r="G918" s="307"/>
      <c r="H918" s="12"/>
      <c r="I918" s="30"/>
      <c r="J918" s="12"/>
      <c r="K918" s="12"/>
      <c r="L918" s="12"/>
      <c r="M918" s="12"/>
      <c r="N918" s="12"/>
      <c r="O918" s="308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4"/>
      <c r="BF918" s="12"/>
      <c r="BG918" s="12"/>
      <c r="BH918" s="12" t="str">
        <f>IFERROR(__xludf.DUMMYFUNCTION("IFERROR(INDEX(QUERY(IMPORTRANGE(""1T7HG8KEs-Ob7f3M5atEVN9Yn7IeORGp0QGvggB62ELw"",""Maestro!A:I""),""SELECT Col8 WHERE Col3 = '""&amp;BE918&amp;""'"", 0), 1, 1),""NO ENCONTRADO"")"),"")</f>
        <v/>
      </c>
      <c r="BI918" s="12" t="str">
        <f>IFERROR(__xludf.DUMMYFUNCTION("IFERROR(INDEX(QUERY(IMPORTRANGE(""1T7HG8KEs-Ob7f3M5atEVN9Yn7IeORGp0QGvggB62ELw"",""Maestro!A:I""),""SELECT Col7 WHERE Col3 = '""&amp;BE918&amp;""'"", 0), 1, 1),""NO ENCONTRADO"")"),"")</f>
        <v/>
      </c>
      <c r="BJ918" s="16">
        <f t="shared" si="15"/>
        <v>0</v>
      </c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4"/>
      <c r="BX918" s="14"/>
      <c r="BY918" s="14"/>
      <c r="BZ918" s="14"/>
      <c r="CA918" s="14"/>
      <c r="CB918" s="14"/>
      <c r="CC918" s="14"/>
      <c r="CD918" s="14"/>
      <c r="CE918" s="14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</row>
    <row r="919">
      <c r="A919" s="12"/>
      <c r="B919" s="14"/>
      <c r="C919" s="14"/>
      <c r="D919" s="14"/>
      <c r="E919" s="12"/>
      <c r="F919" s="307"/>
      <c r="G919" s="307"/>
      <c r="H919" s="12"/>
      <c r="I919" s="30"/>
      <c r="J919" s="12"/>
      <c r="K919" s="12"/>
      <c r="L919" s="12"/>
      <c r="M919" s="12"/>
      <c r="N919" s="12"/>
      <c r="O919" s="308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4"/>
      <c r="BF919" s="12"/>
      <c r="BG919" s="12"/>
      <c r="BH919" s="12" t="str">
        <f>IFERROR(__xludf.DUMMYFUNCTION("IFERROR(INDEX(QUERY(IMPORTRANGE(""1T7HG8KEs-Ob7f3M5atEVN9Yn7IeORGp0QGvggB62ELw"",""Maestro!A:I""),""SELECT Col8 WHERE Col3 = '""&amp;BE919&amp;""'"", 0), 1, 1),""NO ENCONTRADO"")"),"")</f>
        <v/>
      </c>
      <c r="BI919" s="12" t="str">
        <f>IFERROR(__xludf.DUMMYFUNCTION("IFERROR(INDEX(QUERY(IMPORTRANGE(""1T7HG8KEs-Ob7f3M5atEVN9Yn7IeORGp0QGvggB62ELw"",""Maestro!A:I""),""SELECT Col7 WHERE Col3 = '""&amp;BE919&amp;""'"", 0), 1, 1),""NO ENCONTRADO"")"),"")</f>
        <v/>
      </c>
      <c r="BJ919" s="16">
        <f t="shared" si="15"/>
        <v>0</v>
      </c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4"/>
      <c r="BX919" s="14"/>
      <c r="BY919" s="14"/>
      <c r="BZ919" s="14"/>
      <c r="CA919" s="14"/>
      <c r="CB919" s="14"/>
      <c r="CC919" s="14"/>
      <c r="CD919" s="14"/>
      <c r="CE919" s="14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</row>
    <row r="920">
      <c r="A920" s="12"/>
      <c r="B920" s="14"/>
      <c r="C920" s="14"/>
      <c r="D920" s="14"/>
      <c r="E920" s="12"/>
      <c r="F920" s="307"/>
      <c r="G920" s="307"/>
      <c r="H920" s="12"/>
      <c r="I920" s="30"/>
      <c r="J920" s="12"/>
      <c r="K920" s="12"/>
      <c r="L920" s="12"/>
      <c r="M920" s="12"/>
      <c r="N920" s="12"/>
      <c r="O920" s="308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4"/>
      <c r="BF920" s="12"/>
      <c r="BG920" s="12"/>
      <c r="BH920" s="12" t="str">
        <f>IFERROR(__xludf.DUMMYFUNCTION("IFERROR(INDEX(QUERY(IMPORTRANGE(""1T7HG8KEs-Ob7f3M5atEVN9Yn7IeORGp0QGvggB62ELw"",""Maestro!A:I""),""SELECT Col8 WHERE Col3 = '""&amp;BE920&amp;""'"", 0), 1, 1),""NO ENCONTRADO"")"),"")</f>
        <v/>
      </c>
      <c r="BI920" s="12" t="str">
        <f>IFERROR(__xludf.DUMMYFUNCTION("IFERROR(INDEX(QUERY(IMPORTRANGE(""1T7HG8KEs-Ob7f3M5atEVN9Yn7IeORGp0QGvggB62ELw"",""Maestro!A:I""),""SELECT Col7 WHERE Col3 = '""&amp;BE920&amp;""'"", 0), 1, 1),""NO ENCONTRADO"")"),"")</f>
        <v/>
      </c>
      <c r="BJ920" s="16">
        <f t="shared" si="15"/>
        <v>0</v>
      </c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4"/>
      <c r="BX920" s="14"/>
      <c r="BY920" s="14"/>
      <c r="BZ920" s="14"/>
      <c r="CA920" s="14"/>
      <c r="CB920" s="14"/>
      <c r="CC920" s="14"/>
      <c r="CD920" s="14"/>
      <c r="CE920" s="14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</row>
    <row r="921">
      <c r="A921" s="12"/>
      <c r="B921" s="14"/>
      <c r="C921" s="14"/>
      <c r="D921" s="14"/>
      <c r="E921" s="12"/>
      <c r="F921" s="307"/>
      <c r="G921" s="307"/>
      <c r="H921" s="12"/>
      <c r="I921" s="30"/>
      <c r="J921" s="12"/>
      <c r="K921" s="12"/>
      <c r="L921" s="12"/>
      <c r="M921" s="12"/>
      <c r="N921" s="12"/>
      <c r="O921" s="308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4"/>
      <c r="BF921" s="12"/>
      <c r="BG921" s="12"/>
      <c r="BH921" s="12" t="str">
        <f>IFERROR(__xludf.DUMMYFUNCTION("IFERROR(INDEX(QUERY(IMPORTRANGE(""1T7HG8KEs-Ob7f3M5atEVN9Yn7IeORGp0QGvggB62ELw"",""Maestro!A:I""),""SELECT Col8 WHERE Col3 = '""&amp;BE921&amp;""'"", 0), 1, 1),""NO ENCONTRADO"")"),"")</f>
        <v/>
      </c>
      <c r="BI921" s="12" t="str">
        <f>IFERROR(__xludf.DUMMYFUNCTION("IFERROR(INDEX(QUERY(IMPORTRANGE(""1T7HG8KEs-Ob7f3M5atEVN9Yn7IeORGp0QGvggB62ELw"",""Maestro!A:I""),""SELECT Col7 WHERE Col3 = '""&amp;BE921&amp;""'"", 0), 1, 1),""NO ENCONTRADO"")"),"")</f>
        <v/>
      </c>
      <c r="BJ921" s="16">
        <f t="shared" si="15"/>
        <v>0</v>
      </c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4"/>
      <c r="BX921" s="14"/>
      <c r="BY921" s="14"/>
      <c r="BZ921" s="14"/>
      <c r="CA921" s="14"/>
      <c r="CB921" s="14"/>
      <c r="CC921" s="14"/>
      <c r="CD921" s="14"/>
      <c r="CE921" s="14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</row>
    <row r="922">
      <c r="A922" s="12"/>
      <c r="B922" s="14"/>
      <c r="C922" s="14"/>
      <c r="D922" s="14"/>
      <c r="E922" s="12"/>
      <c r="F922" s="307"/>
      <c r="G922" s="307"/>
      <c r="H922" s="12"/>
      <c r="I922" s="30"/>
      <c r="J922" s="12"/>
      <c r="K922" s="12"/>
      <c r="L922" s="12"/>
      <c r="M922" s="12"/>
      <c r="N922" s="12"/>
      <c r="O922" s="308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4"/>
      <c r="BF922" s="12"/>
      <c r="BG922" s="12"/>
      <c r="BH922" s="12" t="str">
        <f>IFERROR(__xludf.DUMMYFUNCTION("IFERROR(INDEX(QUERY(IMPORTRANGE(""1T7HG8KEs-Ob7f3M5atEVN9Yn7IeORGp0QGvggB62ELw"",""Maestro!A:I""),""SELECT Col8 WHERE Col3 = '""&amp;BE922&amp;""'"", 0), 1, 1),""NO ENCONTRADO"")"),"")</f>
        <v/>
      </c>
      <c r="BI922" s="12" t="str">
        <f>IFERROR(__xludf.DUMMYFUNCTION("IFERROR(INDEX(QUERY(IMPORTRANGE(""1T7HG8KEs-Ob7f3M5atEVN9Yn7IeORGp0QGvggB62ELw"",""Maestro!A:I""),""SELECT Col7 WHERE Col3 = '""&amp;BE922&amp;""'"", 0), 1, 1),""NO ENCONTRADO"")"),"")</f>
        <v/>
      </c>
      <c r="BJ922" s="16">
        <f t="shared" si="15"/>
        <v>0</v>
      </c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4"/>
      <c r="BX922" s="14"/>
      <c r="BY922" s="14"/>
      <c r="BZ922" s="14"/>
      <c r="CA922" s="14"/>
      <c r="CB922" s="14"/>
      <c r="CC922" s="14"/>
      <c r="CD922" s="14"/>
      <c r="CE922" s="14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</row>
    <row r="923">
      <c r="A923" s="12"/>
      <c r="B923" s="14"/>
      <c r="C923" s="14"/>
      <c r="D923" s="14"/>
      <c r="E923" s="12"/>
      <c r="F923" s="307"/>
      <c r="G923" s="307"/>
      <c r="H923" s="12"/>
      <c r="I923" s="30"/>
      <c r="J923" s="12"/>
      <c r="K923" s="12"/>
      <c r="L923" s="12"/>
      <c r="M923" s="12"/>
      <c r="N923" s="12"/>
      <c r="O923" s="308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4"/>
      <c r="BF923" s="12"/>
      <c r="BG923" s="12"/>
      <c r="BH923" s="12" t="str">
        <f>IFERROR(__xludf.DUMMYFUNCTION("IFERROR(INDEX(QUERY(IMPORTRANGE(""1T7HG8KEs-Ob7f3M5atEVN9Yn7IeORGp0QGvggB62ELw"",""Maestro!A:I""),""SELECT Col8 WHERE Col3 = '""&amp;BE923&amp;""'"", 0), 1, 1),""NO ENCONTRADO"")"),"")</f>
        <v/>
      </c>
      <c r="BI923" s="12" t="str">
        <f>IFERROR(__xludf.DUMMYFUNCTION("IFERROR(INDEX(QUERY(IMPORTRANGE(""1T7HG8KEs-Ob7f3M5atEVN9Yn7IeORGp0QGvggB62ELw"",""Maestro!A:I""),""SELECT Col7 WHERE Col3 = '""&amp;BE923&amp;""'"", 0), 1, 1),""NO ENCONTRADO"")"),"")</f>
        <v/>
      </c>
      <c r="BJ923" s="16">
        <f t="shared" si="15"/>
        <v>0</v>
      </c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4"/>
      <c r="BX923" s="14"/>
      <c r="BY923" s="14"/>
      <c r="BZ923" s="14"/>
      <c r="CA923" s="14"/>
      <c r="CB923" s="14"/>
      <c r="CC923" s="14"/>
      <c r="CD923" s="14"/>
      <c r="CE923" s="14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</row>
    <row r="924">
      <c r="A924" s="12"/>
      <c r="B924" s="14"/>
      <c r="C924" s="14"/>
      <c r="D924" s="14"/>
      <c r="E924" s="12"/>
      <c r="F924" s="307"/>
      <c r="G924" s="307"/>
      <c r="H924" s="12"/>
      <c r="I924" s="30"/>
      <c r="J924" s="12"/>
      <c r="K924" s="12"/>
      <c r="L924" s="12"/>
      <c r="M924" s="12"/>
      <c r="N924" s="12"/>
      <c r="O924" s="308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4"/>
      <c r="BF924" s="12"/>
      <c r="BG924" s="12"/>
      <c r="BH924" s="12" t="str">
        <f>IFERROR(__xludf.DUMMYFUNCTION("IFERROR(INDEX(QUERY(IMPORTRANGE(""1T7HG8KEs-Ob7f3M5atEVN9Yn7IeORGp0QGvggB62ELw"",""Maestro!A:I""),""SELECT Col8 WHERE Col3 = '""&amp;BE924&amp;""'"", 0), 1, 1),""NO ENCONTRADO"")"),"")</f>
        <v/>
      </c>
      <c r="BI924" s="12" t="str">
        <f>IFERROR(__xludf.DUMMYFUNCTION("IFERROR(INDEX(QUERY(IMPORTRANGE(""1T7HG8KEs-Ob7f3M5atEVN9Yn7IeORGp0QGvggB62ELw"",""Maestro!A:I""),""SELECT Col7 WHERE Col3 = '""&amp;BE924&amp;""'"", 0), 1, 1),""NO ENCONTRADO"")"),"")</f>
        <v/>
      </c>
      <c r="BJ924" s="16">
        <f t="shared" si="15"/>
        <v>0</v>
      </c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4"/>
      <c r="BX924" s="14"/>
      <c r="BY924" s="14"/>
      <c r="BZ924" s="14"/>
      <c r="CA924" s="14"/>
      <c r="CB924" s="14"/>
      <c r="CC924" s="14"/>
      <c r="CD924" s="14"/>
      <c r="CE924" s="14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</row>
    <row r="925">
      <c r="A925" s="12"/>
      <c r="B925" s="14"/>
      <c r="C925" s="14"/>
      <c r="D925" s="14"/>
      <c r="E925" s="12"/>
      <c r="F925" s="307"/>
      <c r="G925" s="307"/>
      <c r="H925" s="12"/>
      <c r="I925" s="30"/>
      <c r="J925" s="12"/>
      <c r="K925" s="12"/>
      <c r="L925" s="12"/>
      <c r="M925" s="12"/>
      <c r="N925" s="12"/>
      <c r="O925" s="308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4"/>
      <c r="BF925" s="12"/>
      <c r="BG925" s="12"/>
      <c r="BH925" s="12" t="str">
        <f>IFERROR(__xludf.DUMMYFUNCTION("IFERROR(INDEX(QUERY(IMPORTRANGE(""1T7HG8KEs-Ob7f3M5atEVN9Yn7IeORGp0QGvggB62ELw"",""Maestro!A:I""),""SELECT Col8 WHERE Col3 = '""&amp;BE925&amp;""'"", 0), 1, 1),""NO ENCONTRADO"")"),"")</f>
        <v/>
      </c>
      <c r="BI925" s="12" t="str">
        <f>IFERROR(__xludf.DUMMYFUNCTION("IFERROR(INDEX(QUERY(IMPORTRANGE(""1T7HG8KEs-Ob7f3M5atEVN9Yn7IeORGp0QGvggB62ELw"",""Maestro!A:I""),""SELECT Col7 WHERE Col3 = '""&amp;BE925&amp;""'"", 0), 1, 1),""NO ENCONTRADO"")"),"")</f>
        <v/>
      </c>
      <c r="BJ925" s="16">
        <f t="shared" si="15"/>
        <v>0</v>
      </c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4"/>
      <c r="BX925" s="14"/>
      <c r="BY925" s="14"/>
      <c r="BZ925" s="14"/>
      <c r="CA925" s="14"/>
      <c r="CB925" s="14"/>
      <c r="CC925" s="14"/>
      <c r="CD925" s="14"/>
      <c r="CE925" s="14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</row>
    <row r="926">
      <c r="A926" s="12"/>
      <c r="B926" s="14"/>
      <c r="C926" s="14"/>
      <c r="D926" s="14"/>
      <c r="E926" s="12"/>
      <c r="F926" s="307"/>
      <c r="G926" s="307"/>
      <c r="H926" s="12"/>
      <c r="I926" s="30"/>
      <c r="J926" s="12"/>
      <c r="K926" s="12"/>
      <c r="L926" s="12"/>
      <c r="M926" s="12"/>
      <c r="N926" s="12"/>
      <c r="O926" s="308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4"/>
      <c r="BF926" s="12"/>
      <c r="BG926" s="12"/>
      <c r="BH926" s="12" t="str">
        <f>IFERROR(__xludf.DUMMYFUNCTION("IFERROR(INDEX(QUERY(IMPORTRANGE(""1T7HG8KEs-Ob7f3M5atEVN9Yn7IeORGp0QGvggB62ELw"",""Maestro!A:I""),""SELECT Col8 WHERE Col3 = '""&amp;BE926&amp;""'"", 0), 1, 1),""NO ENCONTRADO"")"),"")</f>
        <v/>
      </c>
      <c r="BI926" s="12" t="str">
        <f>IFERROR(__xludf.DUMMYFUNCTION("IFERROR(INDEX(QUERY(IMPORTRANGE(""1T7HG8KEs-Ob7f3M5atEVN9Yn7IeORGp0QGvggB62ELw"",""Maestro!A:I""),""SELECT Col7 WHERE Col3 = '""&amp;BE926&amp;""'"", 0), 1, 1),""NO ENCONTRADO"")"),"")</f>
        <v/>
      </c>
      <c r="BJ926" s="16">
        <f t="shared" si="15"/>
        <v>0</v>
      </c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4"/>
      <c r="BX926" s="14"/>
      <c r="BY926" s="14"/>
      <c r="BZ926" s="14"/>
      <c r="CA926" s="14"/>
      <c r="CB926" s="14"/>
      <c r="CC926" s="14"/>
      <c r="CD926" s="14"/>
      <c r="CE926" s="14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</row>
    <row r="927">
      <c r="A927" s="12"/>
      <c r="B927" s="14"/>
      <c r="C927" s="14"/>
      <c r="D927" s="14"/>
      <c r="E927" s="12"/>
      <c r="F927" s="307"/>
      <c r="G927" s="307"/>
      <c r="H927" s="12"/>
      <c r="I927" s="30"/>
      <c r="J927" s="12"/>
      <c r="K927" s="12"/>
      <c r="L927" s="12"/>
      <c r="M927" s="12"/>
      <c r="N927" s="12"/>
      <c r="O927" s="308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4"/>
      <c r="BF927" s="12"/>
      <c r="BG927" s="12"/>
      <c r="BH927" s="12" t="str">
        <f>IFERROR(__xludf.DUMMYFUNCTION("IFERROR(INDEX(QUERY(IMPORTRANGE(""1T7HG8KEs-Ob7f3M5atEVN9Yn7IeORGp0QGvggB62ELw"",""Maestro!A:I""),""SELECT Col8 WHERE Col3 = '""&amp;BE927&amp;""'"", 0), 1, 1),""NO ENCONTRADO"")"),"")</f>
        <v/>
      </c>
      <c r="BI927" s="12" t="str">
        <f>IFERROR(__xludf.DUMMYFUNCTION("IFERROR(INDEX(QUERY(IMPORTRANGE(""1T7HG8KEs-Ob7f3M5atEVN9Yn7IeORGp0QGvggB62ELw"",""Maestro!A:I""),""SELECT Col7 WHERE Col3 = '""&amp;BE927&amp;""'"", 0), 1, 1),""NO ENCONTRADO"")"),"")</f>
        <v/>
      </c>
      <c r="BJ927" s="16">
        <f t="shared" si="15"/>
        <v>0</v>
      </c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4"/>
      <c r="BX927" s="14"/>
      <c r="BY927" s="14"/>
      <c r="BZ927" s="14"/>
      <c r="CA927" s="14"/>
      <c r="CB927" s="14"/>
      <c r="CC927" s="14"/>
      <c r="CD927" s="14"/>
      <c r="CE927" s="14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</row>
    <row r="928">
      <c r="A928" s="12"/>
      <c r="B928" s="14"/>
      <c r="C928" s="14"/>
      <c r="D928" s="14"/>
      <c r="E928" s="12"/>
      <c r="F928" s="307"/>
      <c r="G928" s="307"/>
      <c r="H928" s="12"/>
      <c r="I928" s="30"/>
      <c r="J928" s="12"/>
      <c r="K928" s="12"/>
      <c r="L928" s="12"/>
      <c r="M928" s="12"/>
      <c r="N928" s="12"/>
      <c r="O928" s="308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4"/>
      <c r="BF928" s="12"/>
      <c r="BG928" s="12"/>
      <c r="BH928" s="12" t="str">
        <f>IFERROR(__xludf.DUMMYFUNCTION("IFERROR(INDEX(QUERY(IMPORTRANGE(""1T7HG8KEs-Ob7f3M5atEVN9Yn7IeORGp0QGvggB62ELw"",""Maestro!A:I""),""SELECT Col8 WHERE Col3 = '""&amp;BE928&amp;""'"", 0), 1, 1),""NO ENCONTRADO"")"),"")</f>
        <v/>
      </c>
      <c r="BI928" s="12" t="str">
        <f>IFERROR(__xludf.DUMMYFUNCTION("IFERROR(INDEX(QUERY(IMPORTRANGE(""1T7HG8KEs-Ob7f3M5atEVN9Yn7IeORGp0QGvggB62ELw"",""Maestro!A:I""),""SELECT Col7 WHERE Col3 = '""&amp;BE928&amp;""'"", 0), 1, 1),""NO ENCONTRADO"")"),"")</f>
        <v/>
      </c>
      <c r="BJ928" s="16">
        <f t="shared" si="15"/>
        <v>0</v>
      </c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4"/>
      <c r="BX928" s="14"/>
      <c r="BY928" s="14"/>
      <c r="BZ928" s="14"/>
      <c r="CA928" s="14"/>
      <c r="CB928" s="14"/>
      <c r="CC928" s="14"/>
      <c r="CD928" s="14"/>
      <c r="CE928" s="14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</row>
    <row r="929">
      <c r="A929" s="12"/>
      <c r="B929" s="14"/>
      <c r="C929" s="14"/>
      <c r="D929" s="14"/>
      <c r="E929" s="12"/>
      <c r="F929" s="307"/>
      <c r="G929" s="307"/>
      <c r="H929" s="12"/>
      <c r="I929" s="30"/>
      <c r="J929" s="12"/>
      <c r="K929" s="12"/>
      <c r="L929" s="12"/>
      <c r="M929" s="12"/>
      <c r="N929" s="12"/>
      <c r="O929" s="308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4"/>
      <c r="BF929" s="12"/>
      <c r="BG929" s="12"/>
      <c r="BH929" s="12" t="str">
        <f>IFERROR(__xludf.DUMMYFUNCTION("IFERROR(INDEX(QUERY(IMPORTRANGE(""1T7HG8KEs-Ob7f3M5atEVN9Yn7IeORGp0QGvggB62ELw"",""Maestro!A:I""),""SELECT Col8 WHERE Col3 = '""&amp;BE929&amp;""'"", 0), 1, 1),""NO ENCONTRADO"")"),"")</f>
        <v/>
      </c>
      <c r="BI929" s="12" t="str">
        <f>IFERROR(__xludf.DUMMYFUNCTION("IFERROR(INDEX(QUERY(IMPORTRANGE(""1T7HG8KEs-Ob7f3M5atEVN9Yn7IeORGp0QGvggB62ELw"",""Maestro!A:I""),""SELECT Col7 WHERE Col3 = '""&amp;BE929&amp;""'"", 0), 1, 1),""NO ENCONTRADO"")"),"")</f>
        <v/>
      </c>
      <c r="BJ929" s="16">
        <f t="shared" si="15"/>
        <v>0</v>
      </c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4"/>
      <c r="BX929" s="14"/>
      <c r="BY929" s="14"/>
      <c r="BZ929" s="14"/>
      <c r="CA929" s="14"/>
      <c r="CB929" s="14"/>
      <c r="CC929" s="14"/>
      <c r="CD929" s="14"/>
      <c r="CE929" s="14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</row>
    <row r="930">
      <c r="A930" s="12"/>
      <c r="B930" s="14"/>
      <c r="C930" s="14"/>
      <c r="D930" s="14"/>
      <c r="E930" s="12"/>
      <c r="F930" s="307"/>
      <c r="G930" s="307"/>
      <c r="H930" s="12"/>
      <c r="I930" s="30"/>
      <c r="J930" s="12"/>
      <c r="K930" s="12"/>
      <c r="L930" s="12"/>
      <c r="M930" s="12"/>
      <c r="N930" s="12"/>
      <c r="O930" s="308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4"/>
      <c r="BF930" s="12"/>
      <c r="BG930" s="12"/>
      <c r="BH930" s="12" t="str">
        <f>IFERROR(__xludf.DUMMYFUNCTION("IFERROR(INDEX(QUERY(IMPORTRANGE(""1T7HG8KEs-Ob7f3M5atEVN9Yn7IeORGp0QGvggB62ELw"",""Maestro!A:I""),""SELECT Col8 WHERE Col3 = '""&amp;BE930&amp;""'"", 0), 1, 1),""NO ENCONTRADO"")"),"")</f>
        <v/>
      </c>
      <c r="BI930" s="12" t="str">
        <f>IFERROR(__xludf.DUMMYFUNCTION("IFERROR(INDEX(QUERY(IMPORTRANGE(""1T7HG8KEs-Ob7f3M5atEVN9Yn7IeORGp0QGvggB62ELw"",""Maestro!A:I""),""SELECT Col7 WHERE Col3 = '""&amp;BE930&amp;""'"", 0), 1, 1),""NO ENCONTRADO"")"),"")</f>
        <v/>
      </c>
      <c r="BJ930" s="16">
        <f t="shared" si="15"/>
        <v>0</v>
      </c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4"/>
      <c r="BX930" s="14"/>
      <c r="BY930" s="14"/>
      <c r="BZ930" s="14"/>
      <c r="CA930" s="14"/>
      <c r="CB930" s="14"/>
      <c r="CC930" s="14"/>
      <c r="CD930" s="14"/>
      <c r="CE930" s="14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</row>
    <row r="931">
      <c r="A931" s="12"/>
      <c r="B931" s="14"/>
      <c r="C931" s="14"/>
      <c r="D931" s="14"/>
      <c r="E931" s="12"/>
      <c r="F931" s="307"/>
      <c r="G931" s="307"/>
      <c r="H931" s="12"/>
      <c r="I931" s="30"/>
      <c r="J931" s="12"/>
      <c r="K931" s="12"/>
      <c r="L931" s="12"/>
      <c r="M931" s="12"/>
      <c r="N931" s="12"/>
      <c r="O931" s="308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4"/>
      <c r="BF931" s="12"/>
      <c r="BG931" s="12"/>
      <c r="BH931" s="12" t="str">
        <f>IFERROR(__xludf.DUMMYFUNCTION("IFERROR(INDEX(QUERY(IMPORTRANGE(""1T7HG8KEs-Ob7f3M5atEVN9Yn7IeORGp0QGvggB62ELw"",""Maestro!A:I""),""SELECT Col8 WHERE Col3 = '""&amp;BE931&amp;""'"", 0), 1, 1),""NO ENCONTRADO"")"),"")</f>
        <v/>
      </c>
      <c r="BI931" s="12" t="str">
        <f>IFERROR(__xludf.DUMMYFUNCTION("IFERROR(INDEX(QUERY(IMPORTRANGE(""1T7HG8KEs-Ob7f3M5atEVN9Yn7IeORGp0QGvggB62ELw"",""Maestro!A:I""),""SELECT Col7 WHERE Col3 = '""&amp;BE931&amp;""'"", 0), 1, 1),""NO ENCONTRADO"")"),"")</f>
        <v/>
      </c>
      <c r="BJ931" s="16">
        <f t="shared" si="15"/>
        <v>0</v>
      </c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4"/>
      <c r="BX931" s="14"/>
      <c r="BY931" s="14"/>
      <c r="BZ931" s="14"/>
      <c r="CA931" s="14"/>
      <c r="CB931" s="14"/>
      <c r="CC931" s="14"/>
      <c r="CD931" s="14"/>
      <c r="CE931" s="14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</row>
    <row r="932">
      <c r="A932" s="12"/>
      <c r="B932" s="14"/>
      <c r="C932" s="14"/>
      <c r="D932" s="14"/>
      <c r="E932" s="12"/>
      <c r="F932" s="307"/>
      <c r="G932" s="307"/>
      <c r="H932" s="12"/>
      <c r="I932" s="30"/>
      <c r="J932" s="12"/>
      <c r="K932" s="12"/>
      <c r="L932" s="12"/>
      <c r="M932" s="12"/>
      <c r="N932" s="12"/>
      <c r="O932" s="308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4"/>
      <c r="BF932" s="12"/>
      <c r="BG932" s="12"/>
      <c r="BH932" s="12" t="str">
        <f>IFERROR(__xludf.DUMMYFUNCTION("IFERROR(INDEX(QUERY(IMPORTRANGE(""1T7HG8KEs-Ob7f3M5atEVN9Yn7IeORGp0QGvggB62ELw"",""Maestro!A:I""),""SELECT Col8 WHERE Col3 = '""&amp;BE932&amp;""'"", 0), 1, 1),""NO ENCONTRADO"")"),"")</f>
        <v/>
      </c>
      <c r="BI932" s="12" t="str">
        <f>IFERROR(__xludf.DUMMYFUNCTION("IFERROR(INDEX(QUERY(IMPORTRANGE(""1T7HG8KEs-Ob7f3M5atEVN9Yn7IeORGp0QGvggB62ELw"",""Maestro!A:I""),""SELECT Col7 WHERE Col3 = '""&amp;BE932&amp;""'"", 0), 1, 1),""NO ENCONTRADO"")"),"")</f>
        <v/>
      </c>
      <c r="BJ932" s="16">
        <f t="shared" si="15"/>
        <v>0</v>
      </c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4"/>
      <c r="BX932" s="14"/>
      <c r="BY932" s="14"/>
      <c r="BZ932" s="14"/>
      <c r="CA932" s="14"/>
      <c r="CB932" s="14"/>
      <c r="CC932" s="14"/>
      <c r="CD932" s="14"/>
      <c r="CE932" s="14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</row>
    <row r="933">
      <c r="A933" s="12"/>
      <c r="B933" s="14"/>
      <c r="C933" s="14"/>
      <c r="D933" s="14"/>
      <c r="E933" s="12"/>
      <c r="F933" s="307"/>
      <c r="G933" s="307"/>
      <c r="H933" s="12"/>
      <c r="I933" s="30"/>
      <c r="J933" s="12"/>
      <c r="K933" s="12"/>
      <c r="L933" s="12"/>
      <c r="M933" s="12"/>
      <c r="N933" s="12"/>
      <c r="O933" s="308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4"/>
      <c r="BF933" s="12"/>
      <c r="BG933" s="12"/>
      <c r="BH933" s="12" t="str">
        <f>IFERROR(__xludf.DUMMYFUNCTION("IFERROR(INDEX(QUERY(IMPORTRANGE(""1T7HG8KEs-Ob7f3M5atEVN9Yn7IeORGp0QGvggB62ELw"",""Maestro!A:I""),""SELECT Col8 WHERE Col3 = '""&amp;BE933&amp;""'"", 0), 1, 1),""NO ENCONTRADO"")"),"")</f>
        <v/>
      </c>
      <c r="BI933" s="12" t="str">
        <f>IFERROR(__xludf.DUMMYFUNCTION("IFERROR(INDEX(QUERY(IMPORTRANGE(""1T7HG8KEs-Ob7f3M5atEVN9Yn7IeORGp0QGvggB62ELw"",""Maestro!A:I""),""SELECT Col7 WHERE Col3 = '""&amp;BE933&amp;""'"", 0), 1, 1),""NO ENCONTRADO"")"),"")</f>
        <v/>
      </c>
      <c r="BJ933" s="16">
        <f t="shared" si="15"/>
        <v>0</v>
      </c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4"/>
      <c r="BX933" s="14"/>
      <c r="BY933" s="14"/>
      <c r="BZ933" s="14"/>
      <c r="CA933" s="14"/>
      <c r="CB933" s="14"/>
      <c r="CC933" s="14"/>
      <c r="CD933" s="14"/>
      <c r="CE933" s="14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</row>
    <row r="934">
      <c r="A934" s="12"/>
      <c r="B934" s="14"/>
      <c r="C934" s="14"/>
      <c r="D934" s="14"/>
      <c r="E934" s="12"/>
      <c r="F934" s="307"/>
      <c r="G934" s="307"/>
      <c r="H934" s="12"/>
      <c r="I934" s="30"/>
      <c r="J934" s="12"/>
      <c r="K934" s="12"/>
      <c r="L934" s="12"/>
      <c r="M934" s="12"/>
      <c r="N934" s="12"/>
      <c r="O934" s="308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4"/>
      <c r="BF934" s="12"/>
      <c r="BG934" s="12"/>
      <c r="BH934" s="12" t="str">
        <f>IFERROR(__xludf.DUMMYFUNCTION("IFERROR(INDEX(QUERY(IMPORTRANGE(""1T7HG8KEs-Ob7f3M5atEVN9Yn7IeORGp0QGvggB62ELw"",""Maestro!A:I""),""SELECT Col8 WHERE Col3 = '""&amp;BE934&amp;""'"", 0), 1, 1),""NO ENCONTRADO"")"),"")</f>
        <v/>
      </c>
      <c r="BI934" s="12" t="str">
        <f>IFERROR(__xludf.DUMMYFUNCTION("IFERROR(INDEX(QUERY(IMPORTRANGE(""1T7HG8KEs-Ob7f3M5atEVN9Yn7IeORGp0QGvggB62ELw"",""Maestro!A:I""),""SELECT Col7 WHERE Col3 = '""&amp;BE934&amp;""'"", 0), 1, 1),""NO ENCONTRADO"")"),"")</f>
        <v/>
      </c>
      <c r="BJ934" s="16">
        <f t="shared" si="15"/>
        <v>0</v>
      </c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4"/>
      <c r="BX934" s="14"/>
      <c r="BY934" s="14"/>
      <c r="BZ934" s="14"/>
      <c r="CA934" s="14"/>
      <c r="CB934" s="14"/>
      <c r="CC934" s="14"/>
      <c r="CD934" s="14"/>
      <c r="CE934" s="14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</row>
    <row r="935">
      <c r="A935" s="12"/>
      <c r="B935" s="14"/>
      <c r="C935" s="14"/>
      <c r="D935" s="14"/>
      <c r="E935" s="12"/>
      <c r="F935" s="307"/>
      <c r="G935" s="307"/>
      <c r="H935" s="12"/>
      <c r="I935" s="30"/>
      <c r="J935" s="12"/>
      <c r="K935" s="12"/>
      <c r="L935" s="12"/>
      <c r="M935" s="12"/>
      <c r="N935" s="12"/>
      <c r="O935" s="308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4"/>
      <c r="BF935" s="12"/>
      <c r="BG935" s="12"/>
      <c r="BH935" s="12" t="str">
        <f>IFERROR(__xludf.DUMMYFUNCTION("IFERROR(INDEX(QUERY(IMPORTRANGE(""1T7HG8KEs-Ob7f3M5atEVN9Yn7IeORGp0QGvggB62ELw"",""Maestro!A:I""),""SELECT Col8 WHERE Col3 = '""&amp;BE935&amp;""'"", 0), 1, 1),""NO ENCONTRADO"")"),"")</f>
        <v/>
      </c>
      <c r="BI935" s="12" t="str">
        <f>IFERROR(__xludf.DUMMYFUNCTION("IFERROR(INDEX(QUERY(IMPORTRANGE(""1T7HG8KEs-Ob7f3M5atEVN9Yn7IeORGp0QGvggB62ELw"",""Maestro!A:I""),""SELECT Col7 WHERE Col3 = '""&amp;BE935&amp;""'"", 0), 1, 1),""NO ENCONTRADO"")"),"")</f>
        <v/>
      </c>
      <c r="BJ935" s="16">
        <f t="shared" si="15"/>
        <v>0</v>
      </c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4"/>
      <c r="BX935" s="14"/>
      <c r="BY935" s="14"/>
      <c r="BZ935" s="14"/>
      <c r="CA935" s="14"/>
      <c r="CB935" s="14"/>
      <c r="CC935" s="14"/>
      <c r="CD935" s="14"/>
      <c r="CE935" s="14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</row>
    <row r="936">
      <c r="A936" s="12"/>
      <c r="B936" s="14"/>
      <c r="C936" s="14"/>
      <c r="D936" s="14"/>
      <c r="E936" s="12"/>
      <c r="F936" s="307"/>
      <c r="G936" s="307"/>
      <c r="H936" s="12"/>
      <c r="I936" s="30"/>
      <c r="J936" s="12"/>
      <c r="K936" s="12"/>
      <c r="L936" s="12"/>
      <c r="M936" s="12"/>
      <c r="N936" s="12"/>
      <c r="O936" s="308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4"/>
      <c r="BF936" s="12"/>
      <c r="BG936" s="12"/>
      <c r="BH936" s="12" t="str">
        <f>IFERROR(__xludf.DUMMYFUNCTION("IFERROR(INDEX(QUERY(IMPORTRANGE(""1T7HG8KEs-Ob7f3M5atEVN9Yn7IeORGp0QGvggB62ELw"",""Maestro!A:I""),""SELECT Col8 WHERE Col3 = '""&amp;BE936&amp;""'"", 0), 1, 1),""NO ENCONTRADO"")"),"")</f>
        <v/>
      </c>
      <c r="BI936" s="12" t="str">
        <f>IFERROR(__xludf.DUMMYFUNCTION("IFERROR(INDEX(QUERY(IMPORTRANGE(""1T7HG8KEs-Ob7f3M5atEVN9Yn7IeORGp0QGvggB62ELw"",""Maestro!A:I""),""SELECT Col7 WHERE Col3 = '""&amp;BE936&amp;""'"", 0), 1, 1),""NO ENCONTRADO"")"),"")</f>
        <v/>
      </c>
      <c r="BJ936" s="16">
        <f t="shared" si="15"/>
        <v>0</v>
      </c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4"/>
      <c r="BX936" s="14"/>
      <c r="BY936" s="14"/>
      <c r="BZ936" s="14"/>
      <c r="CA936" s="14"/>
      <c r="CB936" s="14"/>
      <c r="CC936" s="14"/>
      <c r="CD936" s="14"/>
      <c r="CE936" s="14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</row>
    <row r="937">
      <c r="A937" s="12"/>
      <c r="B937" s="14"/>
      <c r="C937" s="14"/>
      <c r="D937" s="14"/>
      <c r="E937" s="12"/>
      <c r="F937" s="307"/>
      <c r="G937" s="307"/>
      <c r="H937" s="12"/>
      <c r="I937" s="30"/>
      <c r="J937" s="12"/>
      <c r="K937" s="12"/>
      <c r="L937" s="12"/>
      <c r="M937" s="12"/>
      <c r="N937" s="12"/>
      <c r="O937" s="308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4"/>
      <c r="BF937" s="12"/>
      <c r="BG937" s="12"/>
      <c r="BH937" s="12"/>
      <c r="BI937" s="12"/>
      <c r="BJ937" s="16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4"/>
      <c r="BX937" s="14"/>
      <c r="BY937" s="14"/>
      <c r="BZ937" s="14"/>
      <c r="CA937" s="14"/>
      <c r="CB937" s="14"/>
      <c r="CC937" s="14"/>
      <c r="CD937" s="14"/>
      <c r="CE937" s="14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</row>
  </sheetData>
  <conditionalFormatting sqref="E2:J439">
    <cfRule type="notContainsBlanks" dxfId="0" priority="1">
      <formula>LEN(TRIM(E2))&gt;0</formula>
    </cfRule>
  </conditionalFormatting>
  <conditionalFormatting sqref="E2:J439">
    <cfRule type="containsBlanks" dxfId="1" priority="2">
      <formula>LEN(TRIM(E2))=0</formula>
    </cfRule>
  </conditionalFormatting>
  <dataValidations>
    <dataValidation type="custom" allowBlank="1" showDropDown="1" sqref="E2:E439">
      <formula1>OR(NOT(ISERROR(DATEVALUE(E2))), AND(ISNUMBER(E2), LEFT(CELL("format", E2))="D"))</formula1>
    </dataValidation>
    <dataValidation type="custom" allowBlank="1" showDropDown="1" sqref="I2:I439">
      <formula1>AND(ISNUMBER(I2),(NOT(OR(NOT(ISERROR(DATEVALUE(I2))), AND(ISNUMBER(I2), LEFT(CELL("format", I2))="D")))))</formula1>
    </dataValidation>
    <dataValidation allowBlank="1" showDropDown="1" sqref="F2:F439"/>
  </dataValidations>
  <drawing r:id="rId7"/>
  <tableParts count="1">
    <tablePart r:id="rId9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hidden="1" min="1" max="1" width="8.88"/>
    <col customWidth="1" hidden="1" min="2" max="2" width="8.25"/>
    <col customWidth="1" hidden="1" min="3" max="3" width="11.88"/>
    <col customWidth="1" min="4" max="4" width="12.63"/>
    <col customWidth="1" hidden="1" min="5" max="5" width="14.63"/>
    <col customWidth="1" hidden="1" min="6" max="6" width="17.25"/>
    <col customWidth="1" hidden="1" min="7" max="7" width="17.0"/>
    <col customWidth="1" min="8" max="8" width="35.5"/>
    <col customWidth="1" min="9" max="9" width="17.0"/>
    <col customWidth="1" hidden="1" min="10" max="10" width="17.75"/>
    <col customWidth="1" hidden="1" min="11" max="11" width="10.63"/>
    <col customWidth="1" hidden="1" min="12" max="12" width="6.38"/>
    <col customWidth="1" hidden="1" min="13" max="13" width="13.63"/>
    <col customWidth="1" hidden="1" min="14" max="14" width="11.25"/>
    <col customWidth="1" hidden="1" min="15" max="15" width="9.88"/>
    <col customWidth="1" min="22" max="22" width="8.38"/>
    <col customWidth="1" min="23" max="23" width="6.75"/>
    <col customWidth="1" min="24" max="24" width="7.75"/>
    <col customWidth="1" min="25" max="25" width="10.0"/>
    <col customWidth="1" min="26" max="26" width="13.25"/>
    <col customWidth="1" min="28" max="28" width="10.0"/>
    <col customWidth="1" min="29" max="29" width="7.63"/>
    <col customWidth="1" min="30" max="30" width="33.63"/>
    <col customWidth="1" min="31" max="31" width="13.75"/>
    <col customWidth="1" min="32" max="32" width="15.75"/>
    <col customWidth="1" min="33" max="33" width="4.63"/>
    <col customWidth="1" min="34" max="34" width="4.25"/>
    <col customWidth="1" min="35" max="35" width="6.88"/>
    <col customWidth="1" min="36" max="36" width="3.25"/>
    <col customWidth="1" min="37" max="37" width="7.75"/>
    <col customWidth="1" min="38" max="38" width="10.13"/>
    <col customWidth="1" min="39" max="39" width="33.63"/>
    <col customWidth="1" min="40" max="40" width="18.75"/>
    <col customWidth="1" min="43" max="43" width="12.5"/>
    <col customWidth="1" min="44" max="44" width="10.13"/>
    <col customWidth="1" min="45" max="45" width="36.13"/>
    <col customWidth="1" min="46" max="46" width="14.5"/>
    <col customWidth="1" min="47" max="47" width="18.25"/>
    <col customWidth="1" min="48" max="48" width="8.38"/>
    <col customWidth="1" min="49" max="49" width="6.75"/>
    <col customWidth="1" min="50" max="50" width="7.75"/>
    <col customWidth="1" min="51" max="51" width="5.75"/>
    <col customWidth="1" min="52" max="52" width="7.75"/>
    <col customWidth="1" min="55" max="55" width="12.5"/>
    <col customWidth="1" min="56" max="56" width="10.13"/>
    <col customWidth="1" min="57" max="57" width="33.63"/>
    <col customWidth="1" min="58" max="58" width="13.75"/>
    <col customWidth="1" min="59" max="59" width="12.13"/>
    <col customWidth="1" min="60" max="60" width="4.75"/>
    <col customWidth="1" min="61" max="61" width="6.5"/>
    <col customWidth="1" min="63" max="63" width="11.75"/>
    <col customWidth="1" min="64" max="64" width="9.25"/>
    <col customWidth="1" min="65" max="65" width="25.5"/>
    <col customWidth="1" min="66" max="66" width="14.5"/>
    <col customWidth="1" min="67" max="67" width="13.25"/>
    <col customWidth="1" min="70" max="70" width="12.5"/>
    <col customWidth="1" min="71" max="71" width="10.13"/>
    <col customWidth="1" min="72" max="72" width="36.13"/>
    <col customWidth="1" min="73" max="73" width="14.5"/>
    <col customWidth="1" min="74" max="74" width="15.75"/>
    <col customWidth="1" min="78" max="78" width="20.25"/>
  </cols>
  <sheetData>
    <row r="1">
      <c r="A1" s="309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9" t="s">
        <v>12</v>
      </c>
      <c r="N1" s="10" t="s">
        <v>13</v>
      </c>
      <c r="O1" s="10" t="s">
        <v>14</v>
      </c>
      <c r="P1" s="329" t="s">
        <v>793</v>
      </c>
      <c r="Q1" s="10" t="s">
        <v>794</v>
      </c>
      <c r="R1" s="329" t="s">
        <v>795</v>
      </c>
      <c r="S1" s="329" t="s">
        <v>796</v>
      </c>
      <c r="T1" s="9" t="s">
        <v>797</v>
      </c>
      <c r="U1" s="330" t="s">
        <v>798</v>
      </c>
      <c r="V1" s="12"/>
      <c r="W1" s="12"/>
      <c r="X1" s="12"/>
      <c r="Y1" s="12"/>
      <c r="Z1" s="12"/>
      <c r="AA1" s="12"/>
      <c r="AB1" s="12" t="str">
        <f>IFERROR(__xludf.DUMMYFUNCTION("QUERY(AQ1:AZ937, ""SELECT * WHERE AZ &gt; 0 ORDER BY AZ ASC"")"),"UBICACION")</f>
        <v>UBICACION</v>
      </c>
      <c r="AC1" s="12" t="str">
        <f>IFERROR(__xludf.DUMMYFUNCTION("""COMPUTED_VALUE"""),"SKU")</f>
        <v>SKU</v>
      </c>
      <c r="AD1" s="12" t="str">
        <f>IFERROR(__xludf.DUMMYFUNCTION("""COMPUTED_VALUE"""),"DESCRIPCION")</f>
        <v>DESCRIPCION</v>
      </c>
      <c r="AE1" s="12" t="str">
        <f>IFERROR(__xludf.DUMMYFUNCTION("""COMPUTED_VALUE"""),"UNIDADADES TOTAL")</f>
        <v>UNIDADADES TOTAL</v>
      </c>
      <c r="AF1" s="12" t="str">
        <f>IFERROR(__xludf.DUMMYFUNCTION("""COMPUTED_VALUE"""),"ORIGEN INGRESO")</f>
        <v>ORIGEN INGRESO</v>
      </c>
      <c r="AG1" s="12" t="str">
        <f>IFERROR(__xludf.DUMMYFUNCTION("""COMPUTED_VALUE"""),"SALA")</f>
        <v>SALA</v>
      </c>
      <c r="AH1" s="12" t="str">
        <f>IFERROR(__xludf.DUMMYFUNCTION("""COMPUTED_VALUE"""),"FILA")</f>
        <v>FILA</v>
      </c>
      <c r="AI1" s="12" t="str">
        <f>IFERROR(__xludf.DUMMYFUNCTION("""COMPUTED_VALUE"""),"POSICIÓN")</f>
        <v>POSICIÓN</v>
      </c>
      <c r="AJ1" s="12" t="str">
        <f>IFERROR(__xludf.DUMMYFUNCTION("""COMPUTED_VALUE"""),"#")</f>
        <v>#</v>
      </c>
      <c r="AK1" s="12" t="str">
        <f>IFERROR(__xludf.DUMMYFUNCTION("""COMPUTED_VALUE"""),"Cliente")</f>
        <v>Cliente</v>
      </c>
      <c r="AO1" s="12"/>
      <c r="AP1" s="12"/>
      <c r="BB1" s="12"/>
      <c r="BC1" s="16" t="s">
        <v>16</v>
      </c>
      <c r="BD1" s="14"/>
      <c r="BE1" s="12"/>
      <c r="BF1" s="12"/>
      <c r="BG1" s="14"/>
      <c r="BH1" s="12"/>
      <c r="BI1" s="12"/>
      <c r="BJ1" s="12"/>
      <c r="BK1" s="16" t="s">
        <v>17</v>
      </c>
      <c r="BL1" s="12"/>
      <c r="BM1" s="12"/>
      <c r="BN1" s="12"/>
      <c r="BO1" s="12"/>
      <c r="BP1" s="12"/>
      <c r="BQ1" s="12"/>
      <c r="BR1" s="16" t="s">
        <v>16</v>
      </c>
      <c r="BS1" s="12"/>
      <c r="BT1" s="12"/>
      <c r="BU1" s="12"/>
      <c r="BV1" s="17"/>
      <c r="BW1" s="14"/>
      <c r="BX1" s="14"/>
      <c r="BY1" s="14"/>
      <c r="BZ1" s="14"/>
      <c r="CA1" s="14"/>
      <c r="CB1" s="14"/>
      <c r="CC1" s="14"/>
      <c r="CD1" s="14"/>
      <c r="CE1" s="12"/>
      <c r="CF1" s="12"/>
      <c r="CG1" s="12"/>
      <c r="CH1" s="12"/>
      <c r="CI1" s="12"/>
      <c r="CJ1" s="12"/>
      <c r="CK1" s="12"/>
      <c r="CL1" s="12"/>
      <c r="CM1" s="12"/>
      <c r="CN1" s="12"/>
    </row>
    <row r="2">
      <c r="A2" s="18">
        <v>1.0</v>
      </c>
      <c r="B2" s="19" t="s">
        <v>18</v>
      </c>
      <c r="C2" s="19" t="s">
        <v>18</v>
      </c>
      <c r="D2" s="20" t="str">
        <f t="shared" ref="D2:D439" si="1">CONCATENATE(A2,"-",B2,"-",C2)</f>
        <v>1-1-1</v>
      </c>
      <c r="E2" s="21">
        <v>45733.0</v>
      </c>
      <c r="F2" s="22" t="s">
        <v>19</v>
      </c>
      <c r="G2" s="23" t="s">
        <v>20</v>
      </c>
      <c r="H2" s="24" t="s">
        <v>21</v>
      </c>
      <c r="I2" s="25">
        <v>90.0</v>
      </c>
      <c r="J2" s="26" t="s">
        <v>22</v>
      </c>
      <c r="K2" s="27" t="str">
        <f t="shared" ref="K2:K439" si="2">IF(ISBLANK(E2),"DISPONIBLE","OCUPADO")</f>
        <v>OCUPADO</v>
      </c>
      <c r="L2" s="28">
        <f t="shared" ref="L2:L99" si="3">IF(B1&lt;&gt;"", ROW(A1), "")
</f>
        <v>1</v>
      </c>
      <c r="M2" s="28" t="s">
        <v>23</v>
      </c>
      <c r="N2" s="70"/>
      <c r="O2" s="28" t="s">
        <v>24</v>
      </c>
      <c r="P2" s="331" t="s">
        <v>27</v>
      </c>
      <c r="Q2" s="332">
        <v>45733.0</v>
      </c>
      <c r="R2" s="333" t="s">
        <v>19</v>
      </c>
      <c r="S2" s="333" t="s">
        <v>20</v>
      </c>
      <c r="T2" s="28" t="s">
        <v>21</v>
      </c>
      <c r="U2" s="334">
        <v>90.0</v>
      </c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2"/>
      <c r="AO2" s="12"/>
      <c r="AP2" s="12"/>
      <c r="BB2" s="12"/>
      <c r="BG2" s="31" t="s">
        <v>28</v>
      </c>
      <c r="BH2" s="31" t="s">
        <v>29</v>
      </c>
      <c r="BI2" s="31" t="s">
        <v>30</v>
      </c>
      <c r="BJ2" s="12"/>
      <c r="BQ2" s="12"/>
      <c r="BX2" s="14"/>
      <c r="BY2" s="14"/>
      <c r="BZ2" s="14"/>
      <c r="CA2" s="14"/>
      <c r="CB2" s="14"/>
      <c r="CC2" s="14"/>
      <c r="CD2" s="14"/>
      <c r="CE2" s="12"/>
      <c r="CF2" s="12"/>
      <c r="CG2" s="12"/>
      <c r="CH2" s="12"/>
      <c r="CI2" s="12"/>
      <c r="CJ2" s="12"/>
      <c r="CK2" s="12"/>
      <c r="CL2" s="12"/>
      <c r="CM2" s="12"/>
      <c r="CN2" s="12"/>
    </row>
    <row r="3">
      <c r="A3" s="18">
        <v>1.0</v>
      </c>
      <c r="B3" s="19" t="s">
        <v>18</v>
      </c>
      <c r="C3" s="19" t="s">
        <v>32</v>
      </c>
      <c r="D3" s="20" t="str">
        <f t="shared" si="1"/>
        <v>1-1-2</v>
      </c>
      <c r="E3" s="21">
        <v>45733.0</v>
      </c>
      <c r="F3" s="22" t="s">
        <v>19</v>
      </c>
      <c r="G3" s="23" t="s">
        <v>33</v>
      </c>
      <c r="H3" s="24" t="s">
        <v>34</v>
      </c>
      <c r="I3" s="25">
        <v>43.0</v>
      </c>
      <c r="J3" s="26" t="s">
        <v>35</v>
      </c>
      <c r="K3" s="32" t="str">
        <f t="shared" si="2"/>
        <v>OCUPADO</v>
      </c>
      <c r="L3" s="33">
        <f t="shared" si="3"/>
        <v>2</v>
      </c>
      <c r="M3" s="33" t="s">
        <v>23</v>
      </c>
      <c r="N3" s="53"/>
      <c r="O3" s="33" t="s">
        <v>24</v>
      </c>
      <c r="P3" s="335" t="s">
        <v>39</v>
      </c>
      <c r="Q3" s="336">
        <v>45733.0</v>
      </c>
      <c r="R3" s="337" t="s">
        <v>19</v>
      </c>
      <c r="S3" s="337" t="s">
        <v>33</v>
      </c>
      <c r="T3" s="33" t="s">
        <v>34</v>
      </c>
      <c r="U3" s="338">
        <v>43.0</v>
      </c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O3" s="12"/>
      <c r="AP3" s="12"/>
      <c r="BB3" s="12"/>
      <c r="BG3" s="12" t="str">
        <f>IFERROR(__xludf.DUMMYFUNCTION("IFERROR(INDEX(QUERY(IMPORTRANGE(""1T7HG8KEs-Ob7f3M5atEVN9Yn7IeORGp0QGvggB62ELw"",""Maestro!A:I""),""SELECT Col8 WHERE Col3 = '""&amp;BD3&amp;""'"", 0), 1, 1),""NO ENCONTRADO"")"),"D")</f>
        <v>D</v>
      </c>
      <c r="BH3" s="16">
        <v>1.0</v>
      </c>
      <c r="BI3" s="16">
        <f t="shared" ref="BI3:BI98" si="4">IFERROR(ROUND(IF(BG3="D",BF3/BH3,BF3*BH3),0),1)</f>
        <v>90</v>
      </c>
      <c r="BJ3" s="12"/>
      <c r="BQ3" s="12"/>
      <c r="BX3" s="14"/>
      <c r="BY3" s="14"/>
      <c r="BZ3" s="14"/>
      <c r="CA3" s="14"/>
      <c r="CB3" s="14"/>
      <c r="CC3" s="14"/>
      <c r="CD3" s="14"/>
      <c r="CE3" s="12"/>
      <c r="CF3" s="12"/>
      <c r="CG3" s="12"/>
      <c r="CH3" s="12"/>
      <c r="CI3" s="12"/>
      <c r="CJ3" s="12"/>
      <c r="CK3" s="12"/>
      <c r="CL3" s="12"/>
      <c r="CM3" s="12"/>
      <c r="CN3" s="12"/>
    </row>
    <row r="4">
      <c r="A4" s="18">
        <v>1.0</v>
      </c>
      <c r="B4" s="19" t="s">
        <v>18</v>
      </c>
      <c r="C4" s="19" t="s">
        <v>44</v>
      </c>
      <c r="D4" s="20" t="str">
        <f t="shared" si="1"/>
        <v>1-1-3</v>
      </c>
      <c r="E4" s="35">
        <v>45742.0</v>
      </c>
      <c r="F4" s="36" t="s">
        <v>45</v>
      </c>
      <c r="G4" s="37" t="s">
        <v>46</v>
      </c>
      <c r="H4" s="38" t="s">
        <v>47</v>
      </c>
      <c r="I4" s="39">
        <v>700.0</v>
      </c>
      <c r="J4" s="38" t="s">
        <v>22</v>
      </c>
      <c r="K4" s="27" t="str">
        <f t="shared" si="2"/>
        <v>OCUPADO</v>
      </c>
      <c r="L4" s="28">
        <f t="shared" si="3"/>
        <v>3</v>
      </c>
      <c r="M4" s="28" t="s">
        <v>23</v>
      </c>
      <c r="N4" s="70"/>
      <c r="O4" s="28" t="s">
        <v>24</v>
      </c>
      <c r="P4" s="331" t="s">
        <v>51</v>
      </c>
      <c r="Q4" s="332">
        <v>45742.0</v>
      </c>
      <c r="R4" s="333" t="s">
        <v>45</v>
      </c>
      <c r="S4" s="333" t="s">
        <v>46</v>
      </c>
      <c r="T4" s="28" t="s">
        <v>47</v>
      </c>
      <c r="U4" s="334">
        <v>700.0</v>
      </c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O4" s="12"/>
      <c r="AP4" s="12"/>
      <c r="BB4" s="12"/>
      <c r="BG4" s="12" t="str">
        <f>IFERROR(__xludf.DUMMYFUNCTION("IFERROR(INDEX(QUERY(IMPORTRANGE(""1T7HG8KEs-Ob7f3M5atEVN9Yn7IeORGp0QGvggB62ELw"",""Maestro!A:I""),""SELECT Col8 WHERE Col3 = '""&amp;BD4&amp;""'"", 0), 1, 1),""NO ENCONTRADO"")"),"NO ENCONTRADO")</f>
        <v>NO ENCONTRADO</v>
      </c>
      <c r="BH4" s="16">
        <v>1.0</v>
      </c>
      <c r="BI4" s="16">
        <f t="shared" si="4"/>
        <v>43</v>
      </c>
      <c r="BJ4" s="12"/>
      <c r="BQ4" s="12"/>
      <c r="BX4" s="14"/>
      <c r="BY4" s="14"/>
      <c r="BZ4" s="14"/>
      <c r="CA4" s="14"/>
      <c r="CB4" s="14"/>
      <c r="CC4" s="14"/>
      <c r="CD4" s="14"/>
      <c r="CE4" s="12"/>
      <c r="CF4" s="12"/>
      <c r="CG4" s="12"/>
      <c r="CH4" s="12"/>
      <c r="CI4" s="12"/>
      <c r="CJ4" s="12"/>
      <c r="CK4" s="12"/>
      <c r="CL4" s="12"/>
      <c r="CM4" s="12"/>
      <c r="CN4" s="12"/>
    </row>
    <row r="5">
      <c r="A5" s="18">
        <v>1.0</v>
      </c>
      <c r="B5" s="19" t="s">
        <v>18</v>
      </c>
      <c r="C5" s="19" t="s">
        <v>53</v>
      </c>
      <c r="D5" s="20" t="str">
        <f t="shared" si="1"/>
        <v>1-1-4</v>
      </c>
      <c r="E5" s="310">
        <v>45733.0</v>
      </c>
      <c r="F5" s="311" t="s">
        <v>19</v>
      </c>
      <c r="G5" s="311" t="s">
        <v>54</v>
      </c>
      <c r="H5" s="312" t="s">
        <v>55</v>
      </c>
      <c r="I5" s="43">
        <v>511.0</v>
      </c>
      <c r="J5" s="38" t="s">
        <v>22</v>
      </c>
      <c r="K5" s="32" t="str">
        <f t="shared" si="2"/>
        <v>OCUPADO</v>
      </c>
      <c r="L5" s="33">
        <f t="shared" si="3"/>
        <v>4</v>
      </c>
      <c r="M5" s="33" t="s">
        <v>23</v>
      </c>
      <c r="N5" s="53"/>
      <c r="O5" s="33" t="s">
        <v>24</v>
      </c>
      <c r="P5" s="335" t="s">
        <v>58</v>
      </c>
      <c r="Q5" s="339">
        <v>45733.0</v>
      </c>
      <c r="R5" s="335" t="s">
        <v>19</v>
      </c>
      <c r="S5" s="335" t="s">
        <v>54</v>
      </c>
      <c r="T5" s="340" t="s">
        <v>55</v>
      </c>
      <c r="U5" s="338">
        <v>511.0</v>
      </c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O5" s="12"/>
      <c r="AP5" s="12"/>
      <c r="BB5" s="12"/>
      <c r="BG5" s="12" t="str">
        <f>IFERROR(__xludf.DUMMYFUNCTION("IFERROR(INDEX(QUERY(IMPORTRANGE(""1T7HG8KEs-Ob7f3M5atEVN9Yn7IeORGp0QGvggB62ELw"",""Maestro!A:I""),""SELECT Col8 WHERE Col3 = '""&amp;BD5&amp;""'"", 0), 1, 1),""NO ENCONTRADO"")"),"D")</f>
        <v>D</v>
      </c>
      <c r="BH5" s="16">
        <v>1.0</v>
      </c>
      <c r="BI5" s="16">
        <f t="shared" si="4"/>
        <v>700</v>
      </c>
      <c r="BJ5" s="12"/>
      <c r="BQ5" s="12"/>
      <c r="BX5" s="14"/>
      <c r="BY5" s="14"/>
      <c r="BZ5" s="14"/>
      <c r="CA5" s="14"/>
      <c r="CB5" s="14"/>
      <c r="CC5" s="14"/>
      <c r="CD5" s="14"/>
      <c r="CE5" s="12"/>
      <c r="CF5" s="12"/>
      <c r="CG5" s="12"/>
      <c r="CH5" s="12"/>
      <c r="CI5" s="12"/>
      <c r="CJ5" s="12"/>
      <c r="CK5" s="12"/>
      <c r="CL5" s="12"/>
      <c r="CM5" s="12"/>
      <c r="CN5" s="12"/>
    </row>
    <row r="6">
      <c r="A6" s="18">
        <v>1.0</v>
      </c>
      <c r="B6" s="19" t="s">
        <v>18</v>
      </c>
      <c r="C6" s="19" t="s">
        <v>25</v>
      </c>
      <c r="D6" s="20" t="str">
        <f t="shared" si="1"/>
        <v>1-1-5</v>
      </c>
      <c r="E6" s="310">
        <v>45733.0</v>
      </c>
      <c r="F6" s="311" t="s">
        <v>19</v>
      </c>
      <c r="G6" s="23" t="s">
        <v>749</v>
      </c>
      <c r="H6" s="24" t="s">
        <v>750</v>
      </c>
      <c r="I6" s="25">
        <v>100.0</v>
      </c>
      <c r="J6" s="38" t="s">
        <v>22</v>
      </c>
      <c r="K6" s="27" t="str">
        <f t="shared" si="2"/>
        <v>OCUPADO</v>
      </c>
      <c r="L6" s="28">
        <f t="shared" si="3"/>
        <v>5</v>
      </c>
      <c r="M6" s="28" t="s">
        <v>23</v>
      </c>
      <c r="N6" s="70"/>
      <c r="O6" s="28"/>
      <c r="P6" s="331" t="s">
        <v>26</v>
      </c>
      <c r="Q6" s="341">
        <v>45733.0</v>
      </c>
      <c r="R6" s="331" t="s">
        <v>19</v>
      </c>
      <c r="S6" s="333" t="s">
        <v>749</v>
      </c>
      <c r="T6" s="28" t="s">
        <v>750</v>
      </c>
      <c r="U6" s="334">
        <v>100.0</v>
      </c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O6" s="12"/>
      <c r="AP6" s="12"/>
      <c r="BB6" s="12"/>
      <c r="BG6" s="12" t="str">
        <f>IFERROR(__xludf.DUMMYFUNCTION("IFERROR(INDEX(QUERY(IMPORTRANGE(""1T7HG8KEs-Ob7f3M5atEVN9Yn7IeORGp0QGvggB62ELw"",""Maestro!A:I""),""SELECT Col8 WHERE Col3 = '""&amp;BD6&amp;""'"", 0), 1, 1),""NO ENCONTRADO"")"),"D")</f>
        <v>D</v>
      </c>
      <c r="BH6" s="16">
        <v>1.0</v>
      </c>
      <c r="BI6" s="16">
        <f t="shared" si="4"/>
        <v>511</v>
      </c>
      <c r="BJ6" s="12"/>
      <c r="BQ6" s="12"/>
      <c r="BX6" s="14"/>
      <c r="BY6" s="14"/>
      <c r="BZ6" s="14"/>
      <c r="CA6" s="14"/>
      <c r="CB6" s="14"/>
      <c r="CC6" s="14"/>
      <c r="CD6" s="14"/>
      <c r="CE6" s="12"/>
      <c r="CF6" s="12"/>
      <c r="CG6" s="12"/>
      <c r="CH6" s="12"/>
      <c r="CI6" s="12"/>
      <c r="CJ6" s="12"/>
      <c r="CK6" s="12"/>
      <c r="CL6" s="12"/>
      <c r="CM6" s="12"/>
      <c r="CN6" s="12"/>
    </row>
    <row r="7">
      <c r="A7" s="18">
        <v>1.0</v>
      </c>
      <c r="B7" s="19" t="s">
        <v>18</v>
      </c>
      <c r="C7" s="19" t="s">
        <v>36</v>
      </c>
      <c r="D7" s="20" t="str">
        <f t="shared" si="1"/>
        <v>1-1-6</v>
      </c>
      <c r="E7" s="50"/>
      <c r="F7" s="51"/>
      <c r="G7" s="46"/>
      <c r="H7" s="47"/>
      <c r="I7" s="48"/>
      <c r="J7" s="52"/>
      <c r="K7" s="32" t="str">
        <f t="shared" si="2"/>
        <v>DISPONIBLE</v>
      </c>
      <c r="L7" s="33">
        <f t="shared" si="3"/>
        <v>6</v>
      </c>
      <c r="M7" s="33" t="s">
        <v>23</v>
      </c>
      <c r="N7" s="53"/>
      <c r="O7" s="33"/>
      <c r="P7" s="335" t="s">
        <v>37</v>
      </c>
      <c r="Q7" s="336"/>
      <c r="R7" s="342"/>
      <c r="S7" s="337"/>
      <c r="T7" s="33"/>
      <c r="U7" s="338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O7" s="12"/>
      <c r="AP7" s="12"/>
      <c r="BB7" s="12"/>
      <c r="BG7" s="12" t="str">
        <f>IFERROR(__xludf.DUMMYFUNCTION("IFERROR(INDEX(QUERY(IMPORTRANGE(""1T7HG8KEs-Ob7f3M5atEVN9Yn7IeORGp0QGvggB62ELw"",""Maestro!A:I""),""SELECT Col8 WHERE Col3 = '""&amp;BD7&amp;""'"", 0), 1, 1),""NO ENCONTRADO"")"),"D")</f>
        <v>D</v>
      </c>
      <c r="BH7" s="16">
        <v>1.0</v>
      </c>
      <c r="BI7" s="16">
        <f t="shared" si="4"/>
        <v>1990</v>
      </c>
      <c r="BJ7" s="12"/>
      <c r="BQ7" s="12"/>
      <c r="BX7" s="14"/>
      <c r="BY7" s="14"/>
      <c r="BZ7" s="14"/>
      <c r="CA7" s="14"/>
      <c r="CB7" s="14"/>
      <c r="CC7" s="14"/>
      <c r="CD7" s="14"/>
      <c r="CE7" s="12"/>
      <c r="CF7" s="12"/>
      <c r="CG7" s="12"/>
      <c r="CH7" s="12"/>
      <c r="CI7" s="12"/>
      <c r="CJ7" s="12"/>
      <c r="CK7" s="12"/>
      <c r="CL7" s="12"/>
      <c r="CM7" s="12"/>
      <c r="CN7" s="12"/>
    </row>
    <row r="8">
      <c r="A8" s="54">
        <v>1.0</v>
      </c>
      <c r="B8" s="55" t="s">
        <v>18</v>
      </c>
      <c r="C8" s="55" t="s">
        <v>48</v>
      </c>
      <c r="D8" s="56" t="str">
        <f t="shared" si="1"/>
        <v>1-1-7</v>
      </c>
      <c r="E8" s="57"/>
      <c r="F8" s="58"/>
      <c r="G8" s="59"/>
      <c r="H8" s="60"/>
      <c r="I8" s="61"/>
      <c r="J8" s="62"/>
      <c r="K8" s="63" t="str">
        <f t="shared" si="2"/>
        <v>DISPONIBLE</v>
      </c>
      <c r="L8" s="64">
        <f t="shared" si="3"/>
        <v>7</v>
      </c>
      <c r="M8" s="64" t="s">
        <v>23</v>
      </c>
      <c r="N8" s="65"/>
      <c r="O8" s="64"/>
      <c r="P8" s="331" t="s">
        <v>49</v>
      </c>
      <c r="Q8" s="332"/>
      <c r="R8" s="343"/>
      <c r="S8" s="333"/>
      <c r="T8" s="28"/>
      <c r="U8" s="334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O8" s="12"/>
      <c r="AP8" s="12"/>
      <c r="BB8" s="12"/>
      <c r="BG8" s="12" t="str">
        <f>IFERROR(__xludf.DUMMYFUNCTION("IFERROR(INDEX(QUERY(IMPORTRANGE(""1T7HG8KEs-Ob7f3M5atEVN9Yn7IeORGp0QGvggB62ELw"",""Maestro!A:I""),""SELECT Col8 WHERE Col3 = '""&amp;BD8&amp;""'"", 0), 1, 1),""NO ENCONTRADO"")"),"D")</f>
        <v>D</v>
      </c>
      <c r="BH8" s="16">
        <v>1.0</v>
      </c>
      <c r="BI8" s="16">
        <f t="shared" si="4"/>
        <v>868</v>
      </c>
      <c r="BJ8" s="12"/>
      <c r="BQ8" s="12"/>
      <c r="BX8" s="14"/>
      <c r="BY8" s="14"/>
      <c r="BZ8" s="14"/>
      <c r="CA8" s="14"/>
      <c r="CB8" s="14"/>
      <c r="CC8" s="14"/>
      <c r="CD8" s="14"/>
      <c r="CE8" s="12"/>
      <c r="CF8" s="12"/>
      <c r="CG8" s="12"/>
      <c r="CH8" s="12"/>
      <c r="CI8" s="12"/>
      <c r="CJ8" s="12"/>
      <c r="CK8" s="12"/>
      <c r="CL8" s="12"/>
      <c r="CM8" s="12"/>
      <c r="CN8" s="12"/>
    </row>
    <row r="9">
      <c r="A9" s="67">
        <v>2.0</v>
      </c>
      <c r="B9" s="68" t="s">
        <v>18</v>
      </c>
      <c r="C9" s="68" t="s">
        <v>18</v>
      </c>
      <c r="D9" s="69" t="str">
        <f t="shared" si="1"/>
        <v>2-1-1</v>
      </c>
      <c r="E9" s="50"/>
      <c r="F9" s="51"/>
      <c r="G9" s="46"/>
      <c r="H9" s="47"/>
      <c r="I9" s="48"/>
      <c r="J9" s="52"/>
      <c r="K9" s="32" t="str">
        <f t="shared" si="2"/>
        <v>DISPONIBLE</v>
      </c>
      <c r="L9" s="33">
        <f t="shared" si="3"/>
        <v>8</v>
      </c>
      <c r="M9" s="33" t="s">
        <v>23</v>
      </c>
      <c r="N9" s="53"/>
      <c r="O9" s="33"/>
      <c r="P9" s="335" t="s">
        <v>56</v>
      </c>
      <c r="Q9" s="336"/>
      <c r="R9" s="342"/>
      <c r="S9" s="337"/>
      <c r="T9" s="33"/>
      <c r="U9" s="338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O9" s="12"/>
      <c r="AP9" s="12"/>
      <c r="BB9" s="12"/>
      <c r="BG9" s="12" t="str">
        <f>IFERROR(__xludf.DUMMYFUNCTION("IFERROR(INDEX(QUERY(IMPORTRANGE(""1T7HG8KEs-Ob7f3M5atEVN9Yn7IeORGp0QGvggB62ELw"",""Maestro!A:I""),""SELECT Col8 WHERE Col3 = '""&amp;BD9&amp;""'"", 0), 1, 1),""NO ENCONTRADO"")"),"D")</f>
        <v>D</v>
      </c>
      <c r="BH9" s="16">
        <v>1.0</v>
      </c>
      <c r="BI9" s="16">
        <f t="shared" si="4"/>
        <v>417</v>
      </c>
      <c r="BJ9" s="12"/>
      <c r="BQ9" s="12"/>
      <c r="BX9" s="14"/>
      <c r="BY9" s="14"/>
      <c r="BZ9" s="14"/>
      <c r="CA9" s="14"/>
      <c r="CB9" s="14"/>
      <c r="CC9" s="14"/>
      <c r="CD9" s="14"/>
      <c r="CE9" s="12"/>
      <c r="CF9" s="12"/>
      <c r="CG9" s="12"/>
      <c r="CH9" s="12"/>
      <c r="CI9" s="12"/>
      <c r="CJ9" s="12"/>
      <c r="CK9" s="12"/>
      <c r="CL9" s="12"/>
      <c r="CM9" s="12"/>
      <c r="CN9" s="12"/>
    </row>
    <row r="10">
      <c r="A10" s="67">
        <v>2.0</v>
      </c>
      <c r="B10" s="68" t="s">
        <v>18</v>
      </c>
      <c r="C10" s="68" t="s">
        <v>32</v>
      </c>
      <c r="D10" s="69" t="str">
        <f t="shared" si="1"/>
        <v>2-1-2</v>
      </c>
      <c r="E10" s="50"/>
      <c r="F10" s="51"/>
      <c r="G10" s="46"/>
      <c r="H10" s="47"/>
      <c r="I10" s="48"/>
      <c r="J10" s="52"/>
      <c r="K10" s="27" t="str">
        <f t="shared" si="2"/>
        <v>DISPONIBLE</v>
      </c>
      <c r="L10" s="28">
        <f t="shared" si="3"/>
        <v>9</v>
      </c>
      <c r="M10" s="28" t="s">
        <v>23</v>
      </c>
      <c r="N10" s="70"/>
      <c r="O10" s="28"/>
      <c r="P10" s="331" t="s">
        <v>60</v>
      </c>
      <c r="Q10" s="332"/>
      <c r="R10" s="343"/>
      <c r="S10" s="333"/>
      <c r="T10" s="28"/>
      <c r="U10" s="334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O10" s="12"/>
      <c r="AP10" s="12"/>
      <c r="BB10" s="12"/>
      <c r="BG10" s="12" t="str">
        <f>IFERROR(__xludf.DUMMYFUNCTION("IFERROR(INDEX(QUERY(IMPORTRANGE(""1T7HG8KEs-Ob7f3M5atEVN9Yn7IeORGp0QGvggB62ELw"",""Maestro!A:I""),""SELECT Col8 WHERE Col3 = '""&amp;BD10&amp;""'"", 0), 1, 1),""NO ENCONTRADO"")"),"D")</f>
        <v>D</v>
      </c>
      <c r="BH10" s="16">
        <v>1.0</v>
      </c>
      <c r="BI10" s="16">
        <f t="shared" si="4"/>
        <v>475</v>
      </c>
      <c r="BJ10" s="12"/>
      <c r="BQ10" s="12"/>
      <c r="BX10" s="14"/>
      <c r="BY10" s="14"/>
      <c r="BZ10" s="14"/>
      <c r="CA10" s="14"/>
      <c r="CB10" s="14"/>
      <c r="CC10" s="14"/>
      <c r="CD10" s="14"/>
      <c r="CE10" s="12"/>
      <c r="CF10" s="12"/>
      <c r="CG10" s="12"/>
      <c r="CH10" s="12"/>
      <c r="CI10" s="12"/>
      <c r="CJ10" s="12"/>
      <c r="CK10" s="12"/>
      <c r="CL10" s="12"/>
      <c r="CM10" s="12"/>
      <c r="CN10" s="12"/>
    </row>
    <row r="11">
      <c r="A11" s="67">
        <v>2.0</v>
      </c>
      <c r="B11" s="68" t="s">
        <v>18</v>
      </c>
      <c r="C11" s="68" t="s">
        <v>44</v>
      </c>
      <c r="D11" s="69" t="str">
        <f t="shared" si="1"/>
        <v>2-1-3</v>
      </c>
      <c r="E11" s="50"/>
      <c r="F11" s="51"/>
      <c r="G11" s="46"/>
      <c r="H11" s="47"/>
      <c r="I11" s="48"/>
      <c r="J11" s="52"/>
      <c r="K11" s="32" t="str">
        <f t="shared" si="2"/>
        <v>DISPONIBLE</v>
      </c>
      <c r="L11" s="33">
        <f t="shared" si="3"/>
        <v>10</v>
      </c>
      <c r="M11" s="33" t="s">
        <v>23</v>
      </c>
      <c r="N11" s="53"/>
      <c r="O11" s="33"/>
      <c r="P11" s="335" t="s">
        <v>62</v>
      </c>
      <c r="Q11" s="336"/>
      <c r="R11" s="342"/>
      <c r="S11" s="337"/>
      <c r="T11" s="33"/>
      <c r="U11" s="338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O11" s="12"/>
      <c r="AP11" s="12"/>
      <c r="BB11" s="12"/>
      <c r="BG11" s="12" t="str">
        <f>IFERROR(__xludf.DUMMYFUNCTION("IFERROR(INDEX(QUERY(IMPORTRANGE(""1T7HG8KEs-Ob7f3M5atEVN9Yn7IeORGp0QGvggB62ELw"",""Maestro!A:I""),""SELECT Col8 WHERE Col3 = '""&amp;BD11&amp;""'"", 0), 1, 1),""NO ENCONTRADO"")"),"D")</f>
        <v>D</v>
      </c>
      <c r="BH11" s="16">
        <v>1.0</v>
      </c>
      <c r="BI11" s="16">
        <f t="shared" si="4"/>
        <v>475</v>
      </c>
      <c r="BJ11" s="12"/>
      <c r="BQ11" s="12"/>
      <c r="BX11" s="14"/>
      <c r="BY11" s="14"/>
      <c r="BZ11" s="14"/>
      <c r="CA11" s="14"/>
      <c r="CB11" s="14"/>
      <c r="CC11" s="14"/>
      <c r="CD11" s="14"/>
      <c r="CE11" s="12"/>
      <c r="CF11" s="12"/>
      <c r="CG11" s="12"/>
      <c r="CH11" s="12"/>
      <c r="CI11" s="12"/>
      <c r="CJ11" s="12"/>
      <c r="CK11" s="12"/>
      <c r="CL11" s="12"/>
      <c r="CM11" s="12"/>
      <c r="CN11" s="12"/>
    </row>
    <row r="12">
      <c r="A12" s="67">
        <v>2.0</v>
      </c>
      <c r="B12" s="68" t="s">
        <v>32</v>
      </c>
      <c r="C12" s="68" t="s">
        <v>18</v>
      </c>
      <c r="D12" s="69" t="str">
        <f t="shared" si="1"/>
        <v>2-2-1</v>
      </c>
      <c r="E12" s="21">
        <v>45733.0</v>
      </c>
      <c r="F12" s="22" t="s">
        <v>19</v>
      </c>
      <c r="G12" s="23" t="s">
        <v>70</v>
      </c>
      <c r="H12" s="24" t="s">
        <v>71</v>
      </c>
      <c r="I12" s="25">
        <v>1990.0</v>
      </c>
      <c r="J12" s="26" t="s">
        <v>22</v>
      </c>
      <c r="K12" s="27" t="str">
        <f t="shared" si="2"/>
        <v>OCUPADO</v>
      </c>
      <c r="L12" s="28">
        <f t="shared" si="3"/>
        <v>11</v>
      </c>
      <c r="M12" s="28" t="s">
        <v>23</v>
      </c>
      <c r="N12" s="70"/>
      <c r="O12" s="28" t="s">
        <v>24</v>
      </c>
      <c r="P12" s="331" t="s">
        <v>69</v>
      </c>
      <c r="Q12" s="332">
        <v>45733.0</v>
      </c>
      <c r="R12" s="333" t="s">
        <v>19</v>
      </c>
      <c r="S12" s="333" t="s">
        <v>70</v>
      </c>
      <c r="T12" s="28" t="s">
        <v>71</v>
      </c>
      <c r="U12" s="334">
        <v>1990.0</v>
      </c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O12" s="12"/>
      <c r="AP12" s="12"/>
      <c r="BB12" s="12"/>
      <c r="BG12" s="12" t="str">
        <f>IFERROR(__xludf.DUMMYFUNCTION("IFERROR(INDEX(QUERY(IMPORTRANGE(""1T7HG8KEs-Ob7f3M5atEVN9Yn7IeORGp0QGvggB62ELw"",""Maestro!A:I""),""SELECT Col8 WHERE Col3 = '""&amp;BD12&amp;""'"", 0), 1, 1),""NO ENCONTRADO"")"),"D")</f>
        <v>D</v>
      </c>
      <c r="BH12" s="16">
        <v>1.0</v>
      </c>
      <c r="BI12" s="16">
        <f t="shared" si="4"/>
        <v>700</v>
      </c>
      <c r="BJ12" s="12"/>
      <c r="BQ12" s="12"/>
      <c r="BX12" s="14"/>
      <c r="BY12" s="14"/>
      <c r="BZ12" s="14"/>
      <c r="CA12" s="14"/>
      <c r="CB12" s="14"/>
      <c r="CC12" s="14"/>
      <c r="CD12" s="14"/>
      <c r="CE12" s="12"/>
      <c r="CF12" s="12"/>
      <c r="CG12" s="12"/>
      <c r="CH12" s="12"/>
      <c r="CI12" s="12"/>
      <c r="CJ12" s="12"/>
      <c r="CK12" s="12"/>
      <c r="CL12" s="12"/>
      <c r="CM12" s="12"/>
      <c r="CN12" s="12"/>
    </row>
    <row r="13">
      <c r="A13" s="67">
        <v>2.0</v>
      </c>
      <c r="B13" s="68" t="s">
        <v>32</v>
      </c>
      <c r="C13" s="68" t="s">
        <v>32</v>
      </c>
      <c r="D13" s="69" t="str">
        <f t="shared" si="1"/>
        <v>2-2-2</v>
      </c>
      <c r="E13" s="50"/>
      <c r="F13" s="51"/>
      <c r="G13" s="46"/>
      <c r="H13" s="47"/>
      <c r="I13" s="48"/>
      <c r="J13" s="52"/>
      <c r="K13" s="32" t="str">
        <f t="shared" si="2"/>
        <v>DISPONIBLE</v>
      </c>
      <c r="L13" s="33">
        <f t="shared" si="3"/>
        <v>12</v>
      </c>
      <c r="M13" s="33" t="s">
        <v>23</v>
      </c>
      <c r="N13" s="53"/>
      <c r="O13" s="33"/>
      <c r="P13" s="335" t="s">
        <v>66</v>
      </c>
      <c r="Q13" s="336"/>
      <c r="R13" s="342"/>
      <c r="S13" s="337"/>
      <c r="T13" s="33"/>
      <c r="U13" s="338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O13" s="12"/>
      <c r="AP13" s="12"/>
      <c r="BB13" s="12"/>
      <c r="BG13" s="12" t="str">
        <f>IFERROR(__xludf.DUMMYFUNCTION("IFERROR(INDEX(QUERY(IMPORTRANGE(""1T7HG8KEs-Ob7f3M5atEVN9Yn7IeORGp0QGvggB62ELw"",""Maestro!A:I""),""SELECT Col8 WHERE Col3 = '""&amp;BD13&amp;""'"", 0), 1, 1),""NO ENCONTRADO"")"),"D")</f>
        <v>D</v>
      </c>
      <c r="BH13" s="16">
        <v>1.0</v>
      </c>
      <c r="BI13" s="16">
        <f t="shared" si="4"/>
        <v>400</v>
      </c>
      <c r="BJ13" s="12"/>
      <c r="BQ13" s="12"/>
      <c r="BX13" s="14"/>
      <c r="BY13" s="14"/>
      <c r="BZ13" s="14"/>
      <c r="CA13" s="14"/>
      <c r="CB13" s="14"/>
      <c r="CC13" s="14"/>
      <c r="CD13" s="14"/>
      <c r="CE13" s="12"/>
      <c r="CF13" s="12"/>
      <c r="CG13" s="12"/>
      <c r="CH13" s="12"/>
      <c r="CI13" s="12"/>
      <c r="CJ13" s="12"/>
      <c r="CK13" s="12"/>
      <c r="CL13" s="12"/>
      <c r="CM13" s="12"/>
      <c r="CN13" s="12"/>
    </row>
    <row r="14">
      <c r="A14" s="67">
        <v>2.0</v>
      </c>
      <c r="B14" s="68" t="s">
        <v>32</v>
      </c>
      <c r="C14" s="68" t="s">
        <v>44</v>
      </c>
      <c r="D14" s="69" t="str">
        <f t="shared" si="1"/>
        <v>2-2-3</v>
      </c>
      <c r="E14" s="50"/>
      <c r="F14" s="51"/>
      <c r="G14" s="46"/>
      <c r="H14" s="47"/>
      <c r="I14" s="48"/>
      <c r="J14" s="52"/>
      <c r="K14" s="27" t="str">
        <f t="shared" si="2"/>
        <v>DISPONIBLE</v>
      </c>
      <c r="L14" s="28">
        <f t="shared" si="3"/>
        <v>13</v>
      </c>
      <c r="M14" s="28" t="s">
        <v>23</v>
      </c>
      <c r="N14" s="70"/>
      <c r="O14" s="28"/>
      <c r="P14" s="331" t="s">
        <v>76</v>
      </c>
      <c r="Q14" s="332"/>
      <c r="R14" s="343"/>
      <c r="S14" s="333"/>
      <c r="T14" s="28"/>
      <c r="U14" s="334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O14" s="12"/>
      <c r="AP14" s="12"/>
      <c r="BB14" s="12"/>
      <c r="BG14" s="12" t="str">
        <f>IFERROR(__xludf.DUMMYFUNCTION("IFERROR(INDEX(QUERY(IMPORTRANGE(""1T7HG8KEs-Ob7f3M5atEVN9Yn7IeORGp0QGvggB62ELw"",""Maestro!A:I""),""SELECT Col8 WHERE Col3 = '""&amp;BD14&amp;""'"", 0), 1, 1),""NO ENCONTRADO"")"),"D")</f>
        <v>D</v>
      </c>
      <c r="BH14" s="16">
        <v>1.0</v>
      </c>
      <c r="BI14" s="16">
        <f t="shared" si="4"/>
        <v>409</v>
      </c>
      <c r="BJ14" s="12"/>
      <c r="BQ14" s="12"/>
      <c r="BX14" s="14"/>
      <c r="BY14" s="14"/>
      <c r="BZ14" s="14"/>
      <c r="CA14" s="14"/>
      <c r="CB14" s="14"/>
      <c r="CC14" s="14"/>
      <c r="CD14" s="14"/>
      <c r="CE14" s="12"/>
      <c r="CF14" s="12"/>
      <c r="CG14" s="12"/>
      <c r="CH14" s="12"/>
      <c r="CI14" s="12"/>
      <c r="CJ14" s="12"/>
      <c r="CK14" s="12"/>
      <c r="CL14" s="12"/>
      <c r="CM14" s="12"/>
      <c r="CN14" s="12"/>
    </row>
    <row r="15">
      <c r="A15" s="67">
        <v>2.0</v>
      </c>
      <c r="B15" s="68" t="s">
        <v>44</v>
      </c>
      <c r="C15" s="68" t="s">
        <v>18</v>
      </c>
      <c r="D15" s="69" t="str">
        <f t="shared" si="1"/>
        <v>2-3-1</v>
      </c>
      <c r="E15" s="78">
        <v>45737.0</v>
      </c>
      <c r="F15" s="88" t="s">
        <v>154</v>
      </c>
      <c r="G15" s="80" t="s">
        <v>67</v>
      </c>
      <c r="H15" s="81" t="s">
        <v>68</v>
      </c>
      <c r="I15" s="82">
        <v>868.0</v>
      </c>
      <c r="J15" s="81" t="s">
        <v>22</v>
      </c>
      <c r="K15" s="32" t="str">
        <f t="shared" si="2"/>
        <v>OCUPADO</v>
      </c>
      <c r="L15" s="33">
        <f t="shared" si="3"/>
        <v>14</v>
      </c>
      <c r="M15" s="33" t="s">
        <v>23</v>
      </c>
      <c r="N15" s="53"/>
      <c r="O15" s="33" t="s">
        <v>24</v>
      </c>
      <c r="P15" s="335" t="s">
        <v>73</v>
      </c>
      <c r="Q15" s="336">
        <v>45737.0</v>
      </c>
      <c r="R15" s="337" t="s">
        <v>154</v>
      </c>
      <c r="S15" s="337" t="s">
        <v>67</v>
      </c>
      <c r="T15" s="33" t="s">
        <v>68</v>
      </c>
      <c r="U15" s="338">
        <v>868.0</v>
      </c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O15" s="12"/>
      <c r="AP15" s="12"/>
      <c r="BB15" s="12"/>
      <c r="BG15" s="12" t="str">
        <f>IFERROR(__xludf.DUMMYFUNCTION("IFERROR(INDEX(QUERY(IMPORTRANGE(""1T7HG8KEs-Ob7f3M5atEVN9Yn7IeORGp0QGvggB62ELw"",""Maestro!A:I""),""SELECT Col8 WHERE Col3 = '""&amp;BD15&amp;""'"", 0), 1, 1),""NO ENCONTRADO"")"),"D")</f>
        <v>D</v>
      </c>
      <c r="BH15" s="16">
        <v>1.0</v>
      </c>
      <c r="BI15" s="16">
        <f t="shared" si="4"/>
        <v>700</v>
      </c>
      <c r="BJ15" s="12"/>
      <c r="BQ15" s="12"/>
      <c r="BX15" s="14"/>
      <c r="BY15" s="14"/>
      <c r="BZ15" s="14"/>
      <c r="CA15" s="14"/>
      <c r="CB15" s="14"/>
      <c r="CC15" s="14"/>
      <c r="CD15" s="14"/>
      <c r="CE15" s="12"/>
      <c r="CF15" s="12"/>
      <c r="CG15" s="12"/>
      <c r="CH15" s="12"/>
      <c r="CI15" s="12"/>
      <c r="CJ15" s="12"/>
      <c r="CK15" s="12"/>
      <c r="CL15" s="12"/>
      <c r="CM15" s="12"/>
      <c r="CN15" s="12"/>
    </row>
    <row r="16">
      <c r="A16" s="67">
        <v>2.0</v>
      </c>
      <c r="B16" s="68" t="s">
        <v>44</v>
      </c>
      <c r="C16" s="68" t="s">
        <v>32</v>
      </c>
      <c r="D16" s="69" t="str">
        <f t="shared" si="1"/>
        <v>2-3-2</v>
      </c>
      <c r="E16" s="78">
        <v>45737.0</v>
      </c>
      <c r="F16" s="79" t="s">
        <v>154</v>
      </c>
      <c r="G16" s="80" t="s">
        <v>83</v>
      </c>
      <c r="H16" s="81" t="s">
        <v>84</v>
      </c>
      <c r="I16" s="82">
        <v>417.0</v>
      </c>
      <c r="J16" s="81" t="s">
        <v>22</v>
      </c>
      <c r="K16" s="27" t="str">
        <f t="shared" si="2"/>
        <v>OCUPADO</v>
      </c>
      <c r="L16" s="28">
        <f t="shared" si="3"/>
        <v>15</v>
      </c>
      <c r="M16" s="28" t="s">
        <v>23</v>
      </c>
      <c r="N16" s="70"/>
      <c r="O16" s="28" t="s">
        <v>24</v>
      </c>
      <c r="P16" s="331" t="s">
        <v>82</v>
      </c>
      <c r="Q16" s="332">
        <v>45737.0</v>
      </c>
      <c r="R16" s="343" t="s">
        <v>154</v>
      </c>
      <c r="S16" s="333" t="s">
        <v>83</v>
      </c>
      <c r="T16" s="28" t="s">
        <v>84</v>
      </c>
      <c r="U16" s="334">
        <v>417.0</v>
      </c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O16" s="12"/>
      <c r="AP16" s="12"/>
      <c r="BB16" s="12"/>
      <c r="BG16" s="12" t="str">
        <f>IFERROR(__xludf.DUMMYFUNCTION("IFERROR(INDEX(QUERY(IMPORTRANGE(""1T7HG8KEs-Ob7f3M5atEVN9Yn7IeORGp0QGvggB62ELw"",""Maestro!A:I""),""SELECT Col8 WHERE Col3 = '""&amp;BD16&amp;""'"", 0), 1, 1),""NO ENCONTRADO"")"),"D")</f>
        <v>D</v>
      </c>
      <c r="BH16" s="16">
        <v>1.0</v>
      </c>
      <c r="BI16" s="16">
        <f t="shared" si="4"/>
        <v>299</v>
      </c>
      <c r="BJ16" s="12"/>
      <c r="BQ16" s="12"/>
      <c r="BX16" s="14"/>
      <c r="BY16" s="14"/>
      <c r="BZ16" s="14"/>
      <c r="CA16" s="14"/>
      <c r="CB16" s="14"/>
      <c r="CC16" s="14"/>
      <c r="CD16" s="14"/>
      <c r="CE16" s="12"/>
      <c r="CF16" s="12"/>
      <c r="CG16" s="12"/>
      <c r="CH16" s="12"/>
      <c r="CI16" s="12"/>
      <c r="CJ16" s="12"/>
      <c r="CK16" s="12"/>
      <c r="CL16" s="12"/>
      <c r="CM16" s="12"/>
      <c r="CN16" s="12"/>
    </row>
    <row r="17">
      <c r="A17" s="67">
        <v>2.0</v>
      </c>
      <c r="B17" s="68" t="s">
        <v>44</v>
      </c>
      <c r="C17" s="68" t="s">
        <v>44</v>
      </c>
      <c r="D17" s="69" t="str">
        <f t="shared" si="1"/>
        <v>2-3-3</v>
      </c>
      <c r="E17" s="78">
        <v>45751.0</v>
      </c>
      <c r="F17" s="79" t="s">
        <v>154</v>
      </c>
      <c r="G17" s="80" t="s">
        <v>74</v>
      </c>
      <c r="H17" s="81" t="s">
        <v>75</v>
      </c>
      <c r="I17" s="82">
        <v>475.0</v>
      </c>
      <c r="J17" s="81" t="s">
        <v>22</v>
      </c>
      <c r="K17" s="32" t="str">
        <f t="shared" si="2"/>
        <v>OCUPADO</v>
      </c>
      <c r="L17" s="33">
        <f t="shared" si="3"/>
        <v>16</v>
      </c>
      <c r="M17" s="33" t="s">
        <v>23</v>
      </c>
      <c r="N17" s="53"/>
      <c r="O17" s="33" t="s">
        <v>24</v>
      </c>
      <c r="P17" s="335" t="s">
        <v>89</v>
      </c>
      <c r="Q17" s="336">
        <v>45751.0</v>
      </c>
      <c r="R17" s="342" t="s">
        <v>154</v>
      </c>
      <c r="S17" s="337" t="s">
        <v>74</v>
      </c>
      <c r="T17" s="33" t="s">
        <v>75</v>
      </c>
      <c r="U17" s="338">
        <v>475.0</v>
      </c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O17" s="12"/>
      <c r="AP17" s="12"/>
      <c r="BB17" s="12"/>
      <c r="BG17" s="12" t="str">
        <f>IFERROR(__xludf.DUMMYFUNCTION("IFERROR(INDEX(QUERY(IMPORTRANGE(""1T7HG8KEs-Ob7f3M5atEVN9Yn7IeORGp0QGvggB62ELw"",""Maestro!A:I""),""SELECT Col8 WHERE Col3 = '""&amp;BD17&amp;""'"", 0), 1, 1),""NO ENCONTRADO"")"),"NO ENCONTRADO")</f>
        <v>NO ENCONTRADO</v>
      </c>
      <c r="BH17" s="16">
        <v>1.0</v>
      </c>
      <c r="BI17" s="16">
        <f t="shared" si="4"/>
        <v>111</v>
      </c>
      <c r="BJ17" s="12"/>
      <c r="BQ17" s="12"/>
      <c r="BX17" s="14"/>
      <c r="BY17" s="14"/>
      <c r="BZ17" s="14"/>
      <c r="CA17" s="14"/>
      <c r="CB17" s="14"/>
      <c r="CC17" s="14"/>
      <c r="CD17" s="14"/>
      <c r="CE17" s="12"/>
      <c r="CF17" s="12"/>
      <c r="CG17" s="12"/>
      <c r="CH17" s="12"/>
      <c r="CI17" s="12"/>
      <c r="CJ17" s="12"/>
      <c r="CK17" s="12"/>
      <c r="CL17" s="12"/>
      <c r="CM17" s="12"/>
      <c r="CN17" s="12"/>
    </row>
    <row r="18">
      <c r="A18" s="67">
        <v>2.0</v>
      </c>
      <c r="B18" s="68" t="s">
        <v>53</v>
      </c>
      <c r="C18" s="68" t="s">
        <v>18</v>
      </c>
      <c r="D18" s="69" t="str">
        <f t="shared" si="1"/>
        <v>2-4-1</v>
      </c>
      <c r="E18" s="78">
        <v>45737.0</v>
      </c>
      <c r="F18" s="79" t="s">
        <v>154</v>
      </c>
      <c r="G18" s="80" t="s">
        <v>67</v>
      </c>
      <c r="H18" s="81" t="s">
        <v>68</v>
      </c>
      <c r="I18" s="82">
        <v>475.0</v>
      </c>
      <c r="J18" s="81" t="s">
        <v>22</v>
      </c>
      <c r="K18" s="27" t="str">
        <f t="shared" si="2"/>
        <v>OCUPADO</v>
      </c>
      <c r="L18" s="28">
        <f t="shared" si="3"/>
        <v>17</v>
      </c>
      <c r="M18" s="28" t="s">
        <v>23</v>
      </c>
      <c r="N18" s="70"/>
      <c r="O18" s="28" t="s">
        <v>24</v>
      </c>
      <c r="P18" s="331" t="s">
        <v>99</v>
      </c>
      <c r="Q18" s="332">
        <v>45737.0</v>
      </c>
      <c r="R18" s="343" t="s">
        <v>154</v>
      </c>
      <c r="S18" s="333" t="s">
        <v>67</v>
      </c>
      <c r="T18" s="28" t="s">
        <v>68</v>
      </c>
      <c r="U18" s="334">
        <v>475.0</v>
      </c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O18" s="12"/>
      <c r="AP18" s="12"/>
      <c r="BB18" s="12"/>
      <c r="BG18" s="12" t="str">
        <f>IFERROR(__xludf.DUMMYFUNCTION("IFERROR(INDEX(QUERY(IMPORTRANGE(""1T7HG8KEs-Ob7f3M5atEVN9Yn7IeORGp0QGvggB62ELw"",""Maestro!A:I""),""SELECT Col8 WHERE Col3 = '""&amp;BD18&amp;""'"", 0), 1, 1),""NO ENCONTRADO"")"),"D")</f>
        <v>D</v>
      </c>
      <c r="BH18" s="16">
        <v>1.0</v>
      </c>
      <c r="BI18" s="16">
        <f t="shared" si="4"/>
        <v>200</v>
      </c>
      <c r="BJ18" s="12"/>
      <c r="BQ18" s="12"/>
      <c r="BX18" s="14"/>
      <c r="BY18" s="14"/>
      <c r="BZ18" s="14"/>
      <c r="CA18" s="14"/>
      <c r="CB18" s="14"/>
      <c r="CC18" s="14"/>
      <c r="CD18" s="14"/>
      <c r="CE18" s="12"/>
      <c r="CF18" s="12"/>
      <c r="CG18" s="12"/>
      <c r="CH18" s="12"/>
      <c r="CI18" s="12"/>
      <c r="CJ18" s="12"/>
      <c r="CK18" s="12"/>
      <c r="CL18" s="12"/>
      <c r="CM18" s="12"/>
      <c r="CN18" s="12"/>
    </row>
    <row r="19">
      <c r="A19" s="67">
        <v>2.0</v>
      </c>
      <c r="B19" s="68" t="s">
        <v>53</v>
      </c>
      <c r="C19" s="68" t="s">
        <v>32</v>
      </c>
      <c r="D19" s="69" t="str">
        <f t="shared" si="1"/>
        <v>2-4-2</v>
      </c>
      <c r="E19" s="78">
        <v>45754.0</v>
      </c>
      <c r="F19" s="79" t="s">
        <v>154</v>
      </c>
      <c r="G19" s="80" t="s">
        <v>83</v>
      </c>
      <c r="H19" s="81" t="s">
        <v>84</v>
      </c>
      <c r="I19" s="82">
        <v>700.0</v>
      </c>
      <c r="J19" s="81" t="s">
        <v>22</v>
      </c>
      <c r="K19" s="32" t="str">
        <f t="shared" si="2"/>
        <v>OCUPADO</v>
      </c>
      <c r="L19" s="33">
        <f t="shared" si="3"/>
        <v>18</v>
      </c>
      <c r="M19" s="33" t="s">
        <v>23</v>
      </c>
      <c r="N19" s="53"/>
      <c r="O19" s="33" t="s">
        <v>24</v>
      </c>
      <c r="P19" s="335" t="s">
        <v>85</v>
      </c>
      <c r="Q19" s="336">
        <v>45754.0</v>
      </c>
      <c r="R19" s="342" t="s">
        <v>154</v>
      </c>
      <c r="S19" s="337" t="s">
        <v>83</v>
      </c>
      <c r="T19" s="33" t="s">
        <v>84</v>
      </c>
      <c r="U19" s="338">
        <v>700.0</v>
      </c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O19" s="12"/>
      <c r="AP19" s="12"/>
      <c r="BB19" s="12"/>
      <c r="BG19" s="12" t="str">
        <f>IFERROR(__xludf.DUMMYFUNCTION("IFERROR(INDEX(QUERY(IMPORTRANGE(""1T7HG8KEs-Ob7f3M5atEVN9Yn7IeORGp0QGvggB62ELw"",""Maestro!A:I""),""SELECT Col8 WHERE Col3 = '""&amp;BD19&amp;""'"", 0), 1, 1),""NO ENCONTRADO"")"),"D")</f>
        <v>D</v>
      </c>
      <c r="BH19" s="16">
        <v>1.0</v>
      </c>
      <c r="BI19" s="16">
        <f t="shared" si="4"/>
        <v>525</v>
      </c>
      <c r="BJ19" s="12"/>
      <c r="BQ19" s="12"/>
      <c r="BX19" s="14"/>
      <c r="BY19" s="14"/>
      <c r="BZ19" s="14"/>
      <c r="CA19" s="14"/>
      <c r="CB19" s="14"/>
      <c r="CC19" s="14"/>
      <c r="CD19" s="14"/>
      <c r="CE19" s="12"/>
      <c r="CF19" s="12"/>
      <c r="CG19" s="12"/>
      <c r="CH19" s="12"/>
      <c r="CI19" s="12"/>
      <c r="CJ19" s="12"/>
      <c r="CK19" s="12"/>
      <c r="CL19" s="12"/>
      <c r="CM19" s="12"/>
      <c r="CN19" s="12"/>
    </row>
    <row r="20">
      <c r="A20" s="67">
        <v>2.0</v>
      </c>
      <c r="B20" s="68" t="s">
        <v>53</v>
      </c>
      <c r="C20" s="68" t="s">
        <v>44</v>
      </c>
      <c r="D20" s="69" t="str">
        <f t="shared" si="1"/>
        <v>2-4-3</v>
      </c>
      <c r="E20" s="78">
        <v>45751.0</v>
      </c>
      <c r="F20" s="79" t="s">
        <v>154</v>
      </c>
      <c r="G20" s="80" t="s">
        <v>74</v>
      </c>
      <c r="H20" s="81" t="s">
        <v>75</v>
      </c>
      <c r="I20" s="82">
        <v>400.0</v>
      </c>
      <c r="J20" s="81" t="s">
        <v>22</v>
      </c>
      <c r="K20" s="27" t="str">
        <f t="shared" si="2"/>
        <v>OCUPADO</v>
      </c>
      <c r="L20" s="28">
        <f t="shared" si="3"/>
        <v>19</v>
      </c>
      <c r="M20" s="28" t="s">
        <v>23</v>
      </c>
      <c r="N20" s="70"/>
      <c r="O20" s="28" t="s">
        <v>24</v>
      </c>
      <c r="P20" s="331" t="s">
        <v>106</v>
      </c>
      <c r="Q20" s="332">
        <v>45751.0</v>
      </c>
      <c r="R20" s="343" t="s">
        <v>154</v>
      </c>
      <c r="S20" s="333" t="s">
        <v>74</v>
      </c>
      <c r="T20" s="28" t="s">
        <v>75</v>
      </c>
      <c r="U20" s="334">
        <v>400.0</v>
      </c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O20" s="12"/>
      <c r="AP20" s="12"/>
      <c r="BB20" s="12"/>
      <c r="BG20" s="12" t="str">
        <f>IFERROR(__xludf.DUMMYFUNCTION("IFERROR(INDEX(QUERY(IMPORTRANGE(""1T7HG8KEs-Ob7f3M5atEVN9Yn7IeORGp0QGvggB62ELw"",""Maestro!A:I""),""SELECT Col8 WHERE Col3 = '""&amp;BD20&amp;""'"", 0), 1, 1),""NO ENCONTRADO"")"),"D")</f>
        <v>D</v>
      </c>
      <c r="BH20" s="16">
        <v>1.0</v>
      </c>
      <c r="BI20" s="16">
        <f t="shared" si="4"/>
        <v>400</v>
      </c>
      <c r="BJ20" s="12"/>
      <c r="BQ20" s="12"/>
      <c r="BX20" s="14"/>
      <c r="BY20" s="14"/>
      <c r="BZ20" s="14"/>
      <c r="CA20" s="14"/>
      <c r="CB20" s="14"/>
      <c r="CC20" s="14"/>
      <c r="CD20" s="14"/>
      <c r="CE20" s="12"/>
      <c r="CF20" s="12"/>
      <c r="CG20" s="12"/>
      <c r="CH20" s="12"/>
      <c r="CI20" s="12"/>
      <c r="CJ20" s="12"/>
      <c r="CK20" s="12"/>
      <c r="CL20" s="12"/>
      <c r="CM20" s="12"/>
      <c r="CN20" s="12"/>
    </row>
    <row r="21">
      <c r="A21" s="67">
        <v>2.0</v>
      </c>
      <c r="B21" s="68" t="s">
        <v>25</v>
      </c>
      <c r="C21" s="68" t="s">
        <v>18</v>
      </c>
      <c r="D21" s="69" t="str">
        <f t="shared" si="1"/>
        <v>2-5-1</v>
      </c>
      <c r="E21" s="78">
        <v>45737.0</v>
      </c>
      <c r="F21" s="79" t="s">
        <v>154</v>
      </c>
      <c r="G21" s="80" t="s">
        <v>74</v>
      </c>
      <c r="H21" s="81" t="s">
        <v>75</v>
      </c>
      <c r="I21" s="82">
        <v>409.0</v>
      </c>
      <c r="J21" s="81" t="s">
        <v>22</v>
      </c>
      <c r="K21" s="32" t="str">
        <f t="shared" si="2"/>
        <v>OCUPADO</v>
      </c>
      <c r="L21" s="33">
        <f t="shared" si="3"/>
        <v>20</v>
      </c>
      <c r="M21" s="33" t="s">
        <v>23</v>
      </c>
      <c r="N21" s="53"/>
      <c r="O21" s="33" t="s">
        <v>24</v>
      </c>
      <c r="P21" s="335" t="s">
        <v>92</v>
      </c>
      <c r="Q21" s="336">
        <v>45737.0</v>
      </c>
      <c r="R21" s="342" t="s">
        <v>154</v>
      </c>
      <c r="S21" s="337" t="s">
        <v>74</v>
      </c>
      <c r="T21" s="33" t="s">
        <v>75</v>
      </c>
      <c r="U21" s="338">
        <v>409.0</v>
      </c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O21" s="12"/>
      <c r="AP21" s="12"/>
      <c r="BB21" s="12"/>
      <c r="BG21" s="12" t="str">
        <f>IFERROR(__xludf.DUMMYFUNCTION("IFERROR(INDEX(QUERY(IMPORTRANGE(""1T7HG8KEs-Ob7f3M5atEVN9Yn7IeORGp0QGvggB62ELw"",""Maestro!A:I""),""SELECT Col8 WHERE Col3 = '""&amp;BD21&amp;""'"", 0), 1, 1),""NO ENCONTRADO"")"),"NO ENCONTRADO")</f>
        <v>NO ENCONTRADO</v>
      </c>
      <c r="BH21" s="16">
        <v>1.0</v>
      </c>
      <c r="BI21" s="16">
        <f t="shared" si="4"/>
        <v>1500</v>
      </c>
      <c r="BJ21" s="12"/>
      <c r="BQ21" s="12"/>
      <c r="BX21" s="14"/>
      <c r="BY21" s="14"/>
      <c r="BZ21" s="14"/>
      <c r="CA21" s="14"/>
      <c r="CB21" s="14"/>
      <c r="CC21" s="14"/>
      <c r="CD21" s="14"/>
      <c r="CE21" s="12"/>
      <c r="CF21" s="12"/>
      <c r="CG21" s="12"/>
      <c r="CH21" s="12"/>
      <c r="CI21" s="12"/>
      <c r="CJ21" s="12"/>
      <c r="CK21" s="12"/>
      <c r="CL21" s="12"/>
      <c r="CM21" s="12"/>
      <c r="CN21" s="12"/>
    </row>
    <row r="22">
      <c r="A22" s="67">
        <v>2.0</v>
      </c>
      <c r="B22" s="68" t="s">
        <v>25</v>
      </c>
      <c r="C22" s="68" t="s">
        <v>32</v>
      </c>
      <c r="D22" s="69" t="str">
        <f t="shared" si="1"/>
        <v>2-5-2</v>
      </c>
      <c r="E22" s="50"/>
      <c r="F22" s="51"/>
      <c r="G22" s="46"/>
      <c r="H22" s="47"/>
      <c r="I22" s="48"/>
      <c r="J22" s="52"/>
      <c r="K22" s="27" t="str">
        <f t="shared" si="2"/>
        <v>DISPONIBLE</v>
      </c>
      <c r="L22" s="28">
        <f t="shared" si="3"/>
        <v>21</v>
      </c>
      <c r="M22" s="28" t="s">
        <v>23</v>
      </c>
      <c r="N22" s="70"/>
      <c r="O22" s="28"/>
      <c r="P22" s="331" t="s">
        <v>113</v>
      </c>
      <c r="Q22" s="332"/>
      <c r="R22" s="343"/>
      <c r="S22" s="333"/>
      <c r="T22" s="28"/>
      <c r="U22" s="334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O22" s="12"/>
      <c r="AP22" s="12"/>
      <c r="BB22" s="12"/>
      <c r="BG22" s="12" t="str">
        <f>IFERROR(__xludf.DUMMYFUNCTION("IFERROR(INDEX(QUERY(IMPORTRANGE(""1T7HG8KEs-Ob7f3M5atEVN9Yn7IeORGp0QGvggB62ELw"",""Maestro!A:I""),""SELECT Col8 WHERE Col3 = '""&amp;BD22&amp;""'"", 0), 1, 1),""NO ENCONTRADO"")"),"D")</f>
        <v>D</v>
      </c>
      <c r="BH22" s="16">
        <v>1.0</v>
      </c>
      <c r="BI22" s="16">
        <f t="shared" si="4"/>
        <v>700</v>
      </c>
      <c r="BJ22" s="12"/>
      <c r="BQ22" s="12"/>
      <c r="BX22" s="14"/>
      <c r="BY22" s="14"/>
      <c r="BZ22" s="14"/>
      <c r="CA22" s="14"/>
      <c r="CB22" s="14"/>
      <c r="CC22" s="14"/>
      <c r="CD22" s="14"/>
      <c r="CE22" s="12"/>
      <c r="CF22" s="12"/>
      <c r="CG22" s="12"/>
      <c r="CH22" s="12"/>
      <c r="CI22" s="12"/>
      <c r="CJ22" s="12"/>
      <c r="CK22" s="12"/>
      <c r="CL22" s="12"/>
      <c r="CM22" s="12"/>
      <c r="CN22" s="12"/>
    </row>
    <row r="23">
      <c r="A23" s="67">
        <v>2.0</v>
      </c>
      <c r="B23" s="68" t="s">
        <v>25</v>
      </c>
      <c r="C23" s="68" t="s">
        <v>44</v>
      </c>
      <c r="D23" s="69" t="str">
        <f t="shared" si="1"/>
        <v>2-5-3</v>
      </c>
      <c r="E23" s="35">
        <v>45751.0</v>
      </c>
      <c r="F23" s="36" t="s">
        <v>19</v>
      </c>
      <c r="G23" s="37" t="s">
        <v>77</v>
      </c>
      <c r="H23" s="38" t="s">
        <v>78</v>
      </c>
      <c r="I23" s="39">
        <v>700.0</v>
      </c>
      <c r="J23" s="205" t="s">
        <v>22</v>
      </c>
      <c r="K23" s="32" t="str">
        <f t="shared" si="2"/>
        <v>OCUPADO</v>
      </c>
      <c r="L23" s="33">
        <f t="shared" si="3"/>
        <v>22</v>
      </c>
      <c r="M23" s="33" t="s">
        <v>23</v>
      </c>
      <c r="N23" s="53"/>
      <c r="O23" s="33" t="s">
        <v>24</v>
      </c>
      <c r="P23" s="335" t="s">
        <v>122</v>
      </c>
      <c r="Q23" s="336">
        <v>45751.0</v>
      </c>
      <c r="R23" s="337" t="s">
        <v>19</v>
      </c>
      <c r="S23" s="337" t="s">
        <v>77</v>
      </c>
      <c r="T23" s="33" t="s">
        <v>78</v>
      </c>
      <c r="U23" s="338">
        <v>700.0</v>
      </c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O23" s="12"/>
      <c r="AP23" s="12"/>
      <c r="BB23" s="12"/>
      <c r="BG23" s="12" t="str">
        <f>IFERROR(__xludf.DUMMYFUNCTION("IFERROR(INDEX(QUERY(IMPORTRANGE(""1T7HG8KEs-Ob7f3M5atEVN9Yn7IeORGp0QGvggB62ELw"",""Maestro!A:I""),""SELECT Col8 WHERE Col3 = '""&amp;BD23&amp;""'"", 0), 1, 1),""NO ENCONTRADO"")"),"D")</f>
        <v>D</v>
      </c>
      <c r="BH23" s="16">
        <v>1.0</v>
      </c>
      <c r="BI23" s="16">
        <f t="shared" si="4"/>
        <v>700</v>
      </c>
      <c r="BJ23" s="12"/>
      <c r="BQ23" s="12"/>
      <c r="BX23" s="14"/>
      <c r="BY23" s="14"/>
      <c r="BZ23" s="14"/>
      <c r="CA23" s="14"/>
      <c r="CB23" s="14"/>
      <c r="CC23" s="14"/>
      <c r="CD23" s="14"/>
      <c r="CE23" s="12"/>
      <c r="CF23" s="12"/>
      <c r="CG23" s="12"/>
      <c r="CH23" s="12"/>
      <c r="CI23" s="12"/>
      <c r="CJ23" s="12"/>
      <c r="CK23" s="12"/>
      <c r="CL23" s="12"/>
      <c r="CM23" s="12"/>
      <c r="CN23" s="12"/>
    </row>
    <row r="24">
      <c r="A24" s="67">
        <v>2.0</v>
      </c>
      <c r="B24" s="68" t="s">
        <v>36</v>
      </c>
      <c r="C24" s="68" t="s">
        <v>18</v>
      </c>
      <c r="D24" s="69" t="str">
        <f t="shared" si="1"/>
        <v>2-6-1</v>
      </c>
      <c r="E24" s="35">
        <v>45733.0</v>
      </c>
      <c r="F24" s="88" t="s">
        <v>19</v>
      </c>
      <c r="G24" s="80" t="s">
        <v>103</v>
      </c>
      <c r="H24" s="81" t="s">
        <v>756</v>
      </c>
      <c r="I24" s="82">
        <v>299.0</v>
      </c>
      <c r="J24" s="81" t="s">
        <v>22</v>
      </c>
      <c r="K24" s="27" t="str">
        <f t="shared" si="2"/>
        <v>OCUPADO</v>
      </c>
      <c r="L24" s="28">
        <f t="shared" si="3"/>
        <v>23</v>
      </c>
      <c r="M24" s="28" t="s">
        <v>23</v>
      </c>
      <c r="N24" s="70"/>
      <c r="O24" s="28" t="s">
        <v>24</v>
      </c>
      <c r="P24" s="331" t="s">
        <v>102</v>
      </c>
      <c r="Q24" s="332">
        <v>45733.0</v>
      </c>
      <c r="R24" s="333" t="s">
        <v>19</v>
      </c>
      <c r="S24" s="333" t="s">
        <v>103</v>
      </c>
      <c r="T24" s="28" t="s">
        <v>756</v>
      </c>
      <c r="U24" s="334">
        <v>299.0</v>
      </c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O24" s="12"/>
      <c r="AP24" s="12"/>
      <c r="BB24" s="12"/>
      <c r="BG24" s="12" t="str">
        <f>IFERROR(__xludf.DUMMYFUNCTION("IFERROR(INDEX(QUERY(IMPORTRANGE(""1T7HG8KEs-Ob7f3M5atEVN9Yn7IeORGp0QGvggB62ELw"",""Maestro!A:I""),""SELECT Col8 WHERE Col3 = '""&amp;BD24&amp;""'"", 0), 1, 1),""NO ENCONTRADO"")"),"D")</f>
        <v>D</v>
      </c>
      <c r="BH24" s="16">
        <v>1.0</v>
      </c>
      <c r="BI24" s="16">
        <f t="shared" si="4"/>
        <v>4</v>
      </c>
      <c r="BJ24" s="12"/>
      <c r="BQ24" s="12"/>
      <c r="BX24" s="14"/>
      <c r="BY24" s="14"/>
      <c r="BZ24" s="14"/>
      <c r="CA24" s="14"/>
      <c r="CB24" s="14"/>
      <c r="CC24" s="14"/>
      <c r="CD24" s="14"/>
      <c r="CE24" s="12"/>
      <c r="CF24" s="12"/>
      <c r="CG24" s="12"/>
      <c r="CH24" s="12"/>
      <c r="CI24" s="12"/>
      <c r="CJ24" s="12"/>
      <c r="CK24" s="12"/>
      <c r="CL24" s="12"/>
      <c r="CM24" s="12"/>
      <c r="CN24" s="12"/>
    </row>
    <row r="25">
      <c r="A25" s="67">
        <v>2.0</v>
      </c>
      <c r="B25" s="68" t="s">
        <v>36</v>
      </c>
      <c r="C25" s="68" t="s">
        <v>32</v>
      </c>
      <c r="D25" s="69" t="str">
        <f t="shared" si="1"/>
        <v>2-6-2</v>
      </c>
      <c r="E25" s="35">
        <v>45764.0</v>
      </c>
      <c r="F25" s="79" t="s">
        <v>19</v>
      </c>
      <c r="G25" s="80" t="s">
        <v>759</v>
      </c>
      <c r="H25" s="81" t="s">
        <v>109</v>
      </c>
      <c r="I25" s="82">
        <v>111.0</v>
      </c>
      <c r="J25" s="81" t="s">
        <v>22</v>
      </c>
      <c r="K25" s="32" t="str">
        <f t="shared" si="2"/>
        <v>OCUPADO</v>
      </c>
      <c r="L25" s="33">
        <f t="shared" si="3"/>
        <v>24</v>
      </c>
      <c r="M25" s="33" t="s">
        <v>23</v>
      </c>
      <c r="N25" s="53"/>
      <c r="O25" s="33" t="s">
        <v>24</v>
      </c>
      <c r="P25" s="335" t="s">
        <v>107</v>
      </c>
      <c r="Q25" s="336">
        <v>45764.0</v>
      </c>
      <c r="R25" s="342" t="s">
        <v>19</v>
      </c>
      <c r="S25" s="337" t="s">
        <v>759</v>
      </c>
      <c r="T25" s="33" t="s">
        <v>109</v>
      </c>
      <c r="U25" s="338">
        <v>111.0</v>
      </c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O25" s="12"/>
      <c r="AP25" s="12"/>
      <c r="BB25" s="12"/>
      <c r="BG25" s="12" t="str">
        <f>IFERROR(__xludf.DUMMYFUNCTION("IFERROR(INDEX(QUERY(IMPORTRANGE(""1T7HG8KEs-Ob7f3M5atEVN9Yn7IeORGp0QGvggB62ELw"",""Maestro!A:I""),""SELECT Col8 WHERE Col3 = '""&amp;BD25&amp;""'"", 0), 1, 1),""NO ENCONTRADO"")"),"D")</f>
        <v>D</v>
      </c>
      <c r="BH25" s="16">
        <v>1.0</v>
      </c>
      <c r="BI25" s="16">
        <f t="shared" si="4"/>
        <v>700</v>
      </c>
      <c r="BJ25" s="12"/>
      <c r="BQ25" s="12"/>
      <c r="BX25" s="14"/>
      <c r="BY25" s="14"/>
      <c r="BZ25" s="14"/>
      <c r="CA25" s="14"/>
      <c r="CB25" s="14"/>
      <c r="CC25" s="14"/>
      <c r="CD25" s="14"/>
      <c r="CE25" s="12"/>
      <c r="CF25" s="12"/>
      <c r="CG25" s="12"/>
      <c r="CH25" s="12"/>
      <c r="CI25" s="12"/>
      <c r="CJ25" s="12"/>
      <c r="CK25" s="12"/>
      <c r="CL25" s="12"/>
      <c r="CM25" s="12"/>
      <c r="CN25" s="12"/>
    </row>
    <row r="26">
      <c r="A26" s="89">
        <v>2.0</v>
      </c>
      <c r="B26" s="90" t="s">
        <v>36</v>
      </c>
      <c r="C26" s="90" t="s">
        <v>44</v>
      </c>
      <c r="D26" s="91" t="str">
        <f t="shared" si="1"/>
        <v>2-6-3</v>
      </c>
      <c r="E26" s="57"/>
      <c r="F26" s="58"/>
      <c r="G26" s="59"/>
      <c r="H26" s="60"/>
      <c r="I26" s="61"/>
      <c r="J26" s="62"/>
      <c r="K26" s="63" t="str">
        <f t="shared" si="2"/>
        <v>DISPONIBLE</v>
      </c>
      <c r="L26" s="64">
        <f t="shared" si="3"/>
        <v>25</v>
      </c>
      <c r="M26" s="64" t="s">
        <v>23</v>
      </c>
      <c r="N26" s="65"/>
      <c r="O26" s="64"/>
      <c r="P26" s="331" t="s">
        <v>126</v>
      </c>
      <c r="Q26" s="332"/>
      <c r="R26" s="343"/>
      <c r="S26" s="333"/>
      <c r="T26" s="28"/>
      <c r="U26" s="334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O26" s="12"/>
      <c r="AP26" s="12"/>
      <c r="BB26" s="12"/>
      <c r="BG26" s="12" t="str">
        <f>IFERROR(__xludf.DUMMYFUNCTION("IFERROR(INDEX(QUERY(IMPORTRANGE(""1T7HG8KEs-Ob7f3M5atEVN9Yn7IeORGp0QGvggB62ELw"",""Maestro!A:I""),""SELECT Col8 WHERE Col3 = '""&amp;BD26&amp;""'"", 0), 1, 1),""NO ENCONTRADO"")"),"D")</f>
        <v>D</v>
      </c>
      <c r="BH26" s="16">
        <v>1.0</v>
      </c>
      <c r="BI26" s="16">
        <f t="shared" si="4"/>
        <v>350</v>
      </c>
      <c r="BJ26" s="12"/>
      <c r="BQ26" s="12"/>
      <c r="BX26" s="14"/>
      <c r="BY26" s="14"/>
      <c r="BZ26" s="14"/>
      <c r="CA26" s="14"/>
      <c r="CB26" s="14"/>
      <c r="CC26" s="14"/>
      <c r="CD26" s="14"/>
      <c r="CE26" s="12"/>
      <c r="CF26" s="12"/>
      <c r="CG26" s="12"/>
      <c r="CH26" s="12"/>
      <c r="CI26" s="12"/>
      <c r="CJ26" s="12"/>
      <c r="CK26" s="12"/>
      <c r="CL26" s="12"/>
      <c r="CM26" s="12"/>
      <c r="CN26" s="12"/>
    </row>
    <row r="27">
      <c r="A27" s="92">
        <v>3.0</v>
      </c>
      <c r="B27" s="93" t="s">
        <v>18</v>
      </c>
      <c r="C27" s="94" t="s">
        <v>119</v>
      </c>
      <c r="D27" s="95" t="str">
        <f t="shared" si="1"/>
        <v>3-1-1A</v>
      </c>
      <c r="E27" s="96">
        <v>45733.0</v>
      </c>
      <c r="F27" s="97" t="s">
        <v>19</v>
      </c>
      <c r="G27" s="98" t="s">
        <v>143</v>
      </c>
      <c r="H27" s="99" t="s">
        <v>144</v>
      </c>
      <c r="I27" s="100">
        <v>200.0</v>
      </c>
      <c r="J27" s="101" t="s">
        <v>22</v>
      </c>
      <c r="K27" s="32" t="str">
        <f t="shared" si="2"/>
        <v>OCUPADO</v>
      </c>
      <c r="L27" s="33">
        <f t="shared" si="3"/>
        <v>26</v>
      </c>
      <c r="M27" s="33" t="s">
        <v>23</v>
      </c>
      <c r="N27" s="102"/>
      <c r="O27" s="33" t="s">
        <v>24</v>
      </c>
      <c r="P27" s="335" t="s">
        <v>116</v>
      </c>
      <c r="Q27" s="336">
        <v>45733.0</v>
      </c>
      <c r="R27" s="337" t="s">
        <v>19</v>
      </c>
      <c r="S27" s="337" t="s">
        <v>143</v>
      </c>
      <c r="T27" s="33" t="s">
        <v>144</v>
      </c>
      <c r="U27" s="338">
        <v>200.0</v>
      </c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O27" s="12"/>
      <c r="AP27" s="12"/>
      <c r="BB27" s="12"/>
      <c r="BG27" s="12" t="str">
        <f>IFERROR(__xludf.DUMMYFUNCTION("IFERROR(INDEX(QUERY(IMPORTRANGE(""1T7HG8KEs-Ob7f3M5atEVN9Yn7IeORGp0QGvggB62ELw"",""Maestro!A:I""),""SELECT Col8 WHERE Col3 = '""&amp;BD27&amp;""'"", 0), 1, 1),""NO ENCONTRADO"")"),"D")</f>
        <v>D</v>
      </c>
      <c r="BH27" s="16">
        <v>1.0</v>
      </c>
      <c r="BI27" s="16">
        <f t="shared" si="4"/>
        <v>199</v>
      </c>
      <c r="BJ27" s="12"/>
      <c r="BQ27" s="12"/>
      <c r="BX27" s="14"/>
      <c r="BY27" s="14"/>
      <c r="BZ27" s="14"/>
      <c r="CA27" s="14"/>
      <c r="CB27" s="14"/>
      <c r="CC27" s="14"/>
      <c r="CD27" s="14"/>
      <c r="CE27" s="12"/>
      <c r="CF27" s="12"/>
      <c r="CG27" s="12"/>
      <c r="CH27" s="12"/>
      <c r="CI27" s="12"/>
      <c r="CJ27" s="12"/>
      <c r="CK27" s="12"/>
      <c r="CL27" s="12"/>
      <c r="CM27" s="12"/>
      <c r="CN27" s="12"/>
    </row>
    <row r="28">
      <c r="A28" s="92">
        <v>3.0</v>
      </c>
      <c r="B28" s="93" t="s">
        <v>18</v>
      </c>
      <c r="C28" s="94" t="s">
        <v>132</v>
      </c>
      <c r="D28" s="95" t="str">
        <f t="shared" si="1"/>
        <v>3-1-1B</v>
      </c>
      <c r="E28" s="103"/>
      <c r="F28" s="104"/>
      <c r="G28" s="105"/>
      <c r="H28" s="106"/>
      <c r="I28" s="107"/>
      <c r="J28" s="108"/>
      <c r="K28" s="27" t="str">
        <f t="shared" si="2"/>
        <v>DISPONIBLE</v>
      </c>
      <c r="L28" s="28">
        <f t="shared" si="3"/>
        <v>27</v>
      </c>
      <c r="M28" s="28" t="s">
        <v>23</v>
      </c>
      <c r="N28" s="109"/>
      <c r="O28" s="28"/>
      <c r="P28" s="331" t="s">
        <v>133</v>
      </c>
      <c r="Q28" s="332"/>
      <c r="R28" s="343"/>
      <c r="S28" s="333"/>
      <c r="T28" s="28"/>
      <c r="U28" s="334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O28" s="12"/>
      <c r="AP28" s="12"/>
      <c r="BB28" s="12"/>
      <c r="BG28" s="12" t="str">
        <f>IFERROR(__xludf.DUMMYFUNCTION("IFERROR(INDEX(QUERY(IMPORTRANGE(""1T7HG8KEs-Ob7f3M5atEVN9Yn7IeORGp0QGvggB62ELw"",""Maestro!A:I""),""SELECT Col8 WHERE Col3 = '""&amp;BD28&amp;""'"", 0), 1, 1),""NO ENCONTRADO"")"),"D")</f>
        <v>D</v>
      </c>
      <c r="BH28" s="16">
        <v>1.0</v>
      </c>
      <c r="BI28" s="16">
        <f t="shared" si="4"/>
        <v>450</v>
      </c>
      <c r="BJ28" s="12"/>
      <c r="BQ28" s="12"/>
      <c r="BX28" s="14"/>
      <c r="BY28" s="14"/>
      <c r="BZ28" s="14"/>
      <c r="CA28" s="14"/>
      <c r="CB28" s="14"/>
      <c r="CC28" s="14"/>
      <c r="CD28" s="14"/>
      <c r="CE28" s="12"/>
      <c r="CF28" s="12"/>
      <c r="CG28" s="12"/>
      <c r="CH28" s="12"/>
      <c r="CI28" s="12"/>
      <c r="CJ28" s="12"/>
      <c r="CK28" s="12"/>
      <c r="CL28" s="12"/>
      <c r="CM28" s="12"/>
      <c r="CN28" s="12"/>
    </row>
    <row r="29">
      <c r="A29" s="92">
        <v>3.0</v>
      </c>
      <c r="B29" s="93" t="s">
        <v>18</v>
      </c>
      <c r="C29" s="94" t="s">
        <v>124</v>
      </c>
      <c r="D29" s="95" t="str">
        <f t="shared" si="1"/>
        <v>3-1-2A</v>
      </c>
      <c r="E29" s="96">
        <v>45733.0</v>
      </c>
      <c r="F29" s="97" t="s">
        <v>19</v>
      </c>
      <c r="G29" s="98" t="s">
        <v>114</v>
      </c>
      <c r="H29" s="99" t="s">
        <v>115</v>
      </c>
      <c r="I29" s="100">
        <v>525.0</v>
      </c>
      <c r="J29" s="101" t="s">
        <v>22</v>
      </c>
      <c r="K29" s="32" t="str">
        <f t="shared" si="2"/>
        <v>OCUPADO</v>
      </c>
      <c r="L29" s="33">
        <f t="shared" si="3"/>
        <v>28</v>
      </c>
      <c r="M29" s="33" t="s">
        <v>23</v>
      </c>
      <c r="N29" s="122"/>
      <c r="O29" s="33" t="s">
        <v>24</v>
      </c>
      <c r="P29" s="335" t="s">
        <v>123</v>
      </c>
      <c r="Q29" s="336">
        <v>45733.0</v>
      </c>
      <c r="R29" s="337" t="s">
        <v>19</v>
      </c>
      <c r="S29" s="337" t="s">
        <v>114</v>
      </c>
      <c r="T29" s="33" t="s">
        <v>115</v>
      </c>
      <c r="U29" s="338">
        <v>525.0</v>
      </c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O29" s="12"/>
      <c r="AP29" s="12"/>
      <c r="BB29" s="12"/>
      <c r="BG29" s="12" t="str">
        <f>IFERROR(__xludf.DUMMYFUNCTION("IFERROR(INDEX(QUERY(IMPORTRANGE(""1T7HG8KEs-Ob7f3M5atEVN9Yn7IeORGp0QGvggB62ELw"",""Maestro!A:I""),""SELECT Col8 WHERE Col3 = '""&amp;BD29&amp;""'"", 0), 1, 1),""NO ENCONTRADO"")"),"D")</f>
        <v>D</v>
      </c>
      <c r="BH29" s="16">
        <v>1.0</v>
      </c>
      <c r="BI29" s="16">
        <f t="shared" si="4"/>
        <v>450</v>
      </c>
      <c r="BJ29" s="12"/>
      <c r="BQ29" s="12"/>
      <c r="BX29" s="14"/>
      <c r="BY29" s="14"/>
      <c r="BZ29" s="14"/>
      <c r="CA29" s="14"/>
      <c r="CB29" s="14"/>
      <c r="CC29" s="14"/>
      <c r="CD29" s="14"/>
      <c r="CE29" s="12"/>
      <c r="CF29" s="12"/>
      <c r="CG29" s="12"/>
      <c r="CH29" s="12"/>
      <c r="CI29" s="12"/>
      <c r="CJ29" s="12"/>
      <c r="CK29" s="12"/>
      <c r="CL29" s="12"/>
      <c r="CM29" s="12"/>
      <c r="CN29" s="12"/>
    </row>
    <row r="30">
      <c r="A30" s="92">
        <v>3.0</v>
      </c>
      <c r="B30" s="93" t="s">
        <v>18</v>
      </c>
      <c r="C30" s="94" t="s">
        <v>140</v>
      </c>
      <c r="D30" s="95" t="str">
        <f t="shared" si="1"/>
        <v>3-1-2B</v>
      </c>
      <c r="E30" s="96">
        <v>45733.0</v>
      </c>
      <c r="F30" s="97" t="s">
        <v>19</v>
      </c>
      <c r="G30" s="98" t="s">
        <v>114</v>
      </c>
      <c r="H30" s="99" t="s">
        <v>115</v>
      </c>
      <c r="I30" s="100">
        <v>400.0</v>
      </c>
      <c r="J30" s="101" t="s">
        <v>22</v>
      </c>
      <c r="K30" s="27" t="str">
        <f t="shared" si="2"/>
        <v>OCUPADO</v>
      </c>
      <c r="L30" s="28">
        <f t="shared" si="3"/>
        <v>29</v>
      </c>
      <c r="M30" s="28" t="s">
        <v>23</v>
      </c>
      <c r="N30" s="109"/>
      <c r="O30" s="28" t="s">
        <v>24</v>
      </c>
      <c r="P30" s="331" t="s">
        <v>141</v>
      </c>
      <c r="Q30" s="332">
        <v>45733.0</v>
      </c>
      <c r="R30" s="333" t="s">
        <v>19</v>
      </c>
      <c r="S30" s="333" t="s">
        <v>114</v>
      </c>
      <c r="T30" s="28" t="s">
        <v>115</v>
      </c>
      <c r="U30" s="334">
        <v>400.0</v>
      </c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O30" s="12"/>
      <c r="AP30" s="12"/>
      <c r="BB30" s="12"/>
      <c r="BG30" s="12" t="str">
        <f>IFERROR(__xludf.DUMMYFUNCTION("IFERROR(INDEX(QUERY(IMPORTRANGE(""1T7HG8KEs-Ob7f3M5atEVN9Yn7IeORGp0QGvggB62ELw"",""Maestro!A:I""),""SELECT Col8 WHERE Col3 = '""&amp;BD30&amp;""'"", 0), 1, 1),""NO ENCONTRADO"")"),"D")</f>
        <v>D</v>
      </c>
      <c r="BH30" s="16">
        <v>1.0</v>
      </c>
      <c r="BI30" s="16">
        <f t="shared" si="4"/>
        <v>450</v>
      </c>
      <c r="BJ30" s="12"/>
      <c r="BQ30" s="12"/>
      <c r="BX30" s="14"/>
      <c r="BY30" s="14"/>
      <c r="BZ30" s="14"/>
      <c r="CA30" s="14"/>
      <c r="CB30" s="14"/>
      <c r="CC30" s="14"/>
      <c r="CD30" s="14"/>
      <c r="CE30" s="12"/>
      <c r="CF30" s="12"/>
      <c r="CG30" s="12"/>
      <c r="CH30" s="12"/>
      <c r="CI30" s="12"/>
      <c r="CJ30" s="12"/>
      <c r="CK30" s="12"/>
      <c r="CL30" s="12"/>
      <c r="CM30" s="12"/>
      <c r="CN30" s="12"/>
    </row>
    <row r="31">
      <c r="A31" s="92">
        <v>3.0</v>
      </c>
      <c r="B31" s="93" t="s">
        <v>18</v>
      </c>
      <c r="C31" s="94" t="s">
        <v>130</v>
      </c>
      <c r="D31" s="95" t="str">
        <f t="shared" si="1"/>
        <v>3-1-3A</v>
      </c>
      <c r="E31" s="116">
        <v>45751.0</v>
      </c>
      <c r="F31" s="117" t="s">
        <v>19</v>
      </c>
      <c r="G31" s="118" t="s">
        <v>128</v>
      </c>
      <c r="H31" s="119" t="s">
        <v>129</v>
      </c>
      <c r="I31" s="120">
        <v>1500.0</v>
      </c>
      <c r="J31" s="121" t="s">
        <v>22</v>
      </c>
      <c r="K31" s="32" t="str">
        <f t="shared" si="2"/>
        <v>OCUPADO</v>
      </c>
      <c r="L31" s="33">
        <f t="shared" si="3"/>
        <v>30</v>
      </c>
      <c r="M31" s="33" t="s">
        <v>23</v>
      </c>
      <c r="N31" s="122"/>
      <c r="O31" s="33" t="s">
        <v>24</v>
      </c>
      <c r="P31" s="335" t="s">
        <v>127</v>
      </c>
      <c r="Q31" s="336">
        <v>45751.0</v>
      </c>
      <c r="R31" s="337" t="s">
        <v>19</v>
      </c>
      <c r="S31" s="337" t="s">
        <v>128</v>
      </c>
      <c r="T31" s="33" t="s">
        <v>129</v>
      </c>
      <c r="U31" s="338">
        <v>1500.0</v>
      </c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O31" s="12"/>
      <c r="AP31" s="12"/>
      <c r="BB31" s="12"/>
      <c r="BG31" s="12" t="str">
        <f>IFERROR(__xludf.DUMMYFUNCTION("IFERROR(INDEX(QUERY(IMPORTRANGE(""1T7HG8KEs-Ob7f3M5atEVN9Yn7IeORGp0QGvggB62ELw"",""Maestro!A:I""),""SELECT Col8 WHERE Col3 = '""&amp;BD31&amp;""'"", 0), 1, 1),""NO ENCONTRADO"")"),"D")</f>
        <v>D</v>
      </c>
      <c r="BH31" s="16">
        <v>1.0</v>
      </c>
      <c r="BI31" s="16">
        <f t="shared" si="4"/>
        <v>450</v>
      </c>
      <c r="BJ31" s="12"/>
      <c r="BQ31" s="12"/>
      <c r="BX31" s="14"/>
      <c r="BY31" s="14"/>
      <c r="BZ31" s="14"/>
      <c r="CA31" s="14"/>
      <c r="CB31" s="14"/>
      <c r="CC31" s="14"/>
      <c r="CD31" s="14"/>
      <c r="CE31" s="12"/>
      <c r="CF31" s="12"/>
      <c r="CG31" s="12"/>
      <c r="CH31" s="12"/>
      <c r="CI31" s="12"/>
      <c r="CJ31" s="12"/>
      <c r="CK31" s="12"/>
      <c r="CL31" s="12"/>
      <c r="CM31" s="12"/>
      <c r="CN31" s="12"/>
    </row>
    <row r="32" ht="23.25" customHeight="1">
      <c r="A32" s="92">
        <v>3.0</v>
      </c>
      <c r="B32" s="93" t="s">
        <v>18</v>
      </c>
      <c r="C32" s="94" t="s">
        <v>148</v>
      </c>
      <c r="D32" s="95" t="str">
        <f t="shared" si="1"/>
        <v>3-1-3B</v>
      </c>
      <c r="E32" s="50"/>
      <c r="F32" s="51"/>
      <c r="G32" s="46"/>
      <c r="H32" s="47"/>
      <c r="I32" s="48"/>
      <c r="J32" s="52"/>
      <c r="K32" s="27" t="str">
        <f t="shared" si="2"/>
        <v>DISPONIBLE</v>
      </c>
      <c r="L32" s="28">
        <f t="shared" si="3"/>
        <v>31</v>
      </c>
      <c r="M32" s="28" t="s">
        <v>23</v>
      </c>
      <c r="N32" s="109"/>
      <c r="O32" s="28"/>
      <c r="P32" s="331" t="s">
        <v>149</v>
      </c>
      <c r="Q32" s="332"/>
      <c r="R32" s="343"/>
      <c r="S32" s="333"/>
      <c r="T32" s="28"/>
      <c r="U32" s="334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O32" s="12"/>
      <c r="AP32" s="12"/>
      <c r="BB32" s="12"/>
      <c r="BG32" s="12" t="str">
        <f>IFERROR(__xludf.DUMMYFUNCTION("IFERROR(INDEX(QUERY(IMPORTRANGE(""1T7HG8KEs-Ob7f3M5atEVN9Yn7IeORGp0QGvggB62ELw"",""Maestro!A:I""),""SELECT Col8 WHERE Col3 = '""&amp;BD32&amp;""'"", 0), 1, 1),""NO ENCONTRADO"")"),"D")</f>
        <v>D</v>
      </c>
      <c r="BH32" s="16">
        <v>1.0</v>
      </c>
      <c r="BI32" s="16">
        <f t="shared" si="4"/>
        <v>475</v>
      </c>
      <c r="BJ32" s="12"/>
      <c r="BQ32" s="12"/>
      <c r="BX32" s="14"/>
      <c r="BY32" s="14"/>
      <c r="BZ32" s="14"/>
      <c r="CA32" s="14"/>
      <c r="CB32" s="14"/>
      <c r="CC32" s="14"/>
      <c r="CD32" s="14"/>
      <c r="CE32" s="12"/>
      <c r="CF32" s="12"/>
      <c r="CG32" s="12"/>
      <c r="CH32" s="12"/>
      <c r="CI32" s="12"/>
      <c r="CJ32" s="12"/>
      <c r="CK32" s="12"/>
      <c r="CL32" s="12"/>
      <c r="CM32" s="12"/>
      <c r="CN32" s="12"/>
    </row>
    <row r="33" ht="23.25" customHeight="1">
      <c r="A33" s="92">
        <v>3.0</v>
      </c>
      <c r="B33" s="93" t="s">
        <v>32</v>
      </c>
      <c r="C33" s="94" t="s">
        <v>119</v>
      </c>
      <c r="D33" s="95" t="str">
        <f t="shared" si="1"/>
        <v>3-2-1A</v>
      </c>
      <c r="E33" s="96">
        <v>45733.0</v>
      </c>
      <c r="F33" s="97" t="s">
        <v>19</v>
      </c>
      <c r="G33" s="98" t="s">
        <v>143</v>
      </c>
      <c r="H33" s="99" t="s">
        <v>144</v>
      </c>
      <c r="I33" s="100">
        <v>700.0</v>
      </c>
      <c r="J33" s="101" t="s">
        <v>22</v>
      </c>
      <c r="K33" s="32" t="str">
        <f t="shared" si="2"/>
        <v>OCUPADO</v>
      </c>
      <c r="L33" s="33">
        <f t="shared" si="3"/>
        <v>32</v>
      </c>
      <c r="M33" s="33" t="s">
        <v>23</v>
      </c>
      <c r="N33" s="122"/>
      <c r="O33" s="33" t="s">
        <v>24</v>
      </c>
      <c r="P33" s="335" t="s">
        <v>136</v>
      </c>
      <c r="Q33" s="336">
        <v>45733.0</v>
      </c>
      <c r="R33" s="337" t="s">
        <v>19</v>
      </c>
      <c r="S33" s="337" t="s">
        <v>143</v>
      </c>
      <c r="T33" s="33" t="s">
        <v>144</v>
      </c>
      <c r="U33" s="338">
        <v>700.0</v>
      </c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O33" s="12"/>
      <c r="AP33" s="12"/>
      <c r="BB33" s="12"/>
      <c r="BG33" s="12" t="str">
        <f>IFERROR(__xludf.DUMMYFUNCTION("IFERROR(INDEX(QUERY(IMPORTRANGE(""1T7HG8KEs-Ob7f3M5atEVN9Yn7IeORGp0QGvggB62ELw"",""Maestro!A:I""),""SELECT Col8 WHERE Col3 = '""&amp;BD33&amp;""'"", 0), 1, 1),""NO ENCONTRADO"")"),"D")</f>
        <v>D</v>
      </c>
      <c r="BH33" s="16">
        <v>1.0</v>
      </c>
      <c r="BI33" s="16">
        <f t="shared" si="4"/>
        <v>450</v>
      </c>
      <c r="BJ33" s="12"/>
      <c r="BQ33" s="12"/>
      <c r="BX33" s="14"/>
      <c r="BY33" s="14"/>
      <c r="BZ33" s="14"/>
      <c r="CA33" s="14"/>
      <c r="CB33" s="14"/>
      <c r="CC33" s="14"/>
      <c r="CD33" s="14"/>
      <c r="CE33" s="12"/>
      <c r="CF33" s="12"/>
      <c r="CG33" s="12"/>
      <c r="CH33" s="12"/>
      <c r="CI33" s="12"/>
      <c r="CJ33" s="12"/>
      <c r="CK33" s="12"/>
      <c r="CL33" s="12"/>
      <c r="CM33" s="12"/>
      <c r="CN33" s="12"/>
    </row>
    <row r="34" ht="23.25" customHeight="1">
      <c r="A34" s="92">
        <v>3.0</v>
      </c>
      <c r="B34" s="93" t="s">
        <v>32</v>
      </c>
      <c r="C34" s="94" t="s">
        <v>132</v>
      </c>
      <c r="D34" s="95" t="str">
        <f t="shared" si="1"/>
        <v>3-2-1B</v>
      </c>
      <c r="E34" s="50"/>
      <c r="F34" s="51"/>
      <c r="G34" s="105"/>
      <c r="H34" s="47"/>
      <c r="I34" s="48"/>
      <c r="J34" s="52"/>
      <c r="K34" s="27" t="str">
        <f t="shared" si="2"/>
        <v>DISPONIBLE</v>
      </c>
      <c r="L34" s="28">
        <f t="shared" si="3"/>
        <v>33</v>
      </c>
      <c r="M34" s="28" t="s">
        <v>23</v>
      </c>
      <c r="N34" s="109"/>
      <c r="O34" s="28"/>
      <c r="P34" s="331" t="s">
        <v>155</v>
      </c>
      <c r="Q34" s="332"/>
      <c r="R34" s="343"/>
      <c r="S34" s="333"/>
      <c r="T34" s="28"/>
      <c r="U34" s="334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O34" s="12"/>
      <c r="AP34" s="12"/>
      <c r="BB34" s="12"/>
      <c r="BG34" s="12" t="str">
        <f>IFERROR(__xludf.DUMMYFUNCTION("IFERROR(INDEX(QUERY(IMPORTRANGE(""1T7HG8KEs-Ob7f3M5atEVN9Yn7IeORGp0QGvggB62ELw"",""Maestro!A:I""),""SELECT Col8 WHERE Col3 = '""&amp;BD34&amp;""'"", 0), 1, 1),""NO ENCONTRADO"")"),"D")</f>
        <v>D</v>
      </c>
      <c r="BH34" s="16">
        <v>1.0</v>
      </c>
      <c r="BI34" s="16">
        <f t="shared" si="4"/>
        <v>500</v>
      </c>
      <c r="BJ34" s="12"/>
      <c r="BQ34" s="12"/>
      <c r="BX34" s="14"/>
      <c r="BY34" s="14"/>
      <c r="BZ34" s="14"/>
      <c r="CA34" s="14"/>
      <c r="CB34" s="14"/>
      <c r="CC34" s="14"/>
      <c r="CD34" s="14"/>
      <c r="CE34" s="12"/>
      <c r="CF34" s="12"/>
      <c r="CG34" s="12"/>
      <c r="CH34" s="12"/>
      <c r="CI34" s="12"/>
      <c r="CJ34" s="12"/>
      <c r="CK34" s="12"/>
      <c r="CL34" s="12"/>
      <c r="CM34" s="12"/>
      <c r="CN34" s="12"/>
    </row>
    <row r="35" ht="23.25" customHeight="1">
      <c r="A35" s="92">
        <v>3.0</v>
      </c>
      <c r="B35" s="93" t="s">
        <v>32</v>
      </c>
      <c r="C35" s="94" t="s">
        <v>124</v>
      </c>
      <c r="D35" s="95" t="str">
        <f t="shared" si="1"/>
        <v>3-2-2A</v>
      </c>
      <c r="E35" s="96">
        <v>45763.0</v>
      </c>
      <c r="F35" s="97" t="s">
        <v>258</v>
      </c>
      <c r="G35" s="98" t="s">
        <v>143</v>
      </c>
      <c r="H35" s="99" t="s">
        <v>144</v>
      </c>
      <c r="I35" s="100">
        <v>700.0</v>
      </c>
      <c r="J35" s="101" t="s">
        <v>22</v>
      </c>
      <c r="K35" s="32" t="str">
        <f t="shared" si="2"/>
        <v>OCUPADO</v>
      </c>
      <c r="L35" s="33">
        <f t="shared" si="3"/>
        <v>34</v>
      </c>
      <c r="M35" s="33" t="s">
        <v>23</v>
      </c>
      <c r="N35" s="122"/>
      <c r="O35" s="33" t="s">
        <v>24</v>
      </c>
      <c r="P35" s="335" t="s">
        <v>160</v>
      </c>
      <c r="Q35" s="336">
        <v>45763.0</v>
      </c>
      <c r="R35" s="337" t="s">
        <v>258</v>
      </c>
      <c r="S35" s="337" t="s">
        <v>143</v>
      </c>
      <c r="T35" s="33" t="s">
        <v>144</v>
      </c>
      <c r="U35" s="338">
        <v>700.0</v>
      </c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O35" s="12"/>
      <c r="AP35" s="12"/>
      <c r="BB35" s="12"/>
      <c r="BG35" s="12" t="str">
        <f>IFERROR(__xludf.DUMMYFUNCTION("IFERROR(INDEX(QUERY(IMPORTRANGE(""1T7HG8KEs-Ob7f3M5atEVN9Yn7IeORGp0QGvggB62ELw"",""Maestro!A:I""),""SELECT Col8 WHERE Col3 = '""&amp;BD35&amp;""'"", 0), 1, 1),""NO ENCONTRADO"")"),"D")</f>
        <v>D</v>
      </c>
      <c r="BH35" s="16">
        <v>1.0</v>
      </c>
      <c r="BI35" s="16">
        <f t="shared" si="4"/>
        <v>250</v>
      </c>
      <c r="BJ35" s="12"/>
      <c r="BQ35" s="12"/>
      <c r="BX35" s="14"/>
      <c r="BY35" s="14"/>
      <c r="BZ35" s="14"/>
      <c r="CA35" s="14"/>
      <c r="CB35" s="14"/>
      <c r="CC35" s="14"/>
      <c r="CD35" s="14"/>
      <c r="CE35" s="12"/>
      <c r="CF35" s="12"/>
      <c r="CG35" s="12"/>
      <c r="CH35" s="12"/>
      <c r="CI35" s="12"/>
      <c r="CJ35" s="12"/>
      <c r="CK35" s="12"/>
      <c r="CL35" s="12"/>
      <c r="CM35" s="12"/>
      <c r="CN35" s="12"/>
    </row>
    <row r="36">
      <c r="A36" s="92">
        <v>3.0</v>
      </c>
      <c r="B36" s="93" t="s">
        <v>32</v>
      </c>
      <c r="C36" s="94" t="s">
        <v>140</v>
      </c>
      <c r="D36" s="95" t="str">
        <f t="shared" si="1"/>
        <v>3-2-2B</v>
      </c>
      <c r="E36" s="50"/>
      <c r="F36" s="51"/>
      <c r="G36" s="46"/>
      <c r="H36" s="47"/>
      <c r="I36" s="48"/>
      <c r="J36" s="52"/>
      <c r="K36" s="27" t="str">
        <f t="shared" si="2"/>
        <v>DISPONIBLE</v>
      </c>
      <c r="L36" s="28">
        <f t="shared" si="3"/>
        <v>35</v>
      </c>
      <c r="M36" s="28" t="s">
        <v>23</v>
      </c>
      <c r="N36" s="109"/>
      <c r="O36" s="28"/>
      <c r="P36" s="331" t="s">
        <v>166</v>
      </c>
      <c r="Q36" s="332"/>
      <c r="R36" s="343"/>
      <c r="S36" s="333"/>
      <c r="T36" s="28"/>
      <c r="U36" s="334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O36" s="12"/>
      <c r="AP36" s="12"/>
      <c r="BB36" s="12"/>
      <c r="BG36" s="12" t="str">
        <f>IFERROR(__xludf.DUMMYFUNCTION("IFERROR(INDEX(QUERY(IMPORTRANGE(""1T7HG8KEs-Ob7f3M5atEVN9Yn7IeORGp0QGvggB62ELw"",""Maestro!A:I""),""SELECT Col8 WHERE Col3 = '""&amp;BD36&amp;""'"", 0), 1, 1),""NO ENCONTRADO"")"),"D")</f>
        <v>D</v>
      </c>
      <c r="BH36" s="16">
        <v>1.0</v>
      </c>
      <c r="BI36" s="16">
        <f t="shared" si="4"/>
        <v>488</v>
      </c>
      <c r="BJ36" s="12"/>
      <c r="BQ36" s="12"/>
      <c r="BX36" s="14"/>
      <c r="BY36" s="14"/>
      <c r="BZ36" s="14"/>
      <c r="CA36" s="14"/>
      <c r="CB36" s="14"/>
      <c r="CC36" s="14"/>
      <c r="CD36" s="14"/>
      <c r="CE36" s="12"/>
      <c r="CF36" s="12"/>
      <c r="CG36" s="12"/>
      <c r="CH36" s="12"/>
      <c r="CI36" s="12"/>
      <c r="CJ36" s="12"/>
      <c r="CK36" s="12"/>
      <c r="CL36" s="12"/>
      <c r="CM36" s="12"/>
      <c r="CN36" s="12"/>
    </row>
    <row r="37">
      <c r="A37" s="92">
        <v>3.0</v>
      </c>
      <c r="B37" s="93" t="s">
        <v>32</v>
      </c>
      <c r="C37" s="94" t="s">
        <v>130</v>
      </c>
      <c r="D37" s="95" t="str">
        <f t="shared" si="1"/>
        <v>3-2-3A</v>
      </c>
      <c r="E37" s="96">
        <v>45754.0</v>
      </c>
      <c r="F37" s="97" t="s">
        <v>764</v>
      </c>
      <c r="G37" s="98" t="s">
        <v>143</v>
      </c>
      <c r="H37" s="99" t="s">
        <v>144</v>
      </c>
      <c r="I37" s="100">
        <v>4.0</v>
      </c>
      <c r="J37" s="101" t="s">
        <v>22</v>
      </c>
      <c r="K37" s="32" t="str">
        <f t="shared" si="2"/>
        <v>OCUPADO</v>
      </c>
      <c r="L37" s="33">
        <f t="shared" si="3"/>
        <v>36</v>
      </c>
      <c r="M37" s="33" t="s">
        <v>23</v>
      </c>
      <c r="N37" s="122"/>
      <c r="O37" s="33" t="s">
        <v>24</v>
      </c>
      <c r="P37" s="335" t="s">
        <v>171</v>
      </c>
      <c r="Q37" s="336">
        <v>45754.0</v>
      </c>
      <c r="R37" s="337" t="s">
        <v>764</v>
      </c>
      <c r="S37" s="337" t="s">
        <v>143</v>
      </c>
      <c r="T37" s="33" t="s">
        <v>144</v>
      </c>
      <c r="U37" s="338">
        <v>4.0</v>
      </c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O37" s="12"/>
      <c r="AP37" s="12"/>
      <c r="BB37" s="12"/>
      <c r="BG37" s="12" t="str">
        <f>IFERROR(__xludf.DUMMYFUNCTION("IFERROR(INDEX(QUERY(IMPORTRANGE(""1T7HG8KEs-Ob7f3M5atEVN9Yn7IeORGp0QGvggB62ELw"",""Maestro!A:I""),""SELECT Col8 WHERE Col3 = '""&amp;BD37&amp;""'"", 0), 1, 1),""NO ENCONTRADO"")"),"D")</f>
        <v>D</v>
      </c>
      <c r="BH37" s="16">
        <v>1.0</v>
      </c>
      <c r="BI37" s="16">
        <f t="shared" si="4"/>
        <v>268</v>
      </c>
      <c r="BJ37" s="12"/>
      <c r="BQ37" s="12"/>
      <c r="BX37" s="14"/>
      <c r="BY37" s="14"/>
      <c r="BZ37" s="14"/>
      <c r="CA37" s="14"/>
      <c r="CB37" s="14"/>
      <c r="CC37" s="14"/>
      <c r="CD37" s="14"/>
      <c r="CE37" s="12"/>
      <c r="CF37" s="12"/>
      <c r="CG37" s="12"/>
      <c r="CH37" s="12"/>
      <c r="CI37" s="12"/>
      <c r="CJ37" s="12"/>
      <c r="CK37" s="12"/>
      <c r="CL37" s="12"/>
      <c r="CM37" s="12"/>
      <c r="CN37" s="12"/>
    </row>
    <row r="38">
      <c r="A38" s="92">
        <v>3.0</v>
      </c>
      <c r="B38" s="93" t="s">
        <v>32</v>
      </c>
      <c r="C38" s="94" t="s">
        <v>148</v>
      </c>
      <c r="D38" s="95" t="str">
        <f t="shared" si="1"/>
        <v>3-2-3B</v>
      </c>
      <c r="E38" s="50"/>
      <c r="F38" s="51"/>
      <c r="G38" s="46"/>
      <c r="H38" s="47"/>
      <c r="I38" s="48"/>
      <c r="J38" s="52"/>
      <c r="K38" s="27" t="str">
        <f t="shared" si="2"/>
        <v>DISPONIBLE</v>
      </c>
      <c r="L38" s="28">
        <f t="shared" si="3"/>
        <v>37</v>
      </c>
      <c r="M38" s="28" t="s">
        <v>23</v>
      </c>
      <c r="N38" s="109"/>
      <c r="O38" s="28"/>
      <c r="P38" s="331" t="s">
        <v>175</v>
      </c>
      <c r="Q38" s="332"/>
      <c r="R38" s="343"/>
      <c r="S38" s="333"/>
      <c r="T38" s="28"/>
      <c r="U38" s="334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O38" s="12"/>
      <c r="AP38" s="12"/>
      <c r="BB38" s="12"/>
      <c r="BG38" s="12" t="str">
        <f>IFERROR(__xludf.DUMMYFUNCTION("IFERROR(INDEX(QUERY(IMPORTRANGE(""1T7HG8KEs-Ob7f3M5atEVN9Yn7IeORGp0QGvggB62ELw"",""Maestro!A:I""),""SELECT Col8 WHERE Col3 = '""&amp;BD38&amp;""'"", 0), 1, 1),""NO ENCONTRADO"")"),"D")</f>
        <v>D</v>
      </c>
      <c r="BH38" s="16">
        <v>1.0</v>
      </c>
      <c r="BI38" s="16">
        <f t="shared" si="4"/>
        <v>640</v>
      </c>
      <c r="BJ38" s="12"/>
      <c r="BQ38" s="12"/>
      <c r="BX38" s="14"/>
      <c r="BY38" s="14"/>
      <c r="BZ38" s="14"/>
      <c r="CA38" s="14"/>
      <c r="CB38" s="14"/>
      <c r="CC38" s="14"/>
      <c r="CD38" s="14"/>
      <c r="CE38" s="12"/>
      <c r="CF38" s="12"/>
      <c r="CG38" s="12"/>
      <c r="CH38" s="12"/>
      <c r="CI38" s="12"/>
      <c r="CJ38" s="12"/>
      <c r="CK38" s="12"/>
      <c r="CL38" s="12"/>
      <c r="CM38" s="12"/>
      <c r="CN38" s="12"/>
    </row>
    <row r="39">
      <c r="A39" s="92">
        <v>3.0</v>
      </c>
      <c r="B39" s="93" t="s">
        <v>32</v>
      </c>
      <c r="C39" s="94" t="s">
        <v>145</v>
      </c>
      <c r="D39" s="95" t="str">
        <f t="shared" si="1"/>
        <v>3-2-4A</v>
      </c>
      <c r="E39" s="96">
        <v>45763.0</v>
      </c>
      <c r="F39" s="97" t="s">
        <v>258</v>
      </c>
      <c r="G39" s="98" t="s">
        <v>143</v>
      </c>
      <c r="H39" s="99" t="s">
        <v>144</v>
      </c>
      <c r="I39" s="100">
        <v>700.0</v>
      </c>
      <c r="J39" s="101" t="s">
        <v>22</v>
      </c>
      <c r="K39" s="32" t="str">
        <f t="shared" si="2"/>
        <v>OCUPADO</v>
      </c>
      <c r="L39" s="33">
        <f t="shared" si="3"/>
        <v>38</v>
      </c>
      <c r="M39" s="33" t="s">
        <v>23</v>
      </c>
      <c r="N39" s="122"/>
      <c r="O39" s="33" t="s">
        <v>24</v>
      </c>
      <c r="P39" s="335" t="s">
        <v>142</v>
      </c>
      <c r="Q39" s="336">
        <v>45763.0</v>
      </c>
      <c r="R39" s="337" t="s">
        <v>258</v>
      </c>
      <c r="S39" s="337" t="s">
        <v>143</v>
      </c>
      <c r="T39" s="33" t="s">
        <v>144</v>
      </c>
      <c r="U39" s="338">
        <v>700.0</v>
      </c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O39" s="12"/>
      <c r="AP39" s="12"/>
      <c r="BB39" s="12"/>
      <c r="BG39" s="12" t="str">
        <f>IFERROR(__xludf.DUMMYFUNCTION("IFERROR(INDEX(QUERY(IMPORTRANGE(""1T7HG8KEs-Ob7f3M5atEVN9Yn7IeORGp0QGvggB62ELw"",""Maestro!A:I""),""SELECT Col8 WHERE Col3 = '""&amp;BD39&amp;""'"", 0), 1, 1),""NO ENCONTRADO"")"),"D")</f>
        <v>D</v>
      </c>
      <c r="BH39" s="16">
        <v>1.0</v>
      </c>
      <c r="BI39" s="16">
        <f t="shared" si="4"/>
        <v>600</v>
      </c>
      <c r="BJ39" s="12"/>
      <c r="BQ39" s="12"/>
      <c r="BX39" s="14"/>
      <c r="BY39" s="14"/>
      <c r="BZ39" s="14"/>
      <c r="CA39" s="14"/>
      <c r="CB39" s="14"/>
      <c r="CC39" s="14"/>
      <c r="CD39" s="14"/>
      <c r="CE39" s="12"/>
      <c r="CF39" s="12"/>
      <c r="CG39" s="12"/>
      <c r="CH39" s="12"/>
      <c r="CI39" s="12"/>
      <c r="CJ39" s="12"/>
      <c r="CK39" s="12"/>
      <c r="CL39" s="12"/>
      <c r="CM39" s="12"/>
      <c r="CN39" s="12"/>
    </row>
    <row r="40">
      <c r="A40" s="92">
        <v>3.0</v>
      </c>
      <c r="B40" s="93" t="s">
        <v>32</v>
      </c>
      <c r="C40" s="94" t="s">
        <v>181</v>
      </c>
      <c r="D40" s="95" t="str">
        <f t="shared" si="1"/>
        <v>3-2-4B</v>
      </c>
      <c r="E40" s="103"/>
      <c r="F40" s="51"/>
      <c r="G40" s="46"/>
      <c r="H40" s="47"/>
      <c r="I40" s="48"/>
      <c r="J40" s="52"/>
      <c r="K40" s="27" t="str">
        <f t="shared" si="2"/>
        <v>DISPONIBLE</v>
      </c>
      <c r="L40" s="28">
        <f t="shared" si="3"/>
        <v>39</v>
      </c>
      <c r="M40" s="28" t="s">
        <v>23</v>
      </c>
      <c r="N40" s="109"/>
      <c r="O40" s="28"/>
      <c r="P40" s="331" t="s">
        <v>182</v>
      </c>
      <c r="Q40" s="332"/>
      <c r="R40" s="343"/>
      <c r="S40" s="333"/>
      <c r="T40" s="28"/>
      <c r="U40" s="334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O40" s="12"/>
      <c r="AP40" s="12"/>
      <c r="BB40" s="12"/>
      <c r="BG40" s="12" t="str">
        <f>IFERROR(__xludf.DUMMYFUNCTION("IFERROR(INDEX(QUERY(IMPORTRANGE(""1T7HG8KEs-Ob7f3M5atEVN9Yn7IeORGp0QGvggB62ELw"",""Maestro!A:I""),""SELECT Col8 WHERE Col3 = '""&amp;BD40&amp;""'"", 0), 1, 1),""NO ENCONTRADO"")"),"D")</f>
        <v>D</v>
      </c>
      <c r="BH40" s="16">
        <v>1.0</v>
      </c>
      <c r="BI40" s="16">
        <f t="shared" si="4"/>
        <v>775</v>
      </c>
      <c r="BJ40" s="12"/>
      <c r="BQ40" s="12"/>
      <c r="BX40" s="14"/>
      <c r="BY40" s="14"/>
      <c r="BZ40" s="14"/>
      <c r="CA40" s="14"/>
      <c r="CB40" s="14"/>
      <c r="CC40" s="14"/>
      <c r="CD40" s="14"/>
      <c r="CE40" s="12"/>
      <c r="CF40" s="12"/>
      <c r="CG40" s="12"/>
      <c r="CH40" s="12"/>
      <c r="CI40" s="12"/>
      <c r="CJ40" s="12"/>
      <c r="CK40" s="12"/>
      <c r="CL40" s="12"/>
      <c r="CM40" s="12"/>
      <c r="CN40" s="12"/>
    </row>
    <row r="41">
      <c r="A41" s="123">
        <v>3.0</v>
      </c>
      <c r="B41" s="94" t="s">
        <v>32</v>
      </c>
      <c r="C41" s="94" t="s">
        <v>188</v>
      </c>
      <c r="D41" s="95" t="str">
        <f t="shared" si="1"/>
        <v>3-2-5A</v>
      </c>
      <c r="E41" s="96">
        <v>45754.0</v>
      </c>
      <c r="F41" s="144" t="s">
        <v>154</v>
      </c>
      <c r="G41" s="98" t="s">
        <v>83</v>
      </c>
      <c r="H41" s="99" t="s">
        <v>84</v>
      </c>
      <c r="I41" s="100">
        <v>350.0</v>
      </c>
      <c r="J41" s="101" t="s">
        <v>22</v>
      </c>
      <c r="K41" s="32" t="str">
        <f t="shared" si="2"/>
        <v>OCUPADO</v>
      </c>
      <c r="L41" s="33">
        <f t="shared" si="3"/>
        <v>40</v>
      </c>
      <c r="M41" s="33" t="s">
        <v>23</v>
      </c>
      <c r="N41" s="53"/>
      <c r="O41" s="33" t="s">
        <v>24</v>
      </c>
      <c r="P41" s="335" t="s">
        <v>189</v>
      </c>
      <c r="Q41" s="336">
        <v>45754.0</v>
      </c>
      <c r="R41" s="342" t="s">
        <v>154</v>
      </c>
      <c r="S41" s="337" t="s">
        <v>83</v>
      </c>
      <c r="T41" s="33" t="s">
        <v>84</v>
      </c>
      <c r="U41" s="338">
        <v>350.0</v>
      </c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O41" s="12"/>
      <c r="AP41" s="12"/>
      <c r="BB41" s="12"/>
      <c r="BG41" s="12" t="str">
        <f>IFERROR(__xludf.DUMMYFUNCTION("IFERROR(INDEX(QUERY(IMPORTRANGE(""1T7HG8KEs-Ob7f3M5atEVN9Yn7IeORGp0QGvggB62ELw"",""Maestro!A:I""),""SELECT Col8 WHERE Col3 = '""&amp;BD41&amp;""'"", 0), 1, 1),""NO ENCONTRADO"")"),"D")</f>
        <v>D</v>
      </c>
      <c r="BH41" s="16">
        <v>1.0</v>
      </c>
      <c r="BI41" s="16">
        <f t="shared" si="4"/>
        <v>300</v>
      </c>
      <c r="BJ41" s="12"/>
      <c r="BQ41" s="12"/>
      <c r="BX41" s="14"/>
      <c r="BY41" s="14"/>
      <c r="BZ41" s="14"/>
      <c r="CA41" s="14"/>
      <c r="CB41" s="14"/>
      <c r="CC41" s="14"/>
      <c r="CD41" s="14"/>
      <c r="CE41" s="12"/>
      <c r="CF41" s="12"/>
      <c r="CG41" s="12"/>
      <c r="CH41" s="12"/>
      <c r="CI41" s="12"/>
      <c r="CJ41" s="12"/>
      <c r="CK41" s="12"/>
      <c r="CL41" s="12"/>
      <c r="CM41" s="12"/>
      <c r="CN41" s="12"/>
    </row>
    <row r="42">
      <c r="A42" s="123">
        <v>3.0</v>
      </c>
      <c r="B42" s="94" t="s">
        <v>32</v>
      </c>
      <c r="C42" s="94" t="s">
        <v>192</v>
      </c>
      <c r="D42" s="95" t="str">
        <f t="shared" si="1"/>
        <v>3-2-5B</v>
      </c>
      <c r="E42" s="96">
        <v>45754.0</v>
      </c>
      <c r="F42" s="144" t="s">
        <v>154</v>
      </c>
      <c r="G42" s="98" t="s">
        <v>83</v>
      </c>
      <c r="H42" s="99" t="s">
        <v>84</v>
      </c>
      <c r="I42" s="100">
        <v>199.0</v>
      </c>
      <c r="J42" s="101" t="s">
        <v>22</v>
      </c>
      <c r="K42" s="27" t="str">
        <f t="shared" si="2"/>
        <v>OCUPADO</v>
      </c>
      <c r="L42" s="28">
        <f t="shared" si="3"/>
        <v>41</v>
      </c>
      <c r="M42" s="28" t="s">
        <v>23</v>
      </c>
      <c r="N42" s="70"/>
      <c r="O42" s="28" t="s">
        <v>24</v>
      </c>
      <c r="P42" s="331" t="s">
        <v>193</v>
      </c>
      <c r="Q42" s="332">
        <v>45754.0</v>
      </c>
      <c r="R42" s="343" t="s">
        <v>154</v>
      </c>
      <c r="S42" s="333" t="s">
        <v>83</v>
      </c>
      <c r="T42" s="28" t="s">
        <v>84</v>
      </c>
      <c r="U42" s="334">
        <v>199.0</v>
      </c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O42" s="12"/>
      <c r="AP42" s="12"/>
      <c r="BB42" s="12"/>
      <c r="BG42" s="12" t="str">
        <f>IFERROR(__xludf.DUMMYFUNCTION("IFERROR(INDEX(QUERY(IMPORTRANGE(""1T7HG8KEs-Ob7f3M5atEVN9Yn7IeORGp0QGvggB62ELw"",""Maestro!A:I""),""SELECT Col8 WHERE Col3 = '""&amp;BD42&amp;""'"", 0), 1, 1),""NO ENCONTRADO"")"),"D")</f>
        <v>D</v>
      </c>
      <c r="BH42" s="16">
        <v>1.0</v>
      </c>
      <c r="BI42" s="16">
        <f t="shared" si="4"/>
        <v>400</v>
      </c>
      <c r="BJ42" s="12"/>
      <c r="BQ42" s="12"/>
      <c r="BX42" s="14"/>
      <c r="BY42" s="14"/>
      <c r="BZ42" s="14"/>
      <c r="CA42" s="14"/>
      <c r="CB42" s="14"/>
      <c r="CC42" s="14"/>
      <c r="CD42" s="14"/>
      <c r="CE42" s="12"/>
      <c r="CF42" s="12"/>
      <c r="CG42" s="12"/>
      <c r="CH42" s="12"/>
      <c r="CI42" s="12"/>
      <c r="CJ42" s="12"/>
      <c r="CK42" s="12"/>
      <c r="CL42" s="12"/>
      <c r="CM42" s="12"/>
      <c r="CN42" s="12"/>
    </row>
    <row r="43">
      <c r="A43" s="92">
        <v>3.0</v>
      </c>
      <c r="B43" s="93" t="s">
        <v>44</v>
      </c>
      <c r="C43" s="94" t="s">
        <v>119</v>
      </c>
      <c r="D43" s="95" t="str">
        <f t="shared" si="1"/>
        <v>3-3-1A</v>
      </c>
      <c r="E43" s="96">
        <v>45733.0</v>
      </c>
      <c r="F43" s="97" t="s">
        <v>19</v>
      </c>
      <c r="G43" s="98" t="s">
        <v>137</v>
      </c>
      <c r="H43" s="99" t="s">
        <v>138</v>
      </c>
      <c r="I43" s="100">
        <v>450.0</v>
      </c>
      <c r="J43" s="101" t="s">
        <v>22</v>
      </c>
      <c r="K43" s="32" t="str">
        <f t="shared" si="2"/>
        <v>OCUPADO</v>
      </c>
      <c r="L43" s="33">
        <f t="shared" si="3"/>
        <v>42</v>
      </c>
      <c r="M43" s="33" t="s">
        <v>23</v>
      </c>
      <c r="N43" s="53"/>
      <c r="O43" s="33" t="s">
        <v>24</v>
      </c>
      <c r="P43" s="335" t="s">
        <v>150</v>
      </c>
      <c r="Q43" s="336">
        <v>45733.0</v>
      </c>
      <c r="R43" s="337" t="s">
        <v>19</v>
      </c>
      <c r="S43" s="337" t="s">
        <v>137</v>
      </c>
      <c r="T43" s="33" t="s">
        <v>138</v>
      </c>
      <c r="U43" s="338">
        <v>450.0</v>
      </c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O43" s="12"/>
      <c r="AP43" s="12"/>
      <c r="BB43" s="12"/>
      <c r="BG43" s="12" t="str">
        <f>IFERROR(__xludf.DUMMYFUNCTION("IFERROR(INDEX(QUERY(IMPORTRANGE(""1T7HG8KEs-Ob7f3M5atEVN9Yn7IeORGp0QGvggB62ELw"",""Maestro!A:I""),""SELECT Col8 WHERE Col3 = '""&amp;BD43&amp;""'"", 0), 1, 1),""NO ENCONTRADO"")"),"D")</f>
        <v>D</v>
      </c>
      <c r="BH43" s="16">
        <v>1.0</v>
      </c>
      <c r="BI43" s="16">
        <f t="shared" si="4"/>
        <v>250</v>
      </c>
      <c r="BJ43" s="12"/>
      <c r="BQ43" s="12"/>
      <c r="BX43" s="14"/>
      <c r="BY43" s="14"/>
      <c r="BZ43" s="14"/>
      <c r="CA43" s="14"/>
      <c r="CB43" s="14"/>
      <c r="CC43" s="14"/>
      <c r="CD43" s="14"/>
      <c r="CE43" s="12"/>
      <c r="CF43" s="12"/>
      <c r="CG43" s="12"/>
      <c r="CH43" s="12"/>
      <c r="CI43" s="12"/>
      <c r="CJ43" s="12"/>
      <c r="CK43" s="12"/>
      <c r="CL43" s="12"/>
      <c r="CM43" s="12"/>
      <c r="CN43" s="12"/>
    </row>
    <row r="44">
      <c r="A44" s="92">
        <v>3.0</v>
      </c>
      <c r="B44" s="93" t="s">
        <v>44</v>
      </c>
      <c r="C44" s="94" t="s">
        <v>132</v>
      </c>
      <c r="D44" s="95" t="str">
        <f t="shared" si="1"/>
        <v>3-3-1B</v>
      </c>
      <c r="E44" s="50"/>
      <c r="F44" s="51"/>
      <c r="G44" s="46"/>
      <c r="H44" s="47"/>
      <c r="I44" s="48"/>
      <c r="J44" s="52"/>
      <c r="K44" s="27" t="str">
        <f t="shared" si="2"/>
        <v>DISPONIBLE</v>
      </c>
      <c r="L44" s="28">
        <f t="shared" si="3"/>
        <v>43</v>
      </c>
      <c r="M44" s="28" t="s">
        <v>23</v>
      </c>
      <c r="N44" s="70"/>
      <c r="P44" s="344" t="s">
        <v>200</v>
      </c>
      <c r="Q44" s="345"/>
      <c r="R44" s="346"/>
      <c r="S44" s="347"/>
      <c r="T44" s="348"/>
      <c r="U44" s="349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O44" s="12"/>
      <c r="AP44" s="12"/>
      <c r="BB44" s="12"/>
      <c r="BG44" s="12" t="str">
        <f>IFERROR(__xludf.DUMMYFUNCTION("IFERROR(INDEX(QUERY(IMPORTRANGE(""1T7HG8KEs-Ob7f3M5atEVN9Yn7IeORGp0QGvggB62ELw"",""Maestro!A:I""),""SELECT Col8 WHERE Col3 = '""&amp;BD44&amp;""'"", 0), 1, 1),""NO ENCONTRADO"")"),"D")</f>
        <v>D</v>
      </c>
      <c r="BH44" s="16">
        <v>1.0</v>
      </c>
      <c r="BI44" s="16">
        <f t="shared" si="4"/>
        <v>30</v>
      </c>
      <c r="BJ44" s="12"/>
      <c r="BQ44" s="12"/>
      <c r="BX44" s="14"/>
      <c r="BY44" s="14"/>
      <c r="BZ44" s="14"/>
      <c r="CA44" s="14"/>
      <c r="CB44" s="14"/>
      <c r="CC44" s="14"/>
      <c r="CD44" s="14"/>
      <c r="CE44" s="12"/>
      <c r="CF44" s="12"/>
      <c r="CG44" s="12"/>
      <c r="CH44" s="12"/>
      <c r="CI44" s="12"/>
      <c r="CJ44" s="12"/>
      <c r="CK44" s="12"/>
      <c r="CL44" s="12"/>
      <c r="CM44" s="12"/>
      <c r="CN44" s="12"/>
    </row>
    <row r="45">
      <c r="A45" s="92">
        <v>3.0</v>
      </c>
      <c r="B45" s="93" t="s">
        <v>44</v>
      </c>
      <c r="C45" s="94" t="s">
        <v>124</v>
      </c>
      <c r="D45" s="95" t="str">
        <f t="shared" si="1"/>
        <v>3-3-2A</v>
      </c>
      <c r="E45" s="96">
        <v>45733.0</v>
      </c>
      <c r="F45" s="97" t="s">
        <v>19</v>
      </c>
      <c r="G45" s="98" t="s">
        <v>137</v>
      </c>
      <c r="H45" s="99" t="s">
        <v>138</v>
      </c>
      <c r="I45" s="100">
        <v>450.0</v>
      </c>
      <c r="J45" s="101" t="s">
        <v>22</v>
      </c>
      <c r="K45" s="32" t="str">
        <f t="shared" si="2"/>
        <v>OCUPADO</v>
      </c>
      <c r="L45" s="33">
        <f t="shared" si="3"/>
        <v>44</v>
      </c>
      <c r="M45" s="33" t="s">
        <v>23</v>
      </c>
      <c r="N45" s="53"/>
      <c r="O45" s="33" t="s">
        <v>24</v>
      </c>
      <c r="P45" s="335" t="s">
        <v>158</v>
      </c>
      <c r="Q45" s="336">
        <v>45733.0</v>
      </c>
      <c r="R45" s="337" t="s">
        <v>19</v>
      </c>
      <c r="S45" s="337" t="s">
        <v>137</v>
      </c>
      <c r="T45" s="33" t="s">
        <v>138</v>
      </c>
      <c r="U45" s="338">
        <v>450.0</v>
      </c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O45" s="12"/>
      <c r="AP45" s="12"/>
      <c r="BB45" s="12"/>
      <c r="BG45" s="12" t="str">
        <f>IFERROR(__xludf.DUMMYFUNCTION("IFERROR(INDEX(QUERY(IMPORTRANGE(""1T7HG8KEs-Ob7f3M5atEVN9Yn7IeORGp0QGvggB62ELw"",""Maestro!A:I""),""SELECT Col8 WHERE Col3 = '""&amp;BD45&amp;""'"", 0), 1, 1),""NO ENCONTRADO"")"),"M")</f>
        <v>M</v>
      </c>
      <c r="BH45" s="16">
        <v>1.0</v>
      </c>
      <c r="BI45" s="16">
        <f t="shared" si="4"/>
        <v>9</v>
      </c>
      <c r="BJ45" s="12"/>
      <c r="BQ45" s="12"/>
      <c r="BX45" s="14"/>
      <c r="BY45" s="14"/>
      <c r="BZ45" s="14"/>
      <c r="CA45" s="14"/>
      <c r="CB45" s="14"/>
      <c r="CC45" s="14"/>
      <c r="CD45" s="14"/>
      <c r="CE45" s="12"/>
      <c r="CF45" s="12"/>
      <c r="CG45" s="12"/>
      <c r="CH45" s="12"/>
      <c r="CI45" s="12"/>
      <c r="CJ45" s="12"/>
      <c r="CK45" s="12"/>
      <c r="CL45" s="12"/>
      <c r="CM45" s="12"/>
      <c r="CN45" s="12"/>
    </row>
    <row r="46">
      <c r="A46" s="92">
        <v>3.0</v>
      </c>
      <c r="B46" s="93" t="s">
        <v>44</v>
      </c>
      <c r="C46" s="94" t="s">
        <v>140</v>
      </c>
      <c r="D46" s="95" t="str">
        <f t="shared" si="1"/>
        <v>3-3-2B</v>
      </c>
      <c r="E46" s="50"/>
      <c r="F46" s="51"/>
      <c r="G46" s="46"/>
      <c r="H46" s="47"/>
      <c r="I46" s="48"/>
      <c r="J46" s="52"/>
      <c r="K46" s="27" t="str">
        <f t="shared" si="2"/>
        <v>DISPONIBLE</v>
      </c>
      <c r="L46" s="28">
        <f t="shared" si="3"/>
        <v>45</v>
      </c>
      <c r="M46" s="28" t="s">
        <v>23</v>
      </c>
      <c r="N46" s="70"/>
      <c r="O46" s="28"/>
      <c r="P46" s="331" t="s">
        <v>203</v>
      </c>
      <c r="Q46" s="332"/>
      <c r="R46" s="343"/>
      <c r="S46" s="333"/>
      <c r="T46" s="28"/>
      <c r="U46" s="334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O46" s="12"/>
      <c r="AP46" s="12"/>
      <c r="BB46" s="12"/>
      <c r="BG46" s="12" t="str">
        <f>IFERROR(__xludf.DUMMYFUNCTION("IFERROR(INDEX(QUERY(IMPORTRANGE(""1T7HG8KEs-Ob7f3M5atEVN9Yn7IeORGp0QGvggB62ELw"",""Maestro!A:I""),""SELECT Col8 WHERE Col3 = '""&amp;BD46&amp;""'"", 0), 1, 1),""NO ENCONTRADO"")"),"M")</f>
        <v>M</v>
      </c>
      <c r="BH46" s="16">
        <v>1.0</v>
      </c>
      <c r="BI46" s="16">
        <f t="shared" si="4"/>
        <v>7</v>
      </c>
      <c r="BJ46" s="12"/>
      <c r="BQ46" s="12"/>
      <c r="BX46" s="14"/>
      <c r="BY46" s="14"/>
      <c r="BZ46" s="14"/>
      <c r="CA46" s="14"/>
      <c r="CB46" s="14"/>
      <c r="CC46" s="14"/>
      <c r="CD46" s="14"/>
      <c r="CE46" s="12"/>
      <c r="CF46" s="12"/>
      <c r="CG46" s="12"/>
      <c r="CH46" s="12"/>
      <c r="CI46" s="12"/>
      <c r="CJ46" s="12"/>
      <c r="CK46" s="12"/>
      <c r="CL46" s="12"/>
      <c r="CM46" s="12"/>
      <c r="CN46" s="12"/>
    </row>
    <row r="47">
      <c r="A47" s="92">
        <v>3.0</v>
      </c>
      <c r="B47" s="93" t="s">
        <v>44</v>
      </c>
      <c r="C47" s="94" t="s">
        <v>130</v>
      </c>
      <c r="D47" s="95" t="str">
        <f t="shared" si="1"/>
        <v>3-3-3A</v>
      </c>
      <c r="E47" s="96">
        <v>45751.0</v>
      </c>
      <c r="F47" s="97" t="s">
        <v>765</v>
      </c>
      <c r="G47" s="98" t="s">
        <v>137</v>
      </c>
      <c r="H47" s="99" t="s">
        <v>138</v>
      </c>
      <c r="I47" s="100">
        <v>450.0</v>
      </c>
      <c r="J47" s="101" t="s">
        <v>22</v>
      </c>
      <c r="K47" s="32" t="str">
        <f t="shared" si="2"/>
        <v>OCUPADO</v>
      </c>
      <c r="L47" s="33">
        <f t="shared" si="3"/>
        <v>46</v>
      </c>
      <c r="M47" s="33" t="s">
        <v>23</v>
      </c>
      <c r="N47" s="53"/>
      <c r="O47" s="33" t="s">
        <v>24</v>
      </c>
      <c r="P47" s="335" t="s">
        <v>163</v>
      </c>
      <c r="Q47" s="336">
        <v>45751.0</v>
      </c>
      <c r="R47" s="337" t="s">
        <v>765</v>
      </c>
      <c r="S47" s="337" t="s">
        <v>137</v>
      </c>
      <c r="T47" s="33" t="s">
        <v>138</v>
      </c>
      <c r="U47" s="338">
        <v>450.0</v>
      </c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O47" s="12"/>
      <c r="AP47" s="12"/>
      <c r="BB47" s="12"/>
      <c r="BG47" s="12" t="str">
        <f>IFERROR(__xludf.DUMMYFUNCTION("IFERROR(INDEX(QUERY(IMPORTRANGE(""1T7HG8KEs-Ob7f3M5atEVN9Yn7IeORGp0QGvggB62ELw"",""Maestro!A:I""),""SELECT Col8 WHERE Col3 = '""&amp;BD47&amp;""'"", 0), 1, 1),""NO ENCONTRADO"")"),"NO ENCONTRADO")</f>
        <v>NO ENCONTRADO</v>
      </c>
      <c r="BH47" s="16">
        <v>1.0</v>
      </c>
      <c r="BI47" s="16">
        <f t="shared" si="4"/>
        <v>55</v>
      </c>
      <c r="BJ47" s="12"/>
      <c r="BQ47" s="12"/>
      <c r="BX47" s="14"/>
      <c r="BY47" s="14"/>
      <c r="BZ47" s="14"/>
      <c r="CA47" s="14"/>
      <c r="CB47" s="14"/>
      <c r="CC47" s="14"/>
      <c r="CD47" s="14"/>
      <c r="CE47" s="12"/>
      <c r="CF47" s="12"/>
      <c r="CG47" s="12"/>
      <c r="CH47" s="12"/>
      <c r="CI47" s="12"/>
      <c r="CJ47" s="12"/>
      <c r="CK47" s="12"/>
      <c r="CL47" s="12"/>
      <c r="CM47" s="12"/>
      <c r="CN47" s="12"/>
    </row>
    <row r="48">
      <c r="A48" s="92">
        <v>3.0</v>
      </c>
      <c r="B48" s="93" t="s">
        <v>44</v>
      </c>
      <c r="C48" s="94" t="s">
        <v>148</v>
      </c>
      <c r="D48" s="95" t="str">
        <f t="shared" si="1"/>
        <v>3-3-3B</v>
      </c>
      <c r="E48" s="50"/>
      <c r="F48" s="51"/>
      <c r="G48" s="46"/>
      <c r="H48" s="47"/>
      <c r="I48" s="48"/>
      <c r="J48" s="52"/>
      <c r="K48" s="27" t="str">
        <f t="shared" si="2"/>
        <v>DISPONIBLE</v>
      </c>
      <c r="L48" s="28">
        <f t="shared" si="3"/>
        <v>47</v>
      </c>
      <c r="M48" s="28" t="s">
        <v>23</v>
      </c>
      <c r="N48" s="70"/>
      <c r="O48" s="28"/>
      <c r="P48" s="331" t="s">
        <v>206</v>
      </c>
      <c r="Q48" s="332"/>
      <c r="R48" s="343"/>
      <c r="S48" s="333"/>
      <c r="T48" s="28"/>
      <c r="U48" s="334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O48" s="12"/>
      <c r="AP48" s="12"/>
      <c r="BB48" s="12"/>
      <c r="BG48" s="12" t="str">
        <f>IFERROR(__xludf.DUMMYFUNCTION("IFERROR(INDEX(QUERY(IMPORTRANGE(""1T7HG8KEs-Ob7f3M5atEVN9Yn7IeORGp0QGvggB62ELw"",""Maestro!A:I""),""SELECT Col8 WHERE Col3 = '""&amp;BD48&amp;""'"", 0), 1, 1),""NO ENCONTRADO"")"),"D")</f>
        <v>D</v>
      </c>
      <c r="BH48" s="16">
        <v>1.0</v>
      </c>
      <c r="BI48" s="16">
        <f t="shared" si="4"/>
        <v>23</v>
      </c>
      <c r="BJ48" s="12"/>
      <c r="BQ48" s="12"/>
      <c r="BX48" s="14"/>
      <c r="BY48" s="14"/>
      <c r="BZ48" s="14"/>
      <c r="CA48" s="14"/>
      <c r="CB48" s="14"/>
      <c r="CC48" s="14"/>
      <c r="CD48" s="14"/>
      <c r="CE48" s="12"/>
      <c r="CF48" s="12"/>
      <c r="CG48" s="12"/>
      <c r="CH48" s="12"/>
      <c r="CI48" s="12"/>
      <c r="CJ48" s="12"/>
      <c r="CK48" s="12"/>
      <c r="CL48" s="12"/>
      <c r="CM48" s="12"/>
      <c r="CN48" s="12"/>
    </row>
    <row r="49">
      <c r="A49" s="92">
        <v>3.0</v>
      </c>
      <c r="B49" s="93" t="s">
        <v>44</v>
      </c>
      <c r="C49" s="94" t="s">
        <v>145</v>
      </c>
      <c r="D49" s="95" t="str">
        <f t="shared" si="1"/>
        <v>3-3-4A</v>
      </c>
      <c r="E49" s="96">
        <v>45751.0</v>
      </c>
      <c r="F49" s="97" t="s">
        <v>765</v>
      </c>
      <c r="G49" s="98" t="s">
        <v>137</v>
      </c>
      <c r="H49" s="99" t="s">
        <v>138</v>
      </c>
      <c r="I49" s="100">
        <v>450.0</v>
      </c>
      <c r="J49" s="101" t="s">
        <v>22</v>
      </c>
      <c r="K49" s="32" t="str">
        <f t="shared" si="2"/>
        <v>OCUPADO</v>
      </c>
      <c r="L49" s="33">
        <f t="shared" si="3"/>
        <v>48</v>
      </c>
      <c r="M49" s="33" t="s">
        <v>23</v>
      </c>
      <c r="N49" s="53"/>
      <c r="O49" s="33" t="s">
        <v>24</v>
      </c>
      <c r="P49" s="335" t="s">
        <v>212</v>
      </c>
      <c r="Q49" s="336">
        <v>45751.0</v>
      </c>
      <c r="R49" s="337" t="s">
        <v>765</v>
      </c>
      <c r="S49" s="337" t="s">
        <v>137</v>
      </c>
      <c r="T49" s="33" t="s">
        <v>138</v>
      </c>
      <c r="U49" s="338">
        <v>450.0</v>
      </c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O49" s="12"/>
      <c r="AP49" s="12"/>
      <c r="BB49" s="12"/>
      <c r="BG49" s="12" t="str">
        <f>IFERROR(__xludf.DUMMYFUNCTION("IFERROR(INDEX(QUERY(IMPORTRANGE(""1T7HG8KEs-Ob7f3M5atEVN9Yn7IeORGp0QGvggB62ELw"",""Maestro!A:I""),""SELECT Col8 WHERE Col3 = '""&amp;BD49&amp;""'"", 0), 1, 1),""NO ENCONTRADO"")"),"D")</f>
        <v>D</v>
      </c>
      <c r="BH49" s="16">
        <v>1.0</v>
      </c>
      <c r="BI49" s="16">
        <f t="shared" si="4"/>
        <v>6</v>
      </c>
      <c r="BJ49" s="12"/>
      <c r="BQ49" s="12"/>
      <c r="BX49" s="14"/>
      <c r="BY49" s="14"/>
      <c r="BZ49" s="14"/>
      <c r="CA49" s="14"/>
      <c r="CB49" s="14"/>
      <c r="CC49" s="14"/>
      <c r="CD49" s="14"/>
      <c r="CE49" s="12"/>
      <c r="CF49" s="12"/>
      <c r="CG49" s="12"/>
      <c r="CH49" s="12"/>
      <c r="CI49" s="12"/>
      <c r="CJ49" s="12"/>
      <c r="CK49" s="12"/>
      <c r="CL49" s="12"/>
      <c r="CM49" s="12"/>
      <c r="CN49" s="12"/>
    </row>
    <row r="50">
      <c r="A50" s="92">
        <v>3.0</v>
      </c>
      <c r="B50" s="93" t="s">
        <v>44</v>
      </c>
      <c r="C50" s="94" t="s">
        <v>181</v>
      </c>
      <c r="D50" s="95" t="str">
        <f t="shared" si="1"/>
        <v>3-3-4B</v>
      </c>
      <c r="E50" s="50"/>
      <c r="F50" s="51"/>
      <c r="G50" s="46"/>
      <c r="H50" s="47"/>
      <c r="I50" s="48"/>
      <c r="J50" s="52"/>
      <c r="K50" s="27" t="str">
        <f t="shared" si="2"/>
        <v>DISPONIBLE</v>
      </c>
      <c r="L50" s="28">
        <f t="shared" si="3"/>
        <v>49</v>
      </c>
      <c r="M50" s="28" t="s">
        <v>23</v>
      </c>
      <c r="N50" s="70"/>
      <c r="O50" s="28"/>
      <c r="P50" s="331" t="s">
        <v>215</v>
      </c>
      <c r="Q50" s="332"/>
      <c r="R50" s="343"/>
      <c r="S50" s="333"/>
      <c r="T50" s="28"/>
      <c r="U50" s="334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O50" s="12"/>
      <c r="AP50" s="12"/>
      <c r="BB50" s="12"/>
      <c r="BG50" s="12" t="str">
        <f>IFERROR(__xludf.DUMMYFUNCTION("IFERROR(INDEX(QUERY(IMPORTRANGE(""1T7HG8KEs-Ob7f3M5atEVN9Yn7IeORGp0QGvggB62ELw"",""Maestro!A:I""),""SELECT Col8 WHERE Col3 = '""&amp;BD50&amp;""'"", 0), 1, 1),""NO ENCONTRADO"")"),"D")</f>
        <v>D</v>
      </c>
      <c r="BH50" s="16">
        <v>1.0</v>
      </c>
      <c r="BI50" s="16">
        <f t="shared" si="4"/>
        <v>20</v>
      </c>
      <c r="BJ50" s="12"/>
      <c r="BQ50" s="12"/>
      <c r="BX50" s="14"/>
      <c r="BY50" s="14"/>
      <c r="BZ50" s="14"/>
      <c r="CA50" s="14"/>
      <c r="CB50" s="14"/>
      <c r="CC50" s="14"/>
      <c r="CD50" s="14"/>
      <c r="CE50" s="12"/>
      <c r="CF50" s="12"/>
      <c r="CG50" s="12"/>
      <c r="CH50" s="12"/>
      <c r="CI50" s="12"/>
      <c r="CJ50" s="12"/>
      <c r="CK50" s="12"/>
      <c r="CL50" s="12"/>
      <c r="CM50" s="12"/>
      <c r="CN50" s="12"/>
    </row>
    <row r="51">
      <c r="A51" s="92">
        <v>3.0</v>
      </c>
      <c r="B51" s="93" t="s">
        <v>44</v>
      </c>
      <c r="C51" s="94" t="s">
        <v>188</v>
      </c>
      <c r="D51" s="95" t="str">
        <f t="shared" si="1"/>
        <v>3-3-5A</v>
      </c>
      <c r="E51" s="96">
        <v>45751.0</v>
      </c>
      <c r="F51" s="97" t="s">
        <v>19</v>
      </c>
      <c r="G51" s="98" t="s">
        <v>137</v>
      </c>
      <c r="H51" s="99" t="s">
        <v>138</v>
      </c>
      <c r="I51" s="100">
        <v>475.0</v>
      </c>
      <c r="J51" s="101" t="s">
        <v>22</v>
      </c>
      <c r="K51" s="32" t="str">
        <f t="shared" si="2"/>
        <v>OCUPADO</v>
      </c>
      <c r="L51" s="33">
        <f t="shared" si="3"/>
        <v>50</v>
      </c>
      <c r="M51" s="33" t="s">
        <v>23</v>
      </c>
      <c r="N51" s="53"/>
      <c r="O51" s="33" t="s">
        <v>24</v>
      </c>
      <c r="P51" s="335" t="s">
        <v>220</v>
      </c>
      <c r="Q51" s="336">
        <v>45751.0</v>
      </c>
      <c r="R51" s="337" t="s">
        <v>19</v>
      </c>
      <c r="S51" s="337" t="s">
        <v>137</v>
      </c>
      <c r="T51" s="33" t="s">
        <v>138</v>
      </c>
      <c r="U51" s="338">
        <v>475.0</v>
      </c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O51" s="12"/>
      <c r="AP51" s="12"/>
      <c r="BB51" s="12"/>
      <c r="BG51" s="12" t="str">
        <f>IFERROR(__xludf.DUMMYFUNCTION("IFERROR(INDEX(QUERY(IMPORTRANGE(""1T7HG8KEs-Ob7f3M5atEVN9Yn7IeORGp0QGvggB62ELw"",""Maestro!A:I""),""SELECT Col8 WHERE Col3 = '""&amp;BD51&amp;""'"", 0), 1, 1),""NO ENCONTRADO"")"),"D")</f>
        <v>D</v>
      </c>
      <c r="BH51" s="16">
        <v>1.0</v>
      </c>
      <c r="BI51" s="16">
        <f t="shared" si="4"/>
        <v>35</v>
      </c>
      <c r="BJ51" s="12"/>
      <c r="BQ51" s="12"/>
      <c r="BX51" s="14"/>
      <c r="BY51" s="14"/>
      <c r="BZ51" s="14"/>
      <c r="CA51" s="14"/>
      <c r="CB51" s="14"/>
      <c r="CC51" s="14"/>
      <c r="CD51" s="14"/>
      <c r="CE51" s="12"/>
      <c r="CF51" s="12"/>
      <c r="CG51" s="12"/>
      <c r="CH51" s="12"/>
      <c r="CI51" s="12"/>
      <c r="CJ51" s="12"/>
      <c r="CK51" s="12"/>
      <c r="CL51" s="12"/>
      <c r="CM51" s="12"/>
      <c r="CN51" s="12"/>
    </row>
    <row r="52">
      <c r="A52" s="92">
        <v>3.0</v>
      </c>
      <c r="B52" s="93" t="s">
        <v>44</v>
      </c>
      <c r="C52" s="94" t="s">
        <v>192</v>
      </c>
      <c r="D52" s="95" t="str">
        <f t="shared" si="1"/>
        <v>3-3-5B</v>
      </c>
      <c r="E52" s="50"/>
      <c r="F52" s="51"/>
      <c r="G52" s="46"/>
      <c r="H52" s="47"/>
      <c r="I52" s="48"/>
      <c r="J52" s="52"/>
      <c r="K52" s="27" t="str">
        <f t="shared" si="2"/>
        <v>DISPONIBLE</v>
      </c>
      <c r="L52" s="28">
        <f t="shared" si="3"/>
        <v>51</v>
      </c>
      <c r="M52" s="28" t="s">
        <v>23</v>
      </c>
      <c r="N52" s="70"/>
      <c r="O52" s="28"/>
      <c r="P52" s="331" t="s">
        <v>226</v>
      </c>
      <c r="Q52" s="332"/>
      <c r="R52" s="343"/>
      <c r="S52" s="333"/>
      <c r="T52" s="28"/>
      <c r="U52" s="334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O52" s="12"/>
      <c r="AP52" s="12"/>
      <c r="BB52" s="12"/>
      <c r="BG52" s="12" t="str">
        <f>IFERROR(__xludf.DUMMYFUNCTION("IFERROR(INDEX(QUERY(IMPORTRANGE(""1T7HG8KEs-Ob7f3M5atEVN9Yn7IeORGp0QGvggB62ELw"",""Maestro!A:I""),""SELECT Col8 WHERE Col3 = '""&amp;BD52&amp;""'"", 0), 1, 1),""NO ENCONTRADO"")"),"D")</f>
        <v>D</v>
      </c>
      <c r="BH52" s="16">
        <v>1.0</v>
      </c>
      <c r="BI52" s="16">
        <f t="shared" si="4"/>
        <v>21</v>
      </c>
      <c r="BJ52" s="12"/>
      <c r="BQ52" s="12"/>
      <c r="BX52" s="14"/>
      <c r="BY52" s="14"/>
      <c r="BZ52" s="14"/>
      <c r="CA52" s="14"/>
      <c r="CB52" s="14"/>
      <c r="CC52" s="14"/>
      <c r="CD52" s="14"/>
      <c r="CE52" s="12"/>
      <c r="CF52" s="12"/>
      <c r="CG52" s="12"/>
      <c r="CH52" s="12"/>
      <c r="CI52" s="12"/>
      <c r="CJ52" s="12"/>
      <c r="CK52" s="12"/>
      <c r="CL52" s="12"/>
      <c r="CM52" s="12"/>
      <c r="CN52" s="12"/>
    </row>
    <row r="53">
      <c r="A53" s="92">
        <v>3.0</v>
      </c>
      <c r="B53" s="93" t="s">
        <v>53</v>
      </c>
      <c r="C53" s="94" t="s">
        <v>119</v>
      </c>
      <c r="D53" s="95" t="str">
        <f t="shared" si="1"/>
        <v>3-4-1A</v>
      </c>
      <c r="E53" s="96">
        <v>45733.0</v>
      </c>
      <c r="F53" s="97" t="s">
        <v>19</v>
      </c>
      <c r="G53" s="98" t="s">
        <v>137</v>
      </c>
      <c r="H53" s="99" t="s">
        <v>138</v>
      </c>
      <c r="I53" s="100">
        <v>450.0</v>
      </c>
      <c r="J53" s="101" t="s">
        <v>22</v>
      </c>
      <c r="K53" s="32" t="str">
        <f t="shared" si="2"/>
        <v>OCUPADO</v>
      </c>
      <c r="L53" s="33">
        <f t="shared" si="3"/>
        <v>52</v>
      </c>
      <c r="M53" s="33" t="s">
        <v>23</v>
      </c>
      <c r="N53" s="53"/>
      <c r="O53" s="33" t="s">
        <v>24</v>
      </c>
      <c r="P53" s="335" t="s">
        <v>169</v>
      </c>
      <c r="Q53" s="336">
        <v>45733.0</v>
      </c>
      <c r="R53" s="337" t="s">
        <v>19</v>
      </c>
      <c r="S53" s="337" t="s">
        <v>137</v>
      </c>
      <c r="T53" s="33" t="s">
        <v>138</v>
      </c>
      <c r="U53" s="338">
        <v>450.0</v>
      </c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O53" s="12"/>
      <c r="AP53" s="12"/>
      <c r="BB53" s="12"/>
      <c r="BG53" s="12" t="str">
        <f>IFERROR(__xludf.DUMMYFUNCTION("IFERROR(INDEX(QUERY(IMPORTRANGE(""1T7HG8KEs-Ob7f3M5atEVN9Yn7IeORGp0QGvggB62ELw"",""Maestro!A:I""),""SELECT Col8 WHERE Col3 = '""&amp;BD53&amp;""'"", 0), 1, 1),""NO ENCONTRADO"")"),"D")</f>
        <v>D</v>
      </c>
      <c r="BH53" s="16">
        <v>1.0</v>
      </c>
      <c r="BI53" s="16">
        <f t="shared" si="4"/>
        <v>10</v>
      </c>
      <c r="BJ53" s="12"/>
      <c r="BQ53" s="12"/>
      <c r="BX53" s="14"/>
      <c r="BY53" s="14"/>
      <c r="BZ53" s="14"/>
      <c r="CA53" s="14"/>
      <c r="CB53" s="14"/>
      <c r="CC53" s="14"/>
      <c r="CD53" s="14"/>
      <c r="CE53" s="12"/>
      <c r="CF53" s="12"/>
      <c r="CG53" s="12"/>
      <c r="CH53" s="12"/>
      <c r="CI53" s="12"/>
      <c r="CJ53" s="12"/>
      <c r="CK53" s="12"/>
      <c r="CL53" s="12"/>
      <c r="CM53" s="12"/>
      <c r="CN53" s="12"/>
    </row>
    <row r="54">
      <c r="A54" s="92">
        <v>3.0</v>
      </c>
      <c r="B54" s="93" t="s">
        <v>53</v>
      </c>
      <c r="C54" s="94" t="s">
        <v>132</v>
      </c>
      <c r="D54" s="95" t="str">
        <f t="shared" si="1"/>
        <v>3-4-1B</v>
      </c>
      <c r="E54" s="50"/>
      <c r="F54" s="51"/>
      <c r="G54" s="46"/>
      <c r="H54" s="47"/>
      <c r="I54" s="48"/>
      <c r="J54" s="52"/>
      <c r="K54" s="27" t="str">
        <f t="shared" si="2"/>
        <v>DISPONIBLE</v>
      </c>
      <c r="L54" s="28">
        <f t="shared" si="3"/>
        <v>53</v>
      </c>
      <c r="M54" s="28" t="s">
        <v>23</v>
      </c>
      <c r="N54" s="70"/>
      <c r="O54" s="28"/>
      <c r="P54" s="331" t="s">
        <v>229</v>
      </c>
      <c r="Q54" s="332"/>
      <c r="R54" s="343"/>
      <c r="S54" s="333"/>
      <c r="T54" s="28"/>
      <c r="U54" s="334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O54" s="12"/>
      <c r="AP54" s="12"/>
      <c r="BB54" s="12"/>
      <c r="BG54" s="12" t="str">
        <f>IFERROR(__xludf.DUMMYFUNCTION("IFERROR(INDEX(QUERY(IMPORTRANGE(""1T7HG8KEs-Ob7f3M5atEVN9Yn7IeORGp0QGvggB62ELw"",""Maestro!A:I""),""SELECT Col8 WHERE Col3 = '""&amp;BD54&amp;""'"", 0), 1, 1),""NO ENCONTRADO"")"),"D")</f>
        <v>D</v>
      </c>
      <c r="BH54" s="16">
        <v>1.0</v>
      </c>
      <c r="BI54" s="16">
        <f t="shared" si="4"/>
        <v>11</v>
      </c>
      <c r="BJ54" s="12"/>
      <c r="BQ54" s="12"/>
      <c r="BX54" s="14"/>
      <c r="BY54" s="14"/>
      <c r="BZ54" s="14"/>
      <c r="CA54" s="14"/>
      <c r="CB54" s="14"/>
      <c r="CC54" s="14"/>
      <c r="CD54" s="14"/>
      <c r="CE54" s="12"/>
      <c r="CF54" s="12"/>
      <c r="CG54" s="12"/>
      <c r="CH54" s="12"/>
      <c r="CI54" s="12"/>
      <c r="CJ54" s="12"/>
      <c r="CK54" s="12"/>
      <c r="CL54" s="12"/>
      <c r="CM54" s="12"/>
      <c r="CN54" s="12"/>
    </row>
    <row r="55">
      <c r="A55" s="92">
        <v>3.0</v>
      </c>
      <c r="B55" s="93" t="s">
        <v>53</v>
      </c>
      <c r="C55" s="94" t="s">
        <v>124</v>
      </c>
      <c r="D55" s="95" t="str">
        <f t="shared" si="1"/>
        <v>3-4-2A</v>
      </c>
      <c r="E55" s="96">
        <v>45754.0</v>
      </c>
      <c r="F55" s="97" t="s">
        <v>19</v>
      </c>
      <c r="G55" s="98" t="s">
        <v>137</v>
      </c>
      <c r="H55" s="99" t="s">
        <v>138</v>
      </c>
      <c r="I55" s="100">
        <v>500.0</v>
      </c>
      <c r="J55" s="101" t="s">
        <v>22</v>
      </c>
      <c r="K55" s="32" t="str">
        <f t="shared" si="2"/>
        <v>OCUPADO</v>
      </c>
      <c r="L55" s="33">
        <f t="shared" si="3"/>
        <v>54</v>
      </c>
      <c r="M55" s="33" t="s">
        <v>23</v>
      </c>
      <c r="N55" s="53"/>
      <c r="O55" s="33" t="s">
        <v>24</v>
      </c>
      <c r="P55" s="335" t="s">
        <v>173</v>
      </c>
      <c r="Q55" s="336">
        <v>45754.0</v>
      </c>
      <c r="R55" s="337" t="s">
        <v>19</v>
      </c>
      <c r="S55" s="337" t="s">
        <v>137</v>
      </c>
      <c r="T55" s="33" t="s">
        <v>138</v>
      </c>
      <c r="U55" s="338">
        <v>500.0</v>
      </c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O55" s="12"/>
      <c r="AP55" s="12"/>
      <c r="BB55" s="12"/>
      <c r="BG55" s="12" t="str">
        <f>IFERROR(__xludf.DUMMYFUNCTION("IFERROR(INDEX(QUERY(IMPORTRANGE(""1T7HG8KEs-Ob7f3M5atEVN9Yn7IeORGp0QGvggB62ELw"",""Maestro!A:I""),""SELECT Col8 WHERE Col3 = '""&amp;BD55&amp;""'"", 0), 1, 1),""NO ENCONTRADO"")"),"D")</f>
        <v>D</v>
      </c>
      <c r="BH55" s="16">
        <v>1.0</v>
      </c>
      <c r="BI55" s="16">
        <f t="shared" si="4"/>
        <v>19</v>
      </c>
      <c r="BJ55" s="12"/>
      <c r="BQ55" s="12"/>
      <c r="BX55" s="14"/>
      <c r="BY55" s="14"/>
      <c r="BZ55" s="14"/>
      <c r="CA55" s="14"/>
      <c r="CB55" s="14"/>
      <c r="CC55" s="14"/>
      <c r="CD55" s="14"/>
      <c r="CE55" s="12"/>
      <c r="CF55" s="12"/>
      <c r="CG55" s="12"/>
      <c r="CH55" s="12"/>
      <c r="CI55" s="12"/>
      <c r="CJ55" s="12"/>
      <c r="CK55" s="12"/>
      <c r="CL55" s="12"/>
      <c r="CM55" s="12"/>
      <c r="CN55" s="12"/>
    </row>
    <row r="56">
      <c r="A56" s="92">
        <v>3.0</v>
      </c>
      <c r="B56" s="93" t="s">
        <v>53</v>
      </c>
      <c r="C56" s="94" t="s">
        <v>140</v>
      </c>
      <c r="D56" s="95" t="str">
        <f t="shared" si="1"/>
        <v>3-4-2B</v>
      </c>
      <c r="E56" s="50"/>
      <c r="F56" s="51"/>
      <c r="G56" s="46"/>
      <c r="H56" s="47"/>
      <c r="I56" s="48"/>
      <c r="J56" s="52"/>
      <c r="K56" s="27" t="str">
        <f t="shared" si="2"/>
        <v>DISPONIBLE</v>
      </c>
      <c r="L56" s="28">
        <f t="shared" si="3"/>
        <v>55</v>
      </c>
      <c r="M56" s="28" t="s">
        <v>23</v>
      </c>
      <c r="N56" s="70"/>
      <c r="O56" s="28"/>
      <c r="P56" s="331" t="s">
        <v>233</v>
      </c>
      <c r="Q56" s="332"/>
      <c r="R56" s="343"/>
      <c r="S56" s="333"/>
      <c r="T56" s="28"/>
      <c r="U56" s="334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O56" s="12"/>
      <c r="AP56" s="12"/>
      <c r="BB56" s="12"/>
      <c r="BG56" s="12" t="str">
        <f>IFERROR(__xludf.DUMMYFUNCTION("IFERROR(INDEX(QUERY(IMPORTRANGE(""1T7HG8KEs-Ob7f3M5atEVN9Yn7IeORGp0QGvggB62ELw"",""Maestro!A:I""),""SELECT Col8 WHERE Col3 = '""&amp;BD56&amp;""'"", 0), 1, 1),""NO ENCONTRADO"")"),"M")</f>
        <v>M</v>
      </c>
      <c r="BH56" s="16">
        <v>1.0</v>
      </c>
      <c r="BI56" s="16">
        <f t="shared" si="4"/>
        <v>3</v>
      </c>
      <c r="BJ56" s="12"/>
      <c r="BQ56" s="12"/>
      <c r="BX56" s="14"/>
      <c r="BY56" s="14"/>
      <c r="BZ56" s="14"/>
      <c r="CA56" s="14"/>
      <c r="CB56" s="14"/>
      <c r="CC56" s="14"/>
      <c r="CD56" s="14"/>
      <c r="CE56" s="12"/>
      <c r="CF56" s="12"/>
      <c r="CG56" s="12"/>
      <c r="CH56" s="12"/>
      <c r="CI56" s="12"/>
      <c r="CJ56" s="12"/>
      <c r="CK56" s="12"/>
      <c r="CL56" s="12"/>
      <c r="CM56" s="12"/>
      <c r="CN56" s="12"/>
    </row>
    <row r="57">
      <c r="A57" s="92">
        <v>3.0</v>
      </c>
      <c r="B57" s="93" t="s">
        <v>53</v>
      </c>
      <c r="C57" s="94" t="s">
        <v>130</v>
      </c>
      <c r="D57" s="95" t="str">
        <f t="shared" si="1"/>
        <v>3-4-3A</v>
      </c>
      <c r="E57" s="96">
        <v>45754.0</v>
      </c>
      <c r="F57" s="97" t="s">
        <v>766</v>
      </c>
      <c r="G57" s="98" t="s">
        <v>137</v>
      </c>
      <c r="H57" s="99" t="s">
        <v>138</v>
      </c>
      <c r="I57" s="100">
        <v>250.0</v>
      </c>
      <c r="J57" s="101" t="s">
        <v>22</v>
      </c>
      <c r="K57" s="32" t="str">
        <f t="shared" si="2"/>
        <v>OCUPADO</v>
      </c>
      <c r="L57" s="33">
        <f t="shared" si="3"/>
        <v>56</v>
      </c>
      <c r="M57" s="33" t="s">
        <v>23</v>
      </c>
      <c r="N57" s="53"/>
      <c r="O57" s="33" t="s">
        <v>24</v>
      </c>
      <c r="P57" s="335" t="s">
        <v>237</v>
      </c>
      <c r="Q57" s="336">
        <v>45754.0</v>
      </c>
      <c r="R57" s="337" t="s">
        <v>766</v>
      </c>
      <c r="S57" s="337" t="s">
        <v>137</v>
      </c>
      <c r="T57" s="33" t="s">
        <v>138</v>
      </c>
      <c r="U57" s="338">
        <v>250.0</v>
      </c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BB57" s="12"/>
      <c r="BG57" s="12" t="str">
        <f>IFERROR(__xludf.DUMMYFUNCTION("IFERROR(INDEX(QUERY(IMPORTRANGE(""1T7HG8KEs-Ob7f3M5atEVN9Yn7IeORGp0QGvggB62ELw"",""Maestro!A:I""),""SELECT Col8 WHERE Col3 = '""&amp;BD57&amp;""'"", 0), 1, 1),""NO ENCONTRADO"")"),"D")</f>
        <v>D</v>
      </c>
      <c r="BH57" s="16">
        <v>1.0</v>
      </c>
      <c r="BI57" s="16">
        <f t="shared" si="4"/>
        <v>10</v>
      </c>
      <c r="BJ57" s="12"/>
      <c r="BQ57" s="12"/>
      <c r="BX57" s="14"/>
      <c r="BY57" s="14"/>
      <c r="BZ57" s="14"/>
      <c r="CA57" s="14"/>
      <c r="CB57" s="14"/>
      <c r="CC57" s="14"/>
      <c r="CD57" s="14"/>
      <c r="CE57" s="12"/>
      <c r="CF57" s="12"/>
      <c r="CG57" s="12"/>
      <c r="CH57" s="12"/>
      <c r="CI57" s="12"/>
      <c r="CJ57" s="12"/>
      <c r="CK57" s="12"/>
      <c r="CL57" s="12"/>
      <c r="CM57" s="12"/>
      <c r="CN57" s="12"/>
    </row>
    <row r="58">
      <c r="A58" s="92">
        <v>3.0</v>
      </c>
      <c r="B58" s="93" t="s">
        <v>53</v>
      </c>
      <c r="C58" s="94" t="s">
        <v>148</v>
      </c>
      <c r="D58" s="95" t="str">
        <f t="shared" si="1"/>
        <v>3-4-3B</v>
      </c>
      <c r="E58" s="50"/>
      <c r="F58" s="51"/>
      <c r="G58" s="46"/>
      <c r="H58" s="47"/>
      <c r="I58" s="48"/>
      <c r="J58" s="52"/>
      <c r="K58" s="27" t="str">
        <f t="shared" si="2"/>
        <v>DISPONIBLE</v>
      </c>
      <c r="L58" s="28">
        <f t="shared" si="3"/>
        <v>57</v>
      </c>
      <c r="M58" s="28" t="s">
        <v>23</v>
      </c>
      <c r="N58" s="70"/>
      <c r="O58" s="70"/>
      <c r="P58" s="331" t="s">
        <v>243</v>
      </c>
      <c r="Q58" s="332"/>
      <c r="R58" s="343"/>
      <c r="S58" s="333"/>
      <c r="T58" s="28"/>
      <c r="U58" s="334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BB58" s="12"/>
      <c r="BG58" s="12" t="str">
        <f>IFERROR(__xludf.DUMMYFUNCTION("IFERROR(INDEX(QUERY(IMPORTRANGE(""1T7HG8KEs-Ob7f3M5atEVN9Yn7IeORGp0QGvggB62ELw"",""Maestro!A:I""),""SELECT Col8 WHERE Col3 = '""&amp;BD58&amp;""'"", 0), 1, 1),""NO ENCONTRADO"")"),"NO ENCONTRADO")</f>
        <v>NO ENCONTRADO</v>
      </c>
      <c r="BH58" s="16">
        <v>1.0</v>
      </c>
      <c r="BI58" s="16">
        <f t="shared" si="4"/>
        <v>666</v>
      </c>
      <c r="BJ58" s="12"/>
      <c r="BQ58" s="12"/>
      <c r="BX58" s="14"/>
      <c r="BY58" s="14"/>
      <c r="BZ58" s="14"/>
      <c r="CA58" s="14"/>
      <c r="CB58" s="14"/>
      <c r="CC58" s="14"/>
      <c r="CD58" s="14"/>
      <c r="CE58" s="12"/>
      <c r="CF58" s="12"/>
      <c r="CG58" s="12"/>
      <c r="CH58" s="12"/>
      <c r="CI58" s="12"/>
      <c r="CJ58" s="12"/>
      <c r="CK58" s="12"/>
      <c r="CL58" s="12"/>
      <c r="CM58" s="12"/>
      <c r="CN58" s="12"/>
    </row>
    <row r="59">
      <c r="A59" s="92">
        <v>3.0</v>
      </c>
      <c r="B59" s="93" t="s">
        <v>53</v>
      </c>
      <c r="C59" s="94" t="s">
        <v>145</v>
      </c>
      <c r="D59" s="95" t="str">
        <f t="shared" si="1"/>
        <v>3-4-4A</v>
      </c>
      <c r="E59" s="110"/>
      <c r="F59" s="124"/>
      <c r="G59" s="112"/>
      <c r="H59" s="113"/>
      <c r="I59" s="114"/>
      <c r="J59" s="115"/>
      <c r="K59" s="32" t="str">
        <f t="shared" si="2"/>
        <v>DISPONIBLE</v>
      </c>
      <c r="L59" s="33">
        <f t="shared" si="3"/>
        <v>58</v>
      </c>
      <c r="M59" s="33" t="s">
        <v>23</v>
      </c>
      <c r="N59" s="53"/>
      <c r="O59" s="33"/>
      <c r="P59" s="335" t="s">
        <v>176</v>
      </c>
      <c r="Q59" s="336"/>
      <c r="R59" s="337"/>
      <c r="S59" s="337"/>
      <c r="T59" s="33"/>
      <c r="U59" s="338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BB59" s="12"/>
      <c r="BG59" s="12" t="str">
        <f>IFERROR(__xludf.DUMMYFUNCTION("IFERROR(INDEX(QUERY(IMPORTRANGE(""1T7HG8KEs-Ob7f3M5atEVN9Yn7IeORGp0QGvggB62ELw"",""Maestro!A:I""),""SELECT Col8 WHERE Col3 = '""&amp;BD59&amp;""'"", 0), 1, 1),""NO ENCONTRADO"")"),"NO ENCONTRADO")</f>
        <v>NO ENCONTRADO</v>
      </c>
      <c r="BH59" s="16">
        <v>1.0</v>
      </c>
      <c r="BI59" s="16">
        <f t="shared" si="4"/>
        <v>666</v>
      </c>
      <c r="BJ59" s="12"/>
      <c r="BQ59" s="12"/>
      <c r="BX59" s="14"/>
      <c r="BY59" s="14"/>
      <c r="BZ59" s="14"/>
      <c r="CA59" s="14"/>
      <c r="CB59" s="14"/>
      <c r="CC59" s="14"/>
      <c r="CD59" s="14"/>
      <c r="CE59" s="12"/>
      <c r="CF59" s="12"/>
      <c r="CG59" s="12"/>
      <c r="CH59" s="12"/>
      <c r="CI59" s="12"/>
      <c r="CJ59" s="12"/>
      <c r="CK59" s="12"/>
      <c r="CL59" s="12"/>
      <c r="CM59" s="12"/>
      <c r="CN59" s="12"/>
    </row>
    <row r="60">
      <c r="A60" s="92">
        <v>3.0</v>
      </c>
      <c r="B60" s="93" t="s">
        <v>53</v>
      </c>
      <c r="C60" s="94" t="s">
        <v>181</v>
      </c>
      <c r="D60" s="95" t="str">
        <f t="shared" si="1"/>
        <v>3-4-4B</v>
      </c>
      <c r="E60" s="130"/>
      <c r="F60" s="131"/>
      <c r="G60" s="132"/>
      <c r="H60" s="133"/>
      <c r="I60" s="134"/>
      <c r="J60" s="135"/>
      <c r="K60" s="27" t="str">
        <f t="shared" si="2"/>
        <v>DISPONIBLE</v>
      </c>
      <c r="L60" s="28">
        <f t="shared" si="3"/>
        <v>59</v>
      </c>
      <c r="M60" s="28" t="s">
        <v>23</v>
      </c>
      <c r="N60" s="70"/>
      <c r="O60" s="70"/>
      <c r="P60" s="331" t="s">
        <v>253</v>
      </c>
      <c r="Q60" s="332"/>
      <c r="R60" s="343"/>
      <c r="S60" s="333"/>
      <c r="T60" s="28"/>
      <c r="U60" s="334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BB60" s="12"/>
      <c r="BG60" s="12" t="str">
        <f>IFERROR(__xludf.DUMMYFUNCTION("IFERROR(INDEX(QUERY(IMPORTRANGE(""1T7HG8KEs-Ob7f3M5atEVN9Yn7IeORGp0QGvggB62ELw"",""Maestro!A:I""),""SELECT Col8 WHERE Col3 = '""&amp;BD60&amp;""'"", 0), 1, 1),""NO ENCONTRADO"")"),"D")</f>
        <v>D</v>
      </c>
      <c r="BH60" s="16">
        <v>1.0</v>
      </c>
      <c r="BI60" s="16">
        <f t="shared" si="4"/>
        <v>10</v>
      </c>
      <c r="BJ60" s="12"/>
      <c r="BQ60" s="12"/>
      <c r="BX60" s="14"/>
      <c r="BY60" s="14"/>
      <c r="BZ60" s="14"/>
      <c r="CA60" s="14"/>
      <c r="CB60" s="14"/>
      <c r="CC60" s="14"/>
      <c r="CD60" s="14"/>
      <c r="CE60" s="12"/>
      <c r="CF60" s="12"/>
      <c r="CG60" s="12"/>
      <c r="CH60" s="12"/>
      <c r="CI60" s="12"/>
      <c r="CJ60" s="12"/>
      <c r="CK60" s="12"/>
      <c r="CL60" s="12"/>
      <c r="CM60" s="12"/>
      <c r="CN60" s="12"/>
    </row>
    <row r="61">
      <c r="A61" s="123">
        <v>3.0</v>
      </c>
      <c r="B61" s="94" t="s">
        <v>53</v>
      </c>
      <c r="C61" s="94" t="s">
        <v>188</v>
      </c>
      <c r="D61" s="95" t="str">
        <f t="shared" si="1"/>
        <v>3-4-5A</v>
      </c>
      <c r="E61" s="96">
        <v>45763.0</v>
      </c>
      <c r="F61" s="97" t="s">
        <v>258</v>
      </c>
      <c r="G61" s="98" t="s">
        <v>143</v>
      </c>
      <c r="H61" s="99" t="s">
        <v>144</v>
      </c>
      <c r="I61" s="100">
        <v>488.0</v>
      </c>
      <c r="J61" s="101" t="s">
        <v>22</v>
      </c>
      <c r="K61" s="32" t="str">
        <f t="shared" si="2"/>
        <v>OCUPADO</v>
      </c>
      <c r="L61" s="33">
        <f t="shared" si="3"/>
        <v>60</v>
      </c>
      <c r="M61" s="33" t="s">
        <v>23</v>
      </c>
      <c r="N61" s="53"/>
      <c r="O61" s="33" t="s">
        <v>24</v>
      </c>
      <c r="P61" s="335" t="s">
        <v>259</v>
      </c>
      <c r="Q61" s="336">
        <v>45763.0</v>
      </c>
      <c r="R61" s="337" t="s">
        <v>258</v>
      </c>
      <c r="S61" s="337" t="s">
        <v>143</v>
      </c>
      <c r="T61" s="33" t="s">
        <v>144</v>
      </c>
      <c r="U61" s="338">
        <v>488.0</v>
      </c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BB61" s="12"/>
      <c r="BG61" s="12" t="str">
        <f>IFERROR(__xludf.DUMMYFUNCTION("IFERROR(INDEX(QUERY(IMPORTRANGE(""1T7HG8KEs-Ob7f3M5atEVN9Yn7IeORGp0QGvggB62ELw"",""Maestro!A:I""),""SELECT Col8 WHERE Col3 = '""&amp;BD61&amp;""'"", 0), 1, 1),""NO ENCONTRADO"")"),"D")</f>
        <v>D</v>
      </c>
      <c r="BH61" s="16">
        <v>1.0</v>
      </c>
      <c r="BI61" s="16">
        <f t="shared" si="4"/>
        <v>400</v>
      </c>
      <c r="BJ61" s="12"/>
      <c r="BQ61" s="12"/>
      <c r="BX61" s="14"/>
      <c r="BY61" s="14"/>
      <c r="BZ61" s="14"/>
      <c r="CA61" s="14"/>
      <c r="CB61" s="14"/>
      <c r="CC61" s="14"/>
      <c r="CD61" s="14"/>
      <c r="CE61" s="12"/>
      <c r="CF61" s="12"/>
      <c r="CG61" s="12"/>
      <c r="CH61" s="12"/>
      <c r="CI61" s="12"/>
      <c r="CJ61" s="12"/>
      <c r="CK61" s="12"/>
      <c r="CL61" s="12"/>
      <c r="CM61" s="12"/>
      <c r="CN61" s="12"/>
    </row>
    <row r="62">
      <c r="A62" s="123">
        <v>3.0</v>
      </c>
      <c r="B62" s="94" t="s">
        <v>53</v>
      </c>
      <c r="C62" s="94" t="s">
        <v>192</v>
      </c>
      <c r="D62" s="95" t="str">
        <f t="shared" si="1"/>
        <v>3-4-5B</v>
      </c>
      <c r="E62" s="50"/>
      <c r="F62" s="51"/>
      <c r="G62" s="46"/>
      <c r="H62" s="47"/>
      <c r="I62" s="48"/>
      <c r="J62" s="52"/>
      <c r="K62" s="27" t="str">
        <f t="shared" si="2"/>
        <v>DISPONIBLE</v>
      </c>
      <c r="L62" s="28">
        <f t="shared" si="3"/>
        <v>61</v>
      </c>
      <c r="M62" s="28" t="s">
        <v>23</v>
      </c>
      <c r="N62" s="70"/>
      <c r="O62" s="70"/>
      <c r="P62" s="331" t="s">
        <v>265</v>
      </c>
      <c r="Q62" s="332"/>
      <c r="R62" s="343"/>
      <c r="S62" s="333"/>
      <c r="T62" s="28"/>
      <c r="U62" s="334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BB62" s="12"/>
      <c r="BG62" s="12" t="str">
        <f>IFERROR(__xludf.DUMMYFUNCTION("IFERROR(INDEX(QUERY(IMPORTRANGE(""1T7HG8KEs-Ob7f3M5atEVN9Yn7IeORGp0QGvggB62ELw"",""Maestro!A:I""),""SELECT Col8 WHERE Col3 = '""&amp;BD62&amp;""'"", 0), 1, 1),""NO ENCONTRADO"")"),"D")</f>
        <v>D</v>
      </c>
      <c r="BH62" s="16">
        <v>1.0</v>
      </c>
      <c r="BI62" s="16">
        <f t="shared" si="4"/>
        <v>549</v>
      </c>
      <c r="BJ62" s="12"/>
      <c r="BQ62" s="12"/>
      <c r="BX62" s="14"/>
      <c r="BY62" s="14"/>
      <c r="BZ62" s="14"/>
      <c r="CA62" s="14"/>
      <c r="CB62" s="14"/>
      <c r="CC62" s="14"/>
      <c r="CD62" s="14"/>
      <c r="CE62" s="12"/>
      <c r="CF62" s="12"/>
      <c r="CG62" s="12"/>
      <c r="CH62" s="12"/>
      <c r="CI62" s="12"/>
      <c r="CJ62" s="12"/>
      <c r="CK62" s="12"/>
      <c r="CL62" s="12"/>
      <c r="CM62" s="12"/>
      <c r="CN62" s="12"/>
    </row>
    <row r="63">
      <c r="A63" s="92">
        <v>3.0</v>
      </c>
      <c r="B63" s="93" t="s">
        <v>25</v>
      </c>
      <c r="C63" s="94" t="s">
        <v>119</v>
      </c>
      <c r="D63" s="95" t="str">
        <f t="shared" si="1"/>
        <v>3-5-1A</v>
      </c>
      <c r="E63" s="96">
        <v>45747.0</v>
      </c>
      <c r="F63" s="97" t="s">
        <v>154</v>
      </c>
      <c r="G63" s="98" t="s">
        <v>74</v>
      </c>
      <c r="H63" s="99" t="s">
        <v>75</v>
      </c>
      <c r="I63" s="100">
        <v>268.0</v>
      </c>
      <c r="J63" s="101" t="s">
        <v>22</v>
      </c>
      <c r="K63" s="32" t="str">
        <f t="shared" si="2"/>
        <v>OCUPADO</v>
      </c>
      <c r="L63" s="33">
        <f t="shared" si="3"/>
        <v>62</v>
      </c>
      <c r="M63" s="33" t="s">
        <v>23</v>
      </c>
      <c r="N63" s="53"/>
      <c r="O63" s="33" t="s">
        <v>24</v>
      </c>
      <c r="P63" s="335" t="s">
        <v>185</v>
      </c>
      <c r="Q63" s="336">
        <v>45747.0</v>
      </c>
      <c r="R63" s="337" t="s">
        <v>154</v>
      </c>
      <c r="S63" s="337" t="s">
        <v>74</v>
      </c>
      <c r="T63" s="33" t="s">
        <v>75</v>
      </c>
      <c r="U63" s="338">
        <v>268.0</v>
      </c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BB63" s="12"/>
      <c r="BG63" s="12" t="str">
        <f>IFERROR(__xludf.DUMMYFUNCTION("IFERROR(INDEX(QUERY(IMPORTRANGE(""1T7HG8KEs-Ob7f3M5atEVN9Yn7IeORGp0QGvggB62ELw"",""Maestro!A:I""),""SELECT Col8 WHERE Col3 = '""&amp;BD63&amp;""'"", 0), 1, 1),""NO ENCONTRADO"")"),"NO ENCONTRADO")</f>
        <v>NO ENCONTRADO</v>
      </c>
      <c r="BH63" s="16">
        <v>1.0</v>
      </c>
      <c r="BI63" s="16">
        <f t="shared" si="4"/>
        <v>667</v>
      </c>
      <c r="BJ63" s="12"/>
      <c r="BQ63" s="12"/>
      <c r="BX63" s="14"/>
      <c r="BY63" s="14"/>
      <c r="BZ63" s="14"/>
      <c r="CA63" s="14"/>
      <c r="CB63" s="14"/>
      <c r="CC63" s="14"/>
      <c r="CD63" s="14"/>
      <c r="CE63" s="12"/>
      <c r="CF63" s="12"/>
      <c r="CG63" s="12"/>
      <c r="CH63" s="12"/>
      <c r="CI63" s="12"/>
      <c r="CJ63" s="12"/>
      <c r="CK63" s="12"/>
      <c r="CL63" s="12"/>
      <c r="CM63" s="12"/>
      <c r="CN63" s="12"/>
    </row>
    <row r="64">
      <c r="A64" s="92">
        <v>3.0</v>
      </c>
      <c r="B64" s="93" t="s">
        <v>25</v>
      </c>
      <c r="C64" s="94" t="s">
        <v>132</v>
      </c>
      <c r="D64" s="95" t="str">
        <f t="shared" si="1"/>
        <v>3-5-1B</v>
      </c>
      <c r="E64" s="50"/>
      <c r="F64" s="51"/>
      <c r="G64" s="46"/>
      <c r="H64" s="47"/>
      <c r="I64" s="48"/>
      <c r="J64" s="52"/>
      <c r="K64" s="27" t="str">
        <f t="shared" si="2"/>
        <v>DISPONIBLE</v>
      </c>
      <c r="L64" s="28">
        <f t="shared" si="3"/>
        <v>63</v>
      </c>
      <c r="M64" s="28" t="s">
        <v>23</v>
      </c>
      <c r="N64" s="70"/>
      <c r="O64" s="28"/>
      <c r="P64" s="331" t="s">
        <v>268</v>
      </c>
      <c r="Q64" s="332"/>
      <c r="R64" s="343"/>
      <c r="S64" s="333"/>
      <c r="T64" s="28"/>
      <c r="U64" s="334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BB64" s="12"/>
      <c r="BG64" s="12" t="str">
        <f>IFERROR(__xludf.DUMMYFUNCTION("IFERROR(INDEX(QUERY(IMPORTRANGE(""1T7HG8KEs-Ob7f3M5atEVN9Yn7IeORGp0QGvggB62ELw"",""Maestro!A:I""),""SELECT Col8 WHERE Col3 = '""&amp;BD64&amp;""'"", 0), 1, 1),""NO ENCONTRADO"")"),"D")</f>
        <v>D</v>
      </c>
      <c r="BH64" s="16">
        <v>1.0</v>
      </c>
      <c r="BI64" s="16">
        <f t="shared" si="4"/>
        <v>166</v>
      </c>
      <c r="BJ64" s="12"/>
      <c r="BQ64" s="12"/>
      <c r="BX64" s="14"/>
      <c r="BY64" s="14"/>
      <c r="BZ64" s="14"/>
      <c r="CA64" s="14"/>
      <c r="CB64" s="14"/>
      <c r="CC64" s="14"/>
      <c r="CD64" s="14"/>
      <c r="CE64" s="12"/>
      <c r="CF64" s="12"/>
      <c r="CG64" s="12"/>
      <c r="CH64" s="12"/>
      <c r="CI64" s="12"/>
      <c r="CJ64" s="12"/>
      <c r="CK64" s="12"/>
      <c r="CL64" s="12"/>
      <c r="CM64" s="12"/>
      <c r="CN64" s="12"/>
    </row>
    <row r="65">
      <c r="A65" s="92">
        <v>3.0</v>
      </c>
      <c r="B65" s="93" t="s">
        <v>25</v>
      </c>
      <c r="C65" s="94" t="s">
        <v>124</v>
      </c>
      <c r="D65" s="95" t="str">
        <f t="shared" si="1"/>
        <v>3-5-2A</v>
      </c>
      <c r="E65" s="50"/>
      <c r="F65" s="51"/>
      <c r="G65" s="46"/>
      <c r="H65" s="47"/>
      <c r="I65" s="48"/>
      <c r="J65" s="52"/>
      <c r="K65" s="32" t="str">
        <f t="shared" si="2"/>
        <v>DISPONIBLE</v>
      </c>
      <c r="L65" s="33">
        <f t="shared" si="3"/>
        <v>64</v>
      </c>
      <c r="M65" s="33" t="s">
        <v>23</v>
      </c>
      <c r="N65" s="53"/>
      <c r="O65" s="33"/>
      <c r="P65" s="335" t="s">
        <v>187</v>
      </c>
      <c r="Q65" s="336"/>
      <c r="R65" s="342"/>
      <c r="S65" s="337"/>
      <c r="T65" s="33"/>
      <c r="U65" s="338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BB65" s="12"/>
      <c r="BG65" s="12" t="str">
        <f>IFERROR(__xludf.DUMMYFUNCTION("IFERROR(INDEX(QUERY(IMPORTRANGE(""1T7HG8KEs-Ob7f3M5atEVN9Yn7IeORGp0QGvggB62ELw"",""Maestro!A:I""),""SELECT Col8 WHERE Col3 = '""&amp;BD65&amp;""'"", 0), 1, 1),""NO ENCONTRADO"")"),"D")</f>
        <v>D</v>
      </c>
      <c r="BH65" s="16">
        <v>1.0</v>
      </c>
      <c r="BI65" s="16">
        <f t="shared" si="4"/>
        <v>700</v>
      </c>
      <c r="BJ65" s="12"/>
      <c r="BQ65" s="12"/>
      <c r="BX65" s="14"/>
      <c r="BY65" s="14"/>
      <c r="BZ65" s="14"/>
      <c r="CA65" s="14"/>
      <c r="CB65" s="14"/>
      <c r="CC65" s="14"/>
      <c r="CD65" s="14"/>
      <c r="CE65" s="12"/>
      <c r="CF65" s="12"/>
      <c r="CG65" s="12"/>
      <c r="CH65" s="12"/>
      <c r="CI65" s="12"/>
      <c r="CJ65" s="12"/>
      <c r="CK65" s="12"/>
      <c r="CL65" s="12"/>
      <c r="CM65" s="12"/>
      <c r="CN65" s="12"/>
    </row>
    <row r="66">
      <c r="A66" s="92">
        <v>3.0</v>
      </c>
      <c r="B66" s="93" t="s">
        <v>25</v>
      </c>
      <c r="C66" s="94" t="s">
        <v>140</v>
      </c>
      <c r="D66" s="95" t="str">
        <f t="shared" si="1"/>
        <v>3-5-2B</v>
      </c>
      <c r="E66" s="50"/>
      <c r="F66" s="51"/>
      <c r="G66" s="46"/>
      <c r="H66" s="47"/>
      <c r="I66" s="48"/>
      <c r="J66" s="52"/>
      <c r="K66" s="27" t="str">
        <f t="shared" si="2"/>
        <v>DISPONIBLE</v>
      </c>
      <c r="L66" s="28">
        <f t="shared" si="3"/>
        <v>65</v>
      </c>
      <c r="M66" s="28" t="s">
        <v>23</v>
      </c>
      <c r="N66" s="70"/>
      <c r="O66" s="28"/>
      <c r="P66" s="331" t="s">
        <v>276</v>
      </c>
      <c r="Q66" s="332"/>
      <c r="R66" s="343"/>
      <c r="S66" s="333"/>
      <c r="T66" s="28"/>
      <c r="U66" s="334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BB66" s="12"/>
      <c r="BG66" s="12" t="str">
        <f>IFERROR(__xludf.DUMMYFUNCTION("IFERROR(INDEX(QUERY(IMPORTRANGE(""1T7HG8KEs-Ob7f3M5atEVN9Yn7IeORGp0QGvggB62ELw"",""Maestro!A:I""),""SELECT Col8 WHERE Col3 = '""&amp;BD66&amp;""'"", 0), 1, 1),""NO ENCONTRADO"")"),"D")</f>
        <v>D</v>
      </c>
      <c r="BH66" s="16">
        <v>1.0</v>
      </c>
      <c r="BI66" s="16">
        <f t="shared" si="4"/>
        <v>510</v>
      </c>
      <c r="BJ66" s="12"/>
      <c r="BQ66" s="12"/>
      <c r="BX66" s="14"/>
      <c r="BY66" s="14"/>
      <c r="BZ66" s="14"/>
      <c r="CA66" s="14"/>
      <c r="CB66" s="14"/>
      <c r="CC66" s="14"/>
      <c r="CD66" s="14"/>
      <c r="CE66" s="12"/>
      <c r="CF66" s="12"/>
      <c r="CG66" s="12"/>
      <c r="CH66" s="12"/>
      <c r="CI66" s="12"/>
      <c r="CJ66" s="12"/>
      <c r="CK66" s="12"/>
      <c r="CL66" s="12"/>
      <c r="CM66" s="12"/>
      <c r="CN66" s="12"/>
    </row>
    <row r="67">
      <c r="A67" s="92">
        <v>3.0</v>
      </c>
      <c r="B67" s="93" t="s">
        <v>25</v>
      </c>
      <c r="C67" s="94" t="s">
        <v>130</v>
      </c>
      <c r="D67" s="95" t="str">
        <f t="shared" si="1"/>
        <v>3-5-3A</v>
      </c>
      <c r="E67" s="96">
        <v>45751.0</v>
      </c>
      <c r="F67" s="97" t="s">
        <v>19</v>
      </c>
      <c r="G67" s="98" t="s">
        <v>77</v>
      </c>
      <c r="H67" s="99" t="s">
        <v>78</v>
      </c>
      <c r="I67" s="100">
        <v>640.0</v>
      </c>
      <c r="J67" s="101" t="s">
        <v>22</v>
      </c>
      <c r="K67" s="32" t="str">
        <f t="shared" si="2"/>
        <v>OCUPADO</v>
      </c>
      <c r="L67" s="33">
        <f t="shared" si="3"/>
        <v>66</v>
      </c>
      <c r="M67" s="33" t="s">
        <v>23</v>
      </c>
      <c r="N67" s="53"/>
      <c r="O67" s="33" t="s">
        <v>24</v>
      </c>
      <c r="P67" s="335" t="s">
        <v>194</v>
      </c>
      <c r="Q67" s="336">
        <v>45751.0</v>
      </c>
      <c r="R67" s="337" t="s">
        <v>19</v>
      </c>
      <c r="S67" s="337" t="s">
        <v>77</v>
      </c>
      <c r="T67" s="33" t="s">
        <v>78</v>
      </c>
      <c r="U67" s="338">
        <v>640.0</v>
      </c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BB67" s="12"/>
      <c r="BG67" s="12" t="str">
        <f>IFERROR(__xludf.DUMMYFUNCTION("IFERROR(INDEX(QUERY(IMPORTRANGE(""1T7HG8KEs-Ob7f3M5atEVN9Yn7IeORGp0QGvggB62ELw"",""Maestro!A:I""),""SELECT Col8 WHERE Col3 = '""&amp;BD67&amp;""'"", 0), 1, 1),""NO ENCONTRADO"")"),"D")</f>
        <v>D</v>
      </c>
      <c r="BH67" s="16">
        <v>1.0</v>
      </c>
      <c r="BI67" s="16">
        <f t="shared" si="4"/>
        <v>600</v>
      </c>
      <c r="BJ67" s="12"/>
      <c r="BQ67" s="12"/>
      <c r="BX67" s="14"/>
      <c r="BY67" s="14"/>
      <c r="BZ67" s="14"/>
      <c r="CA67" s="14"/>
      <c r="CB67" s="14"/>
      <c r="CC67" s="14"/>
      <c r="CD67" s="14"/>
      <c r="CE67" s="12"/>
      <c r="CF67" s="12"/>
      <c r="CG67" s="12"/>
      <c r="CH67" s="12"/>
      <c r="CI67" s="12"/>
      <c r="CJ67" s="12"/>
      <c r="CK67" s="12"/>
      <c r="CL67" s="12"/>
      <c r="CM67" s="12"/>
      <c r="CN67" s="12"/>
    </row>
    <row r="68">
      <c r="A68" s="92">
        <v>3.0</v>
      </c>
      <c r="B68" s="93" t="s">
        <v>25</v>
      </c>
      <c r="C68" s="94" t="s">
        <v>148</v>
      </c>
      <c r="D68" s="95" t="str">
        <f t="shared" si="1"/>
        <v>3-5-3B</v>
      </c>
      <c r="E68" s="50"/>
      <c r="F68" s="51"/>
      <c r="G68" s="46"/>
      <c r="H68" s="47"/>
      <c r="I68" s="48"/>
      <c r="J68" s="52"/>
      <c r="K68" s="27" t="str">
        <f t="shared" si="2"/>
        <v>DISPONIBLE</v>
      </c>
      <c r="L68" s="28">
        <f t="shared" si="3"/>
        <v>67</v>
      </c>
      <c r="M68" s="28" t="s">
        <v>23</v>
      </c>
      <c r="N68" s="70"/>
      <c r="O68" s="28"/>
      <c r="P68" s="331" t="s">
        <v>281</v>
      </c>
      <c r="Q68" s="332"/>
      <c r="R68" s="343"/>
      <c r="S68" s="333"/>
      <c r="T68" s="28"/>
      <c r="U68" s="334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BB68" s="12"/>
      <c r="BG68" s="12" t="str">
        <f>IFERROR(__xludf.DUMMYFUNCTION("IFERROR(INDEX(QUERY(IMPORTRANGE(""1T7HG8KEs-Ob7f3M5atEVN9Yn7IeORGp0QGvggB62ELw"",""Maestro!A:I""),""SELECT Col8 WHERE Col3 = '""&amp;BD68&amp;""'"", 0), 1, 1),""NO ENCONTRADO"")"),"D")</f>
        <v>D</v>
      </c>
      <c r="BH68" s="16">
        <v>1.0</v>
      </c>
      <c r="BI68" s="16">
        <f t="shared" si="4"/>
        <v>996</v>
      </c>
      <c r="BJ68" s="12"/>
      <c r="BQ68" s="12"/>
      <c r="BX68" s="14"/>
      <c r="BY68" s="14"/>
      <c r="BZ68" s="14"/>
      <c r="CA68" s="14"/>
      <c r="CB68" s="14"/>
      <c r="CC68" s="14"/>
      <c r="CD68" s="14"/>
      <c r="CE68" s="12"/>
      <c r="CF68" s="12"/>
      <c r="CG68" s="12"/>
      <c r="CH68" s="12"/>
      <c r="CI68" s="12"/>
      <c r="CJ68" s="12"/>
      <c r="CK68" s="12"/>
      <c r="CL68" s="12"/>
      <c r="CM68" s="12"/>
      <c r="CN68" s="12"/>
    </row>
    <row r="69">
      <c r="A69" s="92">
        <v>3.0</v>
      </c>
      <c r="B69" s="93" t="s">
        <v>25</v>
      </c>
      <c r="C69" s="94" t="s">
        <v>145</v>
      </c>
      <c r="D69" s="95" t="str">
        <f t="shared" si="1"/>
        <v>3-5-4A</v>
      </c>
      <c r="E69" s="96">
        <v>45751.0</v>
      </c>
      <c r="F69" s="97" t="s">
        <v>19</v>
      </c>
      <c r="G69" s="98" t="s">
        <v>54</v>
      </c>
      <c r="H69" s="99" t="s">
        <v>55</v>
      </c>
      <c r="I69" s="100">
        <v>600.0</v>
      </c>
      <c r="J69" s="101" t="s">
        <v>22</v>
      </c>
      <c r="K69" s="32" t="str">
        <f t="shared" si="2"/>
        <v>OCUPADO</v>
      </c>
      <c r="L69" s="33">
        <f t="shared" si="3"/>
        <v>68</v>
      </c>
      <c r="M69" s="33" t="s">
        <v>23</v>
      </c>
      <c r="N69" s="53"/>
      <c r="O69" s="33" t="s">
        <v>24</v>
      </c>
      <c r="P69" s="335" t="s">
        <v>217</v>
      </c>
      <c r="Q69" s="336">
        <v>45751.0</v>
      </c>
      <c r="R69" s="337" t="s">
        <v>19</v>
      </c>
      <c r="S69" s="337" t="s">
        <v>54</v>
      </c>
      <c r="T69" s="33" t="s">
        <v>55</v>
      </c>
      <c r="U69" s="338">
        <v>600.0</v>
      </c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BB69" s="12"/>
      <c r="BG69" s="12" t="str">
        <f>IFERROR(__xludf.DUMMYFUNCTION("IFERROR(INDEX(QUERY(IMPORTRANGE(""1T7HG8KEs-Ob7f3M5atEVN9Yn7IeORGp0QGvggB62ELw"",""Maestro!A:I""),""SELECT Col8 WHERE Col3 = '""&amp;BD69&amp;""'"", 0), 1, 1),""NO ENCONTRADO"")"),"D")</f>
        <v>D</v>
      </c>
      <c r="BH69" s="16">
        <v>1.0</v>
      </c>
      <c r="BI69" s="16">
        <f t="shared" si="4"/>
        <v>790</v>
      </c>
      <c r="BJ69" s="12"/>
      <c r="BQ69" s="12"/>
      <c r="BX69" s="14"/>
      <c r="BY69" s="14"/>
      <c r="BZ69" s="14"/>
      <c r="CA69" s="14"/>
      <c r="CB69" s="14"/>
      <c r="CC69" s="14"/>
      <c r="CD69" s="14"/>
      <c r="CE69" s="12"/>
      <c r="CF69" s="12"/>
      <c r="CG69" s="12"/>
      <c r="CH69" s="12"/>
      <c r="CI69" s="12"/>
      <c r="CJ69" s="12"/>
      <c r="CK69" s="12"/>
      <c r="CL69" s="12"/>
      <c r="CM69" s="12"/>
      <c r="CN69" s="12"/>
    </row>
    <row r="70">
      <c r="A70" s="92">
        <v>3.0</v>
      </c>
      <c r="B70" s="93" t="s">
        <v>25</v>
      </c>
      <c r="C70" s="94" t="s">
        <v>181</v>
      </c>
      <c r="D70" s="95" t="str">
        <f t="shared" si="1"/>
        <v>3-5-4B</v>
      </c>
      <c r="E70" s="50"/>
      <c r="F70" s="51"/>
      <c r="G70" s="46"/>
      <c r="H70" s="47"/>
      <c r="I70" s="48"/>
      <c r="J70" s="52"/>
      <c r="K70" s="27" t="str">
        <f t="shared" si="2"/>
        <v>DISPONIBLE</v>
      </c>
      <c r="L70" s="28">
        <f t="shared" si="3"/>
        <v>69</v>
      </c>
      <c r="M70" s="28" t="s">
        <v>23</v>
      </c>
      <c r="N70" s="70"/>
      <c r="O70" s="28"/>
      <c r="P70" s="331" t="s">
        <v>288</v>
      </c>
      <c r="Q70" s="332"/>
      <c r="R70" s="343"/>
      <c r="S70" s="333"/>
      <c r="T70" s="28"/>
      <c r="U70" s="334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BB70" s="12"/>
      <c r="BG70" s="12" t="str">
        <f>IFERROR(__xludf.DUMMYFUNCTION("IFERROR(INDEX(QUERY(IMPORTRANGE(""1T7HG8KEs-Ob7f3M5atEVN9Yn7IeORGp0QGvggB62ELw"",""Maestro!A:I""),""SELECT Col8 WHERE Col3 = '""&amp;BD70&amp;""'"", 0), 1, 1),""NO ENCONTRADO"")"),"D")</f>
        <v>D</v>
      </c>
      <c r="BH70" s="16">
        <v>1.0</v>
      </c>
      <c r="BI70" s="16">
        <f t="shared" si="4"/>
        <v>600</v>
      </c>
      <c r="BJ70" s="12"/>
      <c r="BQ70" s="12"/>
      <c r="BX70" s="14"/>
      <c r="BY70" s="14"/>
      <c r="BZ70" s="14"/>
      <c r="CA70" s="14"/>
      <c r="CB70" s="14"/>
      <c r="CC70" s="14"/>
      <c r="CD70" s="14"/>
      <c r="CE70" s="12"/>
      <c r="CF70" s="12"/>
      <c r="CG70" s="12"/>
      <c r="CH70" s="12"/>
      <c r="CI70" s="12"/>
      <c r="CJ70" s="12"/>
      <c r="CK70" s="12"/>
      <c r="CL70" s="12"/>
      <c r="CM70" s="12"/>
      <c r="CN70" s="12"/>
    </row>
    <row r="71">
      <c r="A71" s="123">
        <v>3.0</v>
      </c>
      <c r="B71" s="94" t="s">
        <v>25</v>
      </c>
      <c r="C71" s="94" t="s">
        <v>188</v>
      </c>
      <c r="D71" s="95" t="str">
        <f t="shared" si="1"/>
        <v>3-5-5A</v>
      </c>
      <c r="E71" s="72"/>
      <c r="F71" s="77"/>
      <c r="G71" s="75"/>
      <c r="H71" s="75"/>
      <c r="I71" s="76"/>
      <c r="J71" s="75"/>
      <c r="K71" s="32" t="str">
        <f t="shared" si="2"/>
        <v>DISPONIBLE</v>
      </c>
      <c r="L71" s="33">
        <f t="shared" si="3"/>
        <v>70</v>
      </c>
      <c r="M71" s="33" t="s">
        <v>23</v>
      </c>
      <c r="N71" s="53"/>
      <c r="O71" s="33"/>
      <c r="P71" s="335" t="s">
        <v>223</v>
      </c>
      <c r="Q71" s="336"/>
      <c r="R71" s="342"/>
      <c r="S71" s="33"/>
      <c r="T71" s="33"/>
      <c r="U71" s="338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BB71" s="12"/>
      <c r="BG71" s="12" t="str">
        <f>IFERROR(__xludf.DUMMYFUNCTION("IFERROR(INDEX(QUERY(IMPORTRANGE(""1T7HG8KEs-Ob7f3M5atEVN9Yn7IeORGp0QGvggB62ELw"",""Maestro!A:I""),""SELECT Col8 WHERE Col3 = '""&amp;BD71&amp;""'"", 0), 1, 1),""NO ENCONTRADO"")"),"D")</f>
        <v>D</v>
      </c>
      <c r="BH71" s="16">
        <v>1.0</v>
      </c>
      <c r="BI71" s="16">
        <f t="shared" si="4"/>
        <v>600</v>
      </c>
      <c r="BJ71" s="12"/>
      <c r="BQ71" s="12"/>
      <c r="BX71" s="14"/>
      <c r="BY71" s="14"/>
      <c r="BZ71" s="14"/>
      <c r="CA71" s="14"/>
      <c r="CB71" s="14"/>
      <c r="CC71" s="14"/>
      <c r="CD71" s="14"/>
      <c r="CE71" s="12"/>
      <c r="CF71" s="12"/>
      <c r="CG71" s="12"/>
      <c r="CH71" s="12"/>
      <c r="CI71" s="12"/>
      <c r="CJ71" s="12"/>
      <c r="CK71" s="12"/>
      <c r="CL71" s="12"/>
      <c r="CM71" s="12"/>
      <c r="CN71" s="12"/>
    </row>
    <row r="72">
      <c r="A72" s="123">
        <v>3.0</v>
      </c>
      <c r="B72" s="94" t="s">
        <v>25</v>
      </c>
      <c r="C72" s="94" t="s">
        <v>192</v>
      </c>
      <c r="D72" s="95" t="str">
        <f t="shared" si="1"/>
        <v>3-5-5B</v>
      </c>
      <c r="E72" s="50"/>
      <c r="F72" s="51"/>
      <c r="G72" s="46"/>
      <c r="H72" s="47"/>
      <c r="I72" s="48"/>
      <c r="J72" s="52"/>
      <c r="K72" s="27" t="str">
        <f t="shared" si="2"/>
        <v>DISPONIBLE</v>
      </c>
      <c r="L72" s="28">
        <f t="shared" si="3"/>
        <v>71</v>
      </c>
      <c r="M72" s="28" t="s">
        <v>23</v>
      </c>
      <c r="N72" s="70"/>
      <c r="O72" s="28"/>
      <c r="P72" s="331" t="s">
        <v>300</v>
      </c>
      <c r="Q72" s="332"/>
      <c r="R72" s="343"/>
      <c r="S72" s="333"/>
      <c r="T72" s="28"/>
      <c r="U72" s="334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BB72" s="12"/>
      <c r="BG72" s="12" t="str">
        <f>IFERROR(__xludf.DUMMYFUNCTION("IFERROR(INDEX(QUERY(IMPORTRANGE(""1T7HG8KEs-Ob7f3M5atEVN9Yn7IeORGp0QGvggB62ELw"",""Maestro!A:I""),""SELECT Col8 WHERE Col3 = '""&amp;BD72&amp;""'"", 0), 1, 1),""NO ENCONTRADO"")"),"D")</f>
        <v>D</v>
      </c>
      <c r="BH72" s="16">
        <v>1.0</v>
      </c>
      <c r="BI72" s="16">
        <f t="shared" si="4"/>
        <v>600</v>
      </c>
      <c r="BJ72" s="12"/>
      <c r="BQ72" s="12"/>
      <c r="BX72" s="14"/>
      <c r="BY72" s="14"/>
      <c r="BZ72" s="14"/>
      <c r="CA72" s="14"/>
      <c r="CB72" s="14"/>
      <c r="CC72" s="14"/>
      <c r="CD72" s="14"/>
      <c r="CE72" s="12"/>
      <c r="CF72" s="12"/>
      <c r="CG72" s="12"/>
      <c r="CH72" s="12"/>
      <c r="CI72" s="12"/>
      <c r="CJ72" s="12"/>
      <c r="CK72" s="12"/>
      <c r="CL72" s="12"/>
      <c r="CM72" s="12"/>
      <c r="CN72" s="12"/>
    </row>
    <row r="73">
      <c r="A73" s="92">
        <v>3.0</v>
      </c>
      <c r="B73" s="93" t="s">
        <v>36</v>
      </c>
      <c r="C73" s="94" t="s">
        <v>119</v>
      </c>
      <c r="D73" s="95" t="str">
        <f t="shared" si="1"/>
        <v>3-6-1A</v>
      </c>
      <c r="E73" s="96">
        <v>45733.0</v>
      </c>
      <c r="F73" s="97" t="s">
        <v>19</v>
      </c>
      <c r="G73" s="98" t="s">
        <v>67</v>
      </c>
      <c r="H73" s="99" t="s">
        <v>68</v>
      </c>
      <c r="I73" s="100">
        <v>775.0</v>
      </c>
      <c r="J73" s="101" t="s">
        <v>22</v>
      </c>
      <c r="K73" s="32" t="str">
        <f t="shared" si="2"/>
        <v>OCUPADO</v>
      </c>
      <c r="L73" s="33">
        <f t="shared" si="3"/>
        <v>72</v>
      </c>
      <c r="M73" s="33" t="s">
        <v>23</v>
      </c>
      <c r="N73" s="53"/>
      <c r="O73" s="33" t="s">
        <v>24</v>
      </c>
      <c r="P73" s="335" t="s">
        <v>305</v>
      </c>
      <c r="Q73" s="336">
        <v>45733.0</v>
      </c>
      <c r="R73" s="337" t="s">
        <v>19</v>
      </c>
      <c r="S73" s="337" t="s">
        <v>67</v>
      </c>
      <c r="T73" s="33" t="s">
        <v>68</v>
      </c>
      <c r="U73" s="338">
        <v>775.0</v>
      </c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BB73" s="12"/>
      <c r="BG73" s="12" t="str">
        <f>IFERROR(__xludf.DUMMYFUNCTION("IFERROR(INDEX(QUERY(IMPORTRANGE(""1T7HG8KEs-Ob7f3M5atEVN9Yn7IeORGp0QGvggB62ELw"",""Maestro!A:I""),""SELECT Col8 WHERE Col3 = '""&amp;BD73&amp;""'"", 0), 1, 1),""NO ENCONTRADO"")"),"D")</f>
        <v>D</v>
      </c>
      <c r="BH73" s="16">
        <v>1.0</v>
      </c>
      <c r="BI73" s="16">
        <f t="shared" si="4"/>
        <v>795</v>
      </c>
      <c r="BJ73" s="12"/>
      <c r="BQ73" s="12"/>
      <c r="BX73" s="14"/>
      <c r="BY73" s="14"/>
      <c r="BZ73" s="14"/>
      <c r="CA73" s="14"/>
      <c r="CB73" s="14"/>
      <c r="CC73" s="14"/>
      <c r="CD73" s="14"/>
      <c r="CE73" s="12"/>
      <c r="CF73" s="12"/>
      <c r="CG73" s="12"/>
      <c r="CH73" s="12"/>
      <c r="CI73" s="12"/>
      <c r="CJ73" s="12"/>
      <c r="CK73" s="12"/>
      <c r="CL73" s="12"/>
      <c r="CM73" s="12"/>
      <c r="CN73" s="12"/>
    </row>
    <row r="74">
      <c r="A74" s="92">
        <v>3.0</v>
      </c>
      <c r="B74" s="93" t="s">
        <v>36</v>
      </c>
      <c r="C74" s="94" t="s">
        <v>132</v>
      </c>
      <c r="D74" s="95" t="str">
        <f t="shared" si="1"/>
        <v>3-6-1B</v>
      </c>
      <c r="E74" s="50"/>
      <c r="F74" s="51"/>
      <c r="G74" s="74"/>
      <c r="H74" s="47"/>
      <c r="I74" s="48"/>
      <c r="J74" s="52"/>
      <c r="K74" s="27" t="str">
        <f t="shared" si="2"/>
        <v>DISPONIBLE</v>
      </c>
      <c r="L74" s="28">
        <f t="shared" si="3"/>
        <v>73</v>
      </c>
      <c r="M74" s="28" t="s">
        <v>23</v>
      </c>
      <c r="N74" s="70"/>
      <c r="O74" s="28"/>
      <c r="P74" s="331" t="s">
        <v>308</v>
      </c>
      <c r="Q74" s="332"/>
      <c r="R74" s="343"/>
      <c r="S74" s="333"/>
      <c r="T74" s="28"/>
      <c r="U74" s="334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BB74" s="12"/>
      <c r="BG74" s="12" t="str">
        <f>IFERROR(__xludf.DUMMYFUNCTION("IFERROR(INDEX(QUERY(IMPORTRANGE(""1T7HG8KEs-Ob7f3M5atEVN9Yn7IeORGp0QGvggB62ELw"",""Maestro!A:I""),""SELECT Col8 WHERE Col3 = '""&amp;BD74&amp;""'"", 0), 1, 1),""NO ENCONTRADO"")"),"D")</f>
        <v>D</v>
      </c>
      <c r="BH74" s="16">
        <v>1.0</v>
      </c>
      <c r="BI74" s="16">
        <f t="shared" si="4"/>
        <v>225</v>
      </c>
      <c r="BJ74" s="12"/>
      <c r="BQ74" s="12"/>
      <c r="BX74" s="14"/>
      <c r="BY74" s="14"/>
      <c r="BZ74" s="14"/>
      <c r="CA74" s="14"/>
      <c r="CB74" s="14"/>
      <c r="CC74" s="14"/>
      <c r="CD74" s="14"/>
      <c r="CE74" s="12"/>
      <c r="CF74" s="12"/>
      <c r="CG74" s="12"/>
      <c r="CH74" s="12"/>
      <c r="CI74" s="12"/>
      <c r="CJ74" s="12"/>
      <c r="CK74" s="12"/>
      <c r="CL74" s="12"/>
      <c r="CM74" s="12"/>
      <c r="CN74" s="12"/>
    </row>
    <row r="75">
      <c r="A75" s="92">
        <v>3.0</v>
      </c>
      <c r="B75" s="93" t="s">
        <v>36</v>
      </c>
      <c r="C75" s="94" t="s">
        <v>124</v>
      </c>
      <c r="D75" s="95" t="str">
        <f t="shared" si="1"/>
        <v>3-6-2A</v>
      </c>
      <c r="E75" s="96">
        <v>45733.0</v>
      </c>
      <c r="F75" s="97" t="s">
        <v>19</v>
      </c>
      <c r="G75" s="98" t="s">
        <v>83</v>
      </c>
      <c r="H75" s="99" t="s">
        <v>84</v>
      </c>
      <c r="I75" s="100">
        <v>300.0</v>
      </c>
      <c r="J75" s="101" t="s">
        <v>22</v>
      </c>
      <c r="K75" s="32" t="str">
        <f t="shared" si="2"/>
        <v>OCUPADO</v>
      </c>
      <c r="L75" s="33">
        <f t="shared" si="3"/>
        <v>74</v>
      </c>
      <c r="M75" s="33" t="s">
        <v>23</v>
      </c>
      <c r="N75" s="53"/>
      <c r="O75" s="33" t="s">
        <v>24</v>
      </c>
      <c r="P75" s="335" t="s">
        <v>313</v>
      </c>
      <c r="Q75" s="336">
        <v>45733.0</v>
      </c>
      <c r="R75" s="337" t="s">
        <v>19</v>
      </c>
      <c r="S75" s="337" t="s">
        <v>83</v>
      </c>
      <c r="T75" s="33" t="s">
        <v>84</v>
      </c>
      <c r="U75" s="338">
        <v>300.0</v>
      </c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BB75" s="12"/>
      <c r="BG75" s="12" t="str">
        <f>IFERROR(__xludf.DUMMYFUNCTION("IFERROR(INDEX(QUERY(IMPORTRANGE(""1T7HG8KEs-Ob7f3M5atEVN9Yn7IeORGp0QGvggB62ELw"",""Maestro!A:I""),""SELECT Col8 WHERE Col3 = '""&amp;BD75&amp;""'"", 0), 1, 1),""NO ENCONTRADO"")"),"D")</f>
        <v>D</v>
      </c>
      <c r="BH75" s="16">
        <v>1.0</v>
      </c>
      <c r="BI75" s="16">
        <f t="shared" si="4"/>
        <v>718</v>
      </c>
      <c r="BJ75" s="12"/>
      <c r="BQ75" s="12"/>
      <c r="BX75" s="14"/>
      <c r="BY75" s="14"/>
      <c r="BZ75" s="14"/>
      <c r="CA75" s="14"/>
      <c r="CB75" s="14"/>
      <c r="CC75" s="14"/>
      <c r="CD75" s="14"/>
      <c r="CE75" s="12"/>
      <c r="CF75" s="12"/>
      <c r="CG75" s="12"/>
      <c r="CH75" s="12"/>
      <c r="CI75" s="12"/>
      <c r="CJ75" s="12"/>
      <c r="CK75" s="12"/>
      <c r="CL75" s="12"/>
      <c r="CM75" s="12"/>
      <c r="CN75" s="12"/>
    </row>
    <row r="76">
      <c r="A76" s="92">
        <v>3.0</v>
      </c>
      <c r="B76" s="93" t="s">
        <v>36</v>
      </c>
      <c r="C76" s="94" t="s">
        <v>140</v>
      </c>
      <c r="D76" s="95" t="str">
        <f t="shared" si="1"/>
        <v>3-6-2B</v>
      </c>
      <c r="E76" s="96">
        <v>45733.0</v>
      </c>
      <c r="F76" s="97" t="s">
        <v>19</v>
      </c>
      <c r="G76" s="98" t="s">
        <v>83</v>
      </c>
      <c r="H76" s="99" t="s">
        <v>84</v>
      </c>
      <c r="I76" s="100">
        <v>400.0</v>
      </c>
      <c r="J76" s="101" t="s">
        <v>22</v>
      </c>
      <c r="K76" s="27" t="str">
        <f t="shared" si="2"/>
        <v>OCUPADO</v>
      </c>
      <c r="L76" s="28">
        <f t="shared" si="3"/>
        <v>75</v>
      </c>
      <c r="M76" s="28" t="s">
        <v>23</v>
      </c>
      <c r="N76" s="70"/>
      <c r="O76" s="28" t="s">
        <v>24</v>
      </c>
      <c r="P76" s="331" t="s">
        <v>319</v>
      </c>
      <c r="Q76" s="332">
        <v>45733.0</v>
      </c>
      <c r="R76" s="333" t="s">
        <v>19</v>
      </c>
      <c r="S76" s="333" t="s">
        <v>83</v>
      </c>
      <c r="T76" s="28" t="s">
        <v>84</v>
      </c>
      <c r="U76" s="334">
        <v>400.0</v>
      </c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BB76" s="12"/>
      <c r="BG76" s="12" t="str">
        <f>IFERROR(__xludf.DUMMYFUNCTION("IFERROR(INDEX(QUERY(IMPORTRANGE(""1T7HG8KEs-Ob7f3M5atEVN9Yn7IeORGp0QGvggB62ELw"",""Maestro!A:I""),""SELECT Col8 WHERE Col3 = '""&amp;BD76&amp;""'"", 0), 1, 1),""NO ENCONTRADO"")"),"D")</f>
        <v>D</v>
      </c>
      <c r="BH76" s="16">
        <v>1.0</v>
      </c>
      <c r="BI76" s="16">
        <f t="shared" si="4"/>
        <v>716</v>
      </c>
      <c r="BJ76" s="12"/>
      <c r="BQ76" s="12"/>
      <c r="BX76" s="14"/>
      <c r="BY76" s="14"/>
      <c r="BZ76" s="14"/>
      <c r="CA76" s="14"/>
      <c r="CB76" s="14"/>
      <c r="CC76" s="14"/>
      <c r="CD76" s="14"/>
      <c r="CE76" s="12"/>
      <c r="CF76" s="12"/>
      <c r="CG76" s="12"/>
      <c r="CH76" s="12"/>
      <c r="CI76" s="12"/>
      <c r="CJ76" s="12"/>
      <c r="CK76" s="12"/>
      <c r="CL76" s="12"/>
      <c r="CM76" s="12"/>
      <c r="CN76" s="12"/>
    </row>
    <row r="77">
      <c r="A77" s="92">
        <v>3.0</v>
      </c>
      <c r="B77" s="93" t="s">
        <v>36</v>
      </c>
      <c r="C77" s="94" t="s">
        <v>130</v>
      </c>
      <c r="D77" s="95" t="str">
        <f t="shared" si="1"/>
        <v>3-6-3A</v>
      </c>
      <c r="E77" s="96">
        <v>45733.0</v>
      </c>
      <c r="F77" s="97" t="s">
        <v>19</v>
      </c>
      <c r="G77" s="98" t="s">
        <v>93</v>
      </c>
      <c r="H77" s="99" t="s">
        <v>760</v>
      </c>
      <c r="I77" s="100">
        <v>250.0</v>
      </c>
      <c r="J77" s="101" t="s">
        <v>22</v>
      </c>
      <c r="K77" s="32" t="str">
        <f t="shared" si="2"/>
        <v>OCUPADO</v>
      </c>
      <c r="L77" s="33">
        <f t="shared" si="3"/>
        <v>76</v>
      </c>
      <c r="M77" s="33" t="s">
        <v>23</v>
      </c>
      <c r="N77" s="53"/>
      <c r="O77" s="33" t="s">
        <v>24</v>
      </c>
      <c r="P77" s="335" t="s">
        <v>324</v>
      </c>
      <c r="Q77" s="336">
        <v>45733.0</v>
      </c>
      <c r="R77" s="337" t="s">
        <v>19</v>
      </c>
      <c r="S77" s="337" t="s">
        <v>93</v>
      </c>
      <c r="T77" s="33" t="s">
        <v>760</v>
      </c>
      <c r="U77" s="338">
        <v>250.0</v>
      </c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BB77" s="12"/>
      <c r="BG77" s="12" t="str">
        <f>IFERROR(__xludf.DUMMYFUNCTION("IFERROR(INDEX(QUERY(IMPORTRANGE(""1T7HG8KEs-Ob7f3M5atEVN9Yn7IeORGp0QGvggB62ELw"",""Maestro!A:I""),""SELECT Col8 WHERE Col3 = '""&amp;BD77&amp;""'"", 0), 1, 1),""NO ENCONTRADO"")"),"D")</f>
        <v>D</v>
      </c>
      <c r="BH77" s="16">
        <v>1.0</v>
      </c>
      <c r="BI77" s="16">
        <f t="shared" si="4"/>
        <v>716</v>
      </c>
      <c r="BJ77" s="12"/>
      <c r="BQ77" s="12"/>
      <c r="BX77" s="14"/>
      <c r="BY77" s="14"/>
      <c r="BZ77" s="14"/>
      <c r="CA77" s="14"/>
      <c r="CB77" s="14"/>
      <c r="CC77" s="14"/>
      <c r="CD77" s="14"/>
      <c r="CE77" s="12"/>
      <c r="CF77" s="12"/>
      <c r="CG77" s="12"/>
      <c r="CH77" s="12"/>
      <c r="CI77" s="12"/>
      <c r="CJ77" s="12"/>
      <c r="CK77" s="12"/>
      <c r="CL77" s="12"/>
      <c r="CM77" s="12"/>
      <c r="CN77" s="12"/>
    </row>
    <row r="78">
      <c r="A78" s="92">
        <v>3.0</v>
      </c>
      <c r="B78" s="93" t="s">
        <v>36</v>
      </c>
      <c r="C78" s="94" t="s">
        <v>148</v>
      </c>
      <c r="D78" s="95" t="str">
        <f t="shared" si="1"/>
        <v>3-6-3B</v>
      </c>
      <c r="E78" s="50"/>
      <c r="F78" s="51"/>
      <c r="G78" s="46"/>
      <c r="H78" s="47"/>
      <c r="I78" s="48"/>
      <c r="J78" s="52"/>
      <c r="K78" s="27" t="str">
        <f t="shared" si="2"/>
        <v>DISPONIBLE</v>
      </c>
      <c r="L78" s="28">
        <f t="shared" si="3"/>
        <v>77</v>
      </c>
      <c r="M78" s="28" t="s">
        <v>23</v>
      </c>
      <c r="N78" s="70"/>
      <c r="O78" s="70"/>
      <c r="P78" s="331" t="s">
        <v>329</v>
      </c>
      <c r="Q78" s="332"/>
      <c r="R78" s="343"/>
      <c r="S78" s="333"/>
      <c r="T78" s="28"/>
      <c r="U78" s="334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BB78" s="12"/>
      <c r="BG78" s="12" t="str">
        <f>IFERROR(__xludf.DUMMYFUNCTION("IFERROR(INDEX(QUERY(IMPORTRANGE(""1T7HG8KEs-Ob7f3M5atEVN9Yn7IeORGp0QGvggB62ELw"",""Maestro!A:I""),""SELECT Col8 WHERE Col3 = '""&amp;BD78&amp;""'"", 0), 1, 1),""NO ENCONTRADO"")"),"D")</f>
        <v>D</v>
      </c>
      <c r="BH78" s="16">
        <v>1.0</v>
      </c>
      <c r="BI78" s="16">
        <f t="shared" si="4"/>
        <v>225</v>
      </c>
      <c r="BJ78" s="12"/>
      <c r="BQ78" s="12"/>
      <c r="BX78" s="14"/>
      <c r="BY78" s="14"/>
      <c r="BZ78" s="14"/>
      <c r="CA78" s="14"/>
      <c r="CB78" s="14"/>
      <c r="CC78" s="14"/>
      <c r="CD78" s="14"/>
      <c r="CE78" s="12"/>
      <c r="CF78" s="12"/>
      <c r="CG78" s="12"/>
      <c r="CH78" s="12"/>
      <c r="CI78" s="12"/>
      <c r="CJ78" s="12"/>
      <c r="CK78" s="12"/>
      <c r="CL78" s="12"/>
      <c r="CM78" s="12"/>
      <c r="CN78" s="12"/>
    </row>
    <row r="79">
      <c r="A79" s="92">
        <v>3.0</v>
      </c>
      <c r="B79" s="93" t="s">
        <v>36</v>
      </c>
      <c r="C79" s="94" t="s">
        <v>145</v>
      </c>
      <c r="D79" s="95" t="str">
        <f t="shared" si="1"/>
        <v>3-6-4A</v>
      </c>
      <c r="E79" s="96">
        <v>45733.0</v>
      </c>
      <c r="F79" s="97" t="s">
        <v>19</v>
      </c>
      <c r="G79" s="98" t="s">
        <v>156</v>
      </c>
      <c r="H79" s="99" t="s">
        <v>157</v>
      </c>
      <c r="I79" s="100">
        <v>30.0</v>
      </c>
      <c r="J79" s="101" t="s">
        <v>22</v>
      </c>
      <c r="K79" s="32" t="str">
        <f t="shared" si="2"/>
        <v>OCUPADO</v>
      </c>
      <c r="L79" s="33">
        <f t="shared" si="3"/>
        <v>78</v>
      </c>
      <c r="M79" s="33" t="s">
        <v>23</v>
      </c>
      <c r="N79" s="53"/>
      <c r="O79" s="33" t="s">
        <v>24</v>
      </c>
      <c r="P79" s="335" t="s">
        <v>191</v>
      </c>
      <c r="Q79" s="336">
        <v>45733.0</v>
      </c>
      <c r="R79" s="337" t="s">
        <v>19</v>
      </c>
      <c r="S79" s="337" t="s">
        <v>156</v>
      </c>
      <c r="T79" s="33" t="s">
        <v>157</v>
      </c>
      <c r="U79" s="338">
        <v>30.0</v>
      </c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BB79" s="12"/>
      <c r="BG79" s="12" t="str">
        <f>IFERROR(__xludf.DUMMYFUNCTION("IFERROR(INDEX(QUERY(IMPORTRANGE(""1T7HG8KEs-Ob7f3M5atEVN9Yn7IeORGp0QGvggB62ELw"",""Maestro!A:I""),""SELECT Col8 WHERE Col3 = '""&amp;BD79&amp;""'"", 0), 1, 1),""NO ENCONTRADO"")"),"D")</f>
        <v>D</v>
      </c>
      <c r="BH79" s="16">
        <v>1.0</v>
      </c>
      <c r="BI79" s="16">
        <f t="shared" si="4"/>
        <v>225</v>
      </c>
      <c r="BJ79" s="12"/>
      <c r="BQ79" s="12"/>
      <c r="BX79" s="14"/>
      <c r="BY79" s="14"/>
      <c r="BZ79" s="14"/>
      <c r="CA79" s="14"/>
      <c r="CB79" s="14"/>
      <c r="CC79" s="14"/>
      <c r="CD79" s="14"/>
      <c r="CE79" s="12"/>
      <c r="CF79" s="12"/>
      <c r="CG79" s="12"/>
      <c r="CH79" s="12"/>
      <c r="CI79" s="12"/>
      <c r="CJ79" s="12"/>
      <c r="CK79" s="12"/>
      <c r="CL79" s="12"/>
      <c r="CM79" s="12"/>
      <c r="CN79" s="12"/>
    </row>
    <row r="80">
      <c r="A80" s="92">
        <v>3.0</v>
      </c>
      <c r="B80" s="93" t="s">
        <v>36</v>
      </c>
      <c r="C80" s="94" t="s">
        <v>181</v>
      </c>
      <c r="D80" s="95" t="str">
        <f t="shared" si="1"/>
        <v>3-6-4B</v>
      </c>
      <c r="E80" s="50"/>
      <c r="F80" s="51"/>
      <c r="G80" s="46"/>
      <c r="H80" s="47"/>
      <c r="I80" s="48"/>
      <c r="J80" s="52"/>
      <c r="K80" s="27" t="str">
        <f t="shared" si="2"/>
        <v>DISPONIBLE</v>
      </c>
      <c r="L80" s="28">
        <f t="shared" si="3"/>
        <v>79</v>
      </c>
      <c r="M80" s="28" t="s">
        <v>23</v>
      </c>
      <c r="N80" s="70"/>
      <c r="O80" s="70"/>
      <c r="P80" s="331" t="s">
        <v>335</v>
      </c>
      <c r="Q80" s="332"/>
      <c r="R80" s="343"/>
      <c r="S80" s="333"/>
      <c r="T80" s="28"/>
      <c r="U80" s="334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BB80" s="12"/>
      <c r="BG80" s="12" t="str">
        <f>IFERROR(__xludf.DUMMYFUNCTION("IFERROR(INDEX(QUERY(IMPORTRANGE(""1T7HG8KEs-Ob7f3M5atEVN9Yn7IeORGp0QGvggB62ELw"",""Maestro!A:I""),""SELECT Col8 WHERE Col3 = '""&amp;BD80&amp;""'"", 0), 1, 1),""NO ENCONTRADO"")"),"NO ENCONTRADO")</f>
        <v>NO ENCONTRADO</v>
      </c>
      <c r="BH80" s="16">
        <v>1.0</v>
      </c>
      <c r="BI80" s="16">
        <f t="shared" si="4"/>
        <v>325</v>
      </c>
      <c r="BJ80" s="12"/>
      <c r="BQ80" s="12"/>
      <c r="BX80" s="14"/>
      <c r="BY80" s="14"/>
      <c r="BZ80" s="14"/>
      <c r="CA80" s="14"/>
      <c r="CB80" s="14"/>
      <c r="CC80" s="14"/>
      <c r="CD80" s="14"/>
      <c r="CE80" s="12"/>
      <c r="CF80" s="12"/>
      <c r="CG80" s="12"/>
      <c r="CH80" s="12"/>
      <c r="CI80" s="12"/>
      <c r="CJ80" s="12"/>
      <c r="CK80" s="12"/>
      <c r="CL80" s="12"/>
      <c r="CM80" s="12"/>
      <c r="CN80" s="12"/>
    </row>
    <row r="81">
      <c r="A81" s="92">
        <v>3.0</v>
      </c>
      <c r="B81" s="93" t="s">
        <v>36</v>
      </c>
      <c r="C81" s="94" t="s">
        <v>188</v>
      </c>
      <c r="D81" s="95" t="str">
        <f t="shared" si="1"/>
        <v>3-6-5A</v>
      </c>
      <c r="E81" s="72"/>
      <c r="F81" s="137"/>
      <c r="G81" s="138"/>
      <c r="H81" s="138"/>
      <c r="I81" s="76"/>
      <c r="J81" s="138"/>
      <c r="K81" s="32" t="str">
        <f t="shared" si="2"/>
        <v>DISPONIBLE</v>
      </c>
      <c r="L81" s="33">
        <f t="shared" si="3"/>
        <v>80</v>
      </c>
      <c r="M81" s="33" t="s">
        <v>23</v>
      </c>
      <c r="N81" s="53"/>
      <c r="O81" s="350"/>
      <c r="P81" s="335" t="s">
        <v>339</v>
      </c>
      <c r="Q81" s="336"/>
      <c r="R81" s="351"/>
      <c r="S81" s="53"/>
      <c r="T81" s="53"/>
      <c r="U81" s="338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BB81" s="12"/>
      <c r="BG81" s="12" t="str">
        <f>IFERROR(__xludf.DUMMYFUNCTION("IFERROR(INDEX(QUERY(IMPORTRANGE(""1T7HG8KEs-Ob7f3M5atEVN9Yn7IeORGp0QGvggB62ELw"",""Maestro!A:I""),""SELECT Col8 WHERE Col3 = '""&amp;BD81&amp;""'"", 0), 1, 1),""NO ENCONTRADO"")"),"NO ENCONTRADO")</f>
        <v>NO ENCONTRADO</v>
      </c>
      <c r="BH81" s="16">
        <v>1.0</v>
      </c>
      <c r="BI81" s="16">
        <f t="shared" si="4"/>
        <v>325</v>
      </c>
      <c r="BJ81" s="12"/>
      <c r="BQ81" s="12"/>
      <c r="BX81" s="14"/>
      <c r="BY81" s="14"/>
      <c r="BZ81" s="14"/>
      <c r="CA81" s="14"/>
      <c r="CB81" s="14"/>
      <c r="CC81" s="14"/>
      <c r="CD81" s="14"/>
      <c r="CE81" s="12"/>
      <c r="CF81" s="12"/>
      <c r="CG81" s="12"/>
      <c r="CH81" s="12"/>
      <c r="CI81" s="12"/>
      <c r="CJ81" s="12"/>
      <c r="CK81" s="12"/>
      <c r="CL81" s="12"/>
      <c r="CM81" s="12"/>
      <c r="CN81" s="12"/>
    </row>
    <row r="82">
      <c r="A82" s="92">
        <v>3.0</v>
      </c>
      <c r="B82" s="93" t="s">
        <v>36</v>
      </c>
      <c r="C82" s="94" t="s">
        <v>192</v>
      </c>
      <c r="D82" s="95" t="str">
        <f t="shared" si="1"/>
        <v>3-6-5B</v>
      </c>
      <c r="E82" s="50"/>
      <c r="F82" s="51"/>
      <c r="G82" s="46"/>
      <c r="H82" s="47"/>
      <c r="I82" s="48"/>
      <c r="J82" s="52"/>
      <c r="K82" s="27" t="str">
        <f t="shared" si="2"/>
        <v>DISPONIBLE</v>
      </c>
      <c r="L82" s="28">
        <f t="shared" si="3"/>
        <v>81</v>
      </c>
      <c r="M82" s="28" t="s">
        <v>23</v>
      </c>
      <c r="N82" s="70"/>
      <c r="O82" s="70"/>
      <c r="P82" s="331" t="s">
        <v>342</v>
      </c>
      <c r="Q82" s="332"/>
      <c r="R82" s="343"/>
      <c r="S82" s="333"/>
      <c r="T82" s="28"/>
      <c r="U82" s="334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BB82" s="12"/>
      <c r="BG82" s="12" t="str">
        <f>IFERROR(__xludf.DUMMYFUNCTION("IFERROR(INDEX(QUERY(IMPORTRANGE(""1T7HG8KEs-Ob7f3M5atEVN9Yn7IeORGp0QGvggB62ELw"",""Maestro!A:I""),""SELECT Col8 WHERE Col3 = '""&amp;BD82&amp;""'"", 0), 1, 1),""NO ENCONTRADO"")"),"NO ENCONTRADO")</f>
        <v>NO ENCONTRADO</v>
      </c>
      <c r="BH82" s="16">
        <v>1.0</v>
      </c>
      <c r="BI82" s="16">
        <f t="shared" si="4"/>
        <v>275</v>
      </c>
      <c r="BJ82" s="12"/>
      <c r="BQ82" s="12"/>
      <c r="BX82" s="14"/>
      <c r="BY82" s="14"/>
      <c r="BZ82" s="14"/>
      <c r="CA82" s="14"/>
      <c r="CB82" s="14"/>
      <c r="CC82" s="14"/>
      <c r="CD82" s="14"/>
      <c r="CE82" s="12"/>
      <c r="CF82" s="12"/>
      <c r="CG82" s="12"/>
      <c r="CH82" s="12"/>
      <c r="CI82" s="12"/>
      <c r="CJ82" s="12"/>
      <c r="CK82" s="12"/>
      <c r="CL82" s="12"/>
      <c r="CM82" s="12"/>
      <c r="CN82" s="12"/>
    </row>
    <row r="83">
      <c r="A83" s="92">
        <v>3.0</v>
      </c>
      <c r="B83" s="93" t="s">
        <v>48</v>
      </c>
      <c r="C83" s="94" t="s">
        <v>119</v>
      </c>
      <c r="D83" s="95" t="str">
        <f t="shared" si="1"/>
        <v>3-7-1A</v>
      </c>
      <c r="E83" s="50"/>
      <c r="F83" s="51"/>
      <c r="G83" s="46"/>
      <c r="H83" s="47"/>
      <c r="I83" s="48"/>
      <c r="J83" s="52"/>
      <c r="K83" s="32" t="str">
        <f t="shared" si="2"/>
        <v>DISPONIBLE</v>
      </c>
      <c r="L83" s="33">
        <f t="shared" si="3"/>
        <v>82</v>
      </c>
      <c r="M83" s="33" t="s">
        <v>442</v>
      </c>
      <c r="N83" s="53"/>
      <c r="O83" s="33"/>
      <c r="P83" s="335" t="s">
        <v>345</v>
      </c>
      <c r="Q83" s="336"/>
      <c r="R83" s="342"/>
      <c r="S83" s="337"/>
      <c r="T83" s="33"/>
      <c r="U83" s="338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BB83" s="12"/>
      <c r="BG83" s="12" t="str">
        <f>IFERROR(__xludf.DUMMYFUNCTION("IFERROR(INDEX(QUERY(IMPORTRANGE(""1T7HG8KEs-Ob7f3M5atEVN9Yn7IeORGp0QGvggB62ELw"",""Maestro!A:I""),""SELECT Col8 WHERE Col3 = '""&amp;BD83&amp;""'"", 0), 1, 1),""NO ENCONTRADO"")"),"NO ENCONTRADO")</f>
        <v>NO ENCONTRADO</v>
      </c>
      <c r="BH83" s="16">
        <v>1.0</v>
      </c>
      <c r="BI83" s="16">
        <f t="shared" si="4"/>
        <v>325</v>
      </c>
      <c r="BJ83" s="12"/>
      <c r="BQ83" s="12"/>
      <c r="BX83" s="14"/>
      <c r="BY83" s="14"/>
      <c r="BZ83" s="14"/>
      <c r="CA83" s="14"/>
      <c r="CB83" s="14"/>
      <c r="CC83" s="14"/>
      <c r="CD83" s="14"/>
      <c r="CE83" s="12"/>
      <c r="CF83" s="12"/>
      <c r="CG83" s="12"/>
      <c r="CH83" s="12"/>
      <c r="CI83" s="12"/>
      <c r="CJ83" s="12"/>
      <c r="CK83" s="12"/>
      <c r="CL83" s="12"/>
      <c r="CM83" s="12"/>
      <c r="CN83" s="12"/>
    </row>
    <row r="84">
      <c r="A84" s="92">
        <v>3.0</v>
      </c>
      <c r="B84" s="93" t="s">
        <v>48</v>
      </c>
      <c r="C84" s="94" t="s">
        <v>132</v>
      </c>
      <c r="D84" s="95" t="str">
        <f t="shared" si="1"/>
        <v>3-7-1B</v>
      </c>
      <c r="E84" s="50"/>
      <c r="F84" s="51"/>
      <c r="G84" s="46"/>
      <c r="H84" s="47"/>
      <c r="I84" s="48"/>
      <c r="J84" s="52"/>
      <c r="K84" s="27" t="str">
        <f t="shared" si="2"/>
        <v>DISPONIBLE</v>
      </c>
      <c r="L84" s="28">
        <f t="shared" si="3"/>
        <v>83</v>
      </c>
      <c r="M84" s="28" t="s">
        <v>442</v>
      </c>
      <c r="N84" s="70"/>
      <c r="O84" s="28"/>
      <c r="P84" s="331" t="s">
        <v>230</v>
      </c>
      <c r="Q84" s="332"/>
      <c r="R84" s="343"/>
      <c r="S84" s="333"/>
      <c r="T84" s="28"/>
      <c r="U84" s="334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BB84" s="12"/>
      <c r="BG84" s="12" t="str">
        <f>IFERROR(__xludf.DUMMYFUNCTION("IFERROR(INDEX(QUERY(IMPORTRANGE(""1T7HG8KEs-Ob7f3M5atEVN9Yn7IeORGp0QGvggB62ELw"",""Maestro!A:I""),""SELECT Col8 WHERE Col3 = '""&amp;BD84&amp;""'"", 0), 1, 1),""NO ENCONTRADO"")"),"D")</f>
        <v>D</v>
      </c>
      <c r="BH84" s="16">
        <v>1.0</v>
      </c>
      <c r="BI84" s="16">
        <f t="shared" si="4"/>
        <v>150</v>
      </c>
      <c r="BJ84" s="12"/>
      <c r="BQ84" s="12"/>
      <c r="BX84" s="14"/>
      <c r="BY84" s="14"/>
      <c r="BZ84" s="14"/>
      <c r="CA84" s="14"/>
      <c r="CB84" s="14"/>
      <c r="CC84" s="14"/>
      <c r="CD84" s="14"/>
      <c r="CE84" s="12"/>
      <c r="CF84" s="12"/>
      <c r="CG84" s="12"/>
      <c r="CH84" s="12"/>
      <c r="CI84" s="12"/>
      <c r="CJ84" s="12"/>
      <c r="CK84" s="12"/>
      <c r="CL84" s="12"/>
      <c r="CM84" s="12"/>
      <c r="CN84" s="12"/>
    </row>
    <row r="85">
      <c r="A85" s="92">
        <v>3.0</v>
      </c>
      <c r="B85" s="93" t="s">
        <v>48</v>
      </c>
      <c r="C85" s="94" t="s">
        <v>124</v>
      </c>
      <c r="D85" s="95" t="str">
        <f t="shared" si="1"/>
        <v>3-7-2A</v>
      </c>
      <c r="E85" s="96">
        <v>45733.0</v>
      </c>
      <c r="F85" s="97" t="s">
        <v>19</v>
      </c>
      <c r="G85" s="98" t="s">
        <v>758</v>
      </c>
      <c r="H85" s="99" t="s">
        <v>91</v>
      </c>
      <c r="I85" s="100">
        <v>9.0</v>
      </c>
      <c r="J85" s="101" t="s">
        <v>35</v>
      </c>
      <c r="K85" s="32" t="str">
        <f t="shared" si="2"/>
        <v>OCUPADO</v>
      </c>
      <c r="L85" s="33">
        <f t="shared" si="3"/>
        <v>84</v>
      </c>
      <c r="M85" s="33" t="s">
        <v>442</v>
      </c>
      <c r="N85" s="53"/>
      <c r="O85" s="33" t="s">
        <v>24</v>
      </c>
      <c r="P85" s="335" t="s">
        <v>353</v>
      </c>
      <c r="Q85" s="336">
        <v>45733.0</v>
      </c>
      <c r="R85" s="337" t="s">
        <v>19</v>
      </c>
      <c r="S85" s="337" t="s">
        <v>758</v>
      </c>
      <c r="T85" s="33" t="s">
        <v>91</v>
      </c>
      <c r="U85" s="338">
        <v>9.0</v>
      </c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BB85" s="12"/>
      <c r="BG85" s="12" t="str">
        <f>IFERROR(__xludf.DUMMYFUNCTION("IFERROR(INDEX(QUERY(IMPORTRANGE(""1T7HG8KEs-Ob7f3M5atEVN9Yn7IeORGp0QGvggB62ELw"",""Maestro!A:I""),""SELECT Col8 WHERE Col3 = '""&amp;BD85&amp;""'"", 0), 1, 1),""NO ENCONTRADO"")"),"D")</f>
        <v>D</v>
      </c>
      <c r="BH85" s="16">
        <v>1.0</v>
      </c>
      <c r="BI85" s="16">
        <f t="shared" si="4"/>
        <v>150</v>
      </c>
      <c r="BJ85" s="12"/>
      <c r="BQ85" s="12"/>
      <c r="BX85" s="14"/>
      <c r="BY85" s="14"/>
      <c r="BZ85" s="14"/>
      <c r="CA85" s="14"/>
      <c r="CB85" s="14"/>
      <c r="CC85" s="14"/>
      <c r="CD85" s="14"/>
      <c r="CE85" s="12"/>
      <c r="CF85" s="12"/>
      <c r="CG85" s="12"/>
      <c r="CH85" s="12"/>
      <c r="CI85" s="12"/>
      <c r="CJ85" s="12"/>
      <c r="CK85" s="12"/>
      <c r="CL85" s="12"/>
      <c r="CM85" s="12"/>
      <c r="CN85" s="12"/>
    </row>
    <row r="86">
      <c r="A86" s="92">
        <v>3.0</v>
      </c>
      <c r="B86" s="93" t="s">
        <v>48</v>
      </c>
      <c r="C86" s="94" t="s">
        <v>140</v>
      </c>
      <c r="D86" s="95" t="str">
        <f t="shared" si="1"/>
        <v>3-7-2B</v>
      </c>
      <c r="E86" s="96">
        <v>45763.0</v>
      </c>
      <c r="F86" s="97" t="s">
        <v>19</v>
      </c>
      <c r="G86" s="98" t="s">
        <v>757</v>
      </c>
      <c r="H86" s="99" t="s">
        <v>38</v>
      </c>
      <c r="I86" s="100">
        <v>18.0</v>
      </c>
      <c r="J86" s="101" t="s">
        <v>35</v>
      </c>
      <c r="K86" s="27" t="str">
        <f t="shared" si="2"/>
        <v>OCUPADO</v>
      </c>
      <c r="L86" s="28">
        <f t="shared" si="3"/>
        <v>85</v>
      </c>
      <c r="M86" s="28" t="s">
        <v>442</v>
      </c>
      <c r="N86" s="70"/>
      <c r="O86" s="28"/>
      <c r="P86" s="331" t="s">
        <v>198</v>
      </c>
      <c r="Q86" s="332">
        <v>45763.0</v>
      </c>
      <c r="R86" s="333" t="s">
        <v>19</v>
      </c>
      <c r="S86" s="333" t="s">
        <v>757</v>
      </c>
      <c r="T86" s="28" t="s">
        <v>38</v>
      </c>
      <c r="U86" s="334">
        <v>18.0</v>
      </c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BB86" s="12"/>
      <c r="BG86" s="12" t="str">
        <f>IFERROR(__xludf.DUMMYFUNCTION("IFERROR(INDEX(QUERY(IMPORTRANGE(""1T7HG8KEs-Ob7f3M5atEVN9Yn7IeORGp0QGvggB62ELw"",""Maestro!A:I""),""SELECT Col8 WHERE Col3 = '""&amp;BD86&amp;""'"", 0), 1, 1),""NO ENCONTRADO"")"),"D")</f>
        <v>D</v>
      </c>
      <c r="BH86" s="16">
        <v>1.0</v>
      </c>
      <c r="BI86" s="16">
        <f t="shared" si="4"/>
        <v>150</v>
      </c>
      <c r="BJ86" s="12"/>
      <c r="BQ86" s="12"/>
      <c r="BX86" s="14"/>
      <c r="BY86" s="14"/>
      <c r="BZ86" s="14"/>
      <c r="CA86" s="14"/>
      <c r="CB86" s="14"/>
      <c r="CC86" s="14"/>
      <c r="CD86" s="14"/>
      <c r="CE86" s="12"/>
      <c r="CF86" s="12"/>
      <c r="CG86" s="12"/>
      <c r="CH86" s="12"/>
      <c r="CI86" s="12"/>
      <c r="CJ86" s="12"/>
      <c r="CK86" s="12"/>
      <c r="CL86" s="12"/>
      <c r="CM86" s="12"/>
      <c r="CN86" s="12"/>
    </row>
    <row r="87">
      <c r="A87" s="92">
        <v>3.0</v>
      </c>
      <c r="B87" s="93" t="s">
        <v>48</v>
      </c>
      <c r="C87" s="94" t="s">
        <v>130</v>
      </c>
      <c r="D87" s="95" t="str">
        <f t="shared" si="1"/>
        <v>3-7-3A</v>
      </c>
      <c r="E87" s="96">
        <v>45733.0</v>
      </c>
      <c r="F87" s="97" t="s">
        <v>19</v>
      </c>
      <c r="G87" s="98" t="s">
        <v>90</v>
      </c>
      <c r="H87" s="99" t="s">
        <v>753</v>
      </c>
      <c r="I87" s="100">
        <v>7.0</v>
      </c>
      <c r="J87" s="101" t="s">
        <v>35</v>
      </c>
      <c r="K87" s="32" t="str">
        <f t="shared" si="2"/>
        <v>OCUPADO</v>
      </c>
      <c r="L87" s="33">
        <f t="shared" si="3"/>
        <v>86</v>
      </c>
      <c r="M87" s="33" t="s">
        <v>442</v>
      </c>
      <c r="N87" s="53"/>
      <c r="O87" s="33" t="s">
        <v>24</v>
      </c>
      <c r="P87" s="335" t="s">
        <v>202</v>
      </c>
      <c r="Q87" s="336">
        <v>45733.0</v>
      </c>
      <c r="R87" s="337" t="s">
        <v>19</v>
      </c>
      <c r="S87" s="337" t="s">
        <v>90</v>
      </c>
      <c r="T87" s="33" t="s">
        <v>753</v>
      </c>
      <c r="U87" s="338">
        <v>7.0</v>
      </c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BB87" s="12"/>
      <c r="BG87" s="12" t="str">
        <f>IFERROR(__xludf.DUMMYFUNCTION("IFERROR(INDEX(QUERY(IMPORTRANGE(""1T7HG8KEs-Ob7f3M5atEVN9Yn7IeORGp0QGvggB62ELw"",""Maestro!A:I""),""SELECT Col8 WHERE Col3 = '""&amp;BD87&amp;""'"", 0), 1, 1),""NO ENCONTRADO"")"),"D")</f>
        <v>D</v>
      </c>
      <c r="BH87" s="16">
        <v>1.0</v>
      </c>
      <c r="BI87" s="16">
        <f t="shared" si="4"/>
        <v>150</v>
      </c>
      <c r="BJ87" s="12"/>
      <c r="BQ87" s="12"/>
      <c r="BX87" s="14"/>
      <c r="BY87" s="14"/>
      <c r="BZ87" s="14"/>
      <c r="CA87" s="14"/>
      <c r="CB87" s="14"/>
      <c r="CC87" s="14"/>
      <c r="CD87" s="14"/>
      <c r="CE87" s="12"/>
      <c r="CF87" s="12"/>
      <c r="CG87" s="12"/>
      <c r="CH87" s="12"/>
      <c r="CI87" s="12"/>
      <c r="CJ87" s="12"/>
      <c r="CK87" s="12"/>
      <c r="CL87" s="12"/>
      <c r="CM87" s="12"/>
      <c r="CN87" s="12"/>
    </row>
    <row r="88">
      <c r="A88" s="92">
        <v>3.0</v>
      </c>
      <c r="B88" s="93" t="s">
        <v>48</v>
      </c>
      <c r="C88" s="94" t="s">
        <v>148</v>
      </c>
      <c r="D88" s="95" t="str">
        <f t="shared" si="1"/>
        <v>3-7-3B</v>
      </c>
      <c r="E88" s="96">
        <v>45763.0</v>
      </c>
      <c r="F88" s="97" t="s">
        <v>768</v>
      </c>
      <c r="G88" s="98" t="s">
        <v>757</v>
      </c>
      <c r="H88" s="99" t="s">
        <v>38</v>
      </c>
      <c r="I88" s="100">
        <v>71.0</v>
      </c>
      <c r="J88" s="101" t="s">
        <v>35</v>
      </c>
      <c r="K88" s="27" t="str">
        <f t="shared" si="2"/>
        <v>OCUPADO</v>
      </c>
      <c r="L88" s="28">
        <f t="shared" si="3"/>
        <v>87</v>
      </c>
      <c r="M88" s="28" t="s">
        <v>442</v>
      </c>
      <c r="N88" s="70"/>
      <c r="O88" s="28"/>
      <c r="P88" s="331" t="s">
        <v>247</v>
      </c>
      <c r="Q88" s="332">
        <v>45763.0</v>
      </c>
      <c r="R88" s="333" t="s">
        <v>768</v>
      </c>
      <c r="S88" s="333" t="s">
        <v>757</v>
      </c>
      <c r="T88" s="28" t="s">
        <v>38</v>
      </c>
      <c r="U88" s="334">
        <v>71.0</v>
      </c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BB88" s="12"/>
      <c r="BG88" s="12" t="str">
        <f>IFERROR(__xludf.DUMMYFUNCTION("IFERROR(INDEX(QUERY(IMPORTRANGE(""1T7HG8KEs-Ob7f3M5atEVN9Yn7IeORGp0QGvggB62ELw"",""Maestro!A:I""),""SELECT Col8 WHERE Col3 = '""&amp;BD88&amp;""'"", 0), 1, 1),""NO ENCONTRADO"")"),"D")</f>
        <v>D</v>
      </c>
      <c r="BH88" s="16">
        <v>1.0</v>
      </c>
      <c r="BI88" s="16">
        <f t="shared" si="4"/>
        <v>150</v>
      </c>
      <c r="BJ88" s="12"/>
      <c r="BQ88" s="12"/>
      <c r="BX88" s="14"/>
      <c r="BY88" s="14"/>
      <c r="BZ88" s="14"/>
      <c r="CA88" s="14"/>
      <c r="CB88" s="14"/>
      <c r="CC88" s="14"/>
      <c r="CD88" s="14"/>
      <c r="CE88" s="12"/>
      <c r="CF88" s="12"/>
      <c r="CG88" s="12"/>
      <c r="CH88" s="12"/>
      <c r="CI88" s="12"/>
      <c r="CJ88" s="12"/>
      <c r="CK88" s="12"/>
      <c r="CL88" s="12"/>
      <c r="CM88" s="12"/>
      <c r="CN88" s="12"/>
    </row>
    <row r="89">
      <c r="A89" s="92">
        <v>3.0</v>
      </c>
      <c r="B89" s="93" t="s">
        <v>48</v>
      </c>
      <c r="C89" s="94" t="s">
        <v>145</v>
      </c>
      <c r="D89" s="95" t="str">
        <f t="shared" si="1"/>
        <v>3-7-4A</v>
      </c>
      <c r="E89" s="50"/>
      <c r="F89" s="51"/>
      <c r="G89" s="46"/>
      <c r="H89" s="47"/>
      <c r="I89" s="48"/>
      <c r="J89" s="52"/>
      <c r="K89" s="32" t="str">
        <f t="shared" si="2"/>
        <v>DISPONIBLE</v>
      </c>
      <c r="L89" s="33">
        <f t="shared" si="3"/>
        <v>88</v>
      </c>
      <c r="M89" s="33" t="s">
        <v>23</v>
      </c>
      <c r="N89" s="53"/>
      <c r="O89" s="33"/>
      <c r="P89" s="335" t="s">
        <v>361</v>
      </c>
      <c r="Q89" s="336"/>
      <c r="R89" s="342"/>
      <c r="S89" s="337"/>
      <c r="T89" s="33"/>
      <c r="U89" s="338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BB89" s="12"/>
      <c r="BG89" s="12" t="str">
        <f>IFERROR(__xludf.DUMMYFUNCTION("IFERROR(INDEX(QUERY(IMPORTRANGE(""1T7HG8KEs-Ob7f3M5atEVN9Yn7IeORGp0QGvggB62ELw"",""Maestro!A:I""),""SELECT Col8 WHERE Col3 = '""&amp;BD89&amp;""'"", 0), 1, 1),""NO ENCONTRADO"")"),"D")</f>
        <v>D</v>
      </c>
      <c r="BH89" s="16">
        <v>1.0</v>
      </c>
      <c r="BI89" s="16">
        <f t="shared" si="4"/>
        <v>150</v>
      </c>
      <c r="BJ89" s="12"/>
      <c r="BQ89" s="12"/>
      <c r="BX89" s="14"/>
      <c r="BY89" s="14"/>
      <c r="BZ89" s="14"/>
      <c r="CA89" s="14"/>
      <c r="CB89" s="14"/>
      <c r="CC89" s="14"/>
      <c r="CD89" s="14"/>
      <c r="CE89" s="12"/>
      <c r="CF89" s="12"/>
      <c r="CG89" s="12"/>
      <c r="CH89" s="12"/>
      <c r="CI89" s="12"/>
      <c r="CJ89" s="12"/>
      <c r="CK89" s="12"/>
      <c r="CL89" s="12"/>
      <c r="CM89" s="12"/>
      <c r="CN89" s="12"/>
    </row>
    <row r="90">
      <c r="A90" s="92">
        <v>3.0</v>
      </c>
      <c r="B90" s="93" t="s">
        <v>48</v>
      </c>
      <c r="C90" s="94" t="s">
        <v>181</v>
      </c>
      <c r="D90" s="95" t="str">
        <f t="shared" si="1"/>
        <v>3-7-4B</v>
      </c>
      <c r="E90" s="96">
        <v>45733.0</v>
      </c>
      <c r="F90" s="97" t="s">
        <v>19</v>
      </c>
      <c r="G90" s="98" t="s">
        <v>751</v>
      </c>
      <c r="H90" s="99" t="s">
        <v>752</v>
      </c>
      <c r="I90" s="100">
        <v>55.0</v>
      </c>
      <c r="J90" s="101" t="s">
        <v>22</v>
      </c>
      <c r="K90" s="27" t="str">
        <f t="shared" si="2"/>
        <v>OCUPADO</v>
      </c>
      <c r="L90" s="28">
        <f t="shared" si="3"/>
        <v>89</v>
      </c>
      <c r="M90" s="28" t="s">
        <v>23</v>
      </c>
      <c r="N90" s="70"/>
      <c r="O90" s="28" t="s">
        <v>24</v>
      </c>
      <c r="P90" s="331" t="s">
        <v>205</v>
      </c>
      <c r="Q90" s="332">
        <v>45733.0</v>
      </c>
      <c r="R90" s="333" t="s">
        <v>19</v>
      </c>
      <c r="S90" s="333" t="s">
        <v>751</v>
      </c>
      <c r="T90" s="28" t="s">
        <v>752</v>
      </c>
      <c r="U90" s="334">
        <v>55.0</v>
      </c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BB90" s="12"/>
      <c r="BG90" s="12" t="str">
        <f>IFERROR(__xludf.DUMMYFUNCTION("IFERROR(INDEX(QUERY(IMPORTRANGE(""1T7HG8KEs-Ob7f3M5atEVN9Yn7IeORGp0QGvggB62ELw"",""Maestro!A:I""),""SELECT Col8 WHERE Col3 = '""&amp;BD90&amp;""'"", 0), 1, 1),""NO ENCONTRADO"")"),"D")</f>
        <v>D</v>
      </c>
      <c r="BH90" s="16">
        <v>1.0</v>
      </c>
      <c r="BI90" s="16">
        <f t="shared" si="4"/>
        <v>150</v>
      </c>
      <c r="BJ90" s="12"/>
      <c r="BQ90" s="12"/>
      <c r="BX90" s="14"/>
      <c r="BY90" s="14"/>
      <c r="BZ90" s="14"/>
      <c r="CA90" s="14"/>
      <c r="CB90" s="14"/>
      <c r="CC90" s="14"/>
      <c r="CD90" s="14"/>
      <c r="CE90" s="12"/>
      <c r="CF90" s="12"/>
      <c r="CG90" s="12"/>
      <c r="CH90" s="12"/>
      <c r="CI90" s="12"/>
      <c r="CJ90" s="12"/>
      <c r="CK90" s="12"/>
      <c r="CL90" s="12"/>
      <c r="CM90" s="12"/>
      <c r="CN90" s="12"/>
    </row>
    <row r="91">
      <c r="A91" s="92">
        <v>3.0</v>
      </c>
      <c r="B91" s="93" t="s">
        <v>48</v>
      </c>
      <c r="C91" s="94" t="s">
        <v>192</v>
      </c>
      <c r="D91" s="95" t="str">
        <f t="shared" si="1"/>
        <v>3-7-5B</v>
      </c>
      <c r="E91" s="50"/>
      <c r="F91" s="51"/>
      <c r="G91" s="46"/>
      <c r="H91" s="47"/>
      <c r="I91" s="48"/>
      <c r="J91" s="52"/>
      <c r="K91" s="32" t="str">
        <f t="shared" si="2"/>
        <v>DISPONIBLE</v>
      </c>
      <c r="L91" s="33">
        <f t="shared" si="3"/>
        <v>90</v>
      </c>
      <c r="M91" s="33" t="s">
        <v>23</v>
      </c>
      <c r="N91" s="53"/>
      <c r="O91" s="53"/>
      <c r="P91" s="335" t="s">
        <v>368</v>
      </c>
      <c r="Q91" s="336"/>
      <c r="R91" s="342"/>
      <c r="S91" s="337"/>
      <c r="T91" s="33"/>
      <c r="U91" s="338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BB91" s="12"/>
      <c r="BG91" s="12" t="str">
        <f>IFERROR(__xludf.DUMMYFUNCTION("IFERROR(INDEX(QUERY(IMPORTRANGE(""1T7HG8KEs-Ob7f3M5atEVN9Yn7IeORGp0QGvggB62ELw"",""Maestro!A:I""),""SELECT Col8 WHERE Col3 = '""&amp;BD91&amp;""'"", 0), 1, 1),""NO ENCONTRADO"")"),"D")</f>
        <v>D</v>
      </c>
      <c r="BH91" s="16">
        <v>1.0</v>
      </c>
      <c r="BI91" s="16">
        <f t="shared" si="4"/>
        <v>150</v>
      </c>
      <c r="BJ91" s="12"/>
      <c r="BQ91" s="12"/>
      <c r="BX91" s="14"/>
      <c r="BY91" s="14"/>
      <c r="BZ91" s="14"/>
      <c r="CA91" s="14"/>
      <c r="CB91" s="14"/>
      <c r="CC91" s="14"/>
      <c r="CD91" s="14"/>
      <c r="CE91" s="12"/>
      <c r="CF91" s="12"/>
      <c r="CG91" s="12"/>
      <c r="CH91" s="12"/>
      <c r="CI91" s="12"/>
      <c r="CJ91" s="12"/>
      <c r="CK91" s="12"/>
      <c r="CL91" s="12"/>
      <c r="CM91" s="12"/>
      <c r="CN91" s="12"/>
    </row>
    <row r="92">
      <c r="A92" s="123">
        <v>3.0</v>
      </c>
      <c r="B92" s="94" t="s">
        <v>48</v>
      </c>
      <c r="C92" s="94" t="s">
        <v>188</v>
      </c>
      <c r="D92" s="95" t="str">
        <f t="shared" si="1"/>
        <v>3-7-5A</v>
      </c>
      <c r="E92" s="141"/>
      <c r="F92" s="137"/>
      <c r="G92" s="138"/>
      <c r="H92" s="138"/>
      <c r="I92" s="142"/>
      <c r="J92" s="138"/>
      <c r="K92" s="27" t="str">
        <f t="shared" si="2"/>
        <v>DISPONIBLE</v>
      </c>
      <c r="L92" s="28">
        <f t="shared" si="3"/>
        <v>91</v>
      </c>
      <c r="M92" s="28" t="s">
        <v>23</v>
      </c>
      <c r="N92" s="314"/>
      <c r="O92" s="28"/>
      <c r="P92" s="331" t="s">
        <v>365</v>
      </c>
      <c r="Q92" s="70"/>
      <c r="R92" s="352"/>
      <c r="S92" s="70"/>
      <c r="T92" s="70"/>
      <c r="U92" s="140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BB92" s="12"/>
      <c r="BG92" s="12" t="str">
        <f>IFERROR(__xludf.DUMMYFUNCTION("IFERROR(INDEX(QUERY(IMPORTRANGE(""1T7HG8KEs-Ob7f3M5atEVN9Yn7IeORGp0QGvggB62ELw"",""Maestro!A:I""),""SELECT Col8 WHERE Col3 = '""&amp;BD92&amp;""'"", 0), 1, 1),""NO ENCONTRADO"")"),"D")</f>
        <v>D</v>
      </c>
      <c r="BH92" s="16">
        <v>1.0</v>
      </c>
      <c r="BI92" s="16">
        <f t="shared" si="4"/>
        <v>205</v>
      </c>
      <c r="BJ92" s="12"/>
      <c r="BQ92" s="12"/>
      <c r="BX92" s="14"/>
      <c r="BY92" s="14"/>
      <c r="BZ92" s="14"/>
      <c r="CA92" s="14"/>
      <c r="CB92" s="14"/>
      <c r="CC92" s="14"/>
      <c r="CD92" s="14"/>
      <c r="CE92" s="12"/>
      <c r="CF92" s="12"/>
      <c r="CG92" s="12"/>
      <c r="CH92" s="12"/>
      <c r="CI92" s="12"/>
      <c r="CJ92" s="12"/>
      <c r="CK92" s="12"/>
      <c r="CL92" s="12"/>
      <c r="CM92" s="12"/>
      <c r="CN92" s="12"/>
    </row>
    <row r="93">
      <c r="A93" s="92">
        <v>3.0</v>
      </c>
      <c r="B93" s="93" t="s">
        <v>216</v>
      </c>
      <c r="C93" s="94" t="s">
        <v>18</v>
      </c>
      <c r="D93" s="95" t="str">
        <f t="shared" si="1"/>
        <v>3-NV-1</v>
      </c>
      <c r="E93" s="96">
        <v>45733.0</v>
      </c>
      <c r="F93" s="97" t="s">
        <v>19</v>
      </c>
      <c r="G93" s="98" t="s">
        <v>167</v>
      </c>
      <c r="H93" s="99" t="s">
        <v>761</v>
      </c>
      <c r="I93" s="100">
        <v>23.0</v>
      </c>
      <c r="J93" s="101" t="s">
        <v>22</v>
      </c>
      <c r="K93" s="32" t="str">
        <f t="shared" si="2"/>
        <v>OCUPADO</v>
      </c>
      <c r="L93" s="33">
        <f t="shared" si="3"/>
        <v>92</v>
      </c>
      <c r="M93" s="33" t="s">
        <v>485</v>
      </c>
      <c r="N93" s="53"/>
      <c r="O93" s="33" t="s">
        <v>24</v>
      </c>
      <c r="P93" s="335" t="s">
        <v>209</v>
      </c>
      <c r="Q93" s="336">
        <v>45733.0</v>
      </c>
      <c r="R93" s="337" t="s">
        <v>19</v>
      </c>
      <c r="S93" s="337" t="s">
        <v>167</v>
      </c>
      <c r="T93" s="33" t="s">
        <v>761</v>
      </c>
      <c r="U93" s="338">
        <v>23.0</v>
      </c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BB93" s="12"/>
      <c r="BG93" s="12" t="str">
        <f>IFERROR(__xludf.DUMMYFUNCTION("IFERROR(INDEX(QUERY(IMPORTRANGE(""1T7HG8KEs-Ob7f3M5atEVN9Yn7IeORGp0QGvggB62ELw"",""Maestro!A:I""),""SELECT Col8 WHERE Col3 = '""&amp;BD93&amp;""'"", 0), 1, 1),""NO ENCONTRADO"")"),"D")</f>
        <v>D</v>
      </c>
      <c r="BH93" s="16">
        <v>1.0</v>
      </c>
      <c r="BI93" s="16">
        <f t="shared" si="4"/>
        <v>150</v>
      </c>
      <c r="BJ93" s="12"/>
      <c r="BQ93" s="12"/>
      <c r="BX93" s="14"/>
      <c r="BY93" s="14"/>
      <c r="BZ93" s="14"/>
      <c r="CA93" s="14"/>
      <c r="CB93" s="14"/>
      <c r="CC93" s="14"/>
      <c r="CD93" s="14"/>
      <c r="CE93" s="12"/>
      <c r="CF93" s="12"/>
      <c r="CG93" s="12"/>
      <c r="CH93" s="12"/>
      <c r="CI93" s="12"/>
      <c r="CJ93" s="12"/>
      <c r="CK93" s="12"/>
      <c r="CL93" s="12"/>
      <c r="CM93" s="12"/>
      <c r="CN93" s="12"/>
    </row>
    <row r="94">
      <c r="A94" s="92">
        <v>3.0</v>
      </c>
      <c r="B94" s="93" t="s">
        <v>216</v>
      </c>
      <c r="C94" s="94" t="s">
        <v>32</v>
      </c>
      <c r="D94" s="95" t="str">
        <f t="shared" si="1"/>
        <v>3-NV-2</v>
      </c>
      <c r="E94" s="110"/>
      <c r="F94" s="124"/>
      <c r="G94" s="112"/>
      <c r="H94" s="113"/>
      <c r="I94" s="114"/>
      <c r="J94" s="115"/>
      <c r="K94" s="27" t="str">
        <f t="shared" si="2"/>
        <v>DISPONIBLE</v>
      </c>
      <c r="L94" s="28">
        <f t="shared" si="3"/>
        <v>93</v>
      </c>
      <c r="M94" s="28" t="s">
        <v>485</v>
      </c>
      <c r="N94" s="70"/>
      <c r="O94" s="28"/>
      <c r="P94" s="331" t="s">
        <v>214</v>
      </c>
      <c r="Q94" s="332"/>
      <c r="R94" s="333"/>
      <c r="S94" s="333"/>
      <c r="T94" s="28"/>
      <c r="U94" s="334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BB94" s="12"/>
      <c r="BG94" s="12" t="str">
        <f>IFERROR(__xludf.DUMMYFUNCTION("IFERROR(INDEX(QUERY(IMPORTRANGE(""1T7HG8KEs-Ob7f3M5atEVN9Yn7IeORGp0QGvggB62ELw"",""Maestro!A:I""),""SELECT Col8 WHERE Col3 = '""&amp;BD94&amp;""'"", 0), 1, 1),""NO ENCONTRADO"")"),"D")</f>
        <v>D</v>
      </c>
      <c r="BH94" s="16">
        <v>1.0</v>
      </c>
      <c r="BI94" s="16">
        <f t="shared" si="4"/>
        <v>5</v>
      </c>
      <c r="BJ94" s="12"/>
      <c r="BQ94" s="12"/>
      <c r="BX94" s="14"/>
      <c r="BY94" s="14"/>
      <c r="BZ94" s="14"/>
      <c r="CA94" s="14"/>
      <c r="CB94" s="14"/>
      <c r="CC94" s="14"/>
      <c r="CD94" s="14"/>
      <c r="CE94" s="12"/>
      <c r="CF94" s="12"/>
      <c r="CG94" s="12"/>
      <c r="CH94" s="12"/>
      <c r="CI94" s="12"/>
      <c r="CJ94" s="12"/>
      <c r="CK94" s="12"/>
      <c r="CL94" s="12"/>
      <c r="CM94" s="12"/>
      <c r="CN94" s="12"/>
    </row>
    <row r="95">
      <c r="A95" s="92">
        <v>3.0</v>
      </c>
      <c r="B95" s="94" t="s">
        <v>216</v>
      </c>
      <c r="C95" s="94" t="s">
        <v>44</v>
      </c>
      <c r="D95" s="95" t="str">
        <f t="shared" si="1"/>
        <v>3-NV-3</v>
      </c>
      <c r="E95" s="96">
        <v>45762.0</v>
      </c>
      <c r="F95" s="97" t="s">
        <v>769</v>
      </c>
      <c r="G95" s="98" t="s">
        <v>172</v>
      </c>
      <c r="H95" s="99" t="s">
        <v>50</v>
      </c>
      <c r="I95" s="100">
        <v>6.0</v>
      </c>
      <c r="J95" s="101" t="s">
        <v>22</v>
      </c>
      <c r="K95" s="32" t="str">
        <f t="shared" si="2"/>
        <v>OCUPADO</v>
      </c>
      <c r="L95" s="33">
        <f t="shared" si="3"/>
        <v>94</v>
      </c>
      <c r="M95" s="33" t="s">
        <v>485</v>
      </c>
      <c r="N95" s="53"/>
      <c r="O95" s="33" t="s">
        <v>24</v>
      </c>
      <c r="P95" s="335" t="s">
        <v>219</v>
      </c>
      <c r="Q95" s="336">
        <v>45762.0</v>
      </c>
      <c r="R95" s="337" t="s">
        <v>769</v>
      </c>
      <c r="S95" s="337" t="s">
        <v>172</v>
      </c>
      <c r="T95" s="33" t="s">
        <v>50</v>
      </c>
      <c r="U95" s="338">
        <v>6.0</v>
      </c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BB95" s="12"/>
      <c r="BG95" s="12" t="str">
        <f>IFERROR(__xludf.DUMMYFUNCTION("IFERROR(INDEX(QUERY(IMPORTRANGE(""1T7HG8KEs-Ob7f3M5atEVN9Yn7IeORGp0QGvggB62ELw"",""Maestro!A:I""),""SELECT Col8 WHERE Col3 = '""&amp;BD95&amp;""'"", 0), 1, 1),""NO ENCONTRADO"")"),"D")</f>
        <v>D</v>
      </c>
      <c r="BH95" s="16">
        <v>1.0</v>
      </c>
      <c r="BI95" s="16">
        <f t="shared" si="4"/>
        <v>150</v>
      </c>
      <c r="BJ95" s="12"/>
      <c r="BQ95" s="12"/>
      <c r="BX95" s="14"/>
      <c r="BY95" s="14"/>
      <c r="BZ95" s="14"/>
      <c r="CA95" s="14"/>
      <c r="CB95" s="14"/>
      <c r="CC95" s="14"/>
      <c r="CD95" s="14"/>
      <c r="CE95" s="12"/>
      <c r="CF95" s="12"/>
      <c r="CG95" s="12"/>
      <c r="CH95" s="12"/>
      <c r="CI95" s="12"/>
      <c r="CJ95" s="12"/>
      <c r="CK95" s="12"/>
      <c r="CL95" s="12"/>
      <c r="CM95" s="12"/>
      <c r="CN95" s="12"/>
    </row>
    <row r="96">
      <c r="A96" s="92">
        <v>3.0</v>
      </c>
      <c r="B96" s="94" t="s">
        <v>216</v>
      </c>
      <c r="C96" s="94" t="s">
        <v>53</v>
      </c>
      <c r="D96" s="95" t="str">
        <f t="shared" si="1"/>
        <v>3-NV-4</v>
      </c>
      <c r="E96" s="110"/>
      <c r="F96" s="124"/>
      <c r="G96" s="112"/>
      <c r="H96" s="113"/>
      <c r="I96" s="48"/>
      <c r="J96" s="115"/>
      <c r="K96" s="27" t="str">
        <f t="shared" si="2"/>
        <v>DISPONIBLE</v>
      </c>
      <c r="L96" s="28">
        <f t="shared" si="3"/>
        <v>95</v>
      </c>
      <c r="M96" s="28" t="s">
        <v>485</v>
      </c>
      <c r="N96" s="70"/>
      <c r="O96" s="28"/>
      <c r="P96" s="331" t="s">
        <v>225</v>
      </c>
      <c r="Q96" s="332"/>
      <c r="R96" s="343"/>
      <c r="S96" s="333"/>
      <c r="T96" s="28"/>
      <c r="U96" s="334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BB96" s="12"/>
      <c r="BG96" s="12" t="str">
        <f>IFERROR(__xludf.DUMMYFUNCTION("IFERROR(INDEX(QUERY(IMPORTRANGE(""1T7HG8KEs-Ob7f3M5atEVN9Yn7IeORGp0QGvggB62ELw"",""Maestro!A:I""),""SELECT Col8 WHERE Col3 = '""&amp;BD96&amp;""'"", 0), 1, 1),""NO ENCONTRADO"")"),"D")</f>
        <v>D</v>
      </c>
      <c r="BH96" s="16">
        <v>1.0</v>
      </c>
      <c r="BI96" s="16">
        <f t="shared" si="4"/>
        <v>93</v>
      </c>
      <c r="BJ96" s="12"/>
      <c r="BQ96" s="12"/>
      <c r="BX96" s="14"/>
      <c r="BY96" s="14"/>
      <c r="BZ96" s="14"/>
      <c r="CA96" s="14"/>
      <c r="CB96" s="14"/>
      <c r="CC96" s="14"/>
      <c r="CD96" s="14"/>
      <c r="CE96" s="12"/>
      <c r="CF96" s="12"/>
      <c r="CG96" s="12"/>
      <c r="CH96" s="12"/>
      <c r="CI96" s="12"/>
      <c r="CJ96" s="12"/>
      <c r="CK96" s="12"/>
      <c r="CL96" s="12"/>
      <c r="CM96" s="12"/>
      <c r="CN96" s="12"/>
    </row>
    <row r="97">
      <c r="A97" s="92">
        <v>3.0</v>
      </c>
      <c r="B97" s="93" t="s">
        <v>254</v>
      </c>
      <c r="C97" s="94" t="s">
        <v>119</v>
      </c>
      <c r="D97" s="95" t="str">
        <f t="shared" si="1"/>
        <v>3-R-1A</v>
      </c>
      <c r="E97" s="96">
        <v>45733.0</v>
      </c>
      <c r="F97" s="97" t="s">
        <v>19</v>
      </c>
      <c r="G97" s="98" t="s">
        <v>167</v>
      </c>
      <c r="H97" s="99" t="s">
        <v>761</v>
      </c>
      <c r="I97" s="100">
        <v>10.0</v>
      </c>
      <c r="J97" s="101" t="s">
        <v>22</v>
      </c>
      <c r="K97" s="32" t="str">
        <f t="shared" si="2"/>
        <v>OCUPADO</v>
      </c>
      <c r="L97" s="33">
        <f t="shared" si="3"/>
        <v>96</v>
      </c>
      <c r="M97" s="33" t="s">
        <v>501</v>
      </c>
      <c r="N97" s="53"/>
      <c r="O97" s="33" t="s">
        <v>24</v>
      </c>
      <c r="P97" s="335" t="s">
        <v>433</v>
      </c>
      <c r="Q97" s="336">
        <v>45733.0</v>
      </c>
      <c r="R97" s="337" t="s">
        <v>19</v>
      </c>
      <c r="S97" s="337" t="s">
        <v>167</v>
      </c>
      <c r="T97" s="33" t="s">
        <v>761</v>
      </c>
      <c r="U97" s="338">
        <v>10.0</v>
      </c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BB97" s="12"/>
      <c r="BG97" s="12" t="str">
        <f>IFERROR(__xludf.DUMMYFUNCTION("IFERROR(INDEX(QUERY(IMPORTRANGE(""1T7HG8KEs-Ob7f3M5atEVN9Yn7IeORGp0QGvggB62ELw"",""Maestro!A:I""),""SELECT Col8 WHERE Col3 = '""&amp;BD97&amp;""'"", 0), 1, 1),""NO ENCONTRADO"")"),"D")</f>
        <v>D</v>
      </c>
      <c r="BH97" s="16">
        <v>1.0</v>
      </c>
      <c r="BI97" s="16">
        <f t="shared" si="4"/>
        <v>150</v>
      </c>
      <c r="BJ97" s="12"/>
      <c r="BQ97" s="12"/>
      <c r="BX97" s="14"/>
      <c r="BY97" s="14"/>
      <c r="BZ97" s="14"/>
      <c r="CA97" s="14"/>
      <c r="CB97" s="14"/>
      <c r="CC97" s="14"/>
      <c r="CD97" s="14"/>
      <c r="CE97" s="12"/>
      <c r="CF97" s="12"/>
      <c r="CG97" s="12"/>
      <c r="CH97" s="12"/>
      <c r="CI97" s="12"/>
      <c r="CJ97" s="12"/>
      <c r="CK97" s="12"/>
      <c r="CL97" s="12"/>
      <c r="CM97" s="12"/>
      <c r="CN97" s="12"/>
    </row>
    <row r="98">
      <c r="A98" s="92">
        <v>3.0</v>
      </c>
      <c r="B98" s="93" t="s">
        <v>254</v>
      </c>
      <c r="C98" s="94" t="s">
        <v>255</v>
      </c>
      <c r="D98" s="95" t="str">
        <f t="shared" si="1"/>
        <v>3-R-2A1</v>
      </c>
      <c r="E98" s="116">
        <v>45733.0</v>
      </c>
      <c r="F98" s="117" t="s">
        <v>19</v>
      </c>
      <c r="G98" s="118" t="s">
        <v>128</v>
      </c>
      <c r="H98" s="119" t="s">
        <v>242</v>
      </c>
      <c r="I98" s="145">
        <v>666.0</v>
      </c>
      <c r="J98" s="121" t="s">
        <v>22</v>
      </c>
      <c r="K98" s="27" t="str">
        <f t="shared" si="2"/>
        <v>OCUPADO</v>
      </c>
      <c r="L98" s="28">
        <f t="shared" si="3"/>
        <v>97</v>
      </c>
      <c r="M98" s="28" t="s">
        <v>501</v>
      </c>
      <c r="N98" s="70"/>
      <c r="O98" s="28" t="s">
        <v>24</v>
      </c>
      <c r="P98" s="331" t="s">
        <v>241</v>
      </c>
      <c r="Q98" s="332">
        <v>45733.0</v>
      </c>
      <c r="R98" s="333" t="s">
        <v>19</v>
      </c>
      <c r="S98" s="333" t="s">
        <v>128</v>
      </c>
      <c r="T98" s="28" t="s">
        <v>242</v>
      </c>
      <c r="U98" s="334">
        <v>666.0</v>
      </c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BB98" s="12"/>
      <c r="BG98" s="12" t="str">
        <f>IFERROR(__xludf.DUMMYFUNCTION("IFERROR(INDEX(QUERY(IMPORTRANGE(""1T7HG8KEs-Ob7f3M5atEVN9Yn7IeORGp0QGvggB62ELw"",""Maestro!A:I""),""SELECT Col8 WHERE Col3 = '""&amp;BD98&amp;""'"", 0), 1, 1),""NO ENCONTRADO"")"),"D")</f>
        <v>D</v>
      </c>
      <c r="BH98" s="16">
        <v>1.0</v>
      </c>
      <c r="BI98" s="16">
        <f t="shared" si="4"/>
        <v>150</v>
      </c>
      <c r="BJ98" s="12"/>
      <c r="BQ98" s="12"/>
      <c r="BX98" s="14"/>
      <c r="BY98" s="14"/>
      <c r="BZ98" s="14"/>
      <c r="CA98" s="14"/>
      <c r="CB98" s="14"/>
      <c r="CC98" s="14"/>
      <c r="CD98" s="14"/>
      <c r="CE98" s="12"/>
      <c r="CF98" s="12"/>
      <c r="CG98" s="12"/>
      <c r="CH98" s="12"/>
      <c r="CI98" s="12"/>
      <c r="CJ98" s="12"/>
      <c r="CK98" s="12"/>
      <c r="CL98" s="12"/>
      <c r="CM98" s="12"/>
      <c r="CN98" s="12"/>
    </row>
    <row r="99">
      <c r="A99" s="92">
        <v>3.0</v>
      </c>
      <c r="B99" s="93" t="s">
        <v>254</v>
      </c>
      <c r="C99" s="94" t="s">
        <v>262</v>
      </c>
      <c r="D99" s="95" t="str">
        <f t="shared" si="1"/>
        <v>3-R-2A2</v>
      </c>
      <c r="E99" s="116">
        <v>45733.0</v>
      </c>
      <c r="F99" s="117" t="s">
        <v>19</v>
      </c>
      <c r="G99" s="118" t="s">
        <v>128</v>
      </c>
      <c r="H99" s="119" t="s">
        <v>242</v>
      </c>
      <c r="I99" s="145">
        <v>666.0</v>
      </c>
      <c r="J99" s="121" t="s">
        <v>22</v>
      </c>
      <c r="K99" s="32" t="str">
        <f t="shared" si="2"/>
        <v>OCUPADO</v>
      </c>
      <c r="L99" s="33">
        <f t="shared" si="3"/>
        <v>98</v>
      </c>
      <c r="M99" s="33" t="s">
        <v>501</v>
      </c>
      <c r="N99" s="53"/>
      <c r="O99" s="33" t="s">
        <v>24</v>
      </c>
      <c r="P99" s="335" t="s">
        <v>251</v>
      </c>
      <c r="Q99" s="336">
        <v>45733.0</v>
      </c>
      <c r="R99" s="337" t="s">
        <v>19</v>
      </c>
      <c r="S99" s="337" t="s">
        <v>128</v>
      </c>
      <c r="T99" s="33" t="s">
        <v>242</v>
      </c>
      <c r="U99" s="338">
        <v>666.0</v>
      </c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BB99" s="12"/>
      <c r="BG99" s="12"/>
      <c r="BH99" s="16"/>
      <c r="BI99" s="16"/>
      <c r="BJ99" s="12"/>
      <c r="BQ99" s="12"/>
      <c r="BX99" s="14"/>
      <c r="BY99" s="14"/>
      <c r="BZ99" s="14"/>
      <c r="CA99" s="14"/>
      <c r="CB99" s="14"/>
      <c r="CC99" s="14"/>
      <c r="CD99" s="14"/>
      <c r="CE99" s="12"/>
      <c r="CF99" s="12"/>
      <c r="CG99" s="12"/>
      <c r="CH99" s="12"/>
      <c r="CI99" s="12"/>
      <c r="CJ99" s="12"/>
      <c r="CK99" s="12"/>
      <c r="CL99" s="12"/>
      <c r="CM99" s="12"/>
      <c r="CN99" s="12"/>
    </row>
    <row r="100">
      <c r="A100" s="92">
        <v>3.0</v>
      </c>
      <c r="B100" s="93" t="s">
        <v>254</v>
      </c>
      <c r="C100" s="94" t="s">
        <v>140</v>
      </c>
      <c r="D100" s="95" t="str">
        <f t="shared" si="1"/>
        <v>3-R-2B</v>
      </c>
      <c r="E100" s="96">
        <v>45733.0</v>
      </c>
      <c r="F100" s="97" t="s">
        <v>19</v>
      </c>
      <c r="G100" s="98" t="s">
        <v>167</v>
      </c>
      <c r="H100" s="99" t="s">
        <v>761</v>
      </c>
      <c r="I100" s="100">
        <v>10.0</v>
      </c>
      <c r="J100" s="101" t="s">
        <v>22</v>
      </c>
      <c r="K100" s="27" t="str">
        <f t="shared" si="2"/>
        <v>OCUPADO</v>
      </c>
      <c r="L100" s="28">
        <f>IF(B98&lt;&gt;"", ROW(A98), "")
</f>
        <v>98</v>
      </c>
      <c r="M100" s="28" t="s">
        <v>501</v>
      </c>
      <c r="N100" s="70"/>
      <c r="O100" s="28" t="s">
        <v>24</v>
      </c>
      <c r="P100" s="331" t="s">
        <v>257</v>
      </c>
      <c r="Q100" s="332">
        <v>45733.0</v>
      </c>
      <c r="R100" s="333" t="s">
        <v>19</v>
      </c>
      <c r="S100" s="333" t="s">
        <v>167</v>
      </c>
      <c r="T100" s="28" t="s">
        <v>761</v>
      </c>
      <c r="U100" s="334">
        <v>10.0</v>
      </c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BB100" s="12"/>
      <c r="BG100" s="12" t="str">
        <f>IFERROR(__xludf.DUMMYFUNCTION("IFERROR(INDEX(QUERY(IMPORTRANGE(""1T7HG8KEs-Ob7f3M5atEVN9Yn7IeORGp0QGvggB62ELw"",""Maestro!A:I""),""SELECT Col8 WHERE Col3 = '""&amp;BD100&amp;""'"", 0), 1, 1),""NO ENCONTRADO"")"),"D")</f>
        <v>D</v>
      </c>
      <c r="BH100" s="16">
        <v>1.0</v>
      </c>
      <c r="BI100" s="16">
        <f t="shared" ref="BI100:BI103" si="5">IFERROR(ROUND(IF(BG100="D",BF100/BH100,BF100*BH100),0),1)</f>
        <v>150</v>
      </c>
      <c r="BJ100" s="12"/>
      <c r="BQ100" s="12"/>
      <c r="BX100" s="14"/>
      <c r="BY100" s="14"/>
      <c r="BZ100" s="14"/>
      <c r="CA100" s="14"/>
      <c r="CB100" s="14"/>
      <c r="CC100" s="14"/>
      <c r="CD100" s="14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</row>
    <row r="101">
      <c r="A101" s="92">
        <v>3.0</v>
      </c>
      <c r="B101" s="94" t="s">
        <v>234</v>
      </c>
      <c r="C101" s="94" t="s">
        <v>18</v>
      </c>
      <c r="D101" s="95" t="str">
        <f t="shared" si="1"/>
        <v>3-PRD-F1-1</v>
      </c>
      <c r="E101" s="96">
        <v>45763.0</v>
      </c>
      <c r="F101" s="97" t="s">
        <v>523</v>
      </c>
      <c r="G101" s="98" t="s">
        <v>74</v>
      </c>
      <c r="H101" s="99" t="s">
        <v>75</v>
      </c>
      <c r="I101" s="100">
        <v>20.0</v>
      </c>
      <c r="J101" s="101" t="s">
        <v>22</v>
      </c>
      <c r="K101" s="32" t="str">
        <f t="shared" si="2"/>
        <v>OCUPADO</v>
      </c>
      <c r="L101" s="33">
        <f t="shared" ref="L101:L197" si="6">IF(B100&lt;&gt;"", ROW(A100), "")
</f>
        <v>100</v>
      </c>
      <c r="M101" s="33" t="s">
        <v>515</v>
      </c>
      <c r="N101" s="33"/>
      <c r="O101" s="33" t="s">
        <v>24</v>
      </c>
      <c r="P101" s="335" t="s">
        <v>371</v>
      </c>
      <c r="Q101" s="336">
        <v>45763.0</v>
      </c>
      <c r="R101" s="337" t="s">
        <v>523</v>
      </c>
      <c r="S101" s="337" t="s">
        <v>74</v>
      </c>
      <c r="T101" s="33" t="s">
        <v>75</v>
      </c>
      <c r="U101" s="338">
        <v>20.0</v>
      </c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BB101" s="12"/>
      <c r="BG101" s="12" t="str">
        <f>IFERROR(__xludf.DUMMYFUNCTION("IFERROR(INDEX(QUERY(IMPORTRANGE(""1T7HG8KEs-Ob7f3M5atEVN9Yn7IeORGp0QGvggB62ELw"",""Maestro!A:I""),""SELECT Col8 WHERE Col3 = '""&amp;BD101&amp;""'"", 0), 1, 1),""NO ENCONTRADO"")"),"D")</f>
        <v>D</v>
      </c>
      <c r="BH101" s="16">
        <v>1.0</v>
      </c>
      <c r="BI101" s="16">
        <f t="shared" si="5"/>
        <v>150</v>
      </c>
      <c r="BJ101" s="12"/>
      <c r="BQ101" s="12"/>
      <c r="BX101" s="14"/>
      <c r="BY101" s="14"/>
      <c r="BZ101" s="14"/>
      <c r="CA101" s="14"/>
      <c r="CB101" s="14"/>
      <c r="CC101" s="14"/>
      <c r="CD101" s="14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</row>
    <row r="102">
      <c r="A102" s="92">
        <v>3.0</v>
      </c>
      <c r="B102" s="94" t="s">
        <v>234</v>
      </c>
      <c r="C102" s="94" t="s">
        <v>32</v>
      </c>
      <c r="D102" s="95" t="str">
        <f t="shared" si="1"/>
        <v>3-PRD-F1-2</v>
      </c>
      <c r="E102" s="96">
        <v>45763.0</v>
      </c>
      <c r="F102" s="97" t="s">
        <v>523</v>
      </c>
      <c r="G102" s="98" t="s">
        <v>67</v>
      </c>
      <c r="H102" s="99" t="s">
        <v>68</v>
      </c>
      <c r="I102" s="100">
        <v>35.0</v>
      </c>
      <c r="J102" s="101" t="s">
        <v>22</v>
      </c>
      <c r="K102" s="27" t="str">
        <f t="shared" si="2"/>
        <v>OCUPADO</v>
      </c>
      <c r="L102" s="28">
        <f t="shared" si="6"/>
        <v>101</v>
      </c>
      <c r="M102" s="28" t="s">
        <v>515</v>
      </c>
      <c r="N102" s="70"/>
      <c r="O102" s="28" t="s">
        <v>24</v>
      </c>
      <c r="P102" s="331" t="s">
        <v>375</v>
      </c>
      <c r="Q102" s="332">
        <v>45763.0</v>
      </c>
      <c r="R102" s="333" t="s">
        <v>523</v>
      </c>
      <c r="S102" s="333" t="s">
        <v>67</v>
      </c>
      <c r="T102" s="28" t="s">
        <v>68</v>
      </c>
      <c r="U102" s="334">
        <v>35.0</v>
      </c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BB102" s="12"/>
      <c r="BG102" s="12" t="str">
        <f>IFERROR(__xludf.DUMMYFUNCTION("IFERROR(INDEX(QUERY(IMPORTRANGE(""1T7HG8KEs-Ob7f3M5atEVN9Yn7IeORGp0QGvggB62ELw"",""Maestro!A:I""),""SELECT Col8 WHERE Col3 = '""&amp;BD102&amp;""'"", 0), 1, 1),""NO ENCONTRADO"")"),"D")</f>
        <v>D</v>
      </c>
      <c r="BH102" s="16">
        <v>1.0</v>
      </c>
      <c r="BI102" s="16">
        <f t="shared" si="5"/>
        <v>150</v>
      </c>
      <c r="BJ102" s="12"/>
      <c r="BQ102" s="12"/>
      <c r="BX102" s="14"/>
      <c r="BY102" s="14"/>
      <c r="BZ102" s="14"/>
      <c r="CA102" s="14"/>
      <c r="CB102" s="14"/>
      <c r="CC102" s="14"/>
      <c r="CD102" s="14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</row>
    <row r="103">
      <c r="A103" s="92">
        <v>3.0</v>
      </c>
      <c r="B103" s="94" t="s">
        <v>234</v>
      </c>
      <c r="C103" s="94" t="s">
        <v>44</v>
      </c>
      <c r="D103" s="95" t="str">
        <f t="shared" si="1"/>
        <v>3-PRD-F1-3</v>
      </c>
      <c r="E103" s="96">
        <v>45763.0</v>
      </c>
      <c r="F103" s="97" t="s">
        <v>523</v>
      </c>
      <c r="G103" s="98" t="s">
        <v>151</v>
      </c>
      <c r="H103" s="99" t="s">
        <v>207</v>
      </c>
      <c r="I103" s="100">
        <v>21.0</v>
      </c>
      <c r="J103" s="101" t="s">
        <v>22</v>
      </c>
      <c r="K103" s="32" t="str">
        <f t="shared" si="2"/>
        <v>OCUPADO</v>
      </c>
      <c r="L103" s="33">
        <f t="shared" si="6"/>
        <v>102</v>
      </c>
      <c r="M103" s="33" t="s">
        <v>515</v>
      </c>
      <c r="N103" s="53"/>
      <c r="O103" s="33" t="s">
        <v>24</v>
      </c>
      <c r="P103" s="335" t="s">
        <v>228</v>
      </c>
      <c r="Q103" s="336">
        <v>45763.0</v>
      </c>
      <c r="R103" s="337" t="s">
        <v>523</v>
      </c>
      <c r="S103" s="337" t="s">
        <v>151</v>
      </c>
      <c r="T103" s="33" t="s">
        <v>207</v>
      </c>
      <c r="U103" s="338">
        <v>21.0</v>
      </c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BB103" s="12"/>
      <c r="BG103" s="12" t="str">
        <f>IFERROR(__xludf.DUMMYFUNCTION("IFERROR(INDEX(QUERY(IMPORTRANGE(""1T7HG8KEs-Ob7f3M5atEVN9Yn7IeORGp0QGvggB62ELw"",""Maestro!A:I""),""SELECT Col8 WHERE Col3 = '""&amp;BD103&amp;""'"", 0), 1, 1),""NO ENCONTRADO"")"),"D")</f>
        <v>D</v>
      </c>
      <c r="BH103" s="16">
        <v>1.0</v>
      </c>
      <c r="BI103" s="16">
        <f t="shared" si="5"/>
        <v>150</v>
      </c>
      <c r="BJ103" s="12"/>
      <c r="BQ103" s="12"/>
      <c r="BX103" s="14"/>
      <c r="BY103" s="14"/>
      <c r="BZ103" s="14"/>
      <c r="CA103" s="14"/>
      <c r="CB103" s="14"/>
      <c r="CC103" s="14"/>
      <c r="CD103" s="14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</row>
    <row r="104">
      <c r="A104" s="92">
        <v>3.0</v>
      </c>
      <c r="B104" s="94" t="s">
        <v>234</v>
      </c>
      <c r="C104" s="94" t="s">
        <v>53</v>
      </c>
      <c r="D104" s="95" t="str">
        <f t="shared" si="1"/>
        <v>3-PRD-F1-4</v>
      </c>
      <c r="E104" s="96">
        <v>45763.0</v>
      </c>
      <c r="F104" s="144" t="s">
        <v>523</v>
      </c>
      <c r="G104" s="98">
        <v>692043.0</v>
      </c>
      <c r="H104" s="99" t="s">
        <v>61</v>
      </c>
      <c r="I104" s="100">
        <v>10.0</v>
      </c>
      <c r="J104" s="101" t="s">
        <v>22</v>
      </c>
      <c r="K104" s="27" t="str">
        <f t="shared" si="2"/>
        <v>OCUPADO</v>
      </c>
      <c r="L104" s="28">
        <f t="shared" si="6"/>
        <v>103</v>
      </c>
      <c r="M104" s="28" t="s">
        <v>515</v>
      </c>
      <c r="N104" s="70"/>
      <c r="O104" s="28" t="s">
        <v>24</v>
      </c>
      <c r="P104" s="331" t="s">
        <v>232</v>
      </c>
      <c r="Q104" s="332">
        <v>45763.0</v>
      </c>
      <c r="R104" s="343" t="s">
        <v>523</v>
      </c>
      <c r="S104" s="333">
        <v>692043.0</v>
      </c>
      <c r="T104" s="28" t="s">
        <v>61</v>
      </c>
      <c r="U104" s="334">
        <v>10.0</v>
      </c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BB104" s="12"/>
      <c r="BG104" s="12" t="str">
        <f>IFERROR(__xludf.DUMMYFUNCTION("IFERROR(INDEX(QUERY(IMPORTRANGE(""1T7HG8KEs-Ob7f3M5atEVN9Yn7IeORGp0QGvggB62ELw"",""Maestro!A:I""),""SELECT Col8 WHERE Col3 = '""&amp;BD104&amp;""'"", 0), 1, 1),""NO ENCONTRADO"")"),"D")</f>
        <v>D</v>
      </c>
      <c r="BH104" s="12"/>
      <c r="BI104" s="12"/>
      <c r="BJ104" s="12"/>
      <c r="BQ104" s="12"/>
      <c r="BX104" s="14"/>
      <c r="BY104" s="14"/>
      <c r="BZ104" s="14"/>
      <c r="CA104" s="14"/>
      <c r="CB104" s="14"/>
      <c r="CC104" s="14"/>
      <c r="CD104" s="14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</row>
    <row r="105">
      <c r="A105" s="92">
        <v>3.0</v>
      </c>
      <c r="B105" s="94" t="s">
        <v>234</v>
      </c>
      <c r="C105" s="94" t="s">
        <v>25</v>
      </c>
      <c r="D105" s="95" t="str">
        <f t="shared" si="1"/>
        <v>3-PRD-F1-5</v>
      </c>
      <c r="E105" s="146"/>
      <c r="F105" s="147"/>
      <c r="G105" s="148"/>
      <c r="H105" s="148"/>
      <c r="I105" s="149"/>
      <c r="J105" s="148"/>
      <c r="K105" s="32" t="str">
        <f t="shared" si="2"/>
        <v>DISPONIBLE</v>
      </c>
      <c r="L105" s="33">
        <f t="shared" si="6"/>
        <v>104</v>
      </c>
      <c r="M105" s="33" t="s">
        <v>515</v>
      </c>
      <c r="N105" s="53"/>
      <c r="O105" s="33"/>
      <c r="P105" s="335" t="s">
        <v>378</v>
      </c>
      <c r="Q105" s="53"/>
      <c r="R105" s="351"/>
      <c r="S105" s="53"/>
      <c r="T105" s="53"/>
      <c r="U105" s="129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BB105" s="12"/>
      <c r="BG105" s="12" t="str">
        <f>IFERROR(__xludf.DUMMYFUNCTION("IFERROR(INDEX(QUERY(IMPORTRANGE(""1T7HG8KEs-Ob7f3M5atEVN9Yn7IeORGp0QGvggB62ELw"",""Maestro!A:I""),""SELECT Col8 WHERE Col3 = '""&amp;BD105&amp;""'"", 0), 1, 1),""NO ENCONTRADO"")"),"D")</f>
        <v>D</v>
      </c>
      <c r="BH105" s="12"/>
      <c r="BI105" s="12"/>
      <c r="BJ105" s="12"/>
      <c r="BQ105" s="12"/>
      <c r="BX105" s="14"/>
      <c r="BY105" s="14"/>
      <c r="BZ105" s="14"/>
      <c r="CA105" s="14"/>
      <c r="CB105" s="14"/>
      <c r="CC105" s="14"/>
      <c r="CD105" s="14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</row>
    <row r="106">
      <c r="A106" s="92">
        <v>3.0</v>
      </c>
      <c r="B106" s="94" t="s">
        <v>246</v>
      </c>
      <c r="C106" s="94" t="s">
        <v>18</v>
      </c>
      <c r="D106" s="95" t="str">
        <f t="shared" si="1"/>
        <v>3-PRD-F2-1</v>
      </c>
      <c r="E106" s="96">
        <v>45763.0</v>
      </c>
      <c r="F106" s="144" t="s">
        <v>523</v>
      </c>
      <c r="G106" s="98" t="s">
        <v>54</v>
      </c>
      <c r="H106" s="99" t="s">
        <v>55</v>
      </c>
      <c r="I106" s="100">
        <v>11.0</v>
      </c>
      <c r="J106" s="101" t="s">
        <v>22</v>
      </c>
      <c r="K106" s="27" t="str">
        <f t="shared" si="2"/>
        <v>OCUPADO</v>
      </c>
      <c r="L106" s="28">
        <f t="shared" si="6"/>
        <v>105</v>
      </c>
      <c r="M106" s="28" t="s">
        <v>515</v>
      </c>
      <c r="N106" s="70"/>
      <c r="O106" s="28" t="s">
        <v>24</v>
      </c>
      <c r="P106" s="331" t="s">
        <v>236</v>
      </c>
      <c r="Q106" s="332">
        <v>45763.0</v>
      </c>
      <c r="R106" s="343" t="s">
        <v>523</v>
      </c>
      <c r="S106" s="333" t="s">
        <v>54</v>
      </c>
      <c r="T106" s="28" t="s">
        <v>55</v>
      </c>
      <c r="U106" s="334">
        <v>11.0</v>
      </c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BB106" s="12"/>
      <c r="BG106" s="12" t="str">
        <f>IFERROR(__xludf.DUMMYFUNCTION("IFERROR(INDEX(QUERY(IMPORTRANGE(""1T7HG8KEs-Ob7f3M5atEVN9Yn7IeORGp0QGvggB62ELw"",""Maestro!A:I""),""SELECT Col8 WHERE Col3 = '""&amp;BD106&amp;""'"", 0), 1, 1),""NO ENCONTRADO"")"),"D")</f>
        <v>D</v>
      </c>
      <c r="BH106" s="12"/>
      <c r="BI106" s="12"/>
      <c r="BJ106" s="12"/>
      <c r="BQ106" s="12"/>
      <c r="BX106" s="14"/>
      <c r="BY106" s="14"/>
      <c r="BZ106" s="14"/>
      <c r="CA106" s="14"/>
      <c r="CB106" s="14"/>
      <c r="CC106" s="14"/>
      <c r="CD106" s="14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</row>
    <row r="107">
      <c r="A107" s="92">
        <v>3.0</v>
      </c>
      <c r="B107" s="94" t="s">
        <v>246</v>
      </c>
      <c r="C107" s="94" t="s">
        <v>32</v>
      </c>
      <c r="D107" s="95" t="str">
        <f t="shared" si="1"/>
        <v>3-PRD-F2-2</v>
      </c>
      <c r="E107" s="83"/>
      <c r="F107" s="150"/>
      <c r="G107" s="85"/>
      <c r="H107" s="49"/>
      <c r="I107" s="86"/>
      <c r="J107" s="87"/>
      <c r="K107" s="32" t="str">
        <f t="shared" si="2"/>
        <v>DISPONIBLE</v>
      </c>
      <c r="L107" s="33">
        <f t="shared" si="6"/>
        <v>106</v>
      </c>
      <c r="M107" s="33" t="s">
        <v>515</v>
      </c>
      <c r="N107" s="53"/>
      <c r="O107" s="33"/>
      <c r="P107" s="335" t="s">
        <v>381</v>
      </c>
      <c r="Q107" s="336"/>
      <c r="R107" s="342"/>
      <c r="S107" s="337"/>
      <c r="T107" s="33"/>
      <c r="U107" s="338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BB107" s="12"/>
      <c r="BG107" s="12"/>
      <c r="BH107" s="16"/>
      <c r="BI107" s="16"/>
      <c r="BJ107" s="12"/>
      <c r="BQ107" s="12"/>
      <c r="BX107" s="14"/>
      <c r="BY107" s="14"/>
      <c r="BZ107" s="14"/>
      <c r="CA107" s="14"/>
      <c r="CB107" s="14"/>
      <c r="CC107" s="14"/>
      <c r="CD107" s="14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</row>
    <row r="108">
      <c r="A108" s="92">
        <v>3.0</v>
      </c>
      <c r="B108" s="94" t="s">
        <v>246</v>
      </c>
      <c r="C108" s="94" t="s">
        <v>44</v>
      </c>
      <c r="D108" s="95" t="str">
        <f t="shared" si="1"/>
        <v>3-PRD-F2-3</v>
      </c>
      <c r="E108" s="83"/>
      <c r="F108" s="150"/>
      <c r="G108" s="85"/>
      <c r="H108" s="49"/>
      <c r="I108" s="86"/>
      <c r="J108" s="87"/>
      <c r="K108" s="27" t="str">
        <f t="shared" si="2"/>
        <v>DISPONIBLE</v>
      </c>
      <c r="L108" s="28">
        <f t="shared" si="6"/>
        <v>107</v>
      </c>
      <c r="M108" s="28" t="s">
        <v>515</v>
      </c>
      <c r="N108" s="70"/>
      <c r="O108" s="28"/>
      <c r="P108" s="331" t="s">
        <v>385</v>
      </c>
      <c r="Q108" s="332"/>
      <c r="R108" s="343"/>
      <c r="S108" s="333"/>
      <c r="T108" s="28"/>
      <c r="U108" s="334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BB108" s="12"/>
      <c r="BG108" s="12"/>
      <c r="BH108" s="16"/>
      <c r="BI108" s="16"/>
      <c r="BJ108" s="12"/>
      <c r="BQ108" s="12"/>
      <c r="BX108" s="14"/>
      <c r="BY108" s="14"/>
      <c r="BZ108" s="14"/>
      <c r="CA108" s="14"/>
      <c r="CB108" s="14"/>
      <c r="CC108" s="14"/>
      <c r="CD108" s="14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</row>
    <row r="109">
      <c r="A109" s="92">
        <v>3.0</v>
      </c>
      <c r="B109" s="94" t="s">
        <v>246</v>
      </c>
      <c r="C109" s="94" t="s">
        <v>53</v>
      </c>
      <c r="D109" s="95" t="str">
        <f t="shared" si="1"/>
        <v>3-PRD-F2-4</v>
      </c>
      <c r="E109" s="83"/>
      <c r="F109" s="150"/>
      <c r="G109" s="85"/>
      <c r="H109" s="49"/>
      <c r="I109" s="86"/>
      <c r="J109" s="87"/>
      <c r="K109" s="32" t="str">
        <f t="shared" si="2"/>
        <v>DISPONIBLE</v>
      </c>
      <c r="L109" s="33">
        <f t="shared" si="6"/>
        <v>108</v>
      </c>
      <c r="M109" s="33" t="s">
        <v>515</v>
      </c>
      <c r="N109" s="53"/>
      <c r="O109" s="33"/>
      <c r="P109" s="335" t="s">
        <v>388</v>
      </c>
      <c r="Q109" s="336"/>
      <c r="R109" s="342"/>
      <c r="S109" s="337"/>
      <c r="T109" s="33"/>
      <c r="U109" s="338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BB109" s="12"/>
      <c r="BG109" s="12"/>
      <c r="BH109" s="16"/>
      <c r="BI109" s="16"/>
      <c r="BJ109" s="12"/>
      <c r="BQ109" s="12"/>
      <c r="BX109" s="14"/>
      <c r="BY109" s="14"/>
      <c r="BZ109" s="14"/>
      <c r="CA109" s="14"/>
      <c r="CB109" s="14"/>
      <c r="CC109" s="14"/>
      <c r="CD109" s="14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</row>
    <row r="110">
      <c r="A110" s="92">
        <v>3.0</v>
      </c>
      <c r="B110" s="94" t="s">
        <v>246</v>
      </c>
      <c r="C110" s="94" t="s">
        <v>25</v>
      </c>
      <c r="D110" s="95" t="str">
        <f t="shared" si="1"/>
        <v>3-PRD-F2-5</v>
      </c>
      <c r="E110" s="83"/>
      <c r="F110" s="150"/>
      <c r="G110" s="85"/>
      <c r="H110" s="49"/>
      <c r="I110" s="86"/>
      <c r="J110" s="87"/>
      <c r="K110" s="27" t="str">
        <f t="shared" si="2"/>
        <v>DISPONIBLE</v>
      </c>
      <c r="L110" s="28">
        <f t="shared" si="6"/>
        <v>109</v>
      </c>
      <c r="M110" s="28" t="s">
        <v>515</v>
      </c>
      <c r="N110" s="70"/>
      <c r="O110" s="28"/>
      <c r="P110" s="331" t="s">
        <v>391</v>
      </c>
      <c r="Q110" s="332"/>
      <c r="R110" s="343"/>
      <c r="S110" s="333"/>
      <c r="T110" s="28"/>
      <c r="U110" s="334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BB110" s="12"/>
      <c r="BG110" s="12"/>
      <c r="BH110" s="16"/>
      <c r="BI110" s="16"/>
      <c r="BJ110" s="12"/>
      <c r="BQ110" s="12"/>
      <c r="BX110" s="14"/>
      <c r="BY110" s="14"/>
      <c r="BZ110" s="14"/>
      <c r="CA110" s="14"/>
      <c r="CB110" s="14"/>
      <c r="CC110" s="14"/>
      <c r="CD110" s="14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</row>
    <row r="111">
      <c r="A111" s="92">
        <v>3.0</v>
      </c>
      <c r="B111" s="94" t="s">
        <v>394</v>
      </c>
      <c r="C111" s="94" t="s">
        <v>18</v>
      </c>
      <c r="D111" s="95" t="str">
        <f t="shared" si="1"/>
        <v>3-PRD-F3-1</v>
      </c>
      <c r="E111" s="83"/>
      <c r="F111" s="150"/>
      <c r="G111" s="85"/>
      <c r="H111" s="49"/>
      <c r="I111" s="86"/>
      <c r="J111" s="87"/>
      <c r="K111" s="32" t="str">
        <f t="shared" si="2"/>
        <v>DISPONIBLE</v>
      </c>
      <c r="L111" s="33">
        <f t="shared" si="6"/>
        <v>110</v>
      </c>
      <c r="M111" s="33" t="s">
        <v>515</v>
      </c>
      <c r="N111" s="53"/>
      <c r="O111" s="33"/>
      <c r="P111" s="335" t="s">
        <v>395</v>
      </c>
      <c r="Q111" s="336"/>
      <c r="R111" s="342"/>
      <c r="S111" s="337"/>
      <c r="T111" s="33"/>
      <c r="U111" s="338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BB111" s="12"/>
      <c r="BG111" s="12"/>
      <c r="BH111" s="16"/>
      <c r="BI111" s="16"/>
      <c r="BJ111" s="12"/>
      <c r="BQ111" s="12"/>
      <c r="BX111" s="14"/>
      <c r="BY111" s="14"/>
      <c r="BZ111" s="14"/>
      <c r="CA111" s="14"/>
      <c r="CB111" s="14"/>
      <c r="CC111" s="14"/>
      <c r="CD111" s="14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</row>
    <row r="112">
      <c r="A112" s="92">
        <v>3.0</v>
      </c>
      <c r="B112" s="94" t="s">
        <v>394</v>
      </c>
      <c r="C112" s="94" t="s">
        <v>32</v>
      </c>
      <c r="D112" s="95" t="str">
        <f t="shared" si="1"/>
        <v>3-PRD-F3-2</v>
      </c>
      <c r="E112" s="83"/>
      <c r="F112" s="150"/>
      <c r="G112" s="85"/>
      <c r="H112" s="49"/>
      <c r="I112" s="86"/>
      <c r="J112" s="87"/>
      <c r="K112" s="27" t="str">
        <f t="shared" si="2"/>
        <v>DISPONIBLE</v>
      </c>
      <c r="L112" s="28">
        <f t="shared" si="6"/>
        <v>111</v>
      </c>
      <c r="M112" s="28" t="s">
        <v>515</v>
      </c>
      <c r="N112" s="70"/>
      <c r="O112" s="28"/>
      <c r="P112" s="331" t="s">
        <v>399</v>
      </c>
      <c r="Q112" s="332"/>
      <c r="R112" s="343"/>
      <c r="S112" s="333"/>
      <c r="T112" s="28"/>
      <c r="U112" s="334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BB112" s="12"/>
      <c r="BG112" s="12"/>
      <c r="BH112" s="16"/>
      <c r="BI112" s="16"/>
      <c r="BJ112" s="12"/>
      <c r="BQ112" s="12"/>
      <c r="BX112" s="14"/>
      <c r="BY112" s="14"/>
      <c r="BZ112" s="14"/>
      <c r="CA112" s="14"/>
      <c r="CB112" s="14"/>
      <c r="CC112" s="14"/>
      <c r="CD112" s="14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</row>
    <row r="113">
      <c r="A113" s="92">
        <v>3.0</v>
      </c>
      <c r="B113" s="94" t="s">
        <v>394</v>
      </c>
      <c r="C113" s="94" t="s">
        <v>44</v>
      </c>
      <c r="D113" s="95" t="str">
        <f t="shared" si="1"/>
        <v>3-PRD-F3-3</v>
      </c>
      <c r="E113" s="83"/>
      <c r="F113" s="150"/>
      <c r="G113" s="85"/>
      <c r="H113" s="49"/>
      <c r="I113" s="86"/>
      <c r="J113" s="87"/>
      <c r="K113" s="32" t="str">
        <f t="shared" si="2"/>
        <v>DISPONIBLE</v>
      </c>
      <c r="L113" s="33">
        <f t="shared" si="6"/>
        <v>112</v>
      </c>
      <c r="M113" s="33" t="s">
        <v>515</v>
      </c>
      <c r="N113" s="53"/>
      <c r="O113" s="33"/>
      <c r="P113" s="335" t="s">
        <v>402</v>
      </c>
      <c r="Q113" s="336"/>
      <c r="R113" s="342"/>
      <c r="S113" s="337"/>
      <c r="T113" s="33"/>
      <c r="U113" s="338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BB113" s="12"/>
      <c r="BG113" s="12"/>
      <c r="BH113" s="16"/>
      <c r="BI113" s="16"/>
      <c r="BJ113" s="12"/>
      <c r="BQ113" s="12"/>
      <c r="BX113" s="14"/>
      <c r="BY113" s="14"/>
      <c r="BZ113" s="14"/>
      <c r="CA113" s="14"/>
      <c r="CB113" s="14"/>
      <c r="CC113" s="14"/>
      <c r="CD113" s="14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</row>
    <row r="114">
      <c r="A114" s="92">
        <v>3.0</v>
      </c>
      <c r="B114" s="94" t="s">
        <v>394</v>
      </c>
      <c r="C114" s="94" t="s">
        <v>53</v>
      </c>
      <c r="D114" s="95" t="str">
        <f t="shared" si="1"/>
        <v>3-PRD-F3-4</v>
      </c>
      <c r="E114" s="83"/>
      <c r="F114" s="150"/>
      <c r="G114" s="85"/>
      <c r="H114" s="49"/>
      <c r="I114" s="86"/>
      <c r="J114" s="87"/>
      <c r="K114" s="27" t="str">
        <f t="shared" si="2"/>
        <v>DISPONIBLE</v>
      </c>
      <c r="L114" s="28">
        <f t="shared" si="6"/>
        <v>113</v>
      </c>
      <c r="M114" s="28" t="s">
        <v>515</v>
      </c>
      <c r="N114" s="70"/>
      <c r="O114" s="28"/>
      <c r="P114" s="331" t="s">
        <v>406</v>
      </c>
      <c r="Q114" s="332"/>
      <c r="R114" s="343"/>
      <c r="S114" s="333"/>
      <c r="T114" s="28"/>
      <c r="U114" s="334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BB114" s="12"/>
      <c r="BG114" s="12"/>
      <c r="BH114" s="16"/>
      <c r="BI114" s="16"/>
      <c r="BJ114" s="12"/>
      <c r="BQ114" s="12"/>
      <c r="BX114" s="14"/>
      <c r="BY114" s="14"/>
      <c r="BZ114" s="14"/>
      <c r="CA114" s="14"/>
      <c r="CB114" s="14"/>
      <c r="CC114" s="14"/>
      <c r="CD114" s="14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</row>
    <row r="115">
      <c r="A115" s="92">
        <v>3.0</v>
      </c>
      <c r="B115" s="94" t="s">
        <v>394</v>
      </c>
      <c r="C115" s="94" t="s">
        <v>25</v>
      </c>
      <c r="D115" s="95" t="str">
        <f t="shared" si="1"/>
        <v>3-PRD-F3-5</v>
      </c>
      <c r="E115" s="83"/>
      <c r="F115" s="150"/>
      <c r="G115" s="85"/>
      <c r="H115" s="49"/>
      <c r="I115" s="86"/>
      <c r="J115" s="87"/>
      <c r="K115" s="32" t="str">
        <f t="shared" si="2"/>
        <v>DISPONIBLE</v>
      </c>
      <c r="L115" s="33">
        <f t="shared" si="6"/>
        <v>114</v>
      </c>
      <c r="M115" s="33" t="s">
        <v>515</v>
      </c>
      <c r="N115" s="53"/>
      <c r="O115" s="33"/>
      <c r="P115" s="335" t="s">
        <v>410</v>
      </c>
      <c r="Q115" s="336"/>
      <c r="R115" s="342"/>
      <c r="S115" s="337"/>
      <c r="T115" s="33"/>
      <c r="U115" s="338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BB115" s="12"/>
      <c r="BG115" s="12"/>
      <c r="BH115" s="16"/>
      <c r="BI115" s="16"/>
      <c r="BJ115" s="12"/>
      <c r="BQ115" s="12"/>
      <c r="BX115" s="14"/>
      <c r="BY115" s="14"/>
      <c r="BZ115" s="14"/>
      <c r="CA115" s="14"/>
      <c r="CB115" s="14"/>
      <c r="CC115" s="14"/>
      <c r="CD115" s="14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</row>
    <row r="116">
      <c r="A116" s="92">
        <v>3.0</v>
      </c>
      <c r="B116" s="94" t="s">
        <v>415</v>
      </c>
      <c r="C116" s="94" t="s">
        <v>18</v>
      </c>
      <c r="D116" s="95" t="str">
        <f t="shared" si="1"/>
        <v>3-PRD-F4-1</v>
      </c>
      <c r="E116" s="96">
        <v>45749.0</v>
      </c>
      <c r="F116" s="97" t="s">
        <v>19</v>
      </c>
      <c r="G116" s="98" t="s">
        <v>762</v>
      </c>
      <c r="H116" s="99" t="s">
        <v>763</v>
      </c>
      <c r="I116" s="100">
        <v>19.0</v>
      </c>
      <c r="J116" s="101" t="s">
        <v>35</v>
      </c>
      <c r="K116" s="27" t="str">
        <f t="shared" si="2"/>
        <v>OCUPADO</v>
      </c>
      <c r="L116" s="28">
        <f t="shared" si="6"/>
        <v>115</v>
      </c>
      <c r="M116" s="28" t="s">
        <v>515</v>
      </c>
      <c r="N116" s="70"/>
      <c r="O116" s="28" t="s">
        <v>24</v>
      </c>
      <c r="P116" s="331" t="s">
        <v>297</v>
      </c>
      <c r="Q116" s="332">
        <v>45749.0</v>
      </c>
      <c r="R116" s="333" t="s">
        <v>19</v>
      </c>
      <c r="S116" s="333" t="s">
        <v>762</v>
      </c>
      <c r="T116" s="28" t="s">
        <v>763</v>
      </c>
      <c r="U116" s="334">
        <v>19.0</v>
      </c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BB116" s="12"/>
      <c r="BG116" s="12"/>
      <c r="BH116" s="16"/>
      <c r="BI116" s="16"/>
      <c r="BJ116" s="12"/>
      <c r="BQ116" s="12"/>
      <c r="BX116" s="14"/>
      <c r="BY116" s="14"/>
      <c r="BZ116" s="14"/>
      <c r="CA116" s="14"/>
      <c r="CB116" s="14"/>
      <c r="CC116" s="14"/>
      <c r="CD116" s="14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</row>
    <row r="117">
      <c r="A117" s="92">
        <v>3.0</v>
      </c>
      <c r="B117" s="94" t="s">
        <v>415</v>
      </c>
      <c r="C117" s="94" t="s">
        <v>32</v>
      </c>
      <c r="D117" s="95" t="str">
        <f t="shared" si="1"/>
        <v>3-PRD-F4-2</v>
      </c>
      <c r="E117" s="96">
        <v>45749.0</v>
      </c>
      <c r="F117" s="97" t="s">
        <v>19</v>
      </c>
      <c r="G117" s="98" t="s">
        <v>183</v>
      </c>
      <c r="H117" s="99" t="s">
        <v>184</v>
      </c>
      <c r="I117" s="100">
        <v>3.0</v>
      </c>
      <c r="J117" s="101" t="s">
        <v>35</v>
      </c>
      <c r="K117" s="32" t="str">
        <f t="shared" si="2"/>
        <v>OCUPADO</v>
      </c>
      <c r="L117" s="33">
        <f t="shared" si="6"/>
        <v>116</v>
      </c>
      <c r="M117" s="33" t="s">
        <v>515</v>
      </c>
      <c r="N117" s="53"/>
      <c r="O117" s="33" t="s">
        <v>24</v>
      </c>
      <c r="P117" s="335" t="s">
        <v>418</v>
      </c>
      <c r="Q117" s="336">
        <v>45749.0</v>
      </c>
      <c r="R117" s="337" t="s">
        <v>19</v>
      </c>
      <c r="S117" s="337" t="s">
        <v>183</v>
      </c>
      <c r="T117" s="33" t="s">
        <v>184</v>
      </c>
      <c r="U117" s="338">
        <v>3.0</v>
      </c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BB117" s="12"/>
      <c r="BG117" s="12"/>
      <c r="BH117" s="16"/>
      <c r="BI117" s="16"/>
      <c r="BJ117" s="12"/>
      <c r="BK117" s="12"/>
      <c r="BL117" s="12"/>
      <c r="BM117" s="12"/>
      <c r="BN117" s="12"/>
      <c r="BO117" s="12"/>
      <c r="BP117" s="12"/>
      <c r="BQ117" s="12"/>
      <c r="BX117" s="14"/>
      <c r="BY117" s="14"/>
      <c r="BZ117" s="14"/>
      <c r="CA117" s="14"/>
      <c r="CB117" s="14"/>
      <c r="CC117" s="14"/>
      <c r="CD117" s="14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</row>
    <row r="118">
      <c r="A118" s="92">
        <v>3.0</v>
      </c>
      <c r="B118" s="94" t="s">
        <v>415</v>
      </c>
      <c r="C118" s="94" t="s">
        <v>44</v>
      </c>
      <c r="D118" s="95" t="str">
        <f t="shared" si="1"/>
        <v>3-PRD-F4-3</v>
      </c>
      <c r="E118" s="83"/>
      <c r="F118" s="150"/>
      <c r="G118" s="85"/>
      <c r="H118" s="49"/>
      <c r="I118" s="86"/>
      <c r="J118" s="87"/>
      <c r="K118" s="27" t="str">
        <f t="shared" si="2"/>
        <v>DISPONIBLE</v>
      </c>
      <c r="L118" s="28">
        <f t="shared" si="6"/>
        <v>117</v>
      </c>
      <c r="M118" s="28" t="s">
        <v>515</v>
      </c>
      <c r="N118" s="70"/>
      <c r="O118" s="28"/>
      <c r="P118" s="331" t="s">
        <v>421</v>
      </c>
      <c r="Q118" s="332"/>
      <c r="R118" s="343"/>
      <c r="S118" s="333"/>
      <c r="T118" s="28"/>
      <c r="U118" s="334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BB118" s="12"/>
      <c r="BG118" s="12"/>
      <c r="BH118" s="16"/>
      <c r="BI118" s="16"/>
      <c r="BJ118" s="12"/>
      <c r="BK118" s="12"/>
      <c r="BL118" s="12"/>
      <c r="BM118" s="12"/>
      <c r="BN118" s="12"/>
      <c r="BO118" s="12"/>
      <c r="BP118" s="12"/>
      <c r="BQ118" s="12"/>
      <c r="BX118" s="14"/>
      <c r="BY118" s="14"/>
      <c r="BZ118" s="14"/>
      <c r="CA118" s="14"/>
      <c r="CB118" s="14"/>
      <c r="CC118" s="14"/>
      <c r="CD118" s="14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</row>
    <row r="119">
      <c r="A119" s="92">
        <v>3.0</v>
      </c>
      <c r="B119" s="94" t="s">
        <v>415</v>
      </c>
      <c r="C119" s="94" t="s">
        <v>53</v>
      </c>
      <c r="D119" s="95" t="str">
        <f t="shared" si="1"/>
        <v>3-PRD-F4-4</v>
      </c>
      <c r="E119" s="83"/>
      <c r="F119" s="150"/>
      <c r="G119" s="85"/>
      <c r="H119" s="49"/>
      <c r="I119" s="86"/>
      <c r="J119" s="87"/>
      <c r="K119" s="32" t="str">
        <f t="shared" si="2"/>
        <v>DISPONIBLE</v>
      </c>
      <c r="L119" s="33">
        <f t="shared" si="6"/>
        <v>118</v>
      </c>
      <c r="M119" s="33" t="s">
        <v>515</v>
      </c>
      <c r="N119" s="53"/>
      <c r="O119" s="33"/>
      <c r="P119" s="335" t="s">
        <v>424</v>
      </c>
      <c r="Q119" s="336"/>
      <c r="R119" s="342"/>
      <c r="S119" s="337"/>
      <c r="T119" s="33"/>
      <c r="U119" s="338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BB119" s="12"/>
      <c r="BG119" s="12"/>
      <c r="BH119" s="16"/>
      <c r="BI119" s="16"/>
      <c r="BJ119" s="12"/>
      <c r="BK119" s="12"/>
      <c r="BL119" s="12"/>
      <c r="BM119" s="12"/>
      <c r="BN119" s="12"/>
      <c r="BO119" s="12"/>
      <c r="BP119" s="12"/>
      <c r="BQ119" s="12"/>
      <c r="BX119" s="14"/>
      <c r="BY119" s="14"/>
      <c r="BZ119" s="14"/>
      <c r="CA119" s="14"/>
      <c r="CB119" s="14"/>
      <c r="CC119" s="14"/>
      <c r="CD119" s="14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</row>
    <row r="120">
      <c r="A120" s="151">
        <v>3.0</v>
      </c>
      <c r="B120" s="152" t="s">
        <v>415</v>
      </c>
      <c r="C120" s="152" t="s">
        <v>25</v>
      </c>
      <c r="D120" s="153" t="str">
        <f t="shared" si="1"/>
        <v>3-PRD-F4-5</v>
      </c>
      <c r="E120" s="57"/>
      <c r="F120" s="58"/>
      <c r="G120" s="59"/>
      <c r="H120" s="60"/>
      <c r="I120" s="61"/>
      <c r="J120" s="62"/>
      <c r="K120" s="63" t="str">
        <f t="shared" si="2"/>
        <v>DISPONIBLE</v>
      </c>
      <c r="L120" s="64">
        <f t="shared" si="6"/>
        <v>119</v>
      </c>
      <c r="M120" s="64" t="s">
        <v>515</v>
      </c>
      <c r="N120" s="65"/>
      <c r="O120" s="64"/>
      <c r="P120" s="331" t="s">
        <v>430</v>
      </c>
      <c r="Q120" s="332"/>
      <c r="R120" s="343"/>
      <c r="S120" s="333"/>
      <c r="T120" s="28"/>
      <c r="U120" s="334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BB120" s="12"/>
      <c r="BG120" s="12"/>
      <c r="BH120" s="16"/>
      <c r="BI120" s="16"/>
      <c r="BJ120" s="12"/>
      <c r="BK120" s="12"/>
      <c r="BL120" s="12"/>
      <c r="BM120" s="12"/>
      <c r="BN120" s="12"/>
      <c r="BO120" s="12"/>
      <c r="BP120" s="12"/>
      <c r="BQ120" s="12"/>
      <c r="BX120" s="14"/>
      <c r="BY120" s="14"/>
      <c r="BZ120" s="14"/>
      <c r="CA120" s="14"/>
      <c r="CB120" s="14"/>
      <c r="CC120" s="14"/>
      <c r="CD120" s="14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</row>
    <row r="121">
      <c r="A121" s="158">
        <v>4.0</v>
      </c>
      <c r="B121" s="159" t="s">
        <v>18</v>
      </c>
      <c r="C121" s="160" t="s">
        <v>269</v>
      </c>
      <c r="D121" s="161" t="str">
        <f t="shared" si="1"/>
        <v>4-1-A</v>
      </c>
      <c r="E121" s="162">
        <v>45708.0</v>
      </c>
      <c r="F121" s="163" t="s">
        <v>702</v>
      </c>
      <c r="G121" s="164" t="s">
        <v>330</v>
      </c>
      <c r="H121" s="165" t="s">
        <v>331</v>
      </c>
      <c r="I121" s="166">
        <v>38.0</v>
      </c>
      <c r="J121" s="167" t="s">
        <v>43</v>
      </c>
      <c r="K121" s="32" t="str">
        <f t="shared" si="2"/>
        <v>OCUPADO</v>
      </c>
      <c r="L121" s="33">
        <f t="shared" si="6"/>
        <v>120</v>
      </c>
      <c r="M121" s="33" t="s">
        <v>23</v>
      </c>
      <c r="N121" s="122"/>
      <c r="O121" s="353" t="s">
        <v>270</v>
      </c>
      <c r="P121" s="354" t="s">
        <v>40</v>
      </c>
      <c r="Q121" s="355">
        <v>45708.0</v>
      </c>
      <c r="R121" s="356" t="s">
        <v>702</v>
      </c>
      <c r="S121" s="356" t="s">
        <v>330</v>
      </c>
      <c r="T121" s="353" t="s">
        <v>331</v>
      </c>
      <c r="U121" s="357">
        <v>36.0</v>
      </c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BB121" s="12"/>
      <c r="BG121" s="12" t="str">
        <f>IFERROR(__xludf.DUMMYFUNCTION("IFERROR(INDEX(QUERY(IMPORTRANGE(""1T7HG8KEs-Ob7f3M5atEVN9Yn7IeORGp0QGvggB62ELw"",""Maestro!A:I""),""SELECT Col8 WHERE Col3 = '""&amp;BD121&amp;""'"", 0), 1, 1),""NO ENCONTRADO"")"),"NO ENCONTRADO")</f>
        <v>NO ENCONTRADO</v>
      </c>
      <c r="BH121" s="16">
        <v>1.0</v>
      </c>
      <c r="BI121" s="16">
        <f t="shared" ref="BI121:BI197" si="7">IFERROR(ROUND(IF(BG121="D",BF121/BH121,BF121*BH121),0),1)</f>
        <v>8</v>
      </c>
      <c r="BJ121" s="12"/>
      <c r="BK121" s="12"/>
      <c r="BL121" s="12"/>
      <c r="BM121" s="12"/>
      <c r="BN121" s="12"/>
      <c r="BO121" s="12"/>
      <c r="BP121" s="12"/>
      <c r="BQ121" s="12"/>
      <c r="BX121" s="14"/>
      <c r="BY121" s="14"/>
      <c r="BZ121" s="14"/>
      <c r="CA121" s="14"/>
      <c r="CB121" s="14"/>
      <c r="CC121" s="14"/>
      <c r="CD121" s="14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</row>
    <row r="122">
      <c r="A122" s="158">
        <v>4.0</v>
      </c>
      <c r="B122" s="159" t="s">
        <v>18</v>
      </c>
      <c r="C122" s="160" t="s">
        <v>277</v>
      </c>
      <c r="D122" s="161" t="str">
        <f t="shared" si="1"/>
        <v>4-1-B</v>
      </c>
      <c r="E122" s="162">
        <v>45700.0</v>
      </c>
      <c r="F122" s="163" t="s">
        <v>567</v>
      </c>
      <c r="G122" s="164" t="s">
        <v>291</v>
      </c>
      <c r="H122" s="165" t="s">
        <v>292</v>
      </c>
      <c r="I122" s="166">
        <v>140.0</v>
      </c>
      <c r="J122" s="167" t="s">
        <v>43</v>
      </c>
      <c r="K122" s="27" t="str">
        <f t="shared" si="2"/>
        <v>OCUPADO</v>
      </c>
      <c r="L122" s="28">
        <f t="shared" si="6"/>
        <v>121</v>
      </c>
      <c r="M122" s="28" t="s">
        <v>23</v>
      </c>
      <c r="N122" s="109"/>
      <c r="O122" s="358" t="s">
        <v>270</v>
      </c>
      <c r="P122" s="359" t="s">
        <v>52</v>
      </c>
      <c r="Q122" s="360">
        <v>45700.0</v>
      </c>
      <c r="R122" s="361" t="s">
        <v>567</v>
      </c>
      <c r="S122" s="361" t="s">
        <v>291</v>
      </c>
      <c r="T122" s="358" t="s">
        <v>292</v>
      </c>
      <c r="U122" s="362">
        <v>140.0</v>
      </c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BB122" s="12"/>
      <c r="BG122" s="12" t="str">
        <f>IFERROR(__xludf.DUMMYFUNCTION("IFERROR(INDEX(QUERY(IMPORTRANGE(""1T7HG8KEs-Ob7f3M5atEVN9Yn7IeORGp0QGvggB62ELw"",""Maestro!A:I""),""SELECT Col8 WHERE Col3 = '""&amp;BD122&amp;""'"", 0), 1, 1),""NO ENCONTRADO"")"),"D")</f>
        <v>D</v>
      </c>
      <c r="BH122" s="16">
        <v>1.0</v>
      </c>
      <c r="BI122" s="16">
        <f t="shared" si="7"/>
        <v>12</v>
      </c>
      <c r="BJ122" s="12"/>
      <c r="BK122" s="12"/>
      <c r="BL122" s="12"/>
      <c r="BM122" s="12"/>
      <c r="BN122" s="12"/>
      <c r="BO122" s="12"/>
      <c r="BP122" s="12"/>
      <c r="BQ122" s="12"/>
      <c r="BX122" s="14"/>
      <c r="BY122" s="14"/>
      <c r="BZ122" s="14"/>
      <c r="CA122" s="14"/>
      <c r="CB122" s="14"/>
      <c r="CC122" s="14"/>
      <c r="CD122" s="14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</row>
    <row r="123">
      <c r="A123" s="158">
        <v>4.0</v>
      </c>
      <c r="B123" s="159" t="s">
        <v>18</v>
      </c>
      <c r="C123" s="160" t="s">
        <v>282</v>
      </c>
      <c r="D123" s="161" t="str">
        <f t="shared" si="1"/>
        <v>4-1-C</v>
      </c>
      <c r="E123" s="162">
        <v>45758.0</v>
      </c>
      <c r="F123" s="163" t="s">
        <v>567</v>
      </c>
      <c r="G123" s="164" t="s">
        <v>291</v>
      </c>
      <c r="H123" s="165" t="s">
        <v>292</v>
      </c>
      <c r="I123" s="166">
        <v>140.0</v>
      </c>
      <c r="J123" s="167" t="s">
        <v>43</v>
      </c>
      <c r="K123" s="32" t="str">
        <f t="shared" si="2"/>
        <v>OCUPADO</v>
      </c>
      <c r="L123" s="33">
        <f t="shared" si="6"/>
        <v>122</v>
      </c>
      <c r="M123" s="33" t="s">
        <v>23</v>
      </c>
      <c r="N123" s="122"/>
      <c r="O123" s="353" t="s">
        <v>270</v>
      </c>
      <c r="P123" s="354" t="s">
        <v>59</v>
      </c>
      <c r="Q123" s="355">
        <v>45758.0</v>
      </c>
      <c r="R123" s="356" t="s">
        <v>567</v>
      </c>
      <c r="S123" s="356" t="s">
        <v>291</v>
      </c>
      <c r="T123" s="353" t="s">
        <v>292</v>
      </c>
      <c r="U123" s="357">
        <v>140.0</v>
      </c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BB123" s="12"/>
      <c r="BC123" s="12"/>
      <c r="BD123" s="14"/>
      <c r="BE123" s="12"/>
      <c r="BF123" s="12"/>
      <c r="BG123" s="12" t="str">
        <f>IFERROR(__xludf.DUMMYFUNCTION("IFERROR(INDEX(QUERY(IMPORTRANGE(""1T7HG8KEs-Ob7f3M5atEVN9Yn7IeORGp0QGvggB62ELw"",""Maestro!A:I""),""SELECT Col8 WHERE Col3 = '""&amp;BD123&amp;""'"", 0), 1, 1),""NO ENCONTRADO"")"),"")</f>
        <v/>
      </c>
      <c r="BH123" s="16">
        <v>1.0</v>
      </c>
      <c r="BI123" s="16">
        <f t="shared" si="7"/>
        <v>0</v>
      </c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4"/>
      <c r="BW123" s="14"/>
      <c r="BX123" s="14"/>
      <c r="BY123" s="14"/>
      <c r="BZ123" s="14"/>
      <c r="CA123" s="14"/>
      <c r="CB123" s="14"/>
      <c r="CC123" s="14"/>
      <c r="CD123" s="14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</row>
    <row r="124">
      <c r="A124" s="158">
        <v>4.0</v>
      </c>
      <c r="B124" s="159" t="s">
        <v>18</v>
      </c>
      <c r="C124" s="160" t="s">
        <v>285</v>
      </c>
      <c r="D124" s="161" t="str">
        <f t="shared" si="1"/>
        <v>4-1-D</v>
      </c>
      <c r="E124" s="162">
        <v>45758.0</v>
      </c>
      <c r="F124" s="163" t="s">
        <v>567</v>
      </c>
      <c r="G124" s="164" t="s">
        <v>291</v>
      </c>
      <c r="H124" s="165" t="s">
        <v>292</v>
      </c>
      <c r="I124" s="166">
        <v>120.0</v>
      </c>
      <c r="J124" s="167" t="s">
        <v>43</v>
      </c>
      <c r="K124" s="27" t="str">
        <f t="shared" si="2"/>
        <v>OCUPADO</v>
      </c>
      <c r="L124" s="28">
        <f t="shared" si="6"/>
        <v>123</v>
      </c>
      <c r="M124" s="28" t="s">
        <v>23</v>
      </c>
      <c r="N124" s="109"/>
      <c r="O124" s="358" t="s">
        <v>270</v>
      </c>
      <c r="P124" s="359" t="s">
        <v>65</v>
      </c>
      <c r="Q124" s="360">
        <v>45758.0</v>
      </c>
      <c r="R124" s="361" t="s">
        <v>567</v>
      </c>
      <c r="S124" s="361" t="s">
        <v>291</v>
      </c>
      <c r="T124" s="358" t="s">
        <v>292</v>
      </c>
      <c r="U124" s="362">
        <v>117.0</v>
      </c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BB124" s="12"/>
      <c r="BC124" s="12"/>
      <c r="BD124" s="14"/>
      <c r="BE124" s="12"/>
      <c r="BF124" s="12"/>
      <c r="BG124" s="12" t="str">
        <f>IFERROR(__xludf.DUMMYFUNCTION("IFERROR(INDEX(QUERY(IMPORTRANGE(""1T7HG8KEs-Ob7f3M5atEVN9Yn7IeORGp0QGvggB62ELw"",""Maestro!A:I""),""SELECT Col8 WHERE Col3 = '""&amp;BD124&amp;""'"", 0), 1, 1),""NO ENCONTRADO"")"),"")</f>
        <v/>
      </c>
      <c r="BH124" s="16">
        <v>1.0</v>
      </c>
      <c r="BI124" s="16">
        <f t="shared" si="7"/>
        <v>0</v>
      </c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4"/>
      <c r="BW124" s="14"/>
      <c r="BX124" s="14"/>
      <c r="BY124" s="14"/>
      <c r="BZ124" s="14"/>
      <c r="CA124" s="14"/>
      <c r="CB124" s="14"/>
      <c r="CC124" s="14"/>
      <c r="CD124" s="14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</row>
    <row r="125">
      <c r="A125" s="158">
        <v>4.0</v>
      </c>
      <c r="B125" s="159" t="s">
        <v>18</v>
      </c>
      <c r="C125" s="160" t="s">
        <v>289</v>
      </c>
      <c r="D125" s="161" t="str">
        <f t="shared" si="1"/>
        <v>4-1-E</v>
      </c>
      <c r="E125" s="103"/>
      <c r="F125" s="104"/>
      <c r="G125" s="105"/>
      <c r="H125" s="106"/>
      <c r="I125" s="107"/>
      <c r="J125" s="108"/>
      <c r="K125" s="32" t="str">
        <f t="shared" si="2"/>
        <v>DISPONIBLE</v>
      </c>
      <c r="L125" s="33">
        <f t="shared" si="6"/>
        <v>124</v>
      </c>
      <c r="M125" s="33" t="s">
        <v>23</v>
      </c>
      <c r="N125" s="122"/>
      <c r="O125" s="353"/>
      <c r="P125" s="354" t="s">
        <v>72</v>
      </c>
      <c r="Q125" s="355"/>
      <c r="R125" s="363"/>
      <c r="S125" s="356"/>
      <c r="T125" s="353"/>
      <c r="U125" s="357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BB125" s="12"/>
      <c r="BC125" s="12"/>
      <c r="BD125" s="14"/>
      <c r="BE125" s="12"/>
      <c r="BF125" s="12"/>
      <c r="BG125" s="12" t="str">
        <f>IFERROR(__xludf.DUMMYFUNCTION("IFERROR(INDEX(QUERY(IMPORTRANGE(""1T7HG8KEs-Ob7f3M5atEVN9Yn7IeORGp0QGvggB62ELw"",""Maestro!A:I""),""SELECT Col8 WHERE Col3 = '""&amp;BD125&amp;""'"", 0), 1, 1),""NO ENCONTRADO"")"),"")</f>
        <v/>
      </c>
      <c r="BH125" s="16">
        <v>1.0</v>
      </c>
      <c r="BI125" s="16">
        <f t="shared" si="7"/>
        <v>0</v>
      </c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4"/>
      <c r="BW125" s="14"/>
      <c r="BX125" s="14"/>
      <c r="BY125" s="14"/>
      <c r="BZ125" s="14"/>
      <c r="CA125" s="14"/>
      <c r="CB125" s="14"/>
      <c r="CC125" s="14"/>
      <c r="CD125" s="14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</row>
    <row r="126">
      <c r="A126" s="158">
        <v>4.0</v>
      </c>
      <c r="B126" s="159" t="s">
        <v>32</v>
      </c>
      <c r="C126" s="160" t="s">
        <v>269</v>
      </c>
      <c r="D126" s="161" t="str">
        <f t="shared" si="1"/>
        <v>4-2-A</v>
      </c>
      <c r="E126" s="162">
        <v>45721.0</v>
      </c>
      <c r="F126" s="163" t="s">
        <v>567</v>
      </c>
      <c r="G126" s="164" t="s">
        <v>291</v>
      </c>
      <c r="H126" s="165" t="s">
        <v>292</v>
      </c>
      <c r="I126" s="166">
        <v>120.0</v>
      </c>
      <c r="J126" s="167" t="s">
        <v>43</v>
      </c>
      <c r="K126" s="27" t="str">
        <f t="shared" si="2"/>
        <v>OCUPADO</v>
      </c>
      <c r="L126" s="28">
        <f t="shared" si="6"/>
        <v>125</v>
      </c>
      <c r="M126" s="28" t="s">
        <v>23</v>
      </c>
      <c r="N126" s="109"/>
      <c r="O126" s="358" t="s">
        <v>270</v>
      </c>
      <c r="P126" s="359" t="s">
        <v>290</v>
      </c>
      <c r="Q126" s="360">
        <v>45721.0</v>
      </c>
      <c r="R126" s="361" t="s">
        <v>567</v>
      </c>
      <c r="S126" s="361" t="s">
        <v>291</v>
      </c>
      <c r="T126" s="358" t="s">
        <v>292</v>
      </c>
      <c r="U126" s="362">
        <v>120.0</v>
      </c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BB126" s="12"/>
      <c r="BC126" s="12"/>
      <c r="BD126" s="14"/>
      <c r="BE126" s="12"/>
      <c r="BF126" s="12"/>
      <c r="BG126" s="12" t="str">
        <f>IFERROR(__xludf.DUMMYFUNCTION("IFERROR(INDEX(QUERY(IMPORTRANGE(""1T7HG8KEs-Ob7f3M5atEVN9Yn7IeORGp0QGvggB62ELw"",""Maestro!A:I""),""SELECT Col8 WHERE Col3 = '""&amp;BD126&amp;""'"", 0), 1, 1),""NO ENCONTRADO"")"),"")</f>
        <v/>
      </c>
      <c r="BH126" s="16">
        <v>1.0</v>
      </c>
      <c r="BI126" s="16">
        <f t="shared" si="7"/>
        <v>0</v>
      </c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4"/>
      <c r="BW126" s="14"/>
      <c r="BX126" s="14"/>
      <c r="BY126" s="14"/>
      <c r="BZ126" s="14"/>
      <c r="CA126" s="14"/>
      <c r="CB126" s="14"/>
      <c r="CC126" s="14"/>
      <c r="CD126" s="14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</row>
    <row r="127">
      <c r="A127" s="158">
        <v>4.0</v>
      </c>
      <c r="B127" s="159" t="s">
        <v>32</v>
      </c>
      <c r="C127" s="160" t="s">
        <v>277</v>
      </c>
      <c r="D127" s="161" t="str">
        <f t="shared" si="1"/>
        <v>4-2-B</v>
      </c>
      <c r="E127" s="162">
        <v>45721.0</v>
      </c>
      <c r="F127" s="163" t="s">
        <v>567</v>
      </c>
      <c r="G127" s="164" t="s">
        <v>291</v>
      </c>
      <c r="H127" s="165" t="s">
        <v>292</v>
      </c>
      <c r="I127" s="166">
        <v>120.0</v>
      </c>
      <c r="J127" s="167" t="s">
        <v>43</v>
      </c>
      <c r="K127" s="32" t="str">
        <f t="shared" si="2"/>
        <v>OCUPADO</v>
      </c>
      <c r="L127" s="33">
        <f t="shared" si="6"/>
        <v>126</v>
      </c>
      <c r="M127" s="33" t="s">
        <v>23</v>
      </c>
      <c r="N127" s="122"/>
      <c r="O127" s="353" t="s">
        <v>270</v>
      </c>
      <c r="P127" s="354" t="s">
        <v>298</v>
      </c>
      <c r="Q127" s="355">
        <v>45721.0</v>
      </c>
      <c r="R127" s="356" t="s">
        <v>567</v>
      </c>
      <c r="S127" s="356" t="s">
        <v>291</v>
      </c>
      <c r="T127" s="353" t="s">
        <v>292</v>
      </c>
      <c r="U127" s="357">
        <v>120.0</v>
      </c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BB127" s="12"/>
      <c r="BC127" s="12"/>
      <c r="BD127" s="14"/>
      <c r="BE127" s="12"/>
      <c r="BF127" s="12"/>
      <c r="BG127" s="12" t="str">
        <f>IFERROR(__xludf.DUMMYFUNCTION("IFERROR(INDEX(QUERY(IMPORTRANGE(""1T7HG8KEs-Ob7f3M5atEVN9Yn7IeORGp0QGvggB62ELw"",""Maestro!A:I""),""SELECT Col8 WHERE Col3 = '""&amp;BD127&amp;""'"", 0), 1, 1),""NO ENCONTRADO"")"),"")</f>
        <v/>
      </c>
      <c r="BH127" s="16">
        <v>1.0</v>
      </c>
      <c r="BI127" s="16">
        <f t="shared" si="7"/>
        <v>0</v>
      </c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4"/>
      <c r="BW127" s="14"/>
      <c r="BX127" s="14"/>
      <c r="BY127" s="14"/>
      <c r="BZ127" s="14"/>
      <c r="CA127" s="14"/>
      <c r="CB127" s="14"/>
      <c r="CC127" s="14"/>
      <c r="CD127" s="14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</row>
    <row r="128">
      <c r="A128" s="158">
        <v>4.0</v>
      </c>
      <c r="B128" s="159" t="s">
        <v>32</v>
      </c>
      <c r="C128" s="160" t="s">
        <v>282</v>
      </c>
      <c r="D128" s="161" t="str">
        <f t="shared" si="1"/>
        <v>4-2-C</v>
      </c>
      <c r="E128" s="162">
        <v>45721.0</v>
      </c>
      <c r="F128" s="163" t="s">
        <v>567</v>
      </c>
      <c r="G128" s="164" t="s">
        <v>291</v>
      </c>
      <c r="H128" s="165" t="s">
        <v>292</v>
      </c>
      <c r="I128" s="166">
        <v>120.0</v>
      </c>
      <c r="J128" s="167" t="s">
        <v>43</v>
      </c>
      <c r="K128" s="27" t="str">
        <f t="shared" si="2"/>
        <v>OCUPADO</v>
      </c>
      <c r="L128" s="28">
        <f t="shared" si="6"/>
        <v>127</v>
      </c>
      <c r="M128" s="28" t="s">
        <v>23</v>
      </c>
      <c r="N128" s="109"/>
      <c r="O128" s="358" t="s">
        <v>270</v>
      </c>
      <c r="P128" s="359" t="s">
        <v>303</v>
      </c>
      <c r="Q128" s="360">
        <v>45721.0</v>
      </c>
      <c r="R128" s="361" t="s">
        <v>567</v>
      </c>
      <c r="S128" s="361" t="s">
        <v>291</v>
      </c>
      <c r="T128" s="358" t="s">
        <v>292</v>
      </c>
      <c r="U128" s="362">
        <v>120.0</v>
      </c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BB128" s="12"/>
      <c r="BC128" s="12"/>
      <c r="BD128" s="14"/>
      <c r="BE128" s="12"/>
      <c r="BF128" s="12"/>
      <c r="BG128" s="12" t="str">
        <f>IFERROR(__xludf.DUMMYFUNCTION("IFERROR(INDEX(QUERY(IMPORTRANGE(""1T7HG8KEs-Ob7f3M5atEVN9Yn7IeORGp0QGvggB62ELw"",""Maestro!A:I""),""SELECT Col8 WHERE Col3 = '""&amp;BD128&amp;""'"", 0), 1, 1),""NO ENCONTRADO"")"),"")</f>
        <v/>
      </c>
      <c r="BH128" s="16">
        <v>1.0</v>
      </c>
      <c r="BI128" s="16">
        <f t="shared" si="7"/>
        <v>0</v>
      </c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4"/>
      <c r="BW128" s="14"/>
      <c r="BX128" s="14"/>
      <c r="BY128" s="14"/>
      <c r="BZ128" s="14"/>
      <c r="CA128" s="14"/>
      <c r="CB128" s="14"/>
      <c r="CC128" s="14"/>
      <c r="CD128" s="14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</row>
    <row r="129">
      <c r="A129" s="158">
        <v>4.0</v>
      </c>
      <c r="B129" s="159" t="s">
        <v>32</v>
      </c>
      <c r="C129" s="160" t="s">
        <v>285</v>
      </c>
      <c r="D129" s="161" t="str">
        <f t="shared" si="1"/>
        <v>4-2-D</v>
      </c>
      <c r="E129" s="162">
        <v>45751.0</v>
      </c>
      <c r="F129" s="163" t="s">
        <v>19</v>
      </c>
      <c r="G129" s="164" t="s">
        <v>41</v>
      </c>
      <c r="H129" s="165" t="s">
        <v>42</v>
      </c>
      <c r="I129" s="166">
        <v>9.0</v>
      </c>
      <c r="J129" s="167" t="s">
        <v>43</v>
      </c>
      <c r="K129" s="32" t="str">
        <f t="shared" si="2"/>
        <v>OCUPADO</v>
      </c>
      <c r="L129" s="33">
        <f t="shared" si="6"/>
        <v>128</v>
      </c>
      <c r="M129" s="33" t="s">
        <v>23</v>
      </c>
      <c r="N129" s="122"/>
      <c r="O129" s="353" t="s">
        <v>270</v>
      </c>
      <c r="P129" s="354" t="s">
        <v>447</v>
      </c>
      <c r="Q129" s="355">
        <v>45751.0</v>
      </c>
      <c r="R129" s="356" t="s">
        <v>19</v>
      </c>
      <c r="S129" s="356" t="s">
        <v>41</v>
      </c>
      <c r="T129" s="353" t="s">
        <v>42</v>
      </c>
      <c r="U129" s="357">
        <v>8.0</v>
      </c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BB129" s="12"/>
      <c r="BC129" s="12"/>
      <c r="BD129" s="14"/>
      <c r="BE129" s="12"/>
      <c r="BF129" s="12"/>
      <c r="BG129" s="12" t="str">
        <f>IFERROR(__xludf.DUMMYFUNCTION("IFERROR(INDEX(QUERY(IMPORTRANGE(""1T7HG8KEs-Ob7f3M5atEVN9Yn7IeORGp0QGvggB62ELw"",""Maestro!A:I""),""SELECT Col8 WHERE Col3 = '""&amp;BD129&amp;""'"", 0), 1, 1),""NO ENCONTRADO"")"),"")</f>
        <v/>
      </c>
      <c r="BH129" s="16">
        <v>1.0</v>
      </c>
      <c r="BI129" s="16">
        <f t="shared" si="7"/>
        <v>0</v>
      </c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4"/>
      <c r="BW129" s="14"/>
      <c r="BX129" s="14"/>
      <c r="BY129" s="14"/>
      <c r="BZ129" s="14"/>
      <c r="CA129" s="14"/>
      <c r="CB129" s="14"/>
      <c r="CC129" s="14"/>
      <c r="CD129" s="14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</row>
    <row r="130">
      <c r="A130" s="158">
        <v>4.0</v>
      </c>
      <c r="B130" s="159" t="s">
        <v>44</v>
      </c>
      <c r="C130" s="160" t="s">
        <v>269</v>
      </c>
      <c r="D130" s="161" t="str">
        <f t="shared" si="1"/>
        <v>4-3-A</v>
      </c>
      <c r="E130" s="103"/>
      <c r="F130" s="104"/>
      <c r="G130" s="105"/>
      <c r="H130" s="106"/>
      <c r="I130" s="107"/>
      <c r="J130" s="108"/>
      <c r="K130" s="27" t="str">
        <f t="shared" si="2"/>
        <v>DISPONIBLE</v>
      </c>
      <c r="L130" s="28">
        <f t="shared" si="6"/>
        <v>129</v>
      </c>
      <c r="M130" s="28" t="s">
        <v>23</v>
      </c>
      <c r="N130" s="109"/>
      <c r="O130" s="358"/>
      <c r="P130" s="359" t="s">
        <v>322</v>
      </c>
      <c r="Q130" s="360"/>
      <c r="R130" s="364"/>
      <c r="S130" s="361"/>
      <c r="T130" s="358"/>
      <c r="U130" s="36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BB130" s="12"/>
      <c r="BC130" s="12"/>
      <c r="BD130" s="14"/>
      <c r="BE130" s="12"/>
      <c r="BF130" s="12"/>
      <c r="BG130" s="12" t="str">
        <f>IFERROR(__xludf.DUMMYFUNCTION("IFERROR(INDEX(QUERY(IMPORTRANGE(""1T7HG8KEs-Ob7f3M5atEVN9Yn7IeORGp0QGvggB62ELw"",""Maestro!A:I""),""SELECT Col8 WHERE Col3 = '""&amp;BD130&amp;""'"", 0), 1, 1),""NO ENCONTRADO"")"),"")</f>
        <v/>
      </c>
      <c r="BH130" s="16">
        <v>1.0</v>
      </c>
      <c r="BI130" s="16">
        <f t="shared" si="7"/>
        <v>0</v>
      </c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4"/>
      <c r="BW130" s="14"/>
      <c r="BX130" s="14"/>
      <c r="BY130" s="14"/>
      <c r="BZ130" s="14"/>
      <c r="CA130" s="14"/>
      <c r="CB130" s="14"/>
      <c r="CC130" s="14"/>
      <c r="CD130" s="14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</row>
    <row r="131">
      <c r="A131" s="158">
        <v>4.0</v>
      </c>
      <c r="B131" s="159" t="s">
        <v>44</v>
      </c>
      <c r="C131" s="160" t="s">
        <v>277</v>
      </c>
      <c r="D131" s="161" t="str">
        <f t="shared" si="1"/>
        <v>4-3-B</v>
      </c>
      <c r="E131" s="103"/>
      <c r="F131" s="104"/>
      <c r="G131" s="105"/>
      <c r="H131" s="106"/>
      <c r="I131" s="107"/>
      <c r="J131" s="108"/>
      <c r="K131" s="32" t="str">
        <f t="shared" si="2"/>
        <v>DISPONIBLE</v>
      </c>
      <c r="L131" s="33">
        <f t="shared" si="6"/>
        <v>130</v>
      </c>
      <c r="M131" s="33" t="s">
        <v>23</v>
      </c>
      <c r="N131" s="122"/>
      <c r="O131" s="353"/>
      <c r="P131" s="354" t="s">
        <v>327</v>
      </c>
      <c r="Q131" s="355"/>
      <c r="R131" s="363"/>
      <c r="S131" s="356"/>
      <c r="T131" s="353"/>
      <c r="U131" s="357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BB131" s="12"/>
      <c r="BC131" s="12"/>
      <c r="BD131" s="14"/>
      <c r="BE131" s="12"/>
      <c r="BF131" s="12"/>
      <c r="BG131" s="12" t="str">
        <f>IFERROR(__xludf.DUMMYFUNCTION("IFERROR(INDEX(QUERY(IMPORTRANGE(""1T7HG8KEs-Ob7f3M5atEVN9Yn7IeORGp0QGvggB62ELw"",""Maestro!A:I""),""SELECT Col8 WHERE Col3 = '""&amp;BD131&amp;""'"", 0), 1, 1),""NO ENCONTRADO"")"),"")</f>
        <v/>
      </c>
      <c r="BH131" s="16">
        <v>1.0</v>
      </c>
      <c r="BI131" s="16">
        <f t="shared" si="7"/>
        <v>0</v>
      </c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4"/>
      <c r="BW131" s="14"/>
      <c r="BX131" s="14"/>
      <c r="BY131" s="14"/>
      <c r="BZ131" s="14"/>
      <c r="CA131" s="14"/>
      <c r="CB131" s="14"/>
      <c r="CC131" s="14"/>
      <c r="CD131" s="14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</row>
    <row r="132">
      <c r="A132" s="158">
        <v>4.0</v>
      </c>
      <c r="B132" s="159" t="s">
        <v>44</v>
      </c>
      <c r="C132" s="160" t="s">
        <v>282</v>
      </c>
      <c r="D132" s="161" t="str">
        <f t="shared" si="1"/>
        <v>4-3-C</v>
      </c>
      <c r="E132" s="162">
        <v>45721.0</v>
      </c>
      <c r="F132" s="163" t="s">
        <v>770</v>
      </c>
      <c r="G132" s="164" t="s">
        <v>196</v>
      </c>
      <c r="H132" s="165" t="s">
        <v>197</v>
      </c>
      <c r="I132" s="166">
        <v>11.0</v>
      </c>
      <c r="J132" s="167" t="s">
        <v>43</v>
      </c>
      <c r="K132" s="27" t="str">
        <f t="shared" si="2"/>
        <v>OCUPADO</v>
      </c>
      <c r="L132" s="28">
        <f t="shared" si="6"/>
        <v>131</v>
      </c>
      <c r="M132" s="28" t="s">
        <v>23</v>
      </c>
      <c r="N132" s="109"/>
      <c r="O132" s="358" t="s">
        <v>270</v>
      </c>
      <c r="P132" s="359" t="s">
        <v>332</v>
      </c>
      <c r="Q132" s="360">
        <v>45721.0</v>
      </c>
      <c r="R132" s="361" t="s">
        <v>770</v>
      </c>
      <c r="S132" s="361" t="s">
        <v>196</v>
      </c>
      <c r="T132" s="358" t="s">
        <v>197</v>
      </c>
      <c r="U132" s="362">
        <v>8.0</v>
      </c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BB132" s="12"/>
      <c r="BC132" s="12"/>
      <c r="BD132" s="14"/>
      <c r="BE132" s="12"/>
      <c r="BF132" s="12"/>
      <c r="BG132" s="12" t="str">
        <f>IFERROR(__xludf.DUMMYFUNCTION("IFERROR(INDEX(QUERY(IMPORTRANGE(""1T7HG8KEs-Ob7f3M5atEVN9Yn7IeORGp0QGvggB62ELw"",""Maestro!A:I""),""SELECT Col8 WHERE Col3 = '""&amp;BD132&amp;""'"", 0), 1, 1),""NO ENCONTRADO"")"),"")</f>
        <v/>
      </c>
      <c r="BH132" s="16">
        <v>1.0</v>
      </c>
      <c r="BI132" s="16">
        <f t="shared" si="7"/>
        <v>0</v>
      </c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4"/>
      <c r="BW132" s="14"/>
      <c r="BX132" s="14"/>
      <c r="BY132" s="14"/>
      <c r="BZ132" s="14"/>
      <c r="CA132" s="14"/>
      <c r="CB132" s="14"/>
      <c r="CC132" s="14"/>
      <c r="CD132" s="14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</row>
    <row r="133">
      <c r="A133" s="158">
        <v>4.0</v>
      </c>
      <c r="B133" s="159" t="s">
        <v>44</v>
      </c>
      <c r="C133" s="160" t="s">
        <v>285</v>
      </c>
      <c r="D133" s="161" t="str">
        <f t="shared" si="1"/>
        <v>4-3-D</v>
      </c>
      <c r="E133" s="162">
        <v>45721.0</v>
      </c>
      <c r="F133" s="163" t="s">
        <v>770</v>
      </c>
      <c r="G133" s="164" t="s">
        <v>196</v>
      </c>
      <c r="H133" s="165" t="s">
        <v>197</v>
      </c>
      <c r="I133" s="166">
        <v>7.0</v>
      </c>
      <c r="J133" s="167" t="s">
        <v>43</v>
      </c>
      <c r="K133" s="32" t="str">
        <f t="shared" si="2"/>
        <v>OCUPADO</v>
      </c>
      <c r="L133" s="33">
        <f t="shared" si="6"/>
        <v>132</v>
      </c>
      <c r="M133" s="33" t="s">
        <v>23</v>
      </c>
      <c r="N133" s="122"/>
      <c r="O133" s="353" t="s">
        <v>270</v>
      </c>
      <c r="P133" s="354" t="s">
        <v>337</v>
      </c>
      <c r="Q133" s="355">
        <v>45721.0</v>
      </c>
      <c r="R133" s="356" t="s">
        <v>770</v>
      </c>
      <c r="S133" s="356" t="s">
        <v>196</v>
      </c>
      <c r="T133" s="353" t="s">
        <v>197</v>
      </c>
      <c r="U133" s="357">
        <v>3.0</v>
      </c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BB133" s="12"/>
      <c r="BC133" s="12"/>
      <c r="BD133" s="14"/>
      <c r="BE133" s="12"/>
      <c r="BF133" s="12"/>
      <c r="BG133" s="12" t="str">
        <f>IFERROR(__xludf.DUMMYFUNCTION("IFERROR(INDEX(QUERY(IMPORTRANGE(""1T7HG8KEs-Ob7f3M5atEVN9Yn7IeORGp0QGvggB62ELw"",""Maestro!A:I""),""SELECT Col8 WHERE Col3 = '""&amp;BD133&amp;""'"", 0), 1, 1),""NO ENCONTRADO"")"),"")</f>
        <v/>
      </c>
      <c r="BH133" s="16">
        <v>1.0</v>
      </c>
      <c r="BI133" s="16">
        <f t="shared" si="7"/>
        <v>0</v>
      </c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4"/>
      <c r="BW133" s="14"/>
      <c r="BX133" s="14"/>
      <c r="BY133" s="14"/>
      <c r="BZ133" s="14"/>
      <c r="CA133" s="14"/>
      <c r="CB133" s="14"/>
      <c r="CC133" s="14"/>
      <c r="CD133" s="14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</row>
    <row r="134">
      <c r="A134" s="158">
        <v>4.0</v>
      </c>
      <c r="B134" s="159" t="s">
        <v>53</v>
      </c>
      <c r="C134" s="160" t="s">
        <v>269</v>
      </c>
      <c r="D134" s="161" t="str">
        <f t="shared" si="1"/>
        <v>4-4-A</v>
      </c>
      <c r="E134" s="103"/>
      <c r="F134" s="104"/>
      <c r="G134" s="105"/>
      <c r="H134" s="106"/>
      <c r="I134" s="107"/>
      <c r="J134" s="108"/>
      <c r="K134" s="27" t="str">
        <f t="shared" si="2"/>
        <v>DISPONIBLE</v>
      </c>
      <c r="L134" s="28">
        <f t="shared" si="6"/>
        <v>133</v>
      </c>
      <c r="M134" s="28" t="s">
        <v>23</v>
      </c>
      <c r="N134" s="109"/>
      <c r="O134" s="358"/>
      <c r="P134" s="359" t="s">
        <v>340</v>
      </c>
      <c r="Q134" s="360"/>
      <c r="R134" s="364"/>
      <c r="S134" s="361"/>
      <c r="T134" s="358"/>
      <c r="U134" s="36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BB134" s="12"/>
      <c r="BC134" s="12"/>
      <c r="BD134" s="14"/>
      <c r="BE134" s="12"/>
      <c r="BF134" s="12"/>
      <c r="BG134" s="12" t="str">
        <f>IFERROR(__xludf.DUMMYFUNCTION("IFERROR(INDEX(QUERY(IMPORTRANGE(""1T7HG8KEs-Ob7f3M5atEVN9Yn7IeORGp0QGvggB62ELw"",""Maestro!A:I""),""SELECT Col8 WHERE Col3 = '""&amp;BD134&amp;""'"", 0), 1, 1),""NO ENCONTRADO"")"),"")</f>
        <v/>
      </c>
      <c r="BH134" s="16">
        <v>1.0</v>
      </c>
      <c r="BI134" s="16">
        <f t="shared" si="7"/>
        <v>0</v>
      </c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4"/>
      <c r="BW134" s="14"/>
      <c r="BX134" s="14"/>
      <c r="BY134" s="14"/>
      <c r="BZ134" s="14"/>
      <c r="CA134" s="14"/>
      <c r="CB134" s="14"/>
      <c r="CC134" s="14"/>
      <c r="CD134" s="14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</row>
    <row r="135">
      <c r="A135" s="158">
        <v>4.0</v>
      </c>
      <c r="B135" s="159" t="s">
        <v>53</v>
      </c>
      <c r="C135" s="160" t="s">
        <v>277</v>
      </c>
      <c r="D135" s="161" t="str">
        <f t="shared" si="1"/>
        <v>4-4-B</v>
      </c>
      <c r="E135" s="103"/>
      <c r="F135" s="104"/>
      <c r="G135" s="105"/>
      <c r="H135" s="106"/>
      <c r="I135" s="107"/>
      <c r="J135" s="108"/>
      <c r="K135" s="32" t="str">
        <f t="shared" si="2"/>
        <v>DISPONIBLE</v>
      </c>
      <c r="L135" s="33">
        <f t="shared" si="6"/>
        <v>134</v>
      </c>
      <c r="M135" s="33" t="s">
        <v>23</v>
      </c>
      <c r="N135" s="122"/>
      <c r="O135" s="353"/>
      <c r="P135" s="354" t="s">
        <v>343</v>
      </c>
      <c r="Q135" s="355"/>
      <c r="R135" s="363"/>
      <c r="S135" s="356"/>
      <c r="T135" s="353"/>
      <c r="U135" s="357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BB135" s="12"/>
      <c r="BC135" s="12"/>
      <c r="BD135" s="14"/>
      <c r="BE135" s="12"/>
      <c r="BF135" s="12"/>
      <c r="BG135" s="12" t="str">
        <f>IFERROR(__xludf.DUMMYFUNCTION("IFERROR(INDEX(QUERY(IMPORTRANGE(""1T7HG8KEs-Ob7f3M5atEVN9Yn7IeORGp0QGvggB62ELw"",""Maestro!A:I""),""SELECT Col8 WHERE Col3 = '""&amp;BD135&amp;""'"", 0), 1, 1),""NO ENCONTRADO"")"),"")</f>
        <v/>
      </c>
      <c r="BH135" s="16">
        <v>1.0</v>
      </c>
      <c r="BI135" s="16">
        <f t="shared" si="7"/>
        <v>0</v>
      </c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4"/>
      <c r="BW135" s="14"/>
      <c r="BX135" s="14"/>
      <c r="BY135" s="14"/>
      <c r="BZ135" s="14"/>
      <c r="CA135" s="14"/>
      <c r="CB135" s="14"/>
      <c r="CC135" s="14"/>
      <c r="CD135" s="14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</row>
    <row r="136">
      <c r="A136" s="158">
        <v>4.0</v>
      </c>
      <c r="B136" s="159" t="s">
        <v>53</v>
      </c>
      <c r="C136" s="160" t="s">
        <v>282</v>
      </c>
      <c r="D136" s="161" t="str">
        <f t="shared" si="1"/>
        <v>4-4-C</v>
      </c>
      <c r="E136" s="103"/>
      <c r="F136" s="104"/>
      <c r="G136" s="105"/>
      <c r="H136" s="106"/>
      <c r="I136" s="107"/>
      <c r="J136" s="108"/>
      <c r="K136" s="27" t="str">
        <f t="shared" si="2"/>
        <v>DISPONIBLE</v>
      </c>
      <c r="L136" s="28">
        <f t="shared" si="6"/>
        <v>135</v>
      </c>
      <c r="M136" s="28" t="s">
        <v>23</v>
      </c>
      <c r="N136" s="109"/>
      <c r="O136" s="358"/>
      <c r="P136" s="359" t="s">
        <v>348</v>
      </c>
      <c r="Q136" s="360"/>
      <c r="R136" s="364"/>
      <c r="S136" s="361"/>
      <c r="T136" s="358"/>
      <c r="U136" s="36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BB136" s="12"/>
      <c r="BC136" s="12"/>
      <c r="BD136" s="14"/>
      <c r="BE136" s="12"/>
      <c r="BF136" s="12"/>
      <c r="BG136" s="12" t="str">
        <f>IFERROR(__xludf.DUMMYFUNCTION("IFERROR(INDEX(QUERY(IMPORTRANGE(""1T7HG8KEs-Ob7f3M5atEVN9Yn7IeORGp0QGvggB62ELw"",""Maestro!A:I""),""SELECT Col8 WHERE Col3 = '""&amp;BD136&amp;""'"", 0), 1, 1),""NO ENCONTRADO"")"),"")</f>
        <v/>
      </c>
      <c r="BH136" s="16">
        <v>1.0</v>
      </c>
      <c r="BI136" s="16">
        <f t="shared" si="7"/>
        <v>0</v>
      </c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4"/>
      <c r="BW136" s="14"/>
      <c r="BX136" s="14"/>
      <c r="BY136" s="14"/>
      <c r="BZ136" s="14"/>
      <c r="CA136" s="14"/>
      <c r="CB136" s="14"/>
      <c r="CC136" s="14"/>
      <c r="CD136" s="14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</row>
    <row r="137">
      <c r="A137" s="158">
        <v>4.0</v>
      </c>
      <c r="B137" s="159" t="s">
        <v>53</v>
      </c>
      <c r="C137" s="160" t="s">
        <v>285</v>
      </c>
      <c r="D137" s="161" t="str">
        <f t="shared" si="1"/>
        <v>4-4-D</v>
      </c>
      <c r="E137" s="103"/>
      <c r="F137" s="104"/>
      <c r="G137" s="105"/>
      <c r="H137" s="106"/>
      <c r="I137" s="107"/>
      <c r="J137" s="108"/>
      <c r="K137" s="32" t="str">
        <f t="shared" si="2"/>
        <v>DISPONIBLE</v>
      </c>
      <c r="L137" s="33">
        <f t="shared" si="6"/>
        <v>136</v>
      </c>
      <c r="M137" s="33" t="s">
        <v>23</v>
      </c>
      <c r="N137" s="122"/>
      <c r="O137" s="353"/>
      <c r="P137" s="354" t="s">
        <v>457</v>
      </c>
      <c r="Q137" s="355"/>
      <c r="R137" s="363"/>
      <c r="S137" s="356"/>
      <c r="T137" s="353"/>
      <c r="U137" s="357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BB137" s="12"/>
      <c r="BC137" s="12"/>
      <c r="BD137" s="14"/>
      <c r="BE137" s="12"/>
      <c r="BF137" s="12"/>
      <c r="BG137" s="12" t="str">
        <f>IFERROR(__xludf.DUMMYFUNCTION("IFERROR(INDEX(QUERY(IMPORTRANGE(""1T7HG8KEs-Ob7f3M5atEVN9Yn7IeORGp0QGvggB62ELw"",""Maestro!A:I""),""SELECT Col8 WHERE Col3 = '""&amp;BD137&amp;""'"", 0), 1, 1),""NO ENCONTRADO"")"),"")</f>
        <v/>
      </c>
      <c r="BH137" s="16">
        <v>1.0</v>
      </c>
      <c r="BI137" s="16">
        <f t="shared" si="7"/>
        <v>0</v>
      </c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4"/>
      <c r="BW137" s="14"/>
      <c r="BX137" s="14"/>
      <c r="BY137" s="14"/>
      <c r="BZ137" s="14"/>
      <c r="CA137" s="14"/>
      <c r="CB137" s="14"/>
      <c r="CC137" s="14"/>
      <c r="CD137" s="14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</row>
    <row r="138">
      <c r="A138" s="158">
        <v>4.0</v>
      </c>
      <c r="B138" s="159" t="s">
        <v>25</v>
      </c>
      <c r="C138" s="160" t="s">
        <v>269</v>
      </c>
      <c r="D138" s="161" t="str">
        <f t="shared" si="1"/>
        <v>4-5-A</v>
      </c>
      <c r="E138" s="103"/>
      <c r="F138" s="104"/>
      <c r="G138" s="105"/>
      <c r="H138" s="106"/>
      <c r="I138" s="107"/>
      <c r="J138" s="108"/>
      <c r="K138" s="27" t="str">
        <f t="shared" si="2"/>
        <v>DISPONIBLE</v>
      </c>
      <c r="L138" s="28">
        <f t="shared" si="6"/>
        <v>137</v>
      </c>
      <c r="M138" s="28" t="s">
        <v>23</v>
      </c>
      <c r="N138" s="109"/>
      <c r="O138" s="358"/>
      <c r="P138" s="359" t="s">
        <v>351</v>
      </c>
      <c r="Q138" s="360"/>
      <c r="R138" s="364"/>
      <c r="S138" s="361"/>
      <c r="T138" s="358"/>
      <c r="U138" s="36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BB138" s="12"/>
      <c r="BC138" s="12"/>
      <c r="BD138" s="14"/>
      <c r="BE138" s="12"/>
      <c r="BF138" s="12"/>
      <c r="BG138" s="12" t="str">
        <f>IFERROR(__xludf.DUMMYFUNCTION("IFERROR(INDEX(QUERY(IMPORTRANGE(""1T7HG8KEs-Ob7f3M5atEVN9Yn7IeORGp0QGvggB62ELw"",""Maestro!A:I""),""SELECT Col8 WHERE Col3 = '""&amp;BD138&amp;""'"", 0), 1, 1),""NO ENCONTRADO"")"),"")</f>
        <v/>
      </c>
      <c r="BH138" s="16">
        <v>1.0</v>
      </c>
      <c r="BI138" s="16">
        <f t="shared" si="7"/>
        <v>0</v>
      </c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4"/>
      <c r="BW138" s="14"/>
      <c r="BX138" s="14"/>
      <c r="BY138" s="14"/>
      <c r="BZ138" s="14"/>
      <c r="CA138" s="14"/>
      <c r="CB138" s="14"/>
      <c r="CC138" s="14"/>
      <c r="CD138" s="14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</row>
    <row r="139">
      <c r="A139" s="158">
        <v>4.0</v>
      </c>
      <c r="B139" s="159" t="s">
        <v>25</v>
      </c>
      <c r="C139" s="160" t="s">
        <v>277</v>
      </c>
      <c r="D139" s="161" t="str">
        <f t="shared" si="1"/>
        <v>4-5-B</v>
      </c>
      <c r="E139" s="103"/>
      <c r="F139" s="104"/>
      <c r="G139" s="105"/>
      <c r="H139" s="106"/>
      <c r="I139" s="107"/>
      <c r="J139" s="108"/>
      <c r="K139" s="32" t="str">
        <f t="shared" si="2"/>
        <v>DISPONIBLE</v>
      </c>
      <c r="L139" s="33">
        <f t="shared" si="6"/>
        <v>138</v>
      </c>
      <c r="M139" s="33" t="s">
        <v>23</v>
      </c>
      <c r="N139" s="122"/>
      <c r="O139" s="353"/>
      <c r="P139" s="354" t="s">
        <v>356</v>
      </c>
      <c r="Q139" s="355"/>
      <c r="R139" s="363"/>
      <c r="S139" s="356"/>
      <c r="T139" s="353"/>
      <c r="U139" s="357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BB139" s="12"/>
      <c r="BC139" s="12"/>
      <c r="BD139" s="14"/>
      <c r="BE139" s="12"/>
      <c r="BF139" s="12"/>
      <c r="BG139" s="12" t="str">
        <f>IFERROR(__xludf.DUMMYFUNCTION("IFERROR(INDEX(QUERY(IMPORTRANGE(""1T7HG8KEs-Ob7f3M5atEVN9Yn7IeORGp0QGvggB62ELw"",""Maestro!A:I""),""SELECT Col8 WHERE Col3 = '""&amp;BD139&amp;""'"", 0), 1, 1),""NO ENCONTRADO"")"),"")</f>
        <v/>
      </c>
      <c r="BH139" s="16">
        <v>1.0</v>
      </c>
      <c r="BI139" s="16">
        <f t="shared" si="7"/>
        <v>0</v>
      </c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4"/>
      <c r="BW139" s="14"/>
      <c r="BX139" s="14"/>
      <c r="BY139" s="14"/>
      <c r="BZ139" s="14"/>
      <c r="CA139" s="14"/>
      <c r="CB139" s="14"/>
      <c r="CC139" s="14"/>
      <c r="CD139" s="14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</row>
    <row r="140">
      <c r="A140" s="158">
        <v>4.0</v>
      </c>
      <c r="B140" s="159" t="s">
        <v>25</v>
      </c>
      <c r="C140" s="160" t="s">
        <v>282</v>
      </c>
      <c r="D140" s="161" t="str">
        <f t="shared" si="1"/>
        <v>4-5-C</v>
      </c>
      <c r="E140" s="103"/>
      <c r="F140" s="104"/>
      <c r="G140" s="105"/>
      <c r="H140" s="106"/>
      <c r="I140" s="107"/>
      <c r="J140" s="108"/>
      <c r="K140" s="27" t="str">
        <f t="shared" si="2"/>
        <v>DISPONIBLE</v>
      </c>
      <c r="L140" s="28">
        <f t="shared" si="6"/>
        <v>139</v>
      </c>
      <c r="M140" s="28" t="s">
        <v>23</v>
      </c>
      <c r="N140" s="109"/>
      <c r="O140" s="358"/>
      <c r="P140" s="359" t="s">
        <v>359</v>
      </c>
      <c r="Q140" s="360"/>
      <c r="R140" s="364"/>
      <c r="S140" s="361"/>
      <c r="T140" s="358"/>
      <c r="U140" s="36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BB140" s="12"/>
      <c r="BC140" s="12"/>
      <c r="BD140" s="14"/>
      <c r="BE140" s="12"/>
      <c r="BF140" s="12"/>
      <c r="BG140" s="12" t="str">
        <f>IFERROR(__xludf.DUMMYFUNCTION("IFERROR(INDEX(QUERY(IMPORTRANGE(""1T7HG8KEs-Ob7f3M5atEVN9Yn7IeORGp0QGvggB62ELw"",""Maestro!A:I""),""SELECT Col8 WHERE Col3 = '""&amp;BD140&amp;""'"", 0), 1, 1),""NO ENCONTRADO"")"),"")</f>
        <v/>
      </c>
      <c r="BH140" s="16">
        <v>1.0</v>
      </c>
      <c r="BI140" s="16">
        <f t="shared" si="7"/>
        <v>0</v>
      </c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4"/>
      <c r="BW140" s="14"/>
      <c r="BX140" s="14"/>
      <c r="BY140" s="14"/>
      <c r="BZ140" s="14"/>
      <c r="CA140" s="14"/>
      <c r="CB140" s="14"/>
      <c r="CC140" s="14"/>
      <c r="CD140" s="14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</row>
    <row r="141">
      <c r="A141" s="158">
        <v>4.0</v>
      </c>
      <c r="B141" s="159" t="s">
        <v>25</v>
      </c>
      <c r="C141" s="160" t="s">
        <v>285</v>
      </c>
      <c r="D141" s="161" t="str">
        <f t="shared" si="1"/>
        <v>4-5-D</v>
      </c>
      <c r="E141" s="103"/>
      <c r="F141" s="104"/>
      <c r="G141" s="105"/>
      <c r="H141" s="106"/>
      <c r="I141" s="107"/>
      <c r="J141" s="108"/>
      <c r="K141" s="32" t="str">
        <f t="shared" si="2"/>
        <v>DISPONIBLE</v>
      </c>
      <c r="L141" s="33">
        <f t="shared" si="6"/>
        <v>140</v>
      </c>
      <c r="M141" s="33" t="s">
        <v>23</v>
      </c>
      <c r="N141" s="122"/>
      <c r="O141" s="353"/>
      <c r="P141" s="354" t="s">
        <v>363</v>
      </c>
      <c r="Q141" s="355"/>
      <c r="R141" s="363"/>
      <c r="S141" s="356"/>
      <c r="T141" s="353"/>
      <c r="U141" s="357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BB141" s="12"/>
      <c r="BC141" s="12"/>
      <c r="BD141" s="14"/>
      <c r="BE141" s="12"/>
      <c r="BF141" s="12"/>
      <c r="BG141" s="12" t="str">
        <f>IFERROR(__xludf.DUMMYFUNCTION("IFERROR(INDEX(QUERY(IMPORTRANGE(""1T7HG8KEs-Ob7f3M5atEVN9Yn7IeORGp0QGvggB62ELw"",""Maestro!A:I""),""SELECT Col8 WHERE Col3 = '""&amp;BD141&amp;""'"", 0), 1, 1),""NO ENCONTRADO"")"),"")</f>
        <v/>
      </c>
      <c r="BH141" s="16">
        <v>1.0</v>
      </c>
      <c r="BI141" s="16">
        <f t="shared" si="7"/>
        <v>0</v>
      </c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4"/>
      <c r="BW141" s="14"/>
      <c r="BX141" s="14"/>
      <c r="BY141" s="14"/>
      <c r="BZ141" s="14"/>
      <c r="CA141" s="14"/>
      <c r="CB141" s="14"/>
      <c r="CC141" s="14"/>
      <c r="CD141" s="14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</row>
    <row r="142">
      <c r="A142" s="158">
        <v>4.0</v>
      </c>
      <c r="B142" s="159" t="s">
        <v>36</v>
      </c>
      <c r="C142" s="160" t="s">
        <v>269</v>
      </c>
      <c r="D142" s="161" t="str">
        <f t="shared" si="1"/>
        <v>4-6-A</v>
      </c>
      <c r="E142" s="162">
        <v>45754.0</v>
      </c>
      <c r="F142" s="163" t="s">
        <v>675</v>
      </c>
      <c r="G142" s="164" t="s">
        <v>314</v>
      </c>
      <c r="H142" s="165" t="s">
        <v>315</v>
      </c>
      <c r="I142" s="166">
        <v>300.0</v>
      </c>
      <c r="J142" s="167" t="s">
        <v>43</v>
      </c>
      <c r="K142" s="27" t="str">
        <f t="shared" si="2"/>
        <v>OCUPADO</v>
      </c>
      <c r="L142" s="28">
        <f t="shared" si="6"/>
        <v>141</v>
      </c>
      <c r="M142" s="28" t="s">
        <v>23</v>
      </c>
      <c r="N142" s="109"/>
      <c r="O142" s="358" t="s">
        <v>270</v>
      </c>
      <c r="P142" s="359" t="s">
        <v>366</v>
      </c>
      <c r="Q142" s="360">
        <v>45754.0</v>
      </c>
      <c r="R142" s="361" t="s">
        <v>675</v>
      </c>
      <c r="S142" s="361" t="s">
        <v>314</v>
      </c>
      <c r="T142" s="358" t="s">
        <v>315</v>
      </c>
      <c r="U142" s="362">
        <v>300.0</v>
      </c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BB142" s="12"/>
      <c r="BC142" s="12"/>
      <c r="BD142" s="14"/>
      <c r="BE142" s="12"/>
      <c r="BF142" s="12"/>
      <c r="BG142" s="12" t="str">
        <f>IFERROR(__xludf.DUMMYFUNCTION("IFERROR(INDEX(QUERY(IMPORTRANGE(""1T7HG8KEs-Ob7f3M5atEVN9Yn7IeORGp0QGvggB62ELw"",""Maestro!A:I""),""SELECT Col8 WHERE Col3 = '""&amp;BD142&amp;""'"", 0), 1, 1),""NO ENCONTRADO"")"),"")</f>
        <v/>
      </c>
      <c r="BH142" s="16">
        <v>1.0</v>
      </c>
      <c r="BI142" s="16">
        <f t="shared" si="7"/>
        <v>0</v>
      </c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4"/>
      <c r="BW142" s="14"/>
      <c r="BX142" s="14"/>
      <c r="BY142" s="14"/>
      <c r="BZ142" s="14"/>
      <c r="CA142" s="14"/>
      <c r="CB142" s="14"/>
      <c r="CC142" s="14"/>
      <c r="CD142" s="14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</row>
    <row r="143">
      <c r="A143" s="158">
        <v>4.0</v>
      </c>
      <c r="B143" s="159" t="s">
        <v>36</v>
      </c>
      <c r="C143" s="160" t="s">
        <v>277</v>
      </c>
      <c r="D143" s="161" t="str">
        <f t="shared" si="1"/>
        <v>4-6-B</v>
      </c>
      <c r="E143" s="162">
        <v>45754.0</v>
      </c>
      <c r="F143" s="163" t="s">
        <v>675</v>
      </c>
      <c r="G143" s="164" t="s">
        <v>314</v>
      </c>
      <c r="H143" s="165" t="s">
        <v>315</v>
      </c>
      <c r="I143" s="166">
        <v>276.0</v>
      </c>
      <c r="J143" s="167" t="s">
        <v>43</v>
      </c>
      <c r="K143" s="32" t="str">
        <f t="shared" si="2"/>
        <v>OCUPADO</v>
      </c>
      <c r="L143" s="33">
        <f t="shared" si="6"/>
        <v>142</v>
      </c>
      <c r="M143" s="33" t="s">
        <v>23</v>
      </c>
      <c r="N143" s="122"/>
      <c r="O143" s="353" t="s">
        <v>270</v>
      </c>
      <c r="P143" s="354" t="s">
        <v>369</v>
      </c>
      <c r="Q143" s="355">
        <v>45754.0</v>
      </c>
      <c r="R143" s="356" t="s">
        <v>675</v>
      </c>
      <c r="S143" s="356" t="s">
        <v>314</v>
      </c>
      <c r="T143" s="353" t="s">
        <v>315</v>
      </c>
      <c r="U143" s="357">
        <v>163.0</v>
      </c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BB143" s="12"/>
      <c r="BC143" s="12"/>
      <c r="BD143" s="14"/>
      <c r="BE143" s="12"/>
      <c r="BF143" s="12"/>
      <c r="BG143" s="12" t="str">
        <f>IFERROR(__xludf.DUMMYFUNCTION("IFERROR(INDEX(QUERY(IMPORTRANGE(""1T7HG8KEs-Ob7f3M5atEVN9Yn7IeORGp0QGvggB62ELw"",""Maestro!A:I""),""SELECT Col8 WHERE Col3 = '""&amp;BD143&amp;""'"", 0), 1, 1),""NO ENCONTRADO"")"),"")</f>
        <v/>
      </c>
      <c r="BH143" s="12"/>
      <c r="BI143" s="16">
        <f t="shared" si="7"/>
        <v>0</v>
      </c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4"/>
      <c r="BW143" s="14"/>
      <c r="BX143" s="14"/>
      <c r="BY143" s="14"/>
      <c r="BZ143" s="14"/>
      <c r="CA143" s="14"/>
      <c r="CB143" s="14"/>
      <c r="CC143" s="14"/>
      <c r="CD143" s="14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</row>
    <row r="144">
      <c r="A144" s="158">
        <v>4.0</v>
      </c>
      <c r="B144" s="159" t="s">
        <v>36</v>
      </c>
      <c r="C144" s="160" t="s">
        <v>282</v>
      </c>
      <c r="D144" s="161" t="str">
        <f t="shared" si="1"/>
        <v>4-6-C</v>
      </c>
      <c r="E144" s="103"/>
      <c r="F144" s="104"/>
      <c r="G144" s="105"/>
      <c r="H144" s="106"/>
      <c r="I144" s="107"/>
      <c r="J144" s="108"/>
      <c r="K144" s="27" t="str">
        <f t="shared" si="2"/>
        <v>DISPONIBLE</v>
      </c>
      <c r="L144" s="28">
        <f t="shared" si="6"/>
        <v>143</v>
      </c>
      <c r="M144" s="28" t="s">
        <v>23</v>
      </c>
      <c r="N144" s="109"/>
      <c r="O144" s="358"/>
      <c r="P144" s="359" t="s">
        <v>373</v>
      </c>
      <c r="Q144" s="360"/>
      <c r="R144" s="364"/>
      <c r="S144" s="361"/>
      <c r="T144" s="358"/>
      <c r="U144" s="36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BB144" s="12"/>
      <c r="BC144" s="12"/>
      <c r="BD144" s="14"/>
      <c r="BE144" s="12"/>
      <c r="BF144" s="12"/>
      <c r="BG144" s="12" t="str">
        <f>IFERROR(__xludf.DUMMYFUNCTION("IFERROR(INDEX(QUERY(IMPORTRANGE(""1T7HG8KEs-Ob7f3M5atEVN9Yn7IeORGp0QGvggB62ELw"",""Maestro!A:I""),""SELECT Col8 WHERE Col3 = '""&amp;BD144&amp;""'"", 0), 1, 1),""NO ENCONTRADO"")"),"")</f>
        <v/>
      </c>
      <c r="BH144" s="12"/>
      <c r="BI144" s="16">
        <f t="shared" si="7"/>
        <v>0</v>
      </c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4"/>
      <c r="BW144" s="14"/>
      <c r="BX144" s="14"/>
      <c r="BY144" s="14"/>
      <c r="BZ144" s="14"/>
      <c r="CA144" s="14"/>
      <c r="CB144" s="14"/>
      <c r="CC144" s="14"/>
      <c r="CD144" s="14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</row>
    <row r="145">
      <c r="A145" s="158">
        <v>4.0</v>
      </c>
      <c r="B145" s="159" t="s">
        <v>36</v>
      </c>
      <c r="C145" s="160" t="s">
        <v>285</v>
      </c>
      <c r="D145" s="161" t="str">
        <f t="shared" si="1"/>
        <v>4-6-D</v>
      </c>
      <c r="E145" s="103"/>
      <c r="F145" s="104"/>
      <c r="G145" s="105"/>
      <c r="H145" s="106"/>
      <c r="I145" s="107"/>
      <c r="J145" s="108"/>
      <c r="K145" s="32" t="str">
        <f t="shared" si="2"/>
        <v>DISPONIBLE</v>
      </c>
      <c r="L145" s="33">
        <f t="shared" si="6"/>
        <v>144</v>
      </c>
      <c r="M145" s="33" t="s">
        <v>23</v>
      </c>
      <c r="N145" s="122"/>
      <c r="O145" s="353"/>
      <c r="P145" s="354" t="s">
        <v>461</v>
      </c>
      <c r="Q145" s="355"/>
      <c r="R145" s="363"/>
      <c r="S145" s="356"/>
      <c r="T145" s="353"/>
      <c r="U145" s="357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BB145" s="12"/>
      <c r="BC145" s="12"/>
      <c r="BD145" s="14"/>
      <c r="BE145" s="12"/>
      <c r="BF145" s="12"/>
      <c r="BG145" s="12" t="str">
        <f>IFERROR(__xludf.DUMMYFUNCTION("IFERROR(INDEX(QUERY(IMPORTRANGE(""1T7HG8KEs-Ob7f3M5atEVN9Yn7IeORGp0QGvggB62ELw"",""Maestro!A:I""),""SELECT Col8 WHERE Col3 = '""&amp;BD145&amp;""'"", 0), 1, 1),""NO ENCONTRADO"")"),"")</f>
        <v/>
      </c>
      <c r="BH145" s="12" t="str">
        <f>IFERROR(__xludf.DUMMYFUNCTION("IFERROR(INDEX(QUERY(IMPORTRANGE(""1T7HG8KEs-Ob7f3M5atEVN9Yn7IeORGp0QGvggB62ELw"",""Maestro!A:I""),""SELECT Col7 WHERE Col3 = '""&amp;BD145&amp;""'"", 0), 1, 1),""NO ENCONTRADO"")"),"")</f>
        <v/>
      </c>
      <c r="BI145" s="16">
        <f t="shared" si="7"/>
        <v>0</v>
      </c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4"/>
      <c r="BW145" s="14"/>
      <c r="BX145" s="14"/>
      <c r="BY145" s="14"/>
      <c r="BZ145" s="14"/>
      <c r="CA145" s="14"/>
      <c r="CB145" s="14"/>
      <c r="CC145" s="14"/>
      <c r="CD145" s="14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</row>
    <row r="146">
      <c r="A146" s="158">
        <v>4.0</v>
      </c>
      <c r="B146" s="159" t="s">
        <v>48</v>
      </c>
      <c r="C146" s="160" t="s">
        <v>269</v>
      </c>
      <c r="D146" s="161" t="str">
        <f t="shared" si="1"/>
        <v>4-7-A</v>
      </c>
      <c r="E146" s="162">
        <v>45730.0</v>
      </c>
      <c r="F146" s="163" t="s">
        <v>771</v>
      </c>
      <c r="G146" s="164" t="s">
        <v>87</v>
      </c>
      <c r="H146" s="165" t="s">
        <v>88</v>
      </c>
      <c r="I146" s="166">
        <v>72.0</v>
      </c>
      <c r="J146" s="167" t="s">
        <v>43</v>
      </c>
      <c r="K146" s="27" t="str">
        <f t="shared" si="2"/>
        <v>OCUPADO</v>
      </c>
      <c r="L146" s="28">
        <f t="shared" si="6"/>
        <v>145</v>
      </c>
      <c r="M146" s="28" t="s">
        <v>23</v>
      </c>
      <c r="N146" s="109"/>
      <c r="O146" s="358" t="s">
        <v>270</v>
      </c>
      <c r="P146" s="359" t="s">
        <v>376</v>
      </c>
      <c r="Q146" s="360">
        <v>45730.0</v>
      </c>
      <c r="R146" s="361" t="s">
        <v>771</v>
      </c>
      <c r="S146" s="361" t="s">
        <v>87</v>
      </c>
      <c r="T146" s="358" t="s">
        <v>88</v>
      </c>
      <c r="U146" s="362">
        <v>72.0</v>
      </c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BB146" s="12"/>
      <c r="BC146" s="12"/>
      <c r="BD146" s="14"/>
      <c r="BE146" s="12"/>
      <c r="BF146" s="12"/>
      <c r="BG146" s="12" t="str">
        <f>IFERROR(__xludf.DUMMYFUNCTION("IFERROR(INDEX(QUERY(IMPORTRANGE(""1T7HG8KEs-Ob7f3M5atEVN9Yn7IeORGp0QGvggB62ELw"",""Maestro!A:I""),""SELECT Col8 WHERE Col3 = '""&amp;BD146&amp;""'"", 0), 1, 1),""NO ENCONTRADO"")"),"")</f>
        <v/>
      </c>
      <c r="BH146" s="12" t="str">
        <f>IFERROR(__xludf.DUMMYFUNCTION("IFERROR(INDEX(QUERY(IMPORTRANGE(""1T7HG8KEs-Ob7f3M5atEVN9Yn7IeORGp0QGvggB62ELw"",""Maestro!A:I""),""SELECT Col7 WHERE Col3 = '""&amp;BD146&amp;""'"", 0), 1, 1),""NO ENCONTRADO"")"),"")</f>
        <v/>
      </c>
      <c r="BI146" s="16">
        <f t="shared" si="7"/>
        <v>0</v>
      </c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4"/>
      <c r="BW146" s="14"/>
      <c r="BX146" s="14"/>
      <c r="BY146" s="14"/>
      <c r="BZ146" s="14"/>
      <c r="CA146" s="14"/>
      <c r="CB146" s="14"/>
      <c r="CC146" s="14"/>
      <c r="CD146" s="14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</row>
    <row r="147">
      <c r="A147" s="158">
        <v>4.0</v>
      </c>
      <c r="B147" s="159" t="s">
        <v>48</v>
      </c>
      <c r="C147" s="160" t="s">
        <v>277</v>
      </c>
      <c r="D147" s="161" t="str">
        <f t="shared" si="1"/>
        <v>4-7-B</v>
      </c>
      <c r="E147" s="162">
        <v>45730.0</v>
      </c>
      <c r="F147" s="163" t="s">
        <v>771</v>
      </c>
      <c r="G147" s="164" t="s">
        <v>87</v>
      </c>
      <c r="H147" s="165" t="s">
        <v>88</v>
      </c>
      <c r="I147" s="166">
        <v>72.0</v>
      </c>
      <c r="J147" s="167" t="s">
        <v>43</v>
      </c>
      <c r="K147" s="32" t="str">
        <f t="shared" si="2"/>
        <v>OCUPADO</v>
      </c>
      <c r="L147" s="33">
        <f t="shared" si="6"/>
        <v>146</v>
      </c>
      <c r="M147" s="33" t="s">
        <v>23</v>
      </c>
      <c r="N147" s="122"/>
      <c r="O147" s="353" t="s">
        <v>270</v>
      </c>
      <c r="P147" s="354" t="s">
        <v>379</v>
      </c>
      <c r="Q147" s="355">
        <v>45730.0</v>
      </c>
      <c r="R147" s="356" t="s">
        <v>771</v>
      </c>
      <c r="S147" s="356" t="s">
        <v>87</v>
      </c>
      <c r="T147" s="353" t="s">
        <v>88</v>
      </c>
      <c r="U147" s="357">
        <v>72.0</v>
      </c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BB147" s="12"/>
      <c r="BC147" s="12"/>
      <c r="BD147" s="14"/>
      <c r="BE147" s="12"/>
      <c r="BF147" s="12"/>
      <c r="BG147" s="12" t="str">
        <f>IFERROR(__xludf.DUMMYFUNCTION("IFERROR(INDEX(QUERY(IMPORTRANGE(""1T7HG8KEs-Ob7f3M5atEVN9Yn7IeORGp0QGvggB62ELw"",""Maestro!A:I""),""SELECT Col8 WHERE Col3 = '""&amp;BD147&amp;""'"", 0), 1, 1),""NO ENCONTRADO"")"),"")</f>
        <v/>
      </c>
      <c r="BH147" s="12" t="str">
        <f>IFERROR(__xludf.DUMMYFUNCTION("IFERROR(INDEX(QUERY(IMPORTRANGE(""1T7HG8KEs-Ob7f3M5atEVN9Yn7IeORGp0QGvggB62ELw"",""Maestro!A:I""),""SELECT Col7 WHERE Col3 = '""&amp;BD147&amp;""'"", 0), 1, 1),""NO ENCONTRADO"")"),"")</f>
        <v/>
      </c>
      <c r="BI147" s="16">
        <f t="shared" si="7"/>
        <v>0</v>
      </c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4"/>
      <c r="BW147" s="14"/>
      <c r="BX147" s="14"/>
      <c r="BY147" s="14"/>
      <c r="BZ147" s="14"/>
      <c r="CA147" s="14"/>
      <c r="CB147" s="14"/>
      <c r="CC147" s="14"/>
      <c r="CD147" s="14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</row>
    <row r="148">
      <c r="A148" s="158">
        <v>4.0</v>
      </c>
      <c r="B148" s="159" t="s">
        <v>48</v>
      </c>
      <c r="C148" s="160" t="s">
        <v>282</v>
      </c>
      <c r="D148" s="161" t="str">
        <f t="shared" si="1"/>
        <v>4-7-C</v>
      </c>
      <c r="E148" s="162">
        <v>45730.0</v>
      </c>
      <c r="F148" s="163" t="s">
        <v>771</v>
      </c>
      <c r="G148" s="164" t="s">
        <v>87</v>
      </c>
      <c r="H148" s="165" t="s">
        <v>88</v>
      </c>
      <c r="I148" s="166">
        <v>72.0</v>
      </c>
      <c r="J148" s="167" t="s">
        <v>43</v>
      </c>
      <c r="K148" s="27" t="str">
        <f t="shared" si="2"/>
        <v>OCUPADO</v>
      </c>
      <c r="L148" s="28">
        <f t="shared" si="6"/>
        <v>147</v>
      </c>
      <c r="M148" s="28" t="s">
        <v>23</v>
      </c>
      <c r="N148" s="109"/>
      <c r="O148" s="358" t="s">
        <v>270</v>
      </c>
      <c r="P148" s="359" t="s">
        <v>383</v>
      </c>
      <c r="Q148" s="360">
        <v>45730.0</v>
      </c>
      <c r="R148" s="361" t="s">
        <v>771</v>
      </c>
      <c r="S148" s="361" t="s">
        <v>87</v>
      </c>
      <c r="T148" s="358" t="s">
        <v>88</v>
      </c>
      <c r="U148" s="362">
        <v>72.0</v>
      </c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BB148" s="12"/>
      <c r="BC148" s="12"/>
      <c r="BD148" s="14"/>
      <c r="BE148" s="12"/>
      <c r="BF148" s="12"/>
      <c r="BG148" s="12" t="str">
        <f>IFERROR(__xludf.DUMMYFUNCTION("IFERROR(INDEX(QUERY(IMPORTRANGE(""1T7HG8KEs-Ob7f3M5atEVN9Yn7IeORGp0QGvggB62ELw"",""Maestro!A:I""),""SELECT Col8 WHERE Col3 = '""&amp;BD148&amp;""'"", 0), 1, 1),""NO ENCONTRADO"")"),"")</f>
        <v/>
      </c>
      <c r="BH148" s="12" t="str">
        <f>IFERROR(__xludf.DUMMYFUNCTION("IFERROR(INDEX(QUERY(IMPORTRANGE(""1T7HG8KEs-Ob7f3M5atEVN9Yn7IeORGp0QGvggB62ELw"",""Maestro!A:I""),""SELECT Col7 WHERE Col3 = '""&amp;BD148&amp;""'"", 0), 1, 1),""NO ENCONTRADO"")"),"")</f>
        <v/>
      </c>
      <c r="BI148" s="16">
        <f t="shared" si="7"/>
        <v>0</v>
      </c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4"/>
      <c r="BW148" s="14"/>
      <c r="BX148" s="14"/>
      <c r="BY148" s="14"/>
      <c r="BZ148" s="14"/>
      <c r="CA148" s="14"/>
      <c r="CB148" s="14"/>
      <c r="CC148" s="14"/>
      <c r="CD148" s="14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</row>
    <row r="149">
      <c r="A149" s="158">
        <v>4.0</v>
      </c>
      <c r="B149" s="159" t="s">
        <v>48</v>
      </c>
      <c r="C149" s="160" t="s">
        <v>285</v>
      </c>
      <c r="D149" s="161" t="str">
        <f t="shared" si="1"/>
        <v>4-7-D</v>
      </c>
      <c r="E149" s="162">
        <v>45730.0</v>
      </c>
      <c r="F149" s="163" t="s">
        <v>771</v>
      </c>
      <c r="G149" s="164" t="s">
        <v>87</v>
      </c>
      <c r="H149" s="165" t="s">
        <v>88</v>
      </c>
      <c r="I149" s="166">
        <v>72.0</v>
      </c>
      <c r="J149" s="167" t="s">
        <v>43</v>
      </c>
      <c r="K149" s="32" t="str">
        <f t="shared" si="2"/>
        <v>OCUPADO</v>
      </c>
      <c r="L149" s="33">
        <f t="shared" si="6"/>
        <v>148</v>
      </c>
      <c r="M149" s="33" t="s">
        <v>23</v>
      </c>
      <c r="N149" s="122"/>
      <c r="O149" s="353" t="s">
        <v>270</v>
      </c>
      <c r="P149" s="354" t="s">
        <v>386</v>
      </c>
      <c r="Q149" s="355">
        <v>45730.0</v>
      </c>
      <c r="R149" s="356" t="s">
        <v>771</v>
      </c>
      <c r="S149" s="356" t="s">
        <v>87</v>
      </c>
      <c r="T149" s="353" t="s">
        <v>88</v>
      </c>
      <c r="U149" s="357">
        <v>72.0</v>
      </c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BB149" s="12"/>
      <c r="BC149" s="12"/>
      <c r="BD149" s="14"/>
      <c r="BE149" s="12"/>
      <c r="BF149" s="12"/>
      <c r="BG149" s="12" t="str">
        <f>IFERROR(__xludf.DUMMYFUNCTION("IFERROR(INDEX(QUERY(IMPORTRANGE(""1T7HG8KEs-Ob7f3M5atEVN9Yn7IeORGp0QGvggB62ELw"",""Maestro!A:I""),""SELECT Col8 WHERE Col3 = '""&amp;BD149&amp;""'"", 0), 1, 1),""NO ENCONTRADO"")"),"")</f>
        <v/>
      </c>
      <c r="BH149" s="12" t="str">
        <f>IFERROR(__xludf.DUMMYFUNCTION("IFERROR(INDEX(QUERY(IMPORTRANGE(""1T7HG8KEs-Ob7f3M5atEVN9Yn7IeORGp0QGvggB62ELw"",""Maestro!A:I""),""SELECT Col7 WHERE Col3 = '""&amp;BD149&amp;""'"", 0), 1, 1),""NO ENCONTRADO"")"),"")</f>
        <v/>
      </c>
      <c r="BI149" s="16">
        <f t="shared" si="7"/>
        <v>0</v>
      </c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4"/>
      <c r="BW149" s="14"/>
      <c r="BX149" s="14"/>
      <c r="BY149" s="14"/>
      <c r="BZ149" s="14"/>
      <c r="CA149" s="14"/>
      <c r="CB149" s="14"/>
      <c r="CC149" s="14"/>
      <c r="CD149" s="14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</row>
    <row r="150">
      <c r="A150" s="158">
        <v>4.0</v>
      </c>
      <c r="B150" s="159" t="s">
        <v>465</v>
      </c>
      <c r="C150" s="160" t="s">
        <v>269</v>
      </c>
      <c r="D150" s="161" t="str">
        <f t="shared" si="1"/>
        <v>4-8-A</v>
      </c>
      <c r="E150" s="162">
        <v>45730.0</v>
      </c>
      <c r="F150" s="163" t="s">
        <v>771</v>
      </c>
      <c r="G150" s="164" t="s">
        <v>87</v>
      </c>
      <c r="H150" s="165" t="s">
        <v>88</v>
      </c>
      <c r="I150" s="166">
        <v>72.0</v>
      </c>
      <c r="J150" s="167" t="s">
        <v>43</v>
      </c>
      <c r="K150" s="27" t="str">
        <f t="shared" si="2"/>
        <v>OCUPADO</v>
      </c>
      <c r="L150" s="28">
        <f t="shared" si="6"/>
        <v>149</v>
      </c>
      <c r="M150" s="28" t="s">
        <v>23</v>
      </c>
      <c r="N150" s="109"/>
      <c r="O150" s="358" t="s">
        <v>270</v>
      </c>
      <c r="P150" s="359" t="s">
        <v>389</v>
      </c>
      <c r="Q150" s="360">
        <v>45730.0</v>
      </c>
      <c r="R150" s="361" t="s">
        <v>771</v>
      </c>
      <c r="S150" s="361" t="s">
        <v>87</v>
      </c>
      <c r="T150" s="358" t="s">
        <v>88</v>
      </c>
      <c r="U150" s="362">
        <v>72.0</v>
      </c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BB150" s="12"/>
      <c r="BC150" s="12"/>
      <c r="BD150" s="14"/>
      <c r="BE150" s="12"/>
      <c r="BF150" s="12"/>
      <c r="BG150" s="12" t="str">
        <f>IFERROR(__xludf.DUMMYFUNCTION("IFERROR(INDEX(QUERY(IMPORTRANGE(""1T7HG8KEs-Ob7f3M5atEVN9Yn7IeORGp0QGvggB62ELw"",""Maestro!A:I""),""SELECT Col8 WHERE Col3 = '""&amp;BD150&amp;""'"", 0), 1, 1),""NO ENCONTRADO"")"),"")</f>
        <v/>
      </c>
      <c r="BH150" s="12" t="str">
        <f>IFERROR(__xludf.DUMMYFUNCTION("IFERROR(INDEX(QUERY(IMPORTRANGE(""1T7HG8KEs-Ob7f3M5atEVN9Yn7IeORGp0QGvggB62ELw"",""Maestro!A:I""),""SELECT Col7 WHERE Col3 = '""&amp;BD150&amp;""'"", 0), 1, 1),""NO ENCONTRADO"")"),"")</f>
        <v/>
      </c>
      <c r="BI150" s="16">
        <f t="shared" si="7"/>
        <v>0</v>
      </c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4"/>
      <c r="BW150" s="14"/>
      <c r="BX150" s="14"/>
      <c r="BY150" s="14"/>
      <c r="BZ150" s="14"/>
      <c r="CA150" s="14"/>
      <c r="CB150" s="14"/>
      <c r="CC150" s="14"/>
      <c r="CD150" s="14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</row>
    <row r="151">
      <c r="A151" s="158">
        <v>4.0</v>
      </c>
      <c r="B151" s="159" t="s">
        <v>465</v>
      </c>
      <c r="C151" s="160" t="s">
        <v>277</v>
      </c>
      <c r="D151" s="161" t="str">
        <f t="shared" si="1"/>
        <v>4-8-B</v>
      </c>
      <c r="E151" s="162">
        <v>45730.0</v>
      </c>
      <c r="F151" s="163" t="s">
        <v>771</v>
      </c>
      <c r="G151" s="164" t="s">
        <v>87</v>
      </c>
      <c r="H151" s="165" t="s">
        <v>88</v>
      </c>
      <c r="I151" s="166">
        <v>72.0</v>
      </c>
      <c r="J151" s="167" t="s">
        <v>43</v>
      </c>
      <c r="K151" s="32" t="str">
        <f t="shared" si="2"/>
        <v>OCUPADO</v>
      </c>
      <c r="L151" s="33">
        <f t="shared" si="6"/>
        <v>150</v>
      </c>
      <c r="M151" s="33" t="s">
        <v>23</v>
      </c>
      <c r="N151" s="122"/>
      <c r="O151" s="353" t="s">
        <v>270</v>
      </c>
      <c r="P151" s="354" t="s">
        <v>392</v>
      </c>
      <c r="Q151" s="355">
        <v>45730.0</v>
      </c>
      <c r="R151" s="356" t="s">
        <v>771</v>
      </c>
      <c r="S151" s="356" t="s">
        <v>87</v>
      </c>
      <c r="T151" s="353" t="s">
        <v>88</v>
      </c>
      <c r="U151" s="357">
        <v>72.0</v>
      </c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BB151" s="12"/>
      <c r="BC151" s="12"/>
      <c r="BD151" s="14"/>
      <c r="BE151" s="12"/>
      <c r="BF151" s="12"/>
      <c r="BG151" s="12" t="str">
        <f>IFERROR(__xludf.DUMMYFUNCTION("IFERROR(INDEX(QUERY(IMPORTRANGE(""1T7HG8KEs-Ob7f3M5atEVN9Yn7IeORGp0QGvggB62ELw"",""Maestro!A:I""),""SELECT Col8 WHERE Col3 = '""&amp;BD151&amp;""'"", 0), 1, 1),""NO ENCONTRADO"")"),"")</f>
        <v/>
      </c>
      <c r="BH151" s="12" t="str">
        <f>IFERROR(__xludf.DUMMYFUNCTION("IFERROR(INDEX(QUERY(IMPORTRANGE(""1T7HG8KEs-Ob7f3M5atEVN9Yn7IeORGp0QGvggB62ELw"",""Maestro!A:I""),""SELECT Col7 WHERE Col3 = '""&amp;BD151&amp;""'"", 0), 1, 1),""NO ENCONTRADO"")"),"")</f>
        <v/>
      </c>
      <c r="BI151" s="16">
        <f t="shared" si="7"/>
        <v>0</v>
      </c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4"/>
      <c r="BW151" s="14"/>
      <c r="BX151" s="14"/>
      <c r="BY151" s="14"/>
      <c r="BZ151" s="14"/>
      <c r="CA151" s="14"/>
      <c r="CB151" s="14"/>
      <c r="CC151" s="14"/>
      <c r="CD151" s="14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</row>
    <row r="152">
      <c r="A152" s="158">
        <v>4.0</v>
      </c>
      <c r="B152" s="159" t="s">
        <v>465</v>
      </c>
      <c r="C152" s="160" t="s">
        <v>282</v>
      </c>
      <c r="D152" s="161" t="str">
        <f t="shared" si="1"/>
        <v>4-8-C</v>
      </c>
      <c r="E152" s="162">
        <v>45730.0</v>
      </c>
      <c r="F152" s="163" t="s">
        <v>771</v>
      </c>
      <c r="G152" s="164" t="s">
        <v>87</v>
      </c>
      <c r="H152" s="165" t="s">
        <v>88</v>
      </c>
      <c r="I152" s="166">
        <v>72.0</v>
      </c>
      <c r="J152" s="167" t="s">
        <v>43</v>
      </c>
      <c r="K152" s="27" t="str">
        <f t="shared" si="2"/>
        <v>OCUPADO</v>
      </c>
      <c r="L152" s="28">
        <f t="shared" si="6"/>
        <v>151</v>
      </c>
      <c r="M152" s="28" t="s">
        <v>23</v>
      </c>
      <c r="N152" s="109"/>
      <c r="O152" s="358" t="s">
        <v>270</v>
      </c>
      <c r="P152" s="359" t="s">
        <v>397</v>
      </c>
      <c r="Q152" s="360">
        <v>45730.0</v>
      </c>
      <c r="R152" s="361" t="s">
        <v>771</v>
      </c>
      <c r="S152" s="361" t="s">
        <v>87</v>
      </c>
      <c r="T152" s="358" t="s">
        <v>88</v>
      </c>
      <c r="U152" s="362">
        <v>72.0</v>
      </c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BB152" s="12"/>
      <c r="BC152" s="12"/>
      <c r="BD152" s="14"/>
      <c r="BE152" s="12"/>
      <c r="BF152" s="12"/>
      <c r="BG152" s="12" t="str">
        <f>IFERROR(__xludf.DUMMYFUNCTION("IFERROR(INDEX(QUERY(IMPORTRANGE(""1T7HG8KEs-Ob7f3M5atEVN9Yn7IeORGp0QGvggB62ELw"",""Maestro!A:I""),""SELECT Col8 WHERE Col3 = '""&amp;BD152&amp;""'"", 0), 1, 1),""NO ENCONTRADO"")"),"")</f>
        <v/>
      </c>
      <c r="BH152" s="12" t="str">
        <f>IFERROR(__xludf.DUMMYFUNCTION("IFERROR(INDEX(QUERY(IMPORTRANGE(""1T7HG8KEs-Ob7f3M5atEVN9Yn7IeORGp0QGvggB62ELw"",""Maestro!A:I""),""SELECT Col7 WHERE Col3 = '""&amp;BD152&amp;""'"", 0), 1, 1),""NO ENCONTRADO"")"),"")</f>
        <v/>
      </c>
      <c r="BI152" s="16">
        <f t="shared" si="7"/>
        <v>0</v>
      </c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4"/>
      <c r="BW152" s="14"/>
      <c r="BX152" s="14"/>
      <c r="BY152" s="14"/>
      <c r="BZ152" s="14"/>
      <c r="CA152" s="14"/>
      <c r="CB152" s="14"/>
      <c r="CC152" s="14"/>
      <c r="CD152" s="14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</row>
    <row r="153">
      <c r="A153" s="158">
        <v>4.0</v>
      </c>
      <c r="B153" s="159" t="s">
        <v>465</v>
      </c>
      <c r="C153" s="160" t="s">
        <v>285</v>
      </c>
      <c r="D153" s="161" t="str">
        <f t="shared" si="1"/>
        <v>4-8-D</v>
      </c>
      <c r="E153" s="162">
        <v>45730.0</v>
      </c>
      <c r="F153" s="163" t="s">
        <v>771</v>
      </c>
      <c r="G153" s="164" t="s">
        <v>87</v>
      </c>
      <c r="H153" s="165" t="s">
        <v>88</v>
      </c>
      <c r="I153" s="166">
        <v>72.0</v>
      </c>
      <c r="J153" s="167" t="s">
        <v>43</v>
      </c>
      <c r="K153" s="32" t="str">
        <f t="shared" si="2"/>
        <v>OCUPADO</v>
      </c>
      <c r="L153" s="33">
        <f t="shared" si="6"/>
        <v>152</v>
      </c>
      <c r="M153" s="33" t="s">
        <v>23</v>
      </c>
      <c r="N153" s="122"/>
      <c r="O153" s="353" t="s">
        <v>270</v>
      </c>
      <c r="P153" s="354" t="s">
        <v>466</v>
      </c>
      <c r="Q153" s="355">
        <v>45730.0</v>
      </c>
      <c r="R153" s="356" t="s">
        <v>771</v>
      </c>
      <c r="S153" s="356" t="s">
        <v>87</v>
      </c>
      <c r="T153" s="353" t="s">
        <v>88</v>
      </c>
      <c r="U153" s="357">
        <v>72.0</v>
      </c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BB153" s="12"/>
      <c r="BC153" s="12"/>
      <c r="BD153" s="14"/>
      <c r="BE153" s="12"/>
      <c r="BF153" s="12"/>
      <c r="BG153" s="12" t="str">
        <f>IFERROR(__xludf.DUMMYFUNCTION("IFERROR(INDEX(QUERY(IMPORTRANGE(""1T7HG8KEs-Ob7f3M5atEVN9Yn7IeORGp0QGvggB62ELw"",""Maestro!A:I""),""SELECT Col8 WHERE Col3 = '""&amp;BD153&amp;""'"", 0), 1, 1),""NO ENCONTRADO"")"),"")</f>
        <v/>
      </c>
      <c r="BH153" s="12" t="str">
        <f>IFERROR(__xludf.DUMMYFUNCTION("IFERROR(INDEX(QUERY(IMPORTRANGE(""1T7HG8KEs-Ob7f3M5atEVN9Yn7IeORGp0QGvggB62ELw"",""Maestro!A:I""),""SELECT Col7 WHERE Col3 = '""&amp;BD153&amp;""'"", 0), 1, 1),""NO ENCONTRADO"")"),"")</f>
        <v/>
      </c>
      <c r="BI153" s="16">
        <f t="shared" si="7"/>
        <v>0</v>
      </c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4"/>
      <c r="BW153" s="14"/>
      <c r="BX153" s="14"/>
      <c r="BY153" s="14"/>
      <c r="BZ153" s="14"/>
      <c r="CA153" s="14"/>
      <c r="CB153" s="14"/>
      <c r="CC153" s="14"/>
      <c r="CD153" s="14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</row>
    <row r="154">
      <c r="A154" s="158">
        <v>4.0</v>
      </c>
      <c r="B154" s="159" t="s">
        <v>511</v>
      </c>
      <c r="C154" s="160" t="s">
        <v>269</v>
      </c>
      <c r="D154" s="161" t="str">
        <f t="shared" si="1"/>
        <v>4-9-A</v>
      </c>
      <c r="E154" s="162">
        <v>45722.0</v>
      </c>
      <c r="F154" s="163" t="s">
        <v>772</v>
      </c>
      <c r="G154" s="164" t="s">
        <v>111</v>
      </c>
      <c r="H154" s="165" t="s">
        <v>112</v>
      </c>
      <c r="I154" s="166">
        <v>72.0</v>
      </c>
      <c r="J154" s="167" t="s">
        <v>43</v>
      </c>
      <c r="K154" s="27" t="str">
        <f t="shared" si="2"/>
        <v>OCUPADO</v>
      </c>
      <c r="L154" s="28">
        <f t="shared" si="6"/>
        <v>153</v>
      </c>
      <c r="M154" s="28" t="s">
        <v>23</v>
      </c>
      <c r="N154" s="109"/>
      <c r="O154" s="358" t="s">
        <v>270</v>
      </c>
      <c r="P154" s="359" t="s">
        <v>400</v>
      </c>
      <c r="Q154" s="360">
        <v>45722.0</v>
      </c>
      <c r="R154" s="361" t="s">
        <v>772</v>
      </c>
      <c r="S154" s="361" t="s">
        <v>111</v>
      </c>
      <c r="T154" s="358" t="s">
        <v>112</v>
      </c>
      <c r="U154" s="362">
        <v>72.0</v>
      </c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BB154" s="12"/>
      <c r="BC154" s="12"/>
      <c r="BD154" s="14"/>
      <c r="BE154" s="12"/>
      <c r="BF154" s="12"/>
      <c r="BG154" s="12" t="str">
        <f>IFERROR(__xludf.DUMMYFUNCTION("IFERROR(INDEX(QUERY(IMPORTRANGE(""1T7HG8KEs-Ob7f3M5atEVN9Yn7IeORGp0QGvggB62ELw"",""Maestro!A:I""),""SELECT Col8 WHERE Col3 = '""&amp;BD154&amp;""'"", 0), 1, 1),""NO ENCONTRADO"")"),"")</f>
        <v/>
      </c>
      <c r="BH154" s="12" t="str">
        <f>IFERROR(__xludf.DUMMYFUNCTION("IFERROR(INDEX(QUERY(IMPORTRANGE(""1T7HG8KEs-Ob7f3M5atEVN9Yn7IeORGp0QGvggB62ELw"",""Maestro!A:I""),""SELECT Col7 WHERE Col3 = '""&amp;BD154&amp;""'"", 0), 1, 1),""NO ENCONTRADO"")"),"")</f>
        <v/>
      </c>
      <c r="BI154" s="16">
        <f t="shared" si="7"/>
        <v>0</v>
      </c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4"/>
      <c r="BW154" s="14"/>
      <c r="BX154" s="14"/>
      <c r="BY154" s="14"/>
      <c r="BZ154" s="14"/>
      <c r="CA154" s="14"/>
      <c r="CB154" s="14"/>
      <c r="CC154" s="14"/>
      <c r="CD154" s="14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</row>
    <row r="155">
      <c r="A155" s="158">
        <v>4.0</v>
      </c>
      <c r="B155" s="159" t="s">
        <v>511</v>
      </c>
      <c r="C155" s="160" t="s">
        <v>277</v>
      </c>
      <c r="D155" s="161" t="str">
        <f t="shared" si="1"/>
        <v>4-9-B</v>
      </c>
      <c r="E155" s="162">
        <v>45722.0</v>
      </c>
      <c r="F155" s="163" t="s">
        <v>772</v>
      </c>
      <c r="G155" s="164" t="s">
        <v>111</v>
      </c>
      <c r="H155" s="165" t="s">
        <v>112</v>
      </c>
      <c r="I155" s="166">
        <v>72.0</v>
      </c>
      <c r="J155" s="167" t="s">
        <v>43</v>
      </c>
      <c r="K155" s="32" t="str">
        <f t="shared" si="2"/>
        <v>OCUPADO</v>
      </c>
      <c r="L155" s="33">
        <f t="shared" si="6"/>
        <v>154</v>
      </c>
      <c r="M155" s="33" t="s">
        <v>23</v>
      </c>
      <c r="N155" s="122"/>
      <c r="O155" s="353" t="s">
        <v>270</v>
      </c>
      <c r="P155" s="354" t="s">
        <v>403</v>
      </c>
      <c r="Q155" s="355">
        <v>45722.0</v>
      </c>
      <c r="R155" s="356" t="s">
        <v>772</v>
      </c>
      <c r="S155" s="356" t="s">
        <v>111</v>
      </c>
      <c r="T155" s="353" t="s">
        <v>112</v>
      </c>
      <c r="U155" s="357">
        <v>72.0</v>
      </c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BB155" s="12"/>
      <c r="BC155" s="12"/>
      <c r="BD155" s="14"/>
      <c r="BE155" s="12"/>
      <c r="BF155" s="12"/>
      <c r="BG155" s="12" t="str">
        <f>IFERROR(__xludf.DUMMYFUNCTION("IFERROR(INDEX(QUERY(IMPORTRANGE(""1T7HG8KEs-Ob7f3M5atEVN9Yn7IeORGp0QGvggB62ELw"",""Maestro!A:I""),""SELECT Col8 WHERE Col3 = '""&amp;BD155&amp;""'"", 0), 1, 1),""NO ENCONTRADO"")"),"")</f>
        <v/>
      </c>
      <c r="BH155" s="12" t="str">
        <f>IFERROR(__xludf.DUMMYFUNCTION("IFERROR(INDEX(QUERY(IMPORTRANGE(""1T7HG8KEs-Ob7f3M5atEVN9Yn7IeORGp0QGvggB62ELw"",""Maestro!A:I""),""SELECT Col7 WHERE Col3 = '""&amp;BD155&amp;""'"", 0), 1, 1),""NO ENCONTRADO"")"),"")</f>
        <v/>
      </c>
      <c r="BI155" s="16">
        <f t="shared" si="7"/>
        <v>0</v>
      </c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4"/>
      <c r="BW155" s="14"/>
      <c r="BX155" s="14"/>
      <c r="BY155" s="14"/>
      <c r="BZ155" s="14"/>
      <c r="CA155" s="14"/>
      <c r="CB155" s="14"/>
      <c r="CC155" s="14"/>
      <c r="CD155" s="14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</row>
    <row r="156">
      <c r="A156" s="158">
        <v>4.0</v>
      </c>
      <c r="B156" s="159" t="s">
        <v>511</v>
      </c>
      <c r="C156" s="160" t="s">
        <v>282</v>
      </c>
      <c r="D156" s="161" t="str">
        <f t="shared" si="1"/>
        <v>4-9-C</v>
      </c>
      <c r="E156" s="162">
        <v>45722.0</v>
      </c>
      <c r="F156" s="163" t="s">
        <v>772</v>
      </c>
      <c r="G156" s="164" t="s">
        <v>111</v>
      </c>
      <c r="H156" s="165" t="s">
        <v>112</v>
      </c>
      <c r="I156" s="166">
        <v>72.0</v>
      </c>
      <c r="J156" s="167" t="s">
        <v>43</v>
      </c>
      <c r="K156" s="27" t="str">
        <f t="shared" si="2"/>
        <v>OCUPADO</v>
      </c>
      <c r="L156" s="28">
        <f t="shared" si="6"/>
        <v>155</v>
      </c>
      <c r="M156" s="28" t="s">
        <v>23</v>
      </c>
      <c r="N156" s="109"/>
      <c r="O156" s="358" t="s">
        <v>270</v>
      </c>
      <c r="P156" s="359" t="s">
        <v>408</v>
      </c>
      <c r="Q156" s="360">
        <v>45722.0</v>
      </c>
      <c r="R156" s="361" t="s">
        <v>772</v>
      </c>
      <c r="S156" s="361" t="s">
        <v>111</v>
      </c>
      <c r="T156" s="358" t="s">
        <v>112</v>
      </c>
      <c r="U156" s="362">
        <v>72.0</v>
      </c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BB156" s="12"/>
      <c r="BC156" s="12"/>
      <c r="BD156" s="14"/>
      <c r="BE156" s="12"/>
      <c r="BF156" s="12"/>
      <c r="BG156" s="12" t="str">
        <f>IFERROR(__xludf.DUMMYFUNCTION("IFERROR(INDEX(QUERY(IMPORTRANGE(""1T7HG8KEs-Ob7f3M5atEVN9Yn7IeORGp0QGvggB62ELw"",""Maestro!A:I""),""SELECT Col8 WHERE Col3 = '""&amp;BD156&amp;""'"", 0), 1, 1),""NO ENCONTRADO"")"),"")</f>
        <v/>
      </c>
      <c r="BH156" s="12" t="str">
        <f>IFERROR(__xludf.DUMMYFUNCTION("IFERROR(INDEX(QUERY(IMPORTRANGE(""1T7HG8KEs-Ob7f3M5atEVN9Yn7IeORGp0QGvggB62ELw"",""Maestro!A:I""),""SELECT Col7 WHERE Col3 = '""&amp;BD156&amp;""'"", 0), 1, 1),""NO ENCONTRADO"")"),"")</f>
        <v/>
      </c>
      <c r="BI156" s="16">
        <f t="shared" si="7"/>
        <v>0</v>
      </c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4"/>
      <c r="BW156" s="14"/>
      <c r="BX156" s="14"/>
      <c r="BY156" s="14"/>
      <c r="BZ156" s="14"/>
      <c r="CA156" s="14"/>
      <c r="CB156" s="14"/>
      <c r="CC156" s="14"/>
      <c r="CD156" s="14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</row>
    <row r="157">
      <c r="A157" s="158">
        <v>4.0</v>
      </c>
      <c r="B157" s="159" t="s">
        <v>511</v>
      </c>
      <c r="C157" s="160" t="s">
        <v>285</v>
      </c>
      <c r="D157" s="161" t="str">
        <f t="shared" si="1"/>
        <v>4-9-D</v>
      </c>
      <c r="E157" s="162">
        <v>45730.0</v>
      </c>
      <c r="F157" s="163" t="s">
        <v>771</v>
      </c>
      <c r="G157" s="164" t="s">
        <v>87</v>
      </c>
      <c r="H157" s="165" t="s">
        <v>88</v>
      </c>
      <c r="I157" s="166">
        <v>72.0</v>
      </c>
      <c r="J157" s="167" t="s">
        <v>43</v>
      </c>
      <c r="K157" s="32" t="str">
        <f t="shared" si="2"/>
        <v>OCUPADO</v>
      </c>
      <c r="L157" s="33">
        <f t="shared" si="6"/>
        <v>156</v>
      </c>
      <c r="M157" s="33" t="s">
        <v>23</v>
      </c>
      <c r="N157" s="122"/>
      <c r="O157" s="353" t="s">
        <v>270</v>
      </c>
      <c r="P157" s="354" t="s">
        <v>412</v>
      </c>
      <c r="Q157" s="355">
        <v>45730.0</v>
      </c>
      <c r="R157" s="356" t="s">
        <v>771</v>
      </c>
      <c r="S157" s="356" t="s">
        <v>87</v>
      </c>
      <c r="T157" s="353" t="s">
        <v>88</v>
      </c>
      <c r="U157" s="357">
        <v>72.0</v>
      </c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BB157" s="12"/>
      <c r="BC157" s="12"/>
      <c r="BD157" s="14"/>
      <c r="BE157" s="12"/>
      <c r="BF157" s="12"/>
      <c r="BG157" s="12" t="str">
        <f>IFERROR(__xludf.DUMMYFUNCTION("IFERROR(INDEX(QUERY(IMPORTRANGE(""1T7HG8KEs-Ob7f3M5atEVN9Yn7IeORGp0QGvggB62ELw"",""Maestro!A:I""),""SELECT Col8 WHERE Col3 = '""&amp;BD157&amp;""'"", 0), 1, 1),""NO ENCONTRADO"")"),"")</f>
        <v/>
      </c>
      <c r="BH157" s="12" t="str">
        <f>IFERROR(__xludf.DUMMYFUNCTION("IFERROR(INDEX(QUERY(IMPORTRANGE(""1T7HG8KEs-Ob7f3M5atEVN9Yn7IeORGp0QGvggB62ELw"",""Maestro!A:I""),""SELECT Col7 WHERE Col3 = '""&amp;BD157&amp;""'"", 0), 1, 1),""NO ENCONTRADO"")"),"")</f>
        <v/>
      </c>
      <c r="BI157" s="16">
        <f t="shared" si="7"/>
        <v>0</v>
      </c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4"/>
      <c r="BW157" s="14"/>
      <c r="BX157" s="14"/>
      <c r="BY157" s="14"/>
      <c r="BZ157" s="14"/>
      <c r="CA157" s="14"/>
      <c r="CB157" s="14"/>
      <c r="CC157" s="14"/>
      <c r="CD157" s="14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</row>
    <row r="158">
      <c r="A158" s="158">
        <v>4.0</v>
      </c>
      <c r="B158" s="159" t="s">
        <v>296</v>
      </c>
      <c r="C158" s="160" t="s">
        <v>269</v>
      </c>
      <c r="D158" s="161" t="str">
        <f t="shared" si="1"/>
        <v>4-10-A</v>
      </c>
      <c r="E158" s="162">
        <v>45722.0</v>
      </c>
      <c r="F158" s="163" t="s">
        <v>772</v>
      </c>
      <c r="G158" s="164" t="s">
        <v>111</v>
      </c>
      <c r="H158" s="165" t="s">
        <v>112</v>
      </c>
      <c r="I158" s="166">
        <v>42.0</v>
      </c>
      <c r="J158" s="167" t="s">
        <v>43</v>
      </c>
      <c r="K158" s="27" t="str">
        <f t="shared" si="2"/>
        <v>OCUPADO</v>
      </c>
      <c r="L158" s="28">
        <f t="shared" si="6"/>
        <v>157</v>
      </c>
      <c r="M158" s="28" t="s">
        <v>23</v>
      </c>
      <c r="N158" s="109"/>
      <c r="O158" s="358" t="s">
        <v>270</v>
      </c>
      <c r="P158" s="359" t="s">
        <v>79</v>
      </c>
      <c r="Q158" s="360">
        <v>45722.0</v>
      </c>
      <c r="R158" s="361" t="s">
        <v>772</v>
      </c>
      <c r="S158" s="361" t="s">
        <v>111</v>
      </c>
      <c r="T158" s="358" t="s">
        <v>112</v>
      </c>
      <c r="U158" s="362">
        <v>42.0</v>
      </c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BB158" s="12"/>
      <c r="BC158" s="12"/>
      <c r="BD158" s="14"/>
      <c r="BE158" s="12"/>
      <c r="BF158" s="12"/>
      <c r="BG158" s="12" t="str">
        <f>IFERROR(__xludf.DUMMYFUNCTION("IFERROR(INDEX(QUERY(IMPORTRANGE(""1T7HG8KEs-Ob7f3M5atEVN9Yn7IeORGp0QGvggB62ELw"",""Maestro!A:I""),""SELECT Col8 WHERE Col3 = '""&amp;BD158&amp;""'"", 0), 1, 1),""NO ENCONTRADO"")"),"")</f>
        <v/>
      </c>
      <c r="BH158" s="12" t="str">
        <f>IFERROR(__xludf.DUMMYFUNCTION("IFERROR(INDEX(QUERY(IMPORTRANGE(""1T7HG8KEs-Ob7f3M5atEVN9Yn7IeORGp0QGvggB62ELw"",""Maestro!A:I""),""SELECT Col7 WHERE Col3 = '""&amp;BD158&amp;""'"", 0), 1, 1),""NO ENCONTRADO"")"),"")</f>
        <v/>
      </c>
      <c r="BI158" s="16">
        <f t="shared" si="7"/>
        <v>0</v>
      </c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4"/>
      <c r="BW158" s="14"/>
      <c r="BX158" s="14"/>
      <c r="BY158" s="14"/>
      <c r="BZ158" s="14"/>
      <c r="CA158" s="14"/>
      <c r="CB158" s="14"/>
      <c r="CC158" s="14"/>
      <c r="CD158" s="14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</row>
    <row r="159">
      <c r="A159" s="158">
        <v>4.0</v>
      </c>
      <c r="B159" s="159" t="s">
        <v>296</v>
      </c>
      <c r="C159" s="160" t="s">
        <v>277</v>
      </c>
      <c r="D159" s="161" t="str">
        <f t="shared" si="1"/>
        <v>4-10-B</v>
      </c>
      <c r="E159" s="162">
        <v>45722.0</v>
      </c>
      <c r="F159" s="163" t="s">
        <v>772</v>
      </c>
      <c r="G159" s="164" t="s">
        <v>111</v>
      </c>
      <c r="H159" s="165" t="s">
        <v>112</v>
      </c>
      <c r="I159" s="166">
        <v>21.0</v>
      </c>
      <c r="J159" s="167" t="s">
        <v>43</v>
      </c>
      <c r="K159" s="32" t="str">
        <f t="shared" si="2"/>
        <v>OCUPADO</v>
      </c>
      <c r="L159" s="33">
        <f t="shared" si="6"/>
        <v>158</v>
      </c>
      <c r="M159" s="33" t="s">
        <v>23</v>
      </c>
      <c r="N159" s="122"/>
      <c r="O159" s="353" t="s">
        <v>270</v>
      </c>
      <c r="P159" s="354" t="s">
        <v>86</v>
      </c>
      <c r="Q159" s="355">
        <v>45722.0</v>
      </c>
      <c r="R159" s="356" t="s">
        <v>772</v>
      </c>
      <c r="S159" s="356" t="s">
        <v>111</v>
      </c>
      <c r="T159" s="353" t="s">
        <v>112</v>
      </c>
      <c r="U159" s="357">
        <v>14.0</v>
      </c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BB159" s="12"/>
      <c r="BC159" s="12"/>
      <c r="BD159" s="14"/>
      <c r="BE159" s="12"/>
      <c r="BF159" s="12"/>
      <c r="BG159" s="12" t="str">
        <f>IFERROR(__xludf.DUMMYFUNCTION("IFERROR(INDEX(QUERY(IMPORTRANGE(""1T7HG8KEs-Ob7f3M5atEVN9Yn7IeORGp0QGvggB62ELw"",""Maestro!A:I""),""SELECT Col8 WHERE Col3 = '""&amp;BD159&amp;""'"", 0), 1, 1),""NO ENCONTRADO"")"),"")</f>
        <v/>
      </c>
      <c r="BH159" s="12" t="str">
        <f>IFERROR(__xludf.DUMMYFUNCTION("IFERROR(INDEX(QUERY(IMPORTRANGE(""1T7HG8KEs-Ob7f3M5atEVN9Yn7IeORGp0QGvggB62ELw"",""Maestro!A:I""),""SELECT Col7 WHERE Col3 = '""&amp;BD159&amp;""'"", 0), 1, 1),""NO ENCONTRADO"")"),"")</f>
        <v/>
      </c>
      <c r="BI159" s="16">
        <f t="shared" si="7"/>
        <v>0</v>
      </c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4"/>
      <c r="BW159" s="14"/>
      <c r="BX159" s="14"/>
      <c r="BY159" s="14"/>
      <c r="BZ159" s="14"/>
      <c r="CA159" s="14"/>
      <c r="CB159" s="14"/>
      <c r="CC159" s="14"/>
      <c r="CD159" s="14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</row>
    <row r="160">
      <c r="A160" s="158">
        <v>4.0</v>
      </c>
      <c r="B160" s="159" t="s">
        <v>296</v>
      </c>
      <c r="C160" s="160" t="s">
        <v>282</v>
      </c>
      <c r="D160" s="161" t="str">
        <f t="shared" si="1"/>
        <v>4-10-C</v>
      </c>
      <c r="E160" s="103"/>
      <c r="F160" s="104"/>
      <c r="G160" s="105"/>
      <c r="H160" s="106"/>
      <c r="I160" s="107"/>
      <c r="J160" s="108"/>
      <c r="K160" s="27" t="str">
        <f t="shared" si="2"/>
        <v>DISPONIBLE</v>
      </c>
      <c r="L160" s="28">
        <f t="shared" si="6"/>
        <v>159</v>
      </c>
      <c r="M160" s="28" t="s">
        <v>23</v>
      </c>
      <c r="N160" s="109"/>
      <c r="O160" s="358"/>
      <c r="P160" s="359" t="s">
        <v>95</v>
      </c>
      <c r="Q160" s="360"/>
      <c r="R160" s="364"/>
      <c r="S160" s="361"/>
      <c r="T160" s="358"/>
      <c r="U160" s="36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BB160" s="12"/>
      <c r="BC160" s="12"/>
      <c r="BD160" s="14"/>
      <c r="BE160" s="12"/>
      <c r="BF160" s="12"/>
      <c r="BG160" s="12" t="str">
        <f>IFERROR(__xludf.DUMMYFUNCTION("IFERROR(INDEX(QUERY(IMPORTRANGE(""1T7HG8KEs-Ob7f3M5atEVN9Yn7IeORGp0QGvggB62ELw"",""Maestro!A:I""),""SELECT Col8 WHERE Col3 = '""&amp;BD160&amp;""'"", 0), 1, 1),""NO ENCONTRADO"")"),"")</f>
        <v/>
      </c>
      <c r="BH160" s="12" t="str">
        <f>IFERROR(__xludf.DUMMYFUNCTION("IFERROR(INDEX(QUERY(IMPORTRANGE(""1T7HG8KEs-Ob7f3M5atEVN9Yn7IeORGp0QGvggB62ELw"",""Maestro!A:I""),""SELECT Col7 WHERE Col3 = '""&amp;BD160&amp;""'"", 0), 1, 1),""NO ENCONTRADO"")"),"")</f>
        <v/>
      </c>
      <c r="BI160" s="16">
        <f t="shared" si="7"/>
        <v>0</v>
      </c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4"/>
      <c r="BW160" s="14"/>
      <c r="BX160" s="14"/>
      <c r="BY160" s="14"/>
      <c r="BZ160" s="14"/>
      <c r="CA160" s="14"/>
      <c r="CB160" s="14"/>
      <c r="CC160" s="14"/>
      <c r="CD160" s="14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</row>
    <row r="161">
      <c r="A161" s="158">
        <v>4.0</v>
      </c>
      <c r="B161" s="159" t="s">
        <v>296</v>
      </c>
      <c r="C161" s="160" t="s">
        <v>285</v>
      </c>
      <c r="D161" s="161" t="str">
        <f t="shared" si="1"/>
        <v>4-10-D</v>
      </c>
      <c r="E161" s="103"/>
      <c r="F161" s="104"/>
      <c r="G161" s="105"/>
      <c r="H161" s="106"/>
      <c r="I161" s="107"/>
      <c r="J161" s="108"/>
      <c r="K161" s="32" t="str">
        <f t="shared" si="2"/>
        <v>DISPONIBLE</v>
      </c>
      <c r="L161" s="33">
        <f t="shared" si="6"/>
        <v>160</v>
      </c>
      <c r="M161" s="33" t="s">
        <v>23</v>
      </c>
      <c r="N161" s="122"/>
      <c r="O161" s="353"/>
      <c r="P161" s="354" t="s">
        <v>105</v>
      </c>
      <c r="Q161" s="355"/>
      <c r="R161" s="363"/>
      <c r="S161" s="356"/>
      <c r="T161" s="353"/>
      <c r="U161" s="357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BB161" s="12"/>
      <c r="BC161" s="12"/>
      <c r="BD161" s="14"/>
      <c r="BE161" s="12"/>
      <c r="BF161" s="12"/>
      <c r="BG161" s="12" t="str">
        <f>IFERROR(__xludf.DUMMYFUNCTION("IFERROR(INDEX(QUERY(IMPORTRANGE(""1T7HG8KEs-Ob7f3M5atEVN9Yn7IeORGp0QGvggB62ELw"",""Maestro!A:I""),""SELECT Col8 WHERE Col3 = '""&amp;BD161&amp;""'"", 0), 1, 1),""NO ENCONTRADO"")"),"")</f>
        <v/>
      </c>
      <c r="BH161" s="12" t="str">
        <f>IFERROR(__xludf.DUMMYFUNCTION("IFERROR(INDEX(QUERY(IMPORTRANGE(""1T7HG8KEs-Ob7f3M5atEVN9Yn7IeORGp0QGvggB62ELw"",""Maestro!A:I""),""SELECT Col7 WHERE Col3 = '""&amp;BD161&amp;""'"", 0), 1, 1),""NO ENCONTRADO"")"),"")</f>
        <v/>
      </c>
      <c r="BI161" s="16">
        <f t="shared" si="7"/>
        <v>0</v>
      </c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4"/>
      <c r="BW161" s="14"/>
      <c r="BX161" s="14"/>
      <c r="BY161" s="14"/>
      <c r="BZ161" s="14"/>
      <c r="CA161" s="14"/>
      <c r="CB161" s="14"/>
      <c r="CC161" s="14"/>
      <c r="CD161" s="14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</row>
    <row r="162">
      <c r="A162" s="158">
        <v>4.0</v>
      </c>
      <c r="B162" s="159" t="s">
        <v>316</v>
      </c>
      <c r="C162" s="160" t="s">
        <v>269</v>
      </c>
      <c r="D162" s="161" t="str">
        <f t="shared" si="1"/>
        <v>4-11-A</v>
      </c>
      <c r="E162" s="162">
        <v>45722.0</v>
      </c>
      <c r="F162" s="163" t="s">
        <v>772</v>
      </c>
      <c r="G162" s="164" t="s">
        <v>111</v>
      </c>
      <c r="H162" s="165" t="s">
        <v>112</v>
      </c>
      <c r="I162" s="166">
        <v>72.0</v>
      </c>
      <c r="J162" s="167" t="s">
        <v>43</v>
      </c>
      <c r="K162" s="27" t="str">
        <f t="shared" si="2"/>
        <v>OCUPADO</v>
      </c>
      <c r="L162" s="28">
        <f t="shared" si="6"/>
        <v>161</v>
      </c>
      <c r="M162" s="28" t="s">
        <v>23</v>
      </c>
      <c r="N162" s="109"/>
      <c r="O162" s="358" t="s">
        <v>270</v>
      </c>
      <c r="P162" s="359" t="s">
        <v>110</v>
      </c>
      <c r="Q162" s="360">
        <v>45722.0</v>
      </c>
      <c r="R162" s="361" t="s">
        <v>772</v>
      </c>
      <c r="S162" s="361" t="s">
        <v>111</v>
      </c>
      <c r="T162" s="358" t="s">
        <v>112</v>
      </c>
      <c r="U162" s="362">
        <v>72.0</v>
      </c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BB162" s="12"/>
      <c r="BC162" s="12"/>
      <c r="BD162" s="14"/>
      <c r="BE162" s="12"/>
      <c r="BF162" s="12"/>
      <c r="BG162" s="12" t="str">
        <f>IFERROR(__xludf.DUMMYFUNCTION("IFERROR(INDEX(QUERY(IMPORTRANGE(""1T7HG8KEs-Ob7f3M5atEVN9Yn7IeORGp0QGvggB62ELw"",""Maestro!A:I""),""SELECT Col8 WHERE Col3 = '""&amp;BD162&amp;""'"", 0), 1, 1),""NO ENCONTRADO"")"),"")</f>
        <v/>
      </c>
      <c r="BH162" s="12" t="str">
        <f>IFERROR(__xludf.DUMMYFUNCTION("IFERROR(INDEX(QUERY(IMPORTRANGE(""1T7HG8KEs-Ob7f3M5atEVN9Yn7IeORGp0QGvggB62ELw"",""Maestro!A:I""),""SELECT Col7 WHERE Col3 = '""&amp;BD162&amp;""'"", 0), 1, 1),""NO ENCONTRADO"")"),"")</f>
        <v/>
      </c>
      <c r="BI162" s="16">
        <f t="shared" si="7"/>
        <v>0</v>
      </c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4"/>
      <c r="BW162" s="14"/>
      <c r="BX162" s="14"/>
      <c r="BY162" s="14"/>
      <c r="BZ162" s="14"/>
      <c r="CA162" s="14"/>
      <c r="CB162" s="14"/>
      <c r="CC162" s="14"/>
      <c r="CD162" s="14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</row>
    <row r="163">
      <c r="A163" s="158">
        <v>4.0</v>
      </c>
      <c r="B163" s="159" t="s">
        <v>316</v>
      </c>
      <c r="C163" s="160" t="s">
        <v>277</v>
      </c>
      <c r="D163" s="161" t="str">
        <f t="shared" si="1"/>
        <v>4-11-B</v>
      </c>
      <c r="E163" s="162">
        <v>45722.0</v>
      </c>
      <c r="F163" s="163" t="s">
        <v>772</v>
      </c>
      <c r="G163" s="164" t="s">
        <v>111</v>
      </c>
      <c r="H163" s="165" t="s">
        <v>112</v>
      </c>
      <c r="I163" s="166">
        <v>72.0</v>
      </c>
      <c r="J163" s="167" t="s">
        <v>43</v>
      </c>
      <c r="K163" s="32" t="str">
        <f t="shared" si="2"/>
        <v>OCUPADO</v>
      </c>
      <c r="L163" s="33">
        <f t="shared" si="6"/>
        <v>162</v>
      </c>
      <c r="M163" s="33" t="s">
        <v>23</v>
      </c>
      <c r="N163" s="122"/>
      <c r="O163" s="353" t="s">
        <v>270</v>
      </c>
      <c r="P163" s="354" t="s">
        <v>120</v>
      </c>
      <c r="Q163" s="355">
        <v>45722.0</v>
      </c>
      <c r="R163" s="356" t="s">
        <v>772</v>
      </c>
      <c r="S163" s="356" t="s">
        <v>111</v>
      </c>
      <c r="T163" s="353" t="s">
        <v>112</v>
      </c>
      <c r="U163" s="357">
        <v>72.0</v>
      </c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BB163" s="12"/>
      <c r="BC163" s="12"/>
      <c r="BD163" s="14"/>
      <c r="BE163" s="12"/>
      <c r="BF163" s="12"/>
      <c r="BG163" s="12" t="str">
        <f>IFERROR(__xludf.DUMMYFUNCTION("IFERROR(INDEX(QUERY(IMPORTRANGE(""1T7HG8KEs-Ob7f3M5atEVN9Yn7IeORGp0QGvggB62ELw"",""Maestro!A:I""),""SELECT Col8 WHERE Col3 = '""&amp;BD163&amp;""'"", 0), 1, 1),""NO ENCONTRADO"")"),"")</f>
        <v/>
      </c>
      <c r="BH163" s="12" t="str">
        <f>IFERROR(__xludf.DUMMYFUNCTION("IFERROR(INDEX(QUERY(IMPORTRANGE(""1T7HG8KEs-Ob7f3M5atEVN9Yn7IeORGp0QGvggB62ELw"",""Maestro!A:I""),""SELECT Col7 WHERE Col3 = '""&amp;BD163&amp;""'"", 0), 1, 1),""NO ENCONTRADO"")"),"")</f>
        <v/>
      </c>
      <c r="BI163" s="16">
        <f t="shared" si="7"/>
        <v>0</v>
      </c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4"/>
      <c r="BW163" s="14"/>
      <c r="BX163" s="14"/>
      <c r="BY163" s="14"/>
      <c r="BZ163" s="14"/>
      <c r="CA163" s="14"/>
      <c r="CB163" s="14"/>
      <c r="CC163" s="14"/>
      <c r="CD163" s="14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</row>
    <row r="164">
      <c r="A164" s="158">
        <v>4.0</v>
      </c>
      <c r="B164" s="159" t="s">
        <v>316</v>
      </c>
      <c r="C164" s="160" t="s">
        <v>282</v>
      </c>
      <c r="D164" s="161" t="str">
        <f t="shared" si="1"/>
        <v>4-11-C</v>
      </c>
      <c r="E164" s="162">
        <v>45730.0</v>
      </c>
      <c r="F164" s="163" t="s">
        <v>772</v>
      </c>
      <c r="G164" s="164" t="s">
        <v>111</v>
      </c>
      <c r="H164" s="165" t="s">
        <v>112</v>
      </c>
      <c r="I164" s="166">
        <v>72.0</v>
      </c>
      <c r="J164" s="167" t="s">
        <v>43</v>
      </c>
      <c r="K164" s="27" t="str">
        <f t="shared" si="2"/>
        <v>OCUPADO</v>
      </c>
      <c r="L164" s="28">
        <f t="shared" si="6"/>
        <v>163</v>
      </c>
      <c r="M164" s="28" t="s">
        <v>23</v>
      </c>
      <c r="N164" s="109"/>
      <c r="O164" s="358" t="s">
        <v>270</v>
      </c>
      <c r="P164" s="359" t="s">
        <v>125</v>
      </c>
      <c r="Q164" s="360">
        <v>45730.0</v>
      </c>
      <c r="R164" s="361" t="s">
        <v>772</v>
      </c>
      <c r="S164" s="361" t="s">
        <v>111</v>
      </c>
      <c r="T164" s="358" t="s">
        <v>112</v>
      </c>
      <c r="U164" s="362">
        <v>72.0</v>
      </c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BB164" s="12"/>
      <c r="BC164" s="12"/>
      <c r="BD164" s="14"/>
      <c r="BE164" s="12"/>
      <c r="BF164" s="12"/>
      <c r="BG164" s="12" t="str">
        <f>IFERROR(__xludf.DUMMYFUNCTION("IFERROR(INDEX(QUERY(IMPORTRANGE(""1T7HG8KEs-Ob7f3M5atEVN9Yn7IeORGp0QGvggB62ELw"",""Maestro!A:I""),""SELECT Col8 WHERE Col3 = '""&amp;BD164&amp;""'"", 0), 1, 1),""NO ENCONTRADO"")"),"")</f>
        <v/>
      </c>
      <c r="BH164" s="12" t="str">
        <f>IFERROR(__xludf.DUMMYFUNCTION("IFERROR(INDEX(QUERY(IMPORTRANGE(""1T7HG8KEs-Ob7f3M5atEVN9Yn7IeORGp0QGvggB62ELw"",""Maestro!A:I""),""SELECT Col7 WHERE Col3 = '""&amp;BD164&amp;""'"", 0), 1, 1),""NO ENCONTRADO"")"),"")</f>
        <v/>
      </c>
      <c r="BI164" s="16">
        <f t="shared" si="7"/>
        <v>0</v>
      </c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4"/>
      <c r="BW164" s="14"/>
      <c r="BX164" s="14"/>
      <c r="BY164" s="14"/>
      <c r="BZ164" s="14"/>
      <c r="CA164" s="14"/>
      <c r="CB164" s="14"/>
      <c r="CC164" s="14"/>
      <c r="CD164" s="14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</row>
    <row r="165">
      <c r="A165" s="158">
        <v>4.0</v>
      </c>
      <c r="B165" s="159" t="s">
        <v>316</v>
      </c>
      <c r="C165" s="160" t="s">
        <v>285</v>
      </c>
      <c r="D165" s="161" t="str">
        <f t="shared" si="1"/>
        <v>4-11-D</v>
      </c>
      <c r="E165" s="162">
        <v>45730.0</v>
      </c>
      <c r="F165" s="163" t="s">
        <v>771</v>
      </c>
      <c r="G165" s="164" t="s">
        <v>87</v>
      </c>
      <c r="H165" s="165" t="s">
        <v>88</v>
      </c>
      <c r="I165" s="166">
        <v>72.0</v>
      </c>
      <c r="J165" s="167" t="s">
        <v>43</v>
      </c>
      <c r="K165" s="32" t="str">
        <f t="shared" si="2"/>
        <v>OCUPADO</v>
      </c>
      <c r="L165" s="33">
        <f t="shared" si="6"/>
        <v>164</v>
      </c>
      <c r="M165" s="33" t="s">
        <v>23</v>
      </c>
      <c r="N165" s="122"/>
      <c r="O165" s="353" t="s">
        <v>270</v>
      </c>
      <c r="P165" s="354" t="s">
        <v>131</v>
      </c>
      <c r="Q165" s="355">
        <v>45730.0</v>
      </c>
      <c r="R165" s="356" t="s">
        <v>771</v>
      </c>
      <c r="S165" s="356" t="s">
        <v>87</v>
      </c>
      <c r="T165" s="353" t="s">
        <v>88</v>
      </c>
      <c r="U165" s="357">
        <v>72.0</v>
      </c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BB165" s="12"/>
      <c r="BC165" s="12"/>
      <c r="BD165" s="14"/>
      <c r="BE165" s="12"/>
      <c r="BF165" s="12"/>
      <c r="BG165" s="12" t="str">
        <f>IFERROR(__xludf.DUMMYFUNCTION("IFERROR(INDEX(QUERY(IMPORTRANGE(""1T7HG8KEs-Ob7f3M5atEVN9Yn7IeORGp0QGvggB62ELw"",""Maestro!A:I""),""SELECT Col8 WHERE Col3 = '""&amp;BD165&amp;""'"", 0), 1, 1),""NO ENCONTRADO"")"),"")</f>
        <v/>
      </c>
      <c r="BH165" s="12" t="str">
        <f>IFERROR(__xludf.DUMMYFUNCTION("IFERROR(INDEX(QUERY(IMPORTRANGE(""1T7HG8KEs-Ob7f3M5atEVN9Yn7IeORGp0QGvggB62ELw"",""Maestro!A:I""),""SELECT Col7 WHERE Col3 = '""&amp;BD165&amp;""'"", 0), 1, 1),""NO ENCONTRADO"")"),"")</f>
        <v/>
      </c>
      <c r="BI165" s="16">
        <f t="shared" si="7"/>
        <v>0</v>
      </c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4"/>
      <c r="BW165" s="14"/>
      <c r="BX165" s="14"/>
      <c r="BY165" s="14"/>
      <c r="BZ165" s="14"/>
      <c r="CA165" s="14"/>
      <c r="CB165" s="14"/>
      <c r="CC165" s="14"/>
      <c r="CD165" s="14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</row>
    <row r="166">
      <c r="A166" s="158">
        <v>4.0</v>
      </c>
      <c r="B166" s="159" t="s">
        <v>336</v>
      </c>
      <c r="C166" s="160" t="s">
        <v>269</v>
      </c>
      <c r="D166" s="161" t="str">
        <f t="shared" si="1"/>
        <v>4-12-A</v>
      </c>
      <c r="E166" s="162">
        <v>45652.0</v>
      </c>
      <c r="F166" s="163" t="s">
        <v>19</v>
      </c>
      <c r="G166" s="164" t="s">
        <v>87</v>
      </c>
      <c r="H166" s="165" t="s">
        <v>88</v>
      </c>
      <c r="I166" s="166">
        <v>72.0</v>
      </c>
      <c r="J166" s="167" t="s">
        <v>43</v>
      </c>
      <c r="K166" s="27" t="str">
        <f t="shared" si="2"/>
        <v>OCUPADO</v>
      </c>
      <c r="L166" s="28">
        <f t="shared" si="6"/>
        <v>165</v>
      </c>
      <c r="M166" s="28" t="s">
        <v>23</v>
      </c>
      <c r="N166" s="109"/>
      <c r="O166" s="358" t="s">
        <v>270</v>
      </c>
      <c r="P166" s="359" t="s">
        <v>139</v>
      </c>
      <c r="Q166" s="360">
        <v>45652.0</v>
      </c>
      <c r="R166" s="361" t="s">
        <v>19</v>
      </c>
      <c r="S166" s="361" t="s">
        <v>87</v>
      </c>
      <c r="T166" s="358" t="s">
        <v>88</v>
      </c>
      <c r="U166" s="362">
        <v>72.0</v>
      </c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BB166" s="12"/>
      <c r="BC166" s="12"/>
      <c r="BD166" s="14"/>
      <c r="BE166" s="12"/>
      <c r="BF166" s="12"/>
      <c r="BG166" s="12" t="str">
        <f>IFERROR(__xludf.DUMMYFUNCTION("IFERROR(INDEX(QUERY(IMPORTRANGE(""1T7HG8KEs-Ob7f3M5atEVN9Yn7IeORGp0QGvggB62ELw"",""Maestro!A:I""),""SELECT Col8 WHERE Col3 = '""&amp;BD166&amp;""'"", 0), 1, 1),""NO ENCONTRADO"")"),"")</f>
        <v/>
      </c>
      <c r="BH166" s="12" t="str">
        <f>IFERROR(__xludf.DUMMYFUNCTION("IFERROR(INDEX(QUERY(IMPORTRANGE(""1T7HG8KEs-Ob7f3M5atEVN9Yn7IeORGp0QGvggB62ELw"",""Maestro!A:I""),""SELECT Col7 WHERE Col3 = '""&amp;BD166&amp;""'"", 0), 1, 1),""NO ENCONTRADO"")"),"")</f>
        <v/>
      </c>
      <c r="BI166" s="16">
        <f t="shared" si="7"/>
        <v>0</v>
      </c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4"/>
      <c r="BW166" s="14"/>
      <c r="BX166" s="14"/>
      <c r="BY166" s="14"/>
      <c r="BZ166" s="14"/>
      <c r="CA166" s="14"/>
      <c r="CB166" s="14"/>
      <c r="CC166" s="14"/>
      <c r="CD166" s="14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</row>
    <row r="167">
      <c r="A167" s="158">
        <v>4.0</v>
      </c>
      <c r="B167" s="159" t="s">
        <v>336</v>
      </c>
      <c r="C167" s="160" t="s">
        <v>277</v>
      </c>
      <c r="D167" s="161" t="str">
        <f t="shared" si="1"/>
        <v>4-12-B</v>
      </c>
      <c r="E167" s="162">
        <v>45652.0</v>
      </c>
      <c r="F167" s="163" t="s">
        <v>19</v>
      </c>
      <c r="G167" s="164" t="s">
        <v>87</v>
      </c>
      <c r="H167" s="165" t="s">
        <v>88</v>
      </c>
      <c r="I167" s="166">
        <v>72.0</v>
      </c>
      <c r="J167" s="167" t="s">
        <v>43</v>
      </c>
      <c r="K167" s="32" t="str">
        <f t="shared" si="2"/>
        <v>OCUPADO</v>
      </c>
      <c r="L167" s="33">
        <f t="shared" si="6"/>
        <v>166</v>
      </c>
      <c r="M167" s="33" t="s">
        <v>23</v>
      </c>
      <c r="N167" s="122"/>
      <c r="O167" s="353" t="s">
        <v>270</v>
      </c>
      <c r="P167" s="354" t="s">
        <v>146</v>
      </c>
      <c r="Q167" s="355">
        <v>45652.0</v>
      </c>
      <c r="R167" s="356" t="s">
        <v>19</v>
      </c>
      <c r="S167" s="356" t="s">
        <v>87</v>
      </c>
      <c r="T167" s="353" t="s">
        <v>88</v>
      </c>
      <c r="U167" s="357">
        <v>72.0</v>
      </c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BB167" s="12"/>
      <c r="BC167" s="12"/>
      <c r="BD167" s="14"/>
      <c r="BE167" s="12"/>
      <c r="BF167" s="12"/>
      <c r="BG167" s="12" t="str">
        <f>IFERROR(__xludf.DUMMYFUNCTION("IFERROR(INDEX(QUERY(IMPORTRANGE(""1T7HG8KEs-Ob7f3M5atEVN9Yn7IeORGp0QGvggB62ELw"",""Maestro!A:I""),""SELECT Col8 WHERE Col3 = '""&amp;BD167&amp;""'"", 0), 1, 1),""NO ENCONTRADO"")"),"")</f>
        <v/>
      </c>
      <c r="BH167" s="12" t="str">
        <f>IFERROR(__xludf.DUMMYFUNCTION("IFERROR(INDEX(QUERY(IMPORTRANGE(""1T7HG8KEs-Ob7f3M5atEVN9Yn7IeORGp0QGvggB62ELw"",""Maestro!A:I""),""SELECT Col7 WHERE Col3 = '""&amp;BD167&amp;""'"", 0), 1, 1),""NO ENCONTRADO"")"),"")</f>
        <v/>
      </c>
      <c r="BI167" s="16">
        <f t="shared" si="7"/>
        <v>0</v>
      </c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4"/>
      <c r="BW167" s="14"/>
      <c r="BX167" s="14"/>
      <c r="BY167" s="14"/>
      <c r="BZ167" s="14"/>
      <c r="CA167" s="14"/>
      <c r="CB167" s="14"/>
      <c r="CC167" s="14"/>
      <c r="CD167" s="14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</row>
    <row r="168">
      <c r="A168" s="158">
        <v>4.0</v>
      </c>
      <c r="B168" s="159" t="s">
        <v>336</v>
      </c>
      <c r="C168" s="160" t="s">
        <v>282</v>
      </c>
      <c r="D168" s="161" t="str">
        <f t="shared" si="1"/>
        <v>4-12-C</v>
      </c>
      <c r="E168" s="162">
        <v>45730.0</v>
      </c>
      <c r="F168" s="163" t="s">
        <v>771</v>
      </c>
      <c r="G168" s="164" t="s">
        <v>87</v>
      </c>
      <c r="H168" s="165" t="s">
        <v>88</v>
      </c>
      <c r="I168" s="166">
        <v>72.0</v>
      </c>
      <c r="J168" s="167" t="s">
        <v>43</v>
      </c>
      <c r="K168" s="27" t="str">
        <f t="shared" si="2"/>
        <v>OCUPADO</v>
      </c>
      <c r="L168" s="28">
        <f t="shared" si="6"/>
        <v>167</v>
      </c>
      <c r="M168" s="28" t="s">
        <v>23</v>
      </c>
      <c r="N168" s="109"/>
      <c r="O168" s="358" t="s">
        <v>270</v>
      </c>
      <c r="P168" s="359" t="s">
        <v>153</v>
      </c>
      <c r="Q168" s="360">
        <v>45730.0</v>
      </c>
      <c r="R168" s="361" t="s">
        <v>771</v>
      </c>
      <c r="S168" s="361" t="s">
        <v>87</v>
      </c>
      <c r="T168" s="358" t="s">
        <v>88</v>
      </c>
      <c r="U168" s="362">
        <v>72.0</v>
      </c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BB168" s="12"/>
      <c r="BC168" s="12"/>
      <c r="BD168" s="14"/>
      <c r="BE168" s="12"/>
      <c r="BF168" s="12"/>
      <c r="BG168" s="12" t="str">
        <f>IFERROR(__xludf.DUMMYFUNCTION("IFERROR(INDEX(QUERY(IMPORTRANGE(""1T7HG8KEs-Ob7f3M5atEVN9Yn7IeORGp0QGvggB62ELw"",""Maestro!A:I""),""SELECT Col8 WHERE Col3 = '""&amp;BD168&amp;""'"", 0), 1, 1),""NO ENCONTRADO"")"),"")</f>
        <v/>
      </c>
      <c r="BH168" s="12" t="str">
        <f>IFERROR(__xludf.DUMMYFUNCTION("IFERROR(INDEX(QUERY(IMPORTRANGE(""1T7HG8KEs-Ob7f3M5atEVN9Yn7IeORGp0QGvggB62ELw"",""Maestro!A:I""),""SELECT Col7 WHERE Col3 = '""&amp;BD168&amp;""'"", 0), 1, 1),""NO ENCONTRADO"")"),"")</f>
        <v/>
      </c>
      <c r="BI168" s="16">
        <f t="shared" si="7"/>
        <v>0</v>
      </c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4"/>
      <c r="BW168" s="14"/>
      <c r="BX168" s="14"/>
      <c r="BY168" s="14"/>
      <c r="BZ168" s="14"/>
      <c r="CA168" s="14"/>
      <c r="CB168" s="14"/>
      <c r="CC168" s="14"/>
      <c r="CD168" s="14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</row>
    <row r="169">
      <c r="A169" s="158">
        <v>4.0</v>
      </c>
      <c r="B169" s="159" t="s">
        <v>336</v>
      </c>
      <c r="C169" s="160" t="s">
        <v>285</v>
      </c>
      <c r="D169" s="161" t="str">
        <f t="shared" si="1"/>
        <v>4-12-D</v>
      </c>
      <c r="E169" s="162">
        <v>45730.0</v>
      </c>
      <c r="F169" s="163" t="s">
        <v>771</v>
      </c>
      <c r="G169" s="164" t="s">
        <v>87</v>
      </c>
      <c r="H169" s="165" t="s">
        <v>88</v>
      </c>
      <c r="I169" s="166">
        <v>72.0</v>
      </c>
      <c r="J169" s="167" t="s">
        <v>43</v>
      </c>
      <c r="K169" s="32" t="str">
        <f t="shared" si="2"/>
        <v>OCUPADO</v>
      </c>
      <c r="L169" s="33">
        <f t="shared" si="6"/>
        <v>168</v>
      </c>
      <c r="M169" s="33" t="s">
        <v>23</v>
      </c>
      <c r="N169" s="122"/>
      <c r="O169" s="353" t="s">
        <v>270</v>
      </c>
      <c r="P169" s="354" t="s">
        <v>159</v>
      </c>
      <c r="Q169" s="355">
        <v>45730.0</v>
      </c>
      <c r="R169" s="356" t="s">
        <v>771</v>
      </c>
      <c r="S169" s="356" t="s">
        <v>87</v>
      </c>
      <c r="T169" s="353" t="s">
        <v>88</v>
      </c>
      <c r="U169" s="357">
        <v>72.0</v>
      </c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BB169" s="12"/>
      <c r="BC169" s="12"/>
      <c r="BD169" s="14"/>
      <c r="BE169" s="12"/>
      <c r="BF169" s="12"/>
      <c r="BG169" s="12" t="str">
        <f>IFERROR(__xludf.DUMMYFUNCTION("IFERROR(INDEX(QUERY(IMPORTRANGE(""1T7HG8KEs-Ob7f3M5atEVN9Yn7IeORGp0QGvggB62ELw"",""Maestro!A:I""),""SELECT Col8 WHERE Col3 = '""&amp;BD169&amp;""'"", 0), 1, 1),""NO ENCONTRADO"")"),"")</f>
        <v/>
      </c>
      <c r="BH169" s="12" t="str">
        <f>IFERROR(__xludf.DUMMYFUNCTION("IFERROR(INDEX(QUERY(IMPORTRANGE(""1T7HG8KEs-Ob7f3M5atEVN9Yn7IeORGp0QGvggB62ELw"",""Maestro!A:I""),""SELECT Col7 WHERE Col3 = '""&amp;BD169&amp;""'"", 0), 1, 1),""NO ENCONTRADO"")"),"")</f>
        <v/>
      </c>
      <c r="BI169" s="16">
        <f t="shared" si="7"/>
        <v>0</v>
      </c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4"/>
      <c r="BW169" s="14"/>
      <c r="BX169" s="14"/>
      <c r="BY169" s="14"/>
      <c r="BZ169" s="14"/>
      <c r="CA169" s="14"/>
      <c r="CB169" s="14"/>
      <c r="CC169" s="14"/>
      <c r="CD169" s="14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</row>
    <row r="170">
      <c r="A170" s="158">
        <v>4.0</v>
      </c>
      <c r="B170" s="159" t="s">
        <v>350</v>
      </c>
      <c r="C170" s="160" t="s">
        <v>269</v>
      </c>
      <c r="D170" s="161" t="str">
        <f t="shared" si="1"/>
        <v>4-13-A</v>
      </c>
      <c r="E170" s="162">
        <v>45706.0</v>
      </c>
      <c r="F170" s="163" t="s">
        <v>19</v>
      </c>
      <c r="G170" s="164" t="s">
        <v>87</v>
      </c>
      <c r="H170" s="165" t="s">
        <v>88</v>
      </c>
      <c r="I170" s="166">
        <v>72.0</v>
      </c>
      <c r="J170" s="167" t="s">
        <v>43</v>
      </c>
      <c r="K170" s="27" t="str">
        <f t="shared" si="2"/>
        <v>OCUPADO</v>
      </c>
      <c r="L170" s="28">
        <f t="shared" si="6"/>
        <v>169</v>
      </c>
      <c r="M170" s="28" t="s">
        <v>23</v>
      </c>
      <c r="N170" s="109"/>
      <c r="O170" s="358" t="s">
        <v>270</v>
      </c>
      <c r="P170" s="359" t="s">
        <v>164</v>
      </c>
      <c r="Q170" s="360">
        <v>45706.0</v>
      </c>
      <c r="R170" s="361" t="s">
        <v>19</v>
      </c>
      <c r="S170" s="361" t="s">
        <v>87</v>
      </c>
      <c r="T170" s="358" t="s">
        <v>88</v>
      </c>
      <c r="U170" s="362">
        <v>72.0</v>
      </c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BB170" s="12"/>
      <c r="BC170" s="12"/>
      <c r="BD170" s="14"/>
      <c r="BE170" s="12"/>
      <c r="BF170" s="12"/>
      <c r="BG170" s="12" t="str">
        <f>IFERROR(__xludf.DUMMYFUNCTION("IFERROR(INDEX(QUERY(IMPORTRANGE(""1T7HG8KEs-Ob7f3M5atEVN9Yn7IeORGp0QGvggB62ELw"",""Maestro!A:I""),""SELECT Col8 WHERE Col3 = '""&amp;BD170&amp;""'"", 0), 1, 1),""NO ENCONTRADO"")"),"")</f>
        <v/>
      </c>
      <c r="BH170" s="12" t="str">
        <f>IFERROR(__xludf.DUMMYFUNCTION("IFERROR(INDEX(QUERY(IMPORTRANGE(""1T7HG8KEs-Ob7f3M5atEVN9Yn7IeORGp0QGvggB62ELw"",""Maestro!A:I""),""SELECT Col7 WHERE Col3 = '""&amp;BD170&amp;""'"", 0), 1, 1),""NO ENCONTRADO"")"),"")</f>
        <v/>
      </c>
      <c r="BI170" s="16">
        <f t="shared" si="7"/>
        <v>0</v>
      </c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4"/>
      <c r="BW170" s="14"/>
      <c r="BX170" s="14"/>
      <c r="BY170" s="14"/>
      <c r="BZ170" s="14"/>
      <c r="CA170" s="14"/>
      <c r="CB170" s="14"/>
      <c r="CC170" s="14"/>
      <c r="CD170" s="14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</row>
    <row r="171">
      <c r="A171" s="158">
        <v>4.0</v>
      </c>
      <c r="B171" s="159" t="s">
        <v>350</v>
      </c>
      <c r="C171" s="160" t="s">
        <v>277</v>
      </c>
      <c r="D171" s="161" t="str">
        <f t="shared" si="1"/>
        <v>4-13-B</v>
      </c>
      <c r="E171" s="162">
        <v>45730.0</v>
      </c>
      <c r="F171" s="163" t="s">
        <v>773</v>
      </c>
      <c r="G171" s="164" t="s">
        <v>87</v>
      </c>
      <c r="H171" s="165" t="s">
        <v>88</v>
      </c>
      <c r="I171" s="166">
        <v>72.0</v>
      </c>
      <c r="J171" s="167" t="s">
        <v>478</v>
      </c>
      <c r="K171" s="32" t="str">
        <f t="shared" si="2"/>
        <v>OCUPADO</v>
      </c>
      <c r="L171" s="33">
        <f t="shared" si="6"/>
        <v>170</v>
      </c>
      <c r="M171" s="33" t="s">
        <v>23</v>
      </c>
      <c r="N171" s="122"/>
      <c r="O171" s="353" t="s">
        <v>270</v>
      </c>
      <c r="P171" s="354" t="s">
        <v>170</v>
      </c>
      <c r="Q171" s="355">
        <v>45730.0</v>
      </c>
      <c r="R171" s="356" t="s">
        <v>773</v>
      </c>
      <c r="S171" s="356" t="s">
        <v>87</v>
      </c>
      <c r="T171" s="353" t="s">
        <v>88</v>
      </c>
      <c r="U171" s="357">
        <v>72.0</v>
      </c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BB171" s="12"/>
      <c r="BC171" s="12"/>
      <c r="BD171" s="14"/>
      <c r="BE171" s="12"/>
      <c r="BF171" s="12"/>
      <c r="BG171" s="12" t="str">
        <f>IFERROR(__xludf.DUMMYFUNCTION("IFERROR(INDEX(QUERY(IMPORTRANGE(""1T7HG8KEs-Ob7f3M5atEVN9Yn7IeORGp0QGvggB62ELw"",""Maestro!A:I""),""SELECT Col8 WHERE Col3 = '""&amp;BD171&amp;""'"", 0), 1, 1),""NO ENCONTRADO"")"),"")</f>
        <v/>
      </c>
      <c r="BH171" s="12" t="str">
        <f>IFERROR(__xludf.DUMMYFUNCTION("IFERROR(INDEX(QUERY(IMPORTRANGE(""1T7HG8KEs-Ob7f3M5atEVN9Yn7IeORGp0QGvggB62ELw"",""Maestro!A:I""),""SELECT Col7 WHERE Col3 = '""&amp;BD171&amp;""'"", 0), 1, 1),""NO ENCONTRADO"")"),"")</f>
        <v/>
      </c>
      <c r="BI171" s="16">
        <f t="shared" si="7"/>
        <v>0</v>
      </c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4"/>
      <c r="BW171" s="14"/>
      <c r="BX171" s="14"/>
      <c r="BY171" s="14"/>
      <c r="BZ171" s="14"/>
      <c r="CA171" s="14"/>
      <c r="CB171" s="14"/>
      <c r="CC171" s="14"/>
      <c r="CD171" s="14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</row>
    <row r="172">
      <c r="A172" s="158">
        <v>4.0</v>
      </c>
      <c r="B172" s="159" t="s">
        <v>350</v>
      </c>
      <c r="C172" s="160" t="s">
        <v>282</v>
      </c>
      <c r="D172" s="161" t="str">
        <f t="shared" si="1"/>
        <v>4-13-C</v>
      </c>
      <c r="E172" s="162">
        <v>45730.0</v>
      </c>
      <c r="F172" s="163" t="s">
        <v>771</v>
      </c>
      <c r="G172" s="164" t="s">
        <v>87</v>
      </c>
      <c r="H172" s="165" t="s">
        <v>88</v>
      </c>
      <c r="I172" s="166">
        <v>72.0</v>
      </c>
      <c r="J172" s="167" t="s">
        <v>43</v>
      </c>
      <c r="K172" s="27" t="str">
        <f t="shared" si="2"/>
        <v>OCUPADO</v>
      </c>
      <c r="L172" s="28">
        <f t="shared" si="6"/>
        <v>171</v>
      </c>
      <c r="M172" s="28" t="s">
        <v>23</v>
      </c>
      <c r="N172" s="109"/>
      <c r="O172" s="358" t="s">
        <v>270</v>
      </c>
      <c r="P172" s="359" t="s">
        <v>174</v>
      </c>
      <c r="Q172" s="360">
        <v>45730.0</v>
      </c>
      <c r="R172" s="361" t="s">
        <v>771</v>
      </c>
      <c r="S172" s="361" t="s">
        <v>87</v>
      </c>
      <c r="T172" s="358" t="s">
        <v>88</v>
      </c>
      <c r="U172" s="362">
        <v>72.0</v>
      </c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BB172" s="12"/>
      <c r="BC172" s="12"/>
      <c r="BD172" s="14"/>
      <c r="BE172" s="12"/>
      <c r="BF172" s="12"/>
      <c r="BG172" s="12" t="str">
        <f>IFERROR(__xludf.DUMMYFUNCTION("IFERROR(INDEX(QUERY(IMPORTRANGE(""1T7HG8KEs-Ob7f3M5atEVN9Yn7IeORGp0QGvggB62ELw"",""Maestro!A:I""),""SELECT Col8 WHERE Col3 = '""&amp;BD172&amp;""'"", 0), 1, 1),""NO ENCONTRADO"")"),"")</f>
        <v/>
      </c>
      <c r="BH172" s="12" t="str">
        <f>IFERROR(__xludf.DUMMYFUNCTION("IFERROR(INDEX(QUERY(IMPORTRANGE(""1T7HG8KEs-Ob7f3M5atEVN9Yn7IeORGp0QGvggB62ELw"",""Maestro!A:I""),""SELECT Col7 WHERE Col3 = '""&amp;BD172&amp;""'"", 0), 1, 1),""NO ENCONTRADO"")"),"")</f>
        <v/>
      </c>
      <c r="BI172" s="16">
        <f t="shared" si="7"/>
        <v>0</v>
      </c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4"/>
      <c r="BW172" s="14"/>
      <c r="BX172" s="14"/>
      <c r="BY172" s="14"/>
      <c r="BZ172" s="14"/>
      <c r="CA172" s="14"/>
      <c r="CB172" s="14"/>
      <c r="CC172" s="14"/>
      <c r="CD172" s="14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</row>
    <row r="173">
      <c r="A173" s="158">
        <v>4.0</v>
      </c>
      <c r="B173" s="159" t="s">
        <v>350</v>
      </c>
      <c r="C173" s="160" t="s">
        <v>285</v>
      </c>
      <c r="D173" s="161" t="str">
        <f t="shared" si="1"/>
        <v>4-13-D</v>
      </c>
      <c r="E173" s="162">
        <v>45730.0</v>
      </c>
      <c r="F173" s="163" t="s">
        <v>771</v>
      </c>
      <c r="G173" s="164" t="s">
        <v>87</v>
      </c>
      <c r="H173" s="165" t="s">
        <v>88</v>
      </c>
      <c r="I173" s="166">
        <v>43.0</v>
      </c>
      <c r="J173" s="167" t="s">
        <v>43</v>
      </c>
      <c r="K173" s="32" t="str">
        <f t="shared" si="2"/>
        <v>OCUPADO</v>
      </c>
      <c r="L173" s="33">
        <f t="shared" si="6"/>
        <v>172</v>
      </c>
      <c r="M173" s="33" t="s">
        <v>23</v>
      </c>
      <c r="N173" s="122"/>
      <c r="O173" s="353" t="s">
        <v>270</v>
      </c>
      <c r="P173" s="354" t="s">
        <v>436</v>
      </c>
      <c r="Q173" s="355">
        <v>45730.0</v>
      </c>
      <c r="R173" s="356" t="s">
        <v>771</v>
      </c>
      <c r="S173" s="356" t="s">
        <v>87</v>
      </c>
      <c r="T173" s="353" t="s">
        <v>88</v>
      </c>
      <c r="U173" s="357">
        <v>38.0</v>
      </c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BB173" s="12"/>
      <c r="BC173" s="12"/>
      <c r="BD173" s="14"/>
      <c r="BE173" s="12"/>
      <c r="BF173" s="12"/>
      <c r="BG173" s="12" t="str">
        <f>IFERROR(__xludf.DUMMYFUNCTION("IFERROR(INDEX(QUERY(IMPORTRANGE(""1T7HG8KEs-Ob7f3M5atEVN9Yn7IeORGp0QGvggB62ELw"",""Maestro!A:I""),""SELECT Col8 WHERE Col3 = '""&amp;BD173&amp;""'"", 0), 1, 1),""NO ENCONTRADO"")"),"")</f>
        <v/>
      </c>
      <c r="BH173" s="12" t="str">
        <f>IFERROR(__xludf.DUMMYFUNCTION("IFERROR(INDEX(QUERY(IMPORTRANGE(""1T7HG8KEs-Ob7f3M5atEVN9Yn7IeORGp0QGvggB62ELw"",""Maestro!A:I""),""SELECT Col7 WHERE Col3 = '""&amp;BD173&amp;""'"", 0), 1, 1),""NO ENCONTRADO"")"),"")</f>
        <v/>
      </c>
      <c r="BI173" s="16">
        <f t="shared" si="7"/>
        <v>0</v>
      </c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4"/>
      <c r="BW173" s="14"/>
      <c r="BX173" s="14"/>
      <c r="BY173" s="14"/>
      <c r="BZ173" s="14"/>
      <c r="CA173" s="14"/>
      <c r="CB173" s="14"/>
      <c r="CC173" s="14"/>
      <c r="CD173" s="14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</row>
    <row r="174">
      <c r="A174" s="158">
        <v>4.0</v>
      </c>
      <c r="B174" s="159" t="s">
        <v>362</v>
      </c>
      <c r="C174" s="160" t="s">
        <v>269</v>
      </c>
      <c r="D174" s="161" t="str">
        <f t="shared" si="1"/>
        <v>4-14-A</v>
      </c>
      <c r="E174" s="162">
        <v>45721.0</v>
      </c>
      <c r="F174" s="163" t="s">
        <v>770</v>
      </c>
      <c r="G174" s="164" t="s">
        <v>80</v>
      </c>
      <c r="H174" s="165" t="s">
        <v>81</v>
      </c>
      <c r="I174" s="166">
        <v>37.0</v>
      </c>
      <c r="J174" s="167" t="s">
        <v>43</v>
      </c>
      <c r="K174" s="27" t="str">
        <f t="shared" si="2"/>
        <v>OCUPADO</v>
      </c>
      <c r="L174" s="28">
        <f t="shared" si="6"/>
        <v>173</v>
      </c>
      <c r="M174" s="28" t="s">
        <v>23</v>
      </c>
      <c r="N174" s="109"/>
      <c r="O174" s="358" t="s">
        <v>270</v>
      </c>
      <c r="P174" s="359" t="s">
        <v>177</v>
      </c>
      <c r="Q174" s="360">
        <v>45721.0</v>
      </c>
      <c r="R174" s="361" t="s">
        <v>770</v>
      </c>
      <c r="S174" s="361" t="s">
        <v>80</v>
      </c>
      <c r="T174" s="358" t="s">
        <v>81</v>
      </c>
      <c r="U174" s="362">
        <v>30.0</v>
      </c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BB174" s="12"/>
      <c r="BC174" s="12"/>
      <c r="BD174" s="14"/>
      <c r="BE174" s="12"/>
      <c r="BF174" s="12"/>
      <c r="BG174" s="12" t="str">
        <f>IFERROR(__xludf.DUMMYFUNCTION("IFERROR(INDEX(QUERY(IMPORTRANGE(""1T7HG8KEs-Ob7f3M5atEVN9Yn7IeORGp0QGvggB62ELw"",""Maestro!A:I""),""SELECT Col8 WHERE Col3 = '""&amp;BD174&amp;""'"", 0), 1, 1),""NO ENCONTRADO"")"),"")</f>
        <v/>
      </c>
      <c r="BH174" s="12" t="str">
        <f>IFERROR(__xludf.DUMMYFUNCTION("IFERROR(INDEX(QUERY(IMPORTRANGE(""1T7HG8KEs-Ob7f3M5atEVN9Yn7IeORGp0QGvggB62ELw"",""Maestro!A:I""),""SELECT Col7 WHERE Col3 = '""&amp;BD174&amp;""'"", 0), 1, 1),""NO ENCONTRADO"")"),"")</f>
        <v/>
      </c>
      <c r="BI174" s="16">
        <f t="shared" si="7"/>
        <v>0</v>
      </c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4"/>
      <c r="BW174" s="14"/>
      <c r="BX174" s="14"/>
      <c r="BY174" s="14"/>
      <c r="BZ174" s="14"/>
      <c r="CA174" s="14"/>
      <c r="CB174" s="14"/>
      <c r="CC174" s="14"/>
      <c r="CD174" s="14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</row>
    <row r="175">
      <c r="A175" s="158">
        <v>4.0</v>
      </c>
      <c r="B175" s="159" t="s">
        <v>362</v>
      </c>
      <c r="C175" s="160" t="s">
        <v>277</v>
      </c>
      <c r="D175" s="161" t="str">
        <f t="shared" si="1"/>
        <v>4-14-B</v>
      </c>
      <c r="E175" s="103"/>
      <c r="F175" s="104"/>
      <c r="G175" s="105"/>
      <c r="H175" s="106"/>
      <c r="I175" s="107"/>
      <c r="J175" s="108"/>
      <c r="K175" s="32" t="str">
        <f t="shared" si="2"/>
        <v>DISPONIBLE</v>
      </c>
      <c r="L175" s="33">
        <f t="shared" si="6"/>
        <v>174</v>
      </c>
      <c r="M175" s="33" t="s">
        <v>23</v>
      </c>
      <c r="N175" s="122"/>
      <c r="O175" s="353"/>
      <c r="P175" s="354" t="s">
        <v>186</v>
      </c>
      <c r="Q175" s="355"/>
      <c r="R175" s="363"/>
      <c r="S175" s="356"/>
      <c r="T175" s="353"/>
      <c r="U175" s="357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BB175" s="12"/>
      <c r="BC175" s="12"/>
      <c r="BD175" s="14"/>
      <c r="BE175" s="12"/>
      <c r="BF175" s="12"/>
      <c r="BG175" s="12" t="str">
        <f>IFERROR(__xludf.DUMMYFUNCTION("IFERROR(INDEX(QUERY(IMPORTRANGE(""1T7HG8KEs-Ob7f3M5atEVN9Yn7IeORGp0QGvggB62ELw"",""Maestro!A:I""),""SELECT Col8 WHERE Col3 = '""&amp;BD175&amp;""'"", 0), 1, 1),""NO ENCONTRADO"")"),"")</f>
        <v/>
      </c>
      <c r="BH175" s="12" t="str">
        <f>IFERROR(__xludf.DUMMYFUNCTION("IFERROR(INDEX(QUERY(IMPORTRANGE(""1T7HG8KEs-Ob7f3M5atEVN9Yn7IeORGp0QGvggB62ELw"",""Maestro!A:I""),""SELECT Col7 WHERE Col3 = '""&amp;BD175&amp;""'"", 0), 1, 1),""NO ENCONTRADO"")"),"")</f>
        <v/>
      </c>
      <c r="BI175" s="16">
        <f t="shared" si="7"/>
        <v>0</v>
      </c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4"/>
      <c r="BW175" s="14"/>
      <c r="BX175" s="14"/>
      <c r="BY175" s="14"/>
      <c r="BZ175" s="14"/>
      <c r="CA175" s="14"/>
      <c r="CB175" s="14"/>
      <c r="CC175" s="14"/>
      <c r="CD175" s="14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</row>
    <row r="176">
      <c r="A176" s="158">
        <v>4.0</v>
      </c>
      <c r="B176" s="159" t="s">
        <v>362</v>
      </c>
      <c r="C176" s="160" t="s">
        <v>282</v>
      </c>
      <c r="D176" s="161" t="str">
        <f t="shared" si="1"/>
        <v>4-14-C</v>
      </c>
      <c r="E176" s="103"/>
      <c r="F176" s="104"/>
      <c r="G176" s="105"/>
      <c r="H176" s="106"/>
      <c r="I176" s="107"/>
      <c r="J176" s="108"/>
      <c r="K176" s="27" t="str">
        <f t="shared" si="2"/>
        <v>DISPONIBLE</v>
      </c>
      <c r="L176" s="28">
        <f t="shared" si="6"/>
        <v>175</v>
      </c>
      <c r="M176" s="28" t="s">
        <v>23</v>
      </c>
      <c r="N176" s="109"/>
      <c r="O176" s="358"/>
      <c r="P176" s="359" t="s">
        <v>190</v>
      </c>
      <c r="Q176" s="360"/>
      <c r="R176" s="364"/>
      <c r="S176" s="361"/>
      <c r="T176" s="358"/>
      <c r="U176" s="36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BB176" s="12"/>
      <c r="BC176" s="12"/>
      <c r="BD176" s="14"/>
      <c r="BE176" s="12"/>
      <c r="BF176" s="12"/>
      <c r="BG176" s="12" t="str">
        <f>IFERROR(__xludf.DUMMYFUNCTION("IFERROR(INDEX(QUERY(IMPORTRANGE(""1T7HG8KEs-Ob7f3M5atEVN9Yn7IeORGp0QGvggB62ELw"",""Maestro!A:I""),""SELECT Col8 WHERE Col3 = '""&amp;BD176&amp;""'"", 0), 1, 1),""NO ENCONTRADO"")"),"")</f>
        <v/>
      </c>
      <c r="BH176" s="12" t="str">
        <f>IFERROR(__xludf.DUMMYFUNCTION("IFERROR(INDEX(QUERY(IMPORTRANGE(""1T7HG8KEs-Ob7f3M5atEVN9Yn7IeORGp0QGvggB62ELw"",""Maestro!A:I""),""SELECT Col7 WHERE Col3 = '""&amp;BD176&amp;""'"", 0), 1, 1),""NO ENCONTRADO"")"),"")</f>
        <v/>
      </c>
      <c r="BI176" s="16">
        <f t="shared" si="7"/>
        <v>0</v>
      </c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4"/>
      <c r="BW176" s="14"/>
      <c r="BX176" s="14"/>
      <c r="BY176" s="14"/>
      <c r="BZ176" s="14"/>
      <c r="CA176" s="14"/>
      <c r="CB176" s="14"/>
      <c r="CC176" s="14"/>
      <c r="CD176" s="14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</row>
    <row r="177">
      <c r="A177" s="158">
        <v>4.0</v>
      </c>
      <c r="B177" s="159" t="s">
        <v>362</v>
      </c>
      <c r="C177" s="160" t="s">
        <v>285</v>
      </c>
      <c r="D177" s="161" t="str">
        <f t="shared" si="1"/>
        <v>4-14-D</v>
      </c>
      <c r="E177" s="103"/>
      <c r="F177" s="104"/>
      <c r="G177" s="315"/>
      <c r="H177" s="106"/>
      <c r="I177" s="107"/>
      <c r="J177" s="108"/>
      <c r="K177" s="32" t="str">
        <f t="shared" si="2"/>
        <v>DISPONIBLE</v>
      </c>
      <c r="L177" s="33">
        <f t="shared" si="6"/>
        <v>176</v>
      </c>
      <c r="M177" s="33" t="s">
        <v>23</v>
      </c>
      <c r="N177" s="122"/>
      <c r="O177" s="353"/>
      <c r="P177" s="354" t="s">
        <v>439</v>
      </c>
      <c r="Q177" s="355"/>
      <c r="R177" s="363"/>
      <c r="S177" s="354"/>
      <c r="T177" s="353"/>
      <c r="U177" s="357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BB177" s="12"/>
      <c r="BC177" s="12"/>
      <c r="BD177" s="14"/>
      <c r="BE177" s="12"/>
      <c r="BF177" s="12"/>
      <c r="BG177" s="12" t="str">
        <f>IFERROR(__xludf.DUMMYFUNCTION("IFERROR(INDEX(QUERY(IMPORTRANGE(""1T7HG8KEs-Ob7f3M5atEVN9Yn7IeORGp0QGvggB62ELw"",""Maestro!A:I""),""SELECT Col8 WHERE Col3 = '""&amp;BD177&amp;""'"", 0), 1, 1),""NO ENCONTRADO"")"),"")</f>
        <v/>
      </c>
      <c r="BH177" s="12" t="str">
        <f>IFERROR(__xludf.DUMMYFUNCTION("IFERROR(INDEX(QUERY(IMPORTRANGE(""1T7HG8KEs-Ob7f3M5atEVN9Yn7IeORGp0QGvggB62ELw"",""Maestro!A:I""),""SELECT Col7 WHERE Col3 = '""&amp;BD177&amp;""'"", 0), 1, 1),""NO ENCONTRADO"")"),"")</f>
        <v/>
      </c>
      <c r="BI177" s="16">
        <f t="shared" si="7"/>
        <v>0</v>
      </c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4"/>
      <c r="BW177" s="14"/>
      <c r="BX177" s="14"/>
      <c r="BY177" s="14"/>
      <c r="BZ177" s="14"/>
      <c r="CA177" s="14"/>
      <c r="CB177" s="14"/>
      <c r="CC177" s="14"/>
      <c r="CD177" s="14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</row>
    <row r="178">
      <c r="A178" s="158">
        <v>4.0</v>
      </c>
      <c r="B178" s="159" t="s">
        <v>372</v>
      </c>
      <c r="C178" s="160" t="s">
        <v>269</v>
      </c>
      <c r="D178" s="161" t="str">
        <f t="shared" si="1"/>
        <v>4-15-A</v>
      </c>
      <c r="E178" s="162">
        <v>45721.0</v>
      </c>
      <c r="F178" s="163" t="s">
        <v>770</v>
      </c>
      <c r="G178" s="164" t="s">
        <v>80</v>
      </c>
      <c r="H178" s="165" t="s">
        <v>81</v>
      </c>
      <c r="I178" s="166">
        <v>80.0</v>
      </c>
      <c r="J178" s="167" t="s">
        <v>43</v>
      </c>
      <c r="K178" s="27" t="str">
        <f t="shared" si="2"/>
        <v>OCUPADO</v>
      </c>
      <c r="L178" s="28">
        <f t="shared" si="6"/>
        <v>177</v>
      </c>
      <c r="M178" s="28" t="s">
        <v>23</v>
      </c>
      <c r="N178" s="109"/>
      <c r="O178" s="358" t="s">
        <v>270</v>
      </c>
      <c r="P178" s="359" t="s">
        <v>195</v>
      </c>
      <c r="Q178" s="360">
        <v>45721.0</v>
      </c>
      <c r="R178" s="361" t="s">
        <v>770</v>
      </c>
      <c r="S178" s="361" t="s">
        <v>80</v>
      </c>
      <c r="T178" s="358" t="s">
        <v>81</v>
      </c>
      <c r="U178" s="362">
        <v>80.0</v>
      </c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BB178" s="12"/>
      <c r="BC178" s="12"/>
      <c r="BD178" s="14"/>
      <c r="BE178" s="12"/>
      <c r="BF178" s="12"/>
      <c r="BG178" s="12" t="str">
        <f>IFERROR(__xludf.DUMMYFUNCTION("IFERROR(INDEX(QUERY(IMPORTRANGE(""1T7HG8KEs-Ob7f3M5atEVN9Yn7IeORGp0QGvggB62ELw"",""Maestro!A:I""),""SELECT Col8 WHERE Col3 = '""&amp;BD178&amp;""'"", 0), 1, 1),""NO ENCONTRADO"")"),"")</f>
        <v/>
      </c>
      <c r="BH178" s="12" t="str">
        <f>IFERROR(__xludf.DUMMYFUNCTION("IFERROR(INDEX(QUERY(IMPORTRANGE(""1T7HG8KEs-Ob7f3M5atEVN9Yn7IeORGp0QGvggB62ELw"",""Maestro!A:I""),""SELECT Col7 WHERE Col3 = '""&amp;BD178&amp;""'"", 0), 1, 1),""NO ENCONTRADO"")"),"")</f>
        <v/>
      </c>
      <c r="BI178" s="16">
        <f t="shared" si="7"/>
        <v>0</v>
      </c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4"/>
      <c r="BW178" s="14"/>
      <c r="BX178" s="14"/>
      <c r="BY178" s="14"/>
      <c r="BZ178" s="14"/>
      <c r="CA178" s="14"/>
      <c r="CB178" s="14"/>
      <c r="CC178" s="14"/>
      <c r="CD178" s="14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</row>
    <row r="179">
      <c r="A179" s="158">
        <v>4.0</v>
      </c>
      <c r="B179" s="159" t="s">
        <v>372</v>
      </c>
      <c r="C179" s="160" t="s">
        <v>277</v>
      </c>
      <c r="D179" s="161" t="str">
        <f t="shared" si="1"/>
        <v>4-15-B</v>
      </c>
      <c r="E179" s="162">
        <v>45721.0</v>
      </c>
      <c r="F179" s="163" t="s">
        <v>770</v>
      </c>
      <c r="G179" s="164" t="s">
        <v>80</v>
      </c>
      <c r="H179" s="165" t="s">
        <v>81</v>
      </c>
      <c r="I179" s="166">
        <v>80.0</v>
      </c>
      <c r="J179" s="167" t="s">
        <v>43</v>
      </c>
      <c r="K179" s="32" t="str">
        <f t="shared" si="2"/>
        <v>OCUPADO</v>
      </c>
      <c r="L179" s="33">
        <f t="shared" si="6"/>
        <v>178</v>
      </c>
      <c r="M179" s="33" t="s">
        <v>23</v>
      </c>
      <c r="N179" s="122"/>
      <c r="O179" s="353" t="s">
        <v>270</v>
      </c>
      <c r="P179" s="354" t="s">
        <v>201</v>
      </c>
      <c r="Q179" s="355">
        <v>45721.0</v>
      </c>
      <c r="R179" s="356" t="s">
        <v>770</v>
      </c>
      <c r="S179" s="356" t="s">
        <v>80</v>
      </c>
      <c r="T179" s="353" t="s">
        <v>81</v>
      </c>
      <c r="U179" s="357">
        <v>80.0</v>
      </c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BB179" s="12"/>
      <c r="BC179" s="12"/>
      <c r="BD179" s="14"/>
      <c r="BE179" s="12"/>
      <c r="BF179" s="12"/>
      <c r="BG179" s="12" t="str">
        <f>IFERROR(__xludf.DUMMYFUNCTION("IFERROR(INDEX(QUERY(IMPORTRANGE(""1T7HG8KEs-Ob7f3M5atEVN9Yn7IeORGp0QGvggB62ELw"",""Maestro!A:I""),""SELECT Col8 WHERE Col3 = '""&amp;BD179&amp;""'"", 0), 1, 1),""NO ENCONTRADO"")"),"")</f>
        <v/>
      </c>
      <c r="BH179" s="12" t="str">
        <f>IFERROR(__xludf.DUMMYFUNCTION("IFERROR(INDEX(QUERY(IMPORTRANGE(""1T7HG8KEs-Ob7f3M5atEVN9Yn7IeORGp0QGvggB62ELw"",""Maestro!A:I""),""SELECT Col7 WHERE Col3 = '""&amp;BD179&amp;""'"", 0), 1, 1),""NO ENCONTRADO"")"),"")</f>
        <v/>
      </c>
      <c r="BI179" s="16">
        <f t="shared" si="7"/>
        <v>0</v>
      </c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4"/>
      <c r="BW179" s="14"/>
      <c r="BX179" s="14"/>
      <c r="BY179" s="14"/>
      <c r="BZ179" s="14"/>
      <c r="CA179" s="14"/>
      <c r="CB179" s="14"/>
      <c r="CC179" s="14"/>
      <c r="CD179" s="14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</row>
    <row r="180">
      <c r="A180" s="158">
        <v>4.0</v>
      </c>
      <c r="B180" s="159" t="s">
        <v>372</v>
      </c>
      <c r="C180" s="160" t="s">
        <v>282</v>
      </c>
      <c r="D180" s="161" t="str">
        <f t="shared" si="1"/>
        <v>4-15-C</v>
      </c>
      <c r="E180" s="162">
        <v>45751.0</v>
      </c>
      <c r="F180" s="163" t="s">
        <v>770</v>
      </c>
      <c r="G180" s="164" t="s">
        <v>80</v>
      </c>
      <c r="H180" s="165" t="s">
        <v>81</v>
      </c>
      <c r="I180" s="166">
        <v>3.0</v>
      </c>
      <c r="J180" s="167" t="s">
        <v>43</v>
      </c>
      <c r="K180" s="27" t="str">
        <f t="shared" si="2"/>
        <v>OCUPADO</v>
      </c>
      <c r="L180" s="28">
        <f t="shared" si="6"/>
        <v>179</v>
      </c>
      <c r="M180" s="28" t="s">
        <v>23</v>
      </c>
      <c r="N180" s="109"/>
      <c r="O180" s="358" t="s">
        <v>270</v>
      </c>
      <c r="P180" s="359" t="s">
        <v>204</v>
      </c>
      <c r="Q180" s="360">
        <v>45751.0</v>
      </c>
      <c r="R180" s="361" t="s">
        <v>770</v>
      </c>
      <c r="S180" s="361" t="s">
        <v>80</v>
      </c>
      <c r="T180" s="358" t="s">
        <v>81</v>
      </c>
      <c r="U180" s="362">
        <v>3.0</v>
      </c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BB180" s="12"/>
      <c r="BC180" s="12"/>
      <c r="BD180" s="14"/>
      <c r="BE180" s="12"/>
      <c r="BF180" s="12"/>
      <c r="BG180" s="12" t="str">
        <f>IFERROR(__xludf.DUMMYFUNCTION("IFERROR(INDEX(QUERY(IMPORTRANGE(""1T7HG8KEs-Ob7f3M5atEVN9Yn7IeORGp0QGvggB62ELw"",""Maestro!A:I""),""SELECT Col8 WHERE Col3 = '""&amp;BD180&amp;""'"", 0), 1, 1),""NO ENCONTRADO"")"),"")</f>
        <v/>
      </c>
      <c r="BH180" s="12" t="str">
        <f>IFERROR(__xludf.DUMMYFUNCTION("IFERROR(INDEX(QUERY(IMPORTRANGE(""1T7HG8KEs-Ob7f3M5atEVN9Yn7IeORGp0QGvggB62ELw"",""Maestro!A:I""),""SELECT Col7 WHERE Col3 = '""&amp;BD180&amp;""'"", 0), 1, 1),""NO ENCONTRADO"")"),"")</f>
        <v/>
      </c>
      <c r="BI180" s="16">
        <f t="shared" si="7"/>
        <v>0</v>
      </c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4"/>
      <c r="BW180" s="14"/>
      <c r="BX180" s="14"/>
      <c r="BY180" s="14"/>
      <c r="BZ180" s="14"/>
      <c r="CA180" s="14"/>
      <c r="CB180" s="14"/>
      <c r="CC180" s="14"/>
      <c r="CD180" s="14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</row>
    <row r="181">
      <c r="A181" s="158">
        <v>4.0</v>
      </c>
      <c r="B181" s="159" t="s">
        <v>372</v>
      </c>
      <c r="C181" s="160" t="s">
        <v>285</v>
      </c>
      <c r="D181" s="161" t="str">
        <f t="shared" si="1"/>
        <v>4-15-D</v>
      </c>
      <c r="E181" s="103"/>
      <c r="F181" s="104"/>
      <c r="G181" s="315"/>
      <c r="H181" s="106"/>
      <c r="I181" s="107"/>
      <c r="J181" s="108"/>
      <c r="K181" s="32" t="str">
        <f t="shared" si="2"/>
        <v>DISPONIBLE</v>
      </c>
      <c r="L181" s="33">
        <f t="shared" si="6"/>
        <v>180</v>
      </c>
      <c r="M181" s="33" t="s">
        <v>23</v>
      </c>
      <c r="N181" s="122"/>
      <c r="O181" s="353"/>
      <c r="P181" s="354" t="s">
        <v>443</v>
      </c>
      <c r="Q181" s="355"/>
      <c r="R181" s="363"/>
      <c r="S181" s="354"/>
      <c r="T181" s="353"/>
      <c r="U181" s="357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BB181" s="12"/>
      <c r="BC181" s="12"/>
      <c r="BD181" s="14"/>
      <c r="BE181" s="12"/>
      <c r="BF181" s="12"/>
      <c r="BG181" s="12" t="str">
        <f>IFERROR(__xludf.DUMMYFUNCTION("IFERROR(INDEX(QUERY(IMPORTRANGE(""1T7HG8KEs-Ob7f3M5atEVN9Yn7IeORGp0QGvggB62ELw"",""Maestro!A:I""),""SELECT Col8 WHERE Col3 = '""&amp;BD181&amp;""'"", 0), 1, 1),""NO ENCONTRADO"")"),"")</f>
        <v/>
      </c>
      <c r="BH181" s="12" t="str">
        <f>IFERROR(__xludf.DUMMYFUNCTION("IFERROR(INDEX(QUERY(IMPORTRANGE(""1T7HG8KEs-Ob7f3M5atEVN9Yn7IeORGp0QGvggB62ELw"",""Maestro!A:I""),""SELECT Col7 WHERE Col3 = '""&amp;BD181&amp;""'"", 0), 1, 1),""NO ENCONTRADO"")"),"")</f>
        <v/>
      </c>
      <c r="BI181" s="16">
        <f t="shared" si="7"/>
        <v>0</v>
      </c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4"/>
      <c r="BW181" s="14"/>
      <c r="BX181" s="14"/>
      <c r="BY181" s="14"/>
      <c r="BZ181" s="14"/>
      <c r="CA181" s="14"/>
      <c r="CB181" s="14"/>
      <c r="CC181" s="14"/>
      <c r="CD181" s="14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</row>
    <row r="182">
      <c r="A182" s="158">
        <v>4.0</v>
      </c>
      <c r="B182" s="159" t="s">
        <v>382</v>
      </c>
      <c r="C182" s="160" t="s">
        <v>269</v>
      </c>
      <c r="D182" s="161" t="str">
        <f t="shared" si="1"/>
        <v>4-16-A</v>
      </c>
      <c r="E182" s="162">
        <v>45721.0</v>
      </c>
      <c r="F182" s="163" t="s">
        <v>770</v>
      </c>
      <c r="G182" s="164" t="s">
        <v>80</v>
      </c>
      <c r="H182" s="165" t="s">
        <v>81</v>
      </c>
      <c r="I182" s="166">
        <v>80.0</v>
      </c>
      <c r="J182" s="167" t="s">
        <v>43</v>
      </c>
      <c r="K182" s="27" t="str">
        <f t="shared" si="2"/>
        <v>OCUPADO</v>
      </c>
      <c r="L182" s="28">
        <f t="shared" si="6"/>
        <v>181</v>
      </c>
      <c r="M182" s="28" t="s">
        <v>23</v>
      </c>
      <c r="N182" s="109"/>
      <c r="O182" s="358" t="s">
        <v>270</v>
      </c>
      <c r="P182" s="359" t="s">
        <v>208</v>
      </c>
      <c r="Q182" s="360">
        <v>45721.0</v>
      </c>
      <c r="R182" s="361" t="s">
        <v>770</v>
      </c>
      <c r="S182" s="361" t="s">
        <v>80</v>
      </c>
      <c r="T182" s="358" t="s">
        <v>81</v>
      </c>
      <c r="U182" s="362">
        <v>80.0</v>
      </c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BB182" s="12"/>
      <c r="BC182" s="12"/>
      <c r="BD182" s="14"/>
      <c r="BE182" s="12"/>
      <c r="BF182" s="12"/>
      <c r="BG182" s="12" t="str">
        <f>IFERROR(__xludf.DUMMYFUNCTION("IFERROR(INDEX(QUERY(IMPORTRANGE(""1T7HG8KEs-Ob7f3M5atEVN9Yn7IeORGp0QGvggB62ELw"",""Maestro!A:I""),""SELECT Col8 WHERE Col3 = '""&amp;BD182&amp;""'"", 0), 1, 1),""NO ENCONTRADO"")"),"")</f>
        <v/>
      </c>
      <c r="BH182" s="12" t="str">
        <f>IFERROR(__xludf.DUMMYFUNCTION("IFERROR(INDEX(QUERY(IMPORTRANGE(""1T7HG8KEs-Ob7f3M5atEVN9Yn7IeORGp0QGvggB62ELw"",""Maestro!A:I""),""SELECT Col7 WHERE Col3 = '""&amp;BD182&amp;""'"", 0), 1, 1),""NO ENCONTRADO"")"),"")</f>
        <v/>
      </c>
      <c r="BI182" s="16">
        <f t="shared" si="7"/>
        <v>0</v>
      </c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4"/>
      <c r="BW182" s="14"/>
      <c r="BX182" s="14"/>
      <c r="BY182" s="14"/>
      <c r="BZ182" s="14"/>
      <c r="CA182" s="14"/>
      <c r="CB182" s="14"/>
      <c r="CC182" s="14"/>
      <c r="CD182" s="14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</row>
    <row r="183">
      <c r="A183" s="158">
        <v>4.0</v>
      </c>
      <c r="B183" s="159" t="s">
        <v>382</v>
      </c>
      <c r="C183" s="160" t="s">
        <v>277</v>
      </c>
      <c r="D183" s="161" t="str">
        <f t="shared" si="1"/>
        <v>4-16-B</v>
      </c>
      <c r="E183" s="162">
        <v>45721.0</v>
      </c>
      <c r="F183" s="163" t="s">
        <v>770</v>
      </c>
      <c r="G183" s="164" t="s">
        <v>80</v>
      </c>
      <c r="H183" s="165" t="s">
        <v>81</v>
      </c>
      <c r="I183" s="166">
        <v>80.0</v>
      </c>
      <c r="J183" s="167" t="s">
        <v>43</v>
      </c>
      <c r="K183" s="32" t="str">
        <f t="shared" si="2"/>
        <v>OCUPADO</v>
      </c>
      <c r="L183" s="33">
        <f t="shared" si="6"/>
        <v>182</v>
      </c>
      <c r="M183" s="33" t="s">
        <v>23</v>
      </c>
      <c r="N183" s="122"/>
      <c r="O183" s="353" t="s">
        <v>270</v>
      </c>
      <c r="P183" s="354" t="s">
        <v>213</v>
      </c>
      <c r="Q183" s="355">
        <v>45721.0</v>
      </c>
      <c r="R183" s="356" t="s">
        <v>770</v>
      </c>
      <c r="S183" s="356" t="s">
        <v>80</v>
      </c>
      <c r="T183" s="353" t="s">
        <v>81</v>
      </c>
      <c r="U183" s="357">
        <v>80.0</v>
      </c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BB183" s="12"/>
      <c r="BC183" s="12"/>
      <c r="BD183" s="14"/>
      <c r="BE183" s="12"/>
      <c r="BF183" s="12"/>
      <c r="BG183" s="12" t="str">
        <f>IFERROR(__xludf.DUMMYFUNCTION("IFERROR(INDEX(QUERY(IMPORTRANGE(""1T7HG8KEs-Ob7f3M5atEVN9Yn7IeORGp0QGvggB62ELw"",""Maestro!A:I""),""SELECT Col8 WHERE Col3 = '""&amp;BD183&amp;""'"", 0), 1, 1),""NO ENCONTRADO"")"),"")</f>
        <v/>
      </c>
      <c r="BH183" s="12" t="str">
        <f>IFERROR(__xludf.DUMMYFUNCTION("IFERROR(INDEX(QUERY(IMPORTRANGE(""1T7HG8KEs-Ob7f3M5atEVN9Yn7IeORGp0QGvggB62ELw"",""Maestro!A:I""),""SELECT Col7 WHERE Col3 = '""&amp;BD183&amp;""'"", 0), 1, 1),""NO ENCONTRADO"")"),"")</f>
        <v/>
      </c>
      <c r="BI183" s="16">
        <f t="shared" si="7"/>
        <v>0</v>
      </c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4"/>
      <c r="BW183" s="14"/>
      <c r="BX183" s="14"/>
      <c r="BY183" s="14"/>
      <c r="BZ183" s="14"/>
      <c r="CA183" s="14"/>
      <c r="CB183" s="14"/>
      <c r="CC183" s="14"/>
      <c r="CD183" s="14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</row>
    <row r="184">
      <c r="A184" s="158">
        <v>4.0</v>
      </c>
      <c r="B184" s="159" t="s">
        <v>382</v>
      </c>
      <c r="C184" s="160" t="s">
        <v>282</v>
      </c>
      <c r="D184" s="161" t="str">
        <f t="shared" si="1"/>
        <v>4-16-C</v>
      </c>
      <c r="E184" s="162">
        <v>45730.0</v>
      </c>
      <c r="F184" s="163" t="s">
        <v>771</v>
      </c>
      <c r="G184" s="164" t="s">
        <v>87</v>
      </c>
      <c r="H184" s="165" t="s">
        <v>88</v>
      </c>
      <c r="I184" s="166">
        <v>2.0</v>
      </c>
      <c r="J184" s="167" t="s">
        <v>43</v>
      </c>
      <c r="K184" s="27" t="str">
        <f t="shared" si="2"/>
        <v>OCUPADO</v>
      </c>
      <c r="L184" s="28">
        <f t="shared" si="6"/>
        <v>183</v>
      </c>
      <c r="M184" s="28" t="s">
        <v>23</v>
      </c>
      <c r="N184" s="109"/>
      <c r="O184" s="358" t="s">
        <v>270</v>
      </c>
      <c r="P184" s="359" t="s">
        <v>218</v>
      </c>
      <c r="Q184" s="360">
        <v>45730.0</v>
      </c>
      <c r="R184" s="361" t="s">
        <v>771</v>
      </c>
      <c r="S184" s="361" t="s">
        <v>87</v>
      </c>
      <c r="T184" s="358" t="s">
        <v>88</v>
      </c>
      <c r="U184" s="362">
        <v>2.0</v>
      </c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BB184" s="12"/>
      <c r="BC184" s="12"/>
      <c r="BD184" s="14"/>
      <c r="BE184" s="12"/>
      <c r="BF184" s="12"/>
      <c r="BG184" s="12" t="str">
        <f>IFERROR(__xludf.DUMMYFUNCTION("IFERROR(INDEX(QUERY(IMPORTRANGE(""1T7HG8KEs-Ob7f3M5atEVN9Yn7IeORGp0QGvggB62ELw"",""Maestro!A:I""),""SELECT Col8 WHERE Col3 = '""&amp;BD184&amp;""'"", 0), 1, 1),""NO ENCONTRADO"")"),"")</f>
        <v/>
      </c>
      <c r="BH184" s="12" t="str">
        <f>IFERROR(__xludf.DUMMYFUNCTION("IFERROR(INDEX(QUERY(IMPORTRANGE(""1T7HG8KEs-Ob7f3M5atEVN9Yn7IeORGp0QGvggB62ELw"",""Maestro!A:I""),""SELECT Col7 WHERE Col3 = '""&amp;BD184&amp;""'"", 0), 1, 1),""NO ENCONTRADO"")"),"")</f>
        <v/>
      </c>
      <c r="BI184" s="16">
        <f t="shared" si="7"/>
        <v>0</v>
      </c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4"/>
      <c r="BW184" s="14"/>
      <c r="BX184" s="14"/>
      <c r="BY184" s="14"/>
      <c r="BZ184" s="14"/>
      <c r="CA184" s="14"/>
      <c r="CB184" s="14"/>
      <c r="CC184" s="14"/>
      <c r="CD184" s="14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</row>
    <row r="185">
      <c r="A185" s="158">
        <v>4.0</v>
      </c>
      <c r="B185" s="159" t="s">
        <v>382</v>
      </c>
      <c r="C185" s="160" t="s">
        <v>285</v>
      </c>
      <c r="D185" s="161" t="str">
        <f t="shared" si="1"/>
        <v>4-16-D</v>
      </c>
      <c r="E185" s="103"/>
      <c r="F185" s="104"/>
      <c r="G185" s="315"/>
      <c r="H185" s="106"/>
      <c r="I185" s="107"/>
      <c r="J185" s="108"/>
      <c r="K185" s="32" t="str">
        <f t="shared" si="2"/>
        <v>DISPONIBLE</v>
      </c>
      <c r="L185" s="33">
        <f t="shared" si="6"/>
        <v>184</v>
      </c>
      <c r="M185" s="33" t="s">
        <v>23</v>
      </c>
      <c r="N185" s="122"/>
      <c r="O185" s="365"/>
      <c r="P185" s="354" t="s">
        <v>224</v>
      </c>
      <c r="Q185" s="355"/>
      <c r="R185" s="363"/>
      <c r="S185" s="354"/>
      <c r="T185" s="353"/>
      <c r="U185" s="357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BB185" s="12"/>
      <c r="BC185" s="12"/>
      <c r="BD185" s="14"/>
      <c r="BE185" s="12"/>
      <c r="BF185" s="12"/>
      <c r="BG185" s="12" t="str">
        <f>IFERROR(__xludf.DUMMYFUNCTION("IFERROR(INDEX(QUERY(IMPORTRANGE(""1T7HG8KEs-Ob7f3M5atEVN9Yn7IeORGp0QGvggB62ELw"",""Maestro!A:I""),""SELECT Col8 WHERE Col3 = '""&amp;BD185&amp;""'"", 0), 1, 1),""NO ENCONTRADO"")"),"")</f>
        <v/>
      </c>
      <c r="BH185" s="12" t="str">
        <f>IFERROR(__xludf.DUMMYFUNCTION("IFERROR(INDEX(QUERY(IMPORTRANGE(""1T7HG8KEs-Ob7f3M5atEVN9Yn7IeORGp0QGvggB62ELw"",""Maestro!A:I""),""SELECT Col7 WHERE Col3 = '""&amp;BD185&amp;""'"", 0), 1, 1),""NO ENCONTRADO"")"),"")</f>
        <v/>
      </c>
      <c r="BI185" s="16">
        <f t="shared" si="7"/>
        <v>0</v>
      </c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4"/>
      <c r="BW185" s="14"/>
      <c r="BX185" s="14"/>
      <c r="BY185" s="14"/>
      <c r="BZ185" s="14"/>
      <c r="CA185" s="14"/>
      <c r="CB185" s="14"/>
      <c r="CC185" s="14"/>
      <c r="CD185" s="14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</row>
    <row r="186">
      <c r="A186" s="158">
        <v>4.0</v>
      </c>
      <c r="B186" s="159" t="s">
        <v>396</v>
      </c>
      <c r="C186" s="160" t="s">
        <v>269</v>
      </c>
      <c r="D186" s="161" t="str">
        <f t="shared" si="1"/>
        <v>4-17-A</v>
      </c>
      <c r="E186" s="162">
        <v>45747.0</v>
      </c>
      <c r="F186" s="163" t="s">
        <v>600</v>
      </c>
      <c r="G186" s="164" t="s">
        <v>325</v>
      </c>
      <c r="H186" s="165" t="s">
        <v>326</v>
      </c>
      <c r="I186" s="166">
        <v>144.0</v>
      </c>
      <c r="J186" s="167" t="s">
        <v>43</v>
      </c>
      <c r="K186" s="27" t="str">
        <f t="shared" si="2"/>
        <v>OCUPADO</v>
      </c>
      <c r="L186" s="28">
        <f t="shared" si="6"/>
        <v>185</v>
      </c>
      <c r="M186" s="28" t="s">
        <v>23</v>
      </c>
      <c r="N186" s="109"/>
      <c r="O186" s="358" t="s">
        <v>270</v>
      </c>
      <c r="P186" s="359" t="s">
        <v>227</v>
      </c>
      <c r="Q186" s="360">
        <v>45747.0</v>
      </c>
      <c r="R186" s="361" t="s">
        <v>600</v>
      </c>
      <c r="S186" s="361" t="s">
        <v>325</v>
      </c>
      <c r="T186" s="358" t="s">
        <v>326</v>
      </c>
      <c r="U186" s="362">
        <v>144.0</v>
      </c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BB186" s="12"/>
      <c r="BC186" s="12"/>
      <c r="BD186" s="14"/>
      <c r="BE186" s="12"/>
      <c r="BF186" s="12"/>
      <c r="BG186" s="12" t="str">
        <f>IFERROR(__xludf.DUMMYFUNCTION("IFERROR(INDEX(QUERY(IMPORTRANGE(""1T7HG8KEs-Ob7f3M5atEVN9Yn7IeORGp0QGvggB62ELw"",""Maestro!A:I""),""SELECT Col8 WHERE Col3 = '""&amp;BD186&amp;""'"", 0), 1, 1),""NO ENCONTRADO"")"),"")</f>
        <v/>
      </c>
      <c r="BH186" s="12" t="str">
        <f>IFERROR(__xludf.DUMMYFUNCTION("IFERROR(INDEX(QUERY(IMPORTRANGE(""1T7HG8KEs-Ob7f3M5atEVN9Yn7IeORGp0QGvggB62ELw"",""Maestro!A:I""),""SELECT Col7 WHERE Col3 = '""&amp;BD186&amp;""'"", 0), 1, 1),""NO ENCONTRADO"")"),"")</f>
        <v/>
      </c>
      <c r="BI186" s="16">
        <f t="shared" si="7"/>
        <v>0</v>
      </c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4"/>
      <c r="BW186" s="14"/>
      <c r="BX186" s="14"/>
      <c r="BY186" s="14"/>
      <c r="BZ186" s="14"/>
      <c r="CA186" s="14"/>
      <c r="CB186" s="14"/>
      <c r="CC186" s="14"/>
      <c r="CD186" s="14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</row>
    <row r="187">
      <c r="A187" s="158">
        <v>4.0</v>
      </c>
      <c r="B187" s="159" t="s">
        <v>396</v>
      </c>
      <c r="C187" s="160" t="s">
        <v>277</v>
      </c>
      <c r="D187" s="161" t="str">
        <f t="shared" si="1"/>
        <v>4-17-B</v>
      </c>
      <c r="E187" s="162">
        <v>45747.0</v>
      </c>
      <c r="F187" s="163" t="s">
        <v>600</v>
      </c>
      <c r="G187" s="164" t="s">
        <v>325</v>
      </c>
      <c r="H187" s="165" t="s">
        <v>326</v>
      </c>
      <c r="I187" s="166">
        <v>144.0</v>
      </c>
      <c r="J187" s="167" t="s">
        <v>43</v>
      </c>
      <c r="K187" s="32" t="str">
        <f t="shared" si="2"/>
        <v>OCUPADO</v>
      </c>
      <c r="L187" s="33">
        <f t="shared" si="6"/>
        <v>186</v>
      </c>
      <c r="M187" s="33" t="s">
        <v>23</v>
      </c>
      <c r="N187" s="122"/>
      <c r="O187" s="353" t="s">
        <v>270</v>
      </c>
      <c r="P187" s="354" t="s">
        <v>231</v>
      </c>
      <c r="Q187" s="355">
        <v>45747.0</v>
      </c>
      <c r="R187" s="356" t="s">
        <v>600</v>
      </c>
      <c r="S187" s="356" t="s">
        <v>325</v>
      </c>
      <c r="T187" s="353" t="s">
        <v>326</v>
      </c>
      <c r="U187" s="357">
        <v>144.0</v>
      </c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BB187" s="12"/>
      <c r="BC187" s="12"/>
      <c r="BD187" s="14"/>
      <c r="BE187" s="12"/>
      <c r="BF187" s="12"/>
      <c r="BG187" s="12" t="str">
        <f>IFERROR(__xludf.DUMMYFUNCTION("IFERROR(INDEX(QUERY(IMPORTRANGE(""1T7HG8KEs-Ob7f3M5atEVN9Yn7IeORGp0QGvggB62ELw"",""Maestro!A:I""),""SELECT Col8 WHERE Col3 = '""&amp;BD187&amp;""'"", 0), 1, 1),""NO ENCONTRADO"")"),"")</f>
        <v/>
      </c>
      <c r="BH187" s="12" t="str">
        <f>IFERROR(__xludf.DUMMYFUNCTION("IFERROR(INDEX(QUERY(IMPORTRANGE(""1T7HG8KEs-Ob7f3M5atEVN9Yn7IeORGp0QGvggB62ELw"",""Maestro!A:I""),""SELECT Col7 WHERE Col3 = '""&amp;BD187&amp;""'"", 0), 1, 1),""NO ENCONTRADO"")"),"")</f>
        <v/>
      </c>
      <c r="BI187" s="16">
        <f t="shared" si="7"/>
        <v>0</v>
      </c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4"/>
      <c r="BW187" s="14"/>
      <c r="BX187" s="14"/>
      <c r="BY187" s="14"/>
      <c r="BZ187" s="14"/>
      <c r="CA187" s="14"/>
      <c r="CB187" s="14"/>
      <c r="CC187" s="14"/>
      <c r="CD187" s="14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</row>
    <row r="188">
      <c r="A188" s="158">
        <v>4.0</v>
      </c>
      <c r="B188" s="159" t="s">
        <v>396</v>
      </c>
      <c r="C188" s="160" t="s">
        <v>282</v>
      </c>
      <c r="D188" s="161" t="str">
        <f t="shared" si="1"/>
        <v>4-17-C</v>
      </c>
      <c r="E188" s="162">
        <v>45747.0</v>
      </c>
      <c r="F188" s="163" t="s">
        <v>600</v>
      </c>
      <c r="G188" s="164" t="s">
        <v>325</v>
      </c>
      <c r="H188" s="165" t="s">
        <v>326</v>
      </c>
      <c r="I188" s="166">
        <v>144.0</v>
      </c>
      <c r="J188" s="167" t="s">
        <v>43</v>
      </c>
      <c r="K188" s="27" t="str">
        <f t="shared" si="2"/>
        <v>OCUPADO</v>
      </c>
      <c r="L188" s="28">
        <f t="shared" si="6"/>
        <v>187</v>
      </c>
      <c r="M188" s="28" t="s">
        <v>23</v>
      </c>
      <c r="N188" s="109"/>
      <c r="O188" s="358" t="s">
        <v>270</v>
      </c>
      <c r="P188" s="359" t="s">
        <v>235</v>
      </c>
      <c r="Q188" s="360">
        <v>45747.0</v>
      </c>
      <c r="R188" s="361" t="s">
        <v>600</v>
      </c>
      <c r="S188" s="361" t="s">
        <v>325</v>
      </c>
      <c r="T188" s="358" t="s">
        <v>326</v>
      </c>
      <c r="U188" s="362">
        <v>144.0</v>
      </c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BB188" s="12"/>
      <c r="BC188" s="12"/>
      <c r="BD188" s="14"/>
      <c r="BE188" s="12"/>
      <c r="BF188" s="12"/>
      <c r="BG188" s="12" t="str">
        <f>IFERROR(__xludf.DUMMYFUNCTION("IFERROR(INDEX(QUERY(IMPORTRANGE(""1T7HG8KEs-Ob7f3M5atEVN9Yn7IeORGp0QGvggB62ELw"",""Maestro!A:I""),""SELECT Col8 WHERE Col3 = '""&amp;BD188&amp;""'"", 0), 1, 1),""NO ENCONTRADO"")"),"")</f>
        <v/>
      </c>
      <c r="BH188" s="12" t="str">
        <f>IFERROR(__xludf.DUMMYFUNCTION("IFERROR(INDEX(QUERY(IMPORTRANGE(""1T7HG8KEs-Ob7f3M5atEVN9Yn7IeORGp0QGvggB62ELw"",""Maestro!A:I""),""SELECT Col7 WHERE Col3 = '""&amp;BD188&amp;""'"", 0), 1, 1),""NO ENCONTRADO"")"),"")</f>
        <v/>
      </c>
      <c r="BI188" s="16">
        <f t="shared" si="7"/>
        <v>0</v>
      </c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4"/>
      <c r="BW188" s="14"/>
      <c r="BX188" s="14"/>
      <c r="BY188" s="14"/>
      <c r="BZ188" s="14"/>
      <c r="CA188" s="14"/>
      <c r="CB188" s="14"/>
      <c r="CC188" s="14"/>
      <c r="CD188" s="14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</row>
    <row r="189">
      <c r="A189" s="158">
        <v>4.0</v>
      </c>
      <c r="B189" s="159" t="s">
        <v>396</v>
      </c>
      <c r="C189" s="160" t="s">
        <v>285</v>
      </c>
      <c r="D189" s="161" t="str">
        <f t="shared" si="1"/>
        <v>4-17-D</v>
      </c>
      <c r="E189" s="162">
        <v>45747.0</v>
      </c>
      <c r="F189" s="163" t="s">
        <v>600</v>
      </c>
      <c r="G189" s="164" t="s">
        <v>325</v>
      </c>
      <c r="H189" s="165" t="s">
        <v>326</v>
      </c>
      <c r="I189" s="166">
        <v>84.0</v>
      </c>
      <c r="J189" s="167" t="s">
        <v>43</v>
      </c>
      <c r="K189" s="32" t="str">
        <f t="shared" si="2"/>
        <v>OCUPADO</v>
      </c>
      <c r="L189" s="33">
        <f t="shared" si="6"/>
        <v>188</v>
      </c>
      <c r="M189" s="33" t="s">
        <v>23</v>
      </c>
      <c r="N189" s="122"/>
      <c r="O189" s="353" t="s">
        <v>270</v>
      </c>
      <c r="P189" s="354" t="s">
        <v>240</v>
      </c>
      <c r="Q189" s="355">
        <v>45747.0</v>
      </c>
      <c r="R189" s="356" t="s">
        <v>600</v>
      </c>
      <c r="S189" s="356" t="s">
        <v>325</v>
      </c>
      <c r="T189" s="353" t="s">
        <v>326</v>
      </c>
      <c r="U189" s="357">
        <v>84.0</v>
      </c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BB189" s="12"/>
      <c r="BC189" s="12"/>
      <c r="BD189" s="14"/>
      <c r="BE189" s="12"/>
      <c r="BF189" s="12"/>
      <c r="BG189" s="12" t="str">
        <f>IFERROR(__xludf.DUMMYFUNCTION("IFERROR(INDEX(QUERY(IMPORTRANGE(""1T7HG8KEs-Ob7f3M5atEVN9Yn7IeORGp0QGvggB62ELw"",""Maestro!A:I""),""SELECT Col8 WHERE Col3 = '""&amp;BD189&amp;""'"", 0), 1, 1),""NO ENCONTRADO"")"),"")</f>
        <v/>
      </c>
      <c r="BH189" s="12" t="str">
        <f>IFERROR(__xludf.DUMMYFUNCTION("IFERROR(INDEX(QUERY(IMPORTRANGE(""1T7HG8KEs-Ob7f3M5atEVN9Yn7IeORGp0QGvggB62ELw"",""Maestro!A:I""),""SELECT Col7 WHERE Col3 = '""&amp;BD189&amp;""'"", 0), 1, 1),""NO ENCONTRADO"")"),"")</f>
        <v/>
      </c>
      <c r="BI189" s="16">
        <f t="shared" si="7"/>
        <v>0</v>
      </c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4"/>
      <c r="BW189" s="14"/>
      <c r="BX189" s="14"/>
      <c r="BY189" s="14"/>
      <c r="BZ189" s="14"/>
      <c r="CA189" s="14"/>
      <c r="CB189" s="14"/>
      <c r="CC189" s="14"/>
      <c r="CD189" s="14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</row>
    <row r="190">
      <c r="A190" s="158">
        <v>4.0</v>
      </c>
      <c r="B190" s="159" t="s">
        <v>411</v>
      </c>
      <c r="C190" s="160" t="s">
        <v>269</v>
      </c>
      <c r="D190" s="161" t="str">
        <f t="shared" si="1"/>
        <v>4-18-A</v>
      </c>
      <c r="E190" s="162">
        <v>45656.0</v>
      </c>
      <c r="F190" s="163" t="s">
        <v>19</v>
      </c>
      <c r="G190" s="164" t="s">
        <v>249</v>
      </c>
      <c r="H190" s="165" t="s">
        <v>250</v>
      </c>
      <c r="I190" s="166">
        <v>330.0</v>
      </c>
      <c r="J190" s="167" t="s">
        <v>274</v>
      </c>
      <c r="K190" s="27" t="str">
        <f t="shared" si="2"/>
        <v>OCUPADO</v>
      </c>
      <c r="L190" s="28">
        <f t="shared" si="6"/>
        <v>189</v>
      </c>
      <c r="M190" s="28" t="s">
        <v>23</v>
      </c>
      <c r="N190" s="109"/>
      <c r="O190" s="358" t="s">
        <v>270</v>
      </c>
      <c r="P190" s="359" t="s">
        <v>248</v>
      </c>
      <c r="Q190" s="360">
        <v>45656.0</v>
      </c>
      <c r="R190" s="361" t="s">
        <v>19</v>
      </c>
      <c r="S190" s="361" t="s">
        <v>249</v>
      </c>
      <c r="T190" s="358" t="s">
        <v>250</v>
      </c>
      <c r="U190" s="362">
        <v>330.0</v>
      </c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BB190" s="12"/>
      <c r="BC190" s="12"/>
      <c r="BD190" s="14"/>
      <c r="BE190" s="12"/>
      <c r="BF190" s="12"/>
      <c r="BG190" s="12" t="str">
        <f>IFERROR(__xludf.DUMMYFUNCTION("IFERROR(INDEX(QUERY(IMPORTRANGE(""1T7HG8KEs-Ob7f3M5atEVN9Yn7IeORGp0QGvggB62ELw"",""Maestro!A:I""),""SELECT Col8 WHERE Col3 = '""&amp;BD190&amp;""'"", 0), 1, 1),""NO ENCONTRADO"")"),"")</f>
        <v/>
      </c>
      <c r="BH190" s="12" t="str">
        <f>IFERROR(__xludf.DUMMYFUNCTION("IFERROR(INDEX(QUERY(IMPORTRANGE(""1T7HG8KEs-Ob7f3M5atEVN9Yn7IeORGp0QGvggB62ELw"",""Maestro!A:I""),""SELECT Col7 WHERE Col3 = '""&amp;BD190&amp;""'"", 0), 1, 1),""NO ENCONTRADO"")"),"")</f>
        <v/>
      </c>
      <c r="BI190" s="16">
        <f t="shared" si="7"/>
        <v>0</v>
      </c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4"/>
      <c r="BW190" s="14"/>
      <c r="BX190" s="14"/>
      <c r="BY190" s="14"/>
      <c r="BZ190" s="14"/>
      <c r="CA190" s="14"/>
      <c r="CB190" s="14"/>
      <c r="CC190" s="14"/>
      <c r="CD190" s="14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</row>
    <row r="191">
      <c r="A191" s="158">
        <v>4.0</v>
      </c>
      <c r="B191" s="159" t="s">
        <v>411</v>
      </c>
      <c r="C191" s="160" t="s">
        <v>277</v>
      </c>
      <c r="D191" s="161" t="str">
        <f t="shared" si="1"/>
        <v>4-18-B</v>
      </c>
      <c r="E191" s="162">
        <v>45726.0</v>
      </c>
      <c r="F191" s="163" t="s">
        <v>19</v>
      </c>
      <c r="G191" s="164" t="s">
        <v>249</v>
      </c>
      <c r="H191" s="165" t="s">
        <v>250</v>
      </c>
      <c r="I191" s="166">
        <v>330.0</v>
      </c>
      <c r="J191" s="167" t="s">
        <v>274</v>
      </c>
      <c r="K191" s="32" t="str">
        <f t="shared" si="2"/>
        <v>OCUPADO</v>
      </c>
      <c r="L191" s="33">
        <f t="shared" si="6"/>
        <v>190</v>
      </c>
      <c r="M191" s="33" t="s">
        <v>23</v>
      </c>
      <c r="N191" s="122"/>
      <c r="O191" s="353" t="s">
        <v>270</v>
      </c>
      <c r="P191" s="354" t="s">
        <v>256</v>
      </c>
      <c r="Q191" s="355">
        <v>45768.0</v>
      </c>
      <c r="R191" s="356" t="s">
        <v>19</v>
      </c>
      <c r="S191" s="356" t="s">
        <v>249</v>
      </c>
      <c r="T191" s="353" t="s">
        <v>250</v>
      </c>
      <c r="U191" s="357">
        <v>148.0</v>
      </c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BB191" s="12"/>
      <c r="BC191" s="12"/>
      <c r="BD191" s="14"/>
      <c r="BE191" s="12"/>
      <c r="BF191" s="12"/>
      <c r="BG191" s="12" t="str">
        <f>IFERROR(__xludf.DUMMYFUNCTION("IFERROR(INDEX(QUERY(IMPORTRANGE(""1T7HG8KEs-Ob7f3M5atEVN9Yn7IeORGp0QGvggB62ELw"",""Maestro!A:I""),""SELECT Col8 WHERE Col3 = '""&amp;BD191&amp;""'"", 0), 1, 1),""NO ENCONTRADO"")"),"")</f>
        <v/>
      </c>
      <c r="BH191" s="12" t="str">
        <f>IFERROR(__xludf.DUMMYFUNCTION("IFERROR(INDEX(QUERY(IMPORTRANGE(""1T7HG8KEs-Ob7f3M5atEVN9Yn7IeORGp0QGvggB62ELw"",""Maestro!A:I""),""SELECT Col7 WHERE Col3 = '""&amp;BD191&amp;""'"", 0), 1, 1),""NO ENCONTRADO"")"),"")</f>
        <v/>
      </c>
      <c r="BI191" s="16">
        <f t="shared" si="7"/>
        <v>0</v>
      </c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4"/>
      <c r="BW191" s="14"/>
      <c r="BX191" s="14"/>
      <c r="BY191" s="14"/>
      <c r="BZ191" s="14"/>
      <c r="CA191" s="14"/>
      <c r="CB191" s="14"/>
      <c r="CC191" s="14"/>
      <c r="CD191" s="14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</row>
    <row r="192">
      <c r="A192" s="158">
        <v>4.0</v>
      </c>
      <c r="B192" s="159" t="s">
        <v>411</v>
      </c>
      <c r="C192" s="160" t="s">
        <v>282</v>
      </c>
      <c r="D192" s="161" t="str">
        <f t="shared" si="1"/>
        <v>4-18-C</v>
      </c>
      <c r="E192" s="162">
        <v>45736.0</v>
      </c>
      <c r="F192" s="163" t="s">
        <v>19</v>
      </c>
      <c r="G192" s="164" t="s">
        <v>249</v>
      </c>
      <c r="H192" s="165" t="s">
        <v>250</v>
      </c>
      <c r="I192" s="166">
        <v>147.0</v>
      </c>
      <c r="J192" s="167" t="s">
        <v>274</v>
      </c>
      <c r="K192" s="27" t="str">
        <f t="shared" si="2"/>
        <v>OCUPADO</v>
      </c>
      <c r="L192" s="28">
        <f t="shared" si="6"/>
        <v>191</v>
      </c>
      <c r="M192" s="28" t="s">
        <v>23</v>
      </c>
      <c r="N192" s="109"/>
      <c r="O192" s="358" t="s">
        <v>270</v>
      </c>
      <c r="P192" s="359" t="s">
        <v>263</v>
      </c>
      <c r="Q192" s="360"/>
      <c r="R192" s="361"/>
      <c r="S192" s="361"/>
      <c r="T192" s="358"/>
      <c r="U192" s="36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BB192" s="12"/>
      <c r="BC192" s="12"/>
      <c r="BD192" s="14"/>
      <c r="BE192" s="12"/>
      <c r="BF192" s="12"/>
      <c r="BG192" s="12" t="str">
        <f>IFERROR(__xludf.DUMMYFUNCTION("IFERROR(INDEX(QUERY(IMPORTRANGE(""1T7HG8KEs-Ob7f3M5atEVN9Yn7IeORGp0QGvggB62ELw"",""Maestro!A:I""),""SELECT Col8 WHERE Col3 = '""&amp;BD192&amp;""'"", 0), 1, 1),""NO ENCONTRADO"")"),"")</f>
        <v/>
      </c>
      <c r="BH192" s="12" t="str">
        <f>IFERROR(__xludf.DUMMYFUNCTION("IFERROR(INDEX(QUERY(IMPORTRANGE(""1T7HG8KEs-Ob7f3M5atEVN9Yn7IeORGp0QGvggB62ELw"",""Maestro!A:I""),""SELECT Col7 WHERE Col3 = '""&amp;BD192&amp;""'"", 0), 1, 1),""NO ENCONTRADO"")"),"")</f>
        <v/>
      </c>
      <c r="BI192" s="16">
        <f t="shared" si="7"/>
        <v>0</v>
      </c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4"/>
      <c r="BW192" s="14"/>
      <c r="BX192" s="14"/>
      <c r="BY192" s="14"/>
      <c r="BZ192" s="14"/>
      <c r="CA192" s="14"/>
      <c r="CB192" s="14"/>
      <c r="CC192" s="14"/>
      <c r="CD192" s="14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</row>
    <row r="193">
      <c r="A193" s="158">
        <v>4.0</v>
      </c>
      <c r="B193" s="159" t="s">
        <v>411</v>
      </c>
      <c r="C193" s="160" t="s">
        <v>285</v>
      </c>
      <c r="D193" s="161" t="str">
        <f t="shared" si="1"/>
        <v>4-18-D</v>
      </c>
      <c r="E193" s="103"/>
      <c r="F193" s="104"/>
      <c r="G193" s="315"/>
      <c r="H193" s="106"/>
      <c r="I193" s="107"/>
      <c r="J193" s="108"/>
      <c r="K193" s="32" t="str">
        <f t="shared" si="2"/>
        <v>DISPONIBLE</v>
      </c>
      <c r="L193" s="33">
        <f t="shared" si="6"/>
        <v>192</v>
      </c>
      <c r="M193" s="33" t="s">
        <v>23</v>
      </c>
      <c r="N193" s="122"/>
      <c r="O193" s="353"/>
      <c r="P193" s="354" t="s">
        <v>266</v>
      </c>
      <c r="Q193" s="355"/>
      <c r="R193" s="363"/>
      <c r="S193" s="354"/>
      <c r="T193" s="353"/>
      <c r="U193" s="357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BB193" s="12"/>
      <c r="BC193" s="12"/>
      <c r="BD193" s="14"/>
      <c r="BE193" s="12"/>
      <c r="BF193" s="12"/>
      <c r="BG193" s="12" t="str">
        <f>IFERROR(__xludf.DUMMYFUNCTION("IFERROR(INDEX(QUERY(IMPORTRANGE(""1T7HG8KEs-Ob7f3M5atEVN9Yn7IeORGp0QGvggB62ELw"",""Maestro!A:I""),""SELECT Col8 WHERE Col3 = '""&amp;BD193&amp;""'"", 0), 1, 1),""NO ENCONTRADO"")"),"")</f>
        <v/>
      </c>
      <c r="BH193" s="12" t="str">
        <f>IFERROR(__xludf.DUMMYFUNCTION("IFERROR(INDEX(QUERY(IMPORTRANGE(""1T7HG8KEs-Ob7f3M5atEVN9Yn7IeORGp0QGvggB62ELw"",""Maestro!A:I""),""SELECT Col7 WHERE Col3 = '""&amp;BD193&amp;""'"", 0), 1, 1),""NO ENCONTRADO"")"),"")</f>
        <v/>
      </c>
      <c r="BI193" s="16">
        <f t="shared" si="7"/>
        <v>0</v>
      </c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4"/>
      <c r="BW193" s="14"/>
      <c r="BX193" s="14"/>
      <c r="BY193" s="14"/>
      <c r="BZ193" s="14"/>
      <c r="CA193" s="14"/>
      <c r="CB193" s="14"/>
      <c r="CC193" s="14"/>
      <c r="CD193" s="14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</row>
    <row r="194">
      <c r="A194" s="158">
        <v>4.0</v>
      </c>
      <c r="B194" s="159" t="s">
        <v>425</v>
      </c>
      <c r="C194" s="160" t="s">
        <v>269</v>
      </c>
      <c r="D194" s="161" t="str">
        <f t="shared" si="1"/>
        <v>4-19-A</v>
      </c>
      <c r="E194" s="162">
        <v>45656.0</v>
      </c>
      <c r="F194" s="163" t="s">
        <v>19</v>
      </c>
      <c r="G194" s="164" t="s">
        <v>272</v>
      </c>
      <c r="H194" s="165" t="s">
        <v>273</v>
      </c>
      <c r="I194" s="166">
        <v>288.0</v>
      </c>
      <c r="J194" s="167" t="s">
        <v>274</v>
      </c>
      <c r="K194" s="27" t="str">
        <f t="shared" si="2"/>
        <v>OCUPADO</v>
      </c>
      <c r="L194" s="28">
        <f t="shared" si="6"/>
        <v>193</v>
      </c>
      <c r="M194" s="28" t="s">
        <v>23</v>
      </c>
      <c r="N194" s="109"/>
      <c r="O194" s="358" t="s">
        <v>270</v>
      </c>
      <c r="P194" s="359" t="s">
        <v>271</v>
      </c>
      <c r="Q194" s="360">
        <v>45656.0</v>
      </c>
      <c r="R194" s="361" t="s">
        <v>19</v>
      </c>
      <c r="S194" s="361" t="s">
        <v>272</v>
      </c>
      <c r="T194" s="358" t="s">
        <v>273</v>
      </c>
      <c r="U194" s="362">
        <v>288.0</v>
      </c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BB194" s="12"/>
      <c r="BC194" s="12"/>
      <c r="BD194" s="14"/>
      <c r="BE194" s="12"/>
      <c r="BF194" s="12"/>
      <c r="BG194" s="12" t="str">
        <f>IFERROR(__xludf.DUMMYFUNCTION("IFERROR(INDEX(QUERY(IMPORTRANGE(""1T7HG8KEs-Ob7f3M5atEVN9Yn7IeORGp0QGvggB62ELw"",""Maestro!A:I""),""SELECT Col8 WHERE Col3 = '""&amp;BD194&amp;""'"", 0), 1, 1),""NO ENCONTRADO"")"),"")</f>
        <v/>
      </c>
      <c r="BH194" s="12" t="str">
        <f>IFERROR(__xludf.DUMMYFUNCTION("IFERROR(INDEX(QUERY(IMPORTRANGE(""1T7HG8KEs-Ob7f3M5atEVN9Yn7IeORGp0QGvggB62ELw"",""Maestro!A:I""),""SELECT Col7 WHERE Col3 = '""&amp;BD194&amp;""'"", 0), 1, 1),""NO ENCONTRADO"")"),"")</f>
        <v/>
      </c>
      <c r="BI194" s="16">
        <f t="shared" si="7"/>
        <v>0</v>
      </c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4"/>
      <c r="BW194" s="14"/>
      <c r="BX194" s="14"/>
      <c r="BY194" s="14"/>
      <c r="BZ194" s="14"/>
      <c r="CA194" s="14"/>
      <c r="CB194" s="14"/>
      <c r="CC194" s="14"/>
      <c r="CD194" s="14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</row>
    <row r="195">
      <c r="A195" s="158">
        <v>4.0</v>
      </c>
      <c r="B195" s="159" t="s">
        <v>425</v>
      </c>
      <c r="C195" s="160" t="s">
        <v>277</v>
      </c>
      <c r="D195" s="161" t="str">
        <f t="shared" si="1"/>
        <v>4-19-B</v>
      </c>
      <c r="E195" s="162">
        <v>45758.0</v>
      </c>
      <c r="F195" s="170" t="s">
        <v>675</v>
      </c>
      <c r="G195" s="164" t="s">
        <v>272</v>
      </c>
      <c r="H195" s="165" t="s">
        <v>273</v>
      </c>
      <c r="I195" s="166">
        <v>288.0</v>
      </c>
      <c r="J195" s="167" t="s">
        <v>43</v>
      </c>
      <c r="K195" s="32" t="str">
        <f t="shared" si="2"/>
        <v>OCUPADO</v>
      </c>
      <c r="L195" s="33">
        <f t="shared" si="6"/>
        <v>194</v>
      </c>
      <c r="M195" s="33" t="s">
        <v>23</v>
      </c>
      <c r="N195" s="122"/>
      <c r="O195" s="353" t="s">
        <v>270</v>
      </c>
      <c r="P195" s="354" t="s">
        <v>278</v>
      </c>
      <c r="Q195" s="355">
        <v>45758.0</v>
      </c>
      <c r="R195" s="363" t="s">
        <v>675</v>
      </c>
      <c r="S195" s="356" t="s">
        <v>272</v>
      </c>
      <c r="T195" s="353" t="s">
        <v>273</v>
      </c>
      <c r="U195" s="357">
        <v>288.0</v>
      </c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BB195" s="12"/>
      <c r="BC195" s="12"/>
      <c r="BD195" s="14"/>
      <c r="BE195" s="12"/>
      <c r="BF195" s="12"/>
      <c r="BG195" s="12" t="str">
        <f>IFERROR(__xludf.DUMMYFUNCTION("IFERROR(INDEX(QUERY(IMPORTRANGE(""1T7HG8KEs-Ob7f3M5atEVN9Yn7IeORGp0QGvggB62ELw"",""Maestro!A:I""),""SELECT Col8 WHERE Col3 = '""&amp;BD195&amp;""'"", 0), 1, 1),""NO ENCONTRADO"")"),"")</f>
        <v/>
      </c>
      <c r="BH195" s="12" t="str">
        <f>IFERROR(__xludf.DUMMYFUNCTION("IFERROR(INDEX(QUERY(IMPORTRANGE(""1T7HG8KEs-Ob7f3M5atEVN9Yn7IeORGp0QGvggB62ELw"",""Maestro!A:I""),""SELECT Col7 WHERE Col3 = '""&amp;BD195&amp;""'"", 0), 1, 1),""NO ENCONTRADO"")"),"")</f>
        <v/>
      </c>
      <c r="BI195" s="16">
        <f t="shared" si="7"/>
        <v>0</v>
      </c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4"/>
      <c r="BW195" s="14"/>
      <c r="BX195" s="14"/>
      <c r="BY195" s="14"/>
      <c r="BZ195" s="14"/>
      <c r="CA195" s="14"/>
      <c r="CB195" s="14"/>
      <c r="CC195" s="14"/>
      <c r="CD195" s="14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</row>
    <row r="196">
      <c r="A196" s="158">
        <v>4.0</v>
      </c>
      <c r="B196" s="159" t="s">
        <v>425</v>
      </c>
      <c r="C196" s="160" t="s">
        <v>282</v>
      </c>
      <c r="D196" s="161" t="str">
        <f t="shared" si="1"/>
        <v>4-19-C</v>
      </c>
      <c r="E196" s="162">
        <v>45754.0</v>
      </c>
      <c r="F196" s="170" t="s">
        <v>675</v>
      </c>
      <c r="G196" s="164" t="s">
        <v>272</v>
      </c>
      <c r="H196" s="165" t="s">
        <v>273</v>
      </c>
      <c r="I196" s="166">
        <v>360.0</v>
      </c>
      <c r="J196" s="167" t="s">
        <v>43</v>
      </c>
      <c r="K196" s="27" t="str">
        <f t="shared" si="2"/>
        <v>OCUPADO</v>
      </c>
      <c r="L196" s="28">
        <f t="shared" si="6"/>
        <v>195</v>
      </c>
      <c r="M196" s="28" t="s">
        <v>23</v>
      </c>
      <c r="N196" s="109"/>
      <c r="O196" s="358" t="s">
        <v>270</v>
      </c>
      <c r="P196" s="359" t="s">
        <v>283</v>
      </c>
      <c r="Q196" s="360">
        <v>45754.0</v>
      </c>
      <c r="R196" s="364" t="s">
        <v>675</v>
      </c>
      <c r="S196" s="361" t="s">
        <v>272</v>
      </c>
      <c r="T196" s="358" t="s">
        <v>273</v>
      </c>
      <c r="U196" s="362">
        <v>360.0</v>
      </c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BB196" s="12"/>
      <c r="BC196" s="12"/>
      <c r="BD196" s="14"/>
      <c r="BE196" s="12"/>
      <c r="BF196" s="12"/>
      <c r="BG196" s="12" t="str">
        <f>IFERROR(__xludf.DUMMYFUNCTION("IFERROR(INDEX(QUERY(IMPORTRANGE(""1T7HG8KEs-Ob7f3M5atEVN9Yn7IeORGp0QGvggB62ELw"",""Maestro!A:I""),""SELECT Col8 WHERE Col3 = '""&amp;BD196&amp;""'"", 0), 1, 1),""NO ENCONTRADO"")"),"")</f>
        <v/>
      </c>
      <c r="BH196" s="12" t="str">
        <f>IFERROR(__xludf.DUMMYFUNCTION("IFERROR(INDEX(QUERY(IMPORTRANGE(""1T7HG8KEs-Ob7f3M5atEVN9Yn7IeORGp0QGvggB62ELw"",""Maestro!A:I""),""SELECT Col7 WHERE Col3 = '""&amp;BD196&amp;""'"", 0), 1, 1),""NO ENCONTRADO"")"),"")</f>
        <v/>
      </c>
      <c r="BI196" s="16">
        <f t="shared" si="7"/>
        <v>0</v>
      </c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4"/>
      <c r="BW196" s="14"/>
      <c r="BX196" s="14"/>
      <c r="BY196" s="14"/>
      <c r="BZ196" s="14"/>
      <c r="CA196" s="14"/>
      <c r="CB196" s="14"/>
      <c r="CC196" s="14"/>
      <c r="CD196" s="14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</row>
    <row r="197">
      <c r="A197" s="158">
        <v>4.0</v>
      </c>
      <c r="B197" s="159" t="s">
        <v>425</v>
      </c>
      <c r="C197" s="160" t="s">
        <v>285</v>
      </c>
      <c r="D197" s="161" t="str">
        <f t="shared" si="1"/>
        <v>4-19-D</v>
      </c>
      <c r="E197" s="162">
        <v>45754.0</v>
      </c>
      <c r="F197" s="170" t="s">
        <v>675</v>
      </c>
      <c r="G197" s="164" t="s">
        <v>272</v>
      </c>
      <c r="H197" s="165" t="s">
        <v>273</v>
      </c>
      <c r="I197" s="166">
        <v>360.0</v>
      </c>
      <c r="J197" s="167" t="s">
        <v>43</v>
      </c>
      <c r="K197" s="32" t="str">
        <f t="shared" si="2"/>
        <v>OCUPADO</v>
      </c>
      <c r="L197" s="33">
        <f t="shared" si="6"/>
        <v>196</v>
      </c>
      <c r="M197" s="33" t="s">
        <v>23</v>
      </c>
      <c r="N197" s="122"/>
      <c r="O197" s="353" t="s">
        <v>270</v>
      </c>
      <c r="P197" s="354" t="s">
        <v>286</v>
      </c>
      <c r="Q197" s="355">
        <v>45754.0</v>
      </c>
      <c r="R197" s="363" t="s">
        <v>675</v>
      </c>
      <c r="S197" s="356" t="s">
        <v>272</v>
      </c>
      <c r="T197" s="353" t="s">
        <v>273</v>
      </c>
      <c r="U197" s="357">
        <v>360.0</v>
      </c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BB197" s="12"/>
      <c r="BC197" s="12"/>
      <c r="BD197" s="14"/>
      <c r="BE197" s="12"/>
      <c r="BF197" s="12"/>
      <c r="BG197" s="12" t="str">
        <f>IFERROR(__xludf.DUMMYFUNCTION("IFERROR(INDEX(QUERY(IMPORTRANGE(""1T7HG8KEs-Ob7f3M5atEVN9Yn7IeORGp0QGvggB62ELw"",""Maestro!A:I""),""SELECT Col8 WHERE Col3 = '""&amp;BD197&amp;""'"", 0), 1, 1),""NO ENCONTRADO"")"),"")</f>
        <v/>
      </c>
      <c r="BH197" s="12" t="str">
        <f>IFERROR(__xludf.DUMMYFUNCTION("IFERROR(INDEX(QUERY(IMPORTRANGE(""1T7HG8KEs-Ob7f3M5atEVN9Yn7IeORGp0QGvggB62ELw"",""Maestro!A:I""),""SELECT Col7 WHERE Col3 = '""&amp;BD197&amp;""'"", 0), 1, 1),""NO ENCONTRADO"")"),"")</f>
        <v/>
      </c>
      <c r="BI197" s="16">
        <f t="shared" si="7"/>
        <v>0</v>
      </c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4"/>
      <c r="BW197" s="14"/>
      <c r="BX197" s="14"/>
      <c r="BY197" s="14"/>
      <c r="BZ197" s="14"/>
      <c r="CA197" s="14"/>
      <c r="CB197" s="14"/>
      <c r="CC197" s="14"/>
      <c r="CD197" s="14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</row>
    <row r="198">
      <c r="A198" s="172">
        <v>4.0</v>
      </c>
      <c r="B198" s="159" t="s">
        <v>451</v>
      </c>
      <c r="C198" s="159" t="s">
        <v>269</v>
      </c>
      <c r="D198" s="161" t="str">
        <f t="shared" si="1"/>
        <v>4-20-A</v>
      </c>
      <c r="E198" s="103"/>
      <c r="F198" s="104"/>
      <c r="G198" s="105"/>
      <c r="H198" s="106"/>
      <c r="I198" s="107"/>
      <c r="J198" s="108"/>
      <c r="K198" s="27" t="str">
        <f t="shared" si="2"/>
        <v>DISPONIBLE</v>
      </c>
      <c r="L198" s="28">
        <f t="shared" ref="L198:L205" si="8">IF(B194&lt;&gt;"", ROW(A194), "")
</f>
        <v>194</v>
      </c>
      <c r="M198" s="28" t="s">
        <v>23</v>
      </c>
      <c r="N198" s="109"/>
      <c r="O198" s="358"/>
      <c r="P198" s="359" t="s">
        <v>452</v>
      </c>
      <c r="Q198" s="360"/>
      <c r="R198" s="364"/>
      <c r="S198" s="361"/>
      <c r="T198" s="358"/>
      <c r="U198" s="36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BB198" s="12"/>
      <c r="BC198" s="12"/>
      <c r="BD198" s="14"/>
      <c r="BE198" s="12"/>
      <c r="BF198" s="12"/>
      <c r="BG198" s="12"/>
      <c r="BH198" s="12"/>
      <c r="BI198" s="16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4"/>
      <c r="BW198" s="14"/>
      <c r="BX198" s="14"/>
      <c r="BY198" s="14"/>
      <c r="BZ198" s="14"/>
      <c r="CA198" s="14"/>
      <c r="CB198" s="14"/>
      <c r="CC198" s="14"/>
      <c r="CD198" s="14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</row>
    <row r="199">
      <c r="A199" s="172">
        <v>4.0</v>
      </c>
      <c r="B199" s="159" t="s">
        <v>451</v>
      </c>
      <c r="C199" s="159" t="s">
        <v>277</v>
      </c>
      <c r="D199" s="161" t="str">
        <f t="shared" si="1"/>
        <v>4-20-B</v>
      </c>
      <c r="E199" s="103"/>
      <c r="F199" s="104"/>
      <c r="G199" s="105"/>
      <c r="H199" s="106"/>
      <c r="I199" s="107"/>
      <c r="J199" s="108"/>
      <c r="K199" s="32" t="str">
        <f t="shared" si="2"/>
        <v>DISPONIBLE</v>
      </c>
      <c r="L199" s="33">
        <f t="shared" si="8"/>
        <v>195</v>
      </c>
      <c r="M199" s="33" t="s">
        <v>23</v>
      </c>
      <c r="N199" s="122"/>
      <c r="O199" s="353"/>
      <c r="P199" s="354" t="s">
        <v>306</v>
      </c>
      <c r="Q199" s="355"/>
      <c r="R199" s="363"/>
      <c r="S199" s="356"/>
      <c r="T199" s="353"/>
      <c r="U199" s="357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BB199" s="12"/>
      <c r="BC199" s="12"/>
      <c r="BD199" s="14"/>
      <c r="BE199" s="12"/>
      <c r="BF199" s="12"/>
      <c r="BG199" s="12"/>
      <c r="BH199" s="12"/>
      <c r="BI199" s="16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4"/>
      <c r="BW199" s="14"/>
      <c r="BX199" s="14"/>
      <c r="BY199" s="14"/>
      <c r="BZ199" s="14"/>
      <c r="CA199" s="14"/>
      <c r="CB199" s="14"/>
      <c r="CC199" s="14"/>
      <c r="CD199" s="14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</row>
    <row r="200">
      <c r="A200" s="172">
        <v>4.0</v>
      </c>
      <c r="B200" s="159" t="s">
        <v>451</v>
      </c>
      <c r="C200" s="159" t="s">
        <v>282</v>
      </c>
      <c r="D200" s="161" t="str">
        <f t="shared" si="1"/>
        <v>4-20-C</v>
      </c>
      <c r="E200" s="103"/>
      <c r="F200" s="104"/>
      <c r="G200" s="105"/>
      <c r="H200" s="106"/>
      <c r="I200" s="107"/>
      <c r="J200" s="108"/>
      <c r="K200" s="27" t="str">
        <f t="shared" si="2"/>
        <v>DISPONIBLE</v>
      </c>
      <c r="L200" s="28">
        <f t="shared" si="8"/>
        <v>196</v>
      </c>
      <c r="M200" s="28" t="s">
        <v>23</v>
      </c>
      <c r="N200" s="109"/>
      <c r="O200" s="358"/>
      <c r="P200" s="359" t="s">
        <v>311</v>
      </c>
      <c r="Q200" s="360"/>
      <c r="R200" s="364"/>
      <c r="S200" s="361"/>
      <c r="T200" s="358"/>
      <c r="U200" s="36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BB200" s="12"/>
      <c r="BC200" s="12"/>
      <c r="BD200" s="14"/>
      <c r="BE200" s="12"/>
      <c r="BF200" s="12"/>
      <c r="BG200" s="12"/>
      <c r="BH200" s="12"/>
      <c r="BI200" s="16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4"/>
      <c r="BW200" s="14"/>
      <c r="BX200" s="14"/>
      <c r="BY200" s="14"/>
      <c r="BZ200" s="14"/>
      <c r="CA200" s="14"/>
      <c r="CB200" s="14"/>
      <c r="CC200" s="14"/>
      <c r="CD200" s="14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</row>
    <row r="201">
      <c r="A201" s="172">
        <v>4.0</v>
      </c>
      <c r="B201" s="159" t="s">
        <v>451</v>
      </c>
      <c r="C201" s="159" t="s">
        <v>285</v>
      </c>
      <c r="D201" s="161" t="str">
        <f t="shared" si="1"/>
        <v>4-20-D</v>
      </c>
      <c r="E201" s="103"/>
      <c r="F201" s="104"/>
      <c r="G201" s="105"/>
      <c r="H201" s="106"/>
      <c r="I201" s="107"/>
      <c r="J201" s="108"/>
      <c r="K201" s="32" t="str">
        <f t="shared" si="2"/>
        <v>DISPONIBLE</v>
      </c>
      <c r="L201" s="33">
        <f t="shared" si="8"/>
        <v>197</v>
      </c>
      <c r="M201" s="33" t="s">
        <v>23</v>
      </c>
      <c r="N201" s="122"/>
      <c r="O201" s="353"/>
      <c r="P201" s="354" t="s">
        <v>317</v>
      </c>
      <c r="Q201" s="355"/>
      <c r="R201" s="363"/>
      <c r="S201" s="356"/>
      <c r="T201" s="353"/>
      <c r="U201" s="357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BB201" s="12"/>
      <c r="BC201" s="12"/>
      <c r="BD201" s="14"/>
      <c r="BE201" s="12"/>
      <c r="BF201" s="12"/>
      <c r="BG201" s="12"/>
      <c r="BH201" s="12"/>
      <c r="BI201" s="16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4"/>
      <c r="BW201" s="14"/>
      <c r="BX201" s="14"/>
      <c r="BY201" s="14"/>
      <c r="BZ201" s="14"/>
      <c r="CA201" s="14"/>
      <c r="CB201" s="14"/>
      <c r="CC201" s="14"/>
      <c r="CD201" s="14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</row>
    <row r="202">
      <c r="A202" s="172">
        <v>4.0</v>
      </c>
      <c r="B202" s="159" t="s">
        <v>467</v>
      </c>
      <c r="C202" s="159" t="s">
        <v>269</v>
      </c>
      <c r="D202" s="161" t="str">
        <f t="shared" si="1"/>
        <v>4-21-A</v>
      </c>
      <c r="E202" s="162">
        <v>45733.0</v>
      </c>
      <c r="F202" s="163" t="s">
        <v>19</v>
      </c>
      <c r="G202" s="164" t="s">
        <v>54</v>
      </c>
      <c r="H202" s="165" t="s">
        <v>55</v>
      </c>
      <c r="I202" s="166">
        <v>400.0</v>
      </c>
      <c r="J202" s="167" t="s">
        <v>22</v>
      </c>
      <c r="K202" s="27" t="str">
        <f t="shared" si="2"/>
        <v>OCUPADO</v>
      </c>
      <c r="L202" s="28">
        <f t="shared" si="8"/>
        <v>198</v>
      </c>
      <c r="M202" s="28" t="s">
        <v>23</v>
      </c>
      <c r="N202" s="109"/>
      <c r="O202" s="358" t="s">
        <v>24</v>
      </c>
      <c r="P202" s="359" t="s">
        <v>264</v>
      </c>
      <c r="Q202" s="360">
        <v>45733.0</v>
      </c>
      <c r="R202" s="361" t="s">
        <v>19</v>
      </c>
      <c r="S202" s="361" t="s">
        <v>54</v>
      </c>
      <c r="T202" s="358" t="s">
        <v>55</v>
      </c>
      <c r="U202" s="362">
        <v>400.0</v>
      </c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BB202" s="12"/>
      <c r="BC202" s="12"/>
      <c r="BD202" s="14"/>
      <c r="BE202" s="12"/>
      <c r="BF202" s="12"/>
      <c r="BG202" s="12"/>
      <c r="BH202" s="12"/>
      <c r="BI202" s="16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4"/>
      <c r="BW202" s="14"/>
      <c r="BX202" s="14"/>
      <c r="BY202" s="14"/>
      <c r="BZ202" s="14"/>
      <c r="CA202" s="14"/>
      <c r="CB202" s="14"/>
      <c r="CC202" s="14"/>
      <c r="CD202" s="14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</row>
    <row r="203">
      <c r="A203" s="172">
        <v>4.0</v>
      </c>
      <c r="B203" s="159" t="s">
        <v>467</v>
      </c>
      <c r="C203" s="159" t="s">
        <v>277</v>
      </c>
      <c r="D203" s="161" t="str">
        <f t="shared" si="1"/>
        <v>4-21-B</v>
      </c>
      <c r="E203" s="162">
        <v>45733.0</v>
      </c>
      <c r="F203" s="163" t="s">
        <v>19</v>
      </c>
      <c r="G203" s="164" t="s">
        <v>54</v>
      </c>
      <c r="H203" s="165" t="s">
        <v>55</v>
      </c>
      <c r="I203" s="166">
        <v>549.0</v>
      </c>
      <c r="J203" s="167" t="s">
        <v>22</v>
      </c>
      <c r="K203" s="32" t="str">
        <f t="shared" si="2"/>
        <v>OCUPADO</v>
      </c>
      <c r="L203" s="33">
        <f t="shared" si="8"/>
        <v>199</v>
      </c>
      <c r="M203" s="33" t="s">
        <v>23</v>
      </c>
      <c r="N203" s="122"/>
      <c r="O203" s="353" t="s">
        <v>24</v>
      </c>
      <c r="P203" s="354" t="s">
        <v>267</v>
      </c>
      <c r="Q203" s="355">
        <v>45733.0</v>
      </c>
      <c r="R203" s="356" t="s">
        <v>19</v>
      </c>
      <c r="S203" s="356" t="s">
        <v>54</v>
      </c>
      <c r="T203" s="353" t="s">
        <v>55</v>
      </c>
      <c r="U203" s="357">
        <v>549.0</v>
      </c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BB203" s="12"/>
      <c r="BC203" s="12"/>
      <c r="BD203" s="14"/>
      <c r="BE203" s="12"/>
      <c r="BF203" s="12"/>
      <c r="BG203" s="12"/>
      <c r="BH203" s="12"/>
      <c r="BI203" s="16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4"/>
      <c r="BW203" s="14"/>
      <c r="BX203" s="14"/>
      <c r="BY203" s="14"/>
      <c r="BZ203" s="14"/>
      <c r="CA203" s="14"/>
      <c r="CB203" s="14"/>
      <c r="CC203" s="14"/>
      <c r="CD203" s="14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</row>
    <row r="204">
      <c r="A204" s="172">
        <v>4.0</v>
      </c>
      <c r="B204" s="159" t="s">
        <v>467</v>
      </c>
      <c r="C204" s="159" t="s">
        <v>282</v>
      </c>
      <c r="D204" s="161" t="str">
        <f t="shared" si="1"/>
        <v>4-21-C</v>
      </c>
      <c r="E204" s="173">
        <v>45733.0</v>
      </c>
      <c r="F204" s="174" t="s">
        <v>19</v>
      </c>
      <c r="G204" s="175" t="s">
        <v>128</v>
      </c>
      <c r="H204" s="176" t="s">
        <v>252</v>
      </c>
      <c r="I204" s="177">
        <v>667.0</v>
      </c>
      <c r="J204" s="178" t="s">
        <v>22</v>
      </c>
      <c r="K204" s="27" t="str">
        <f t="shared" si="2"/>
        <v>OCUPADO</v>
      </c>
      <c r="L204" s="28">
        <f t="shared" si="8"/>
        <v>200</v>
      </c>
      <c r="M204" s="28" t="s">
        <v>23</v>
      </c>
      <c r="N204" s="109"/>
      <c r="O204" s="358" t="s">
        <v>24</v>
      </c>
      <c r="P204" s="359" t="s">
        <v>275</v>
      </c>
      <c r="Q204" s="360">
        <v>45733.0</v>
      </c>
      <c r="R204" s="361" t="s">
        <v>19</v>
      </c>
      <c r="S204" s="361" t="s">
        <v>128</v>
      </c>
      <c r="T204" s="358" t="s">
        <v>252</v>
      </c>
      <c r="U204" s="362">
        <v>667.0</v>
      </c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BB204" s="12"/>
      <c r="BC204" s="12"/>
      <c r="BD204" s="14"/>
      <c r="BE204" s="12"/>
      <c r="BF204" s="12"/>
      <c r="BG204" s="12"/>
      <c r="BH204" s="12"/>
      <c r="BI204" s="16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4"/>
      <c r="BW204" s="14"/>
      <c r="BX204" s="14"/>
      <c r="BY204" s="14"/>
      <c r="BZ204" s="14"/>
      <c r="CA204" s="14"/>
      <c r="CB204" s="14"/>
      <c r="CC204" s="14"/>
      <c r="CD204" s="14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</row>
    <row r="205">
      <c r="A205" s="172">
        <v>4.0</v>
      </c>
      <c r="B205" s="159" t="s">
        <v>467</v>
      </c>
      <c r="C205" s="159" t="s">
        <v>285</v>
      </c>
      <c r="D205" s="161" t="str">
        <f t="shared" si="1"/>
        <v>4-21-D</v>
      </c>
      <c r="E205" s="103"/>
      <c r="F205" s="104"/>
      <c r="G205" s="105"/>
      <c r="H205" s="106"/>
      <c r="I205" s="107"/>
      <c r="J205" s="108"/>
      <c r="K205" s="32" t="str">
        <f t="shared" si="2"/>
        <v>DISPONIBLE</v>
      </c>
      <c r="L205" s="33">
        <f t="shared" si="8"/>
        <v>201</v>
      </c>
      <c r="M205" s="33" t="s">
        <v>23</v>
      </c>
      <c r="N205" s="122"/>
      <c r="O205" s="353"/>
      <c r="P205" s="354" t="s">
        <v>279</v>
      </c>
      <c r="Q205" s="355"/>
      <c r="R205" s="363"/>
      <c r="S205" s="356"/>
      <c r="T205" s="353"/>
      <c r="U205" s="357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BB205" s="12"/>
      <c r="BC205" s="12"/>
      <c r="BD205" s="14"/>
      <c r="BE205" s="12"/>
      <c r="BF205" s="12"/>
      <c r="BG205" s="12" t="str">
        <f>IFERROR(__xludf.DUMMYFUNCTION("IFERROR(INDEX(QUERY(IMPORTRANGE(""1T7HG8KEs-Ob7f3M5atEVN9Yn7IeORGp0QGvggB62ELw"",""Maestro!A:I""),""SELECT Col8 WHERE Col3 = '""&amp;BD205&amp;""'"", 0), 1, 1),""NO ENCONTRADO"")"),"")</f>
        <v/>
      </c>
      <c r="BH205" s="12" t="str">
        <f>IFERROR(__xludf.DUMMYFUNCTION("IFERROR(INDEX(QUERY(IMPORTRANGE(""1T7HG8KEs-Ob7f3M5atEVN9Yn7IeORGp0QGvggB62ELw"",""Maestro!A:I""),""SELECT Col7 WHERE Col3 = '""&amp;BD205&amp;""'"", 0), 1, 1),""NO ENCONTRADO"")"),"")</f>
        <v/>
      </c>
      <c r="BI205" s="16">
        <f t="shared" ref="BI205:BI281" si="9">IFERROR(ROUND(IF(BG205="D",BF205/BH205,BF205*BH205),0),1)</f>
        <v>0</v>
      </c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4"/>
      <c r="BW205" s="14"/>
      <c r="BX205" s="14"/>
      <c r="BY205" s="14"/>
      <c r="BZ205" s="14"/>
      <c r="CA205" s="14"/>
      <c r="CB205" s="14"/>
      <c r="CC205" s="14"/>
      <c r="CD205" s="14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</row>
    <row r="206">
      <c r="A206" s="158">
        <v>4.0</v>
      </c>
      <c r="B206" s="159" t="s">
        <v>254</v>
      </c>
      <c r="C206" s="160" t="s">
        <v>119</v>
      </c>
      <c r="D206" s="161" t="str">
        <f t="shared" si="1"/>
        <v>4-R-1A</v>
      </c>
      <c r="E206" s="162">
        <v>45688.0</v>
      </c>
      <c r="F206" s="163" t="s">
        <v>774</v>
      </c>
      <c r="G206" s="164" t="s">
        <v>346</v>
      </c>
      <c r="H206" s="165" t="s">
        <v>347</v>
      </c>
      <c r="I206" s="166">
        <v>13.0</v>
      </c>
      <c r="J206" s="167" t="s">
        <v>767</v>
      </c>
      <c r="K206" s="27" t="str">
        <f t="shared" si="2"/>
        <v>OCUPADO</v>
      </c>
      <c r="L206" s="28">
        <f>IF(B197&lt;&gt;"", ROW(A197), "")
</f>
        <v>197</v>
      </c>
      <c r="M206" s="28" t="s">
        <v>501</v>
      </c>
      <c r="N206" s="109"/>
      <c r="O206" s="358" t="s">
        <v>270</v>
      </c>
      <c r="P206" s="359" t="s">
        <v>422</v>
      </c>
      <c r="Q206" s="360">
        <v>45688.0</v>
      </c>
      <c r="R206" s="361" t="s">
        <v>774</v>
      </c>
      <c r="S206" s="361" t="s">
        <v>346</v>
      </c>
      <c r="T206" s="358" t="s">
        <v>347</v>
      </c>
      <c r="U206" s="362">
        <v>13.0</v>
      </c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BB206" s="12"/>
      <c r="BC206" s="12"/>
      <c r="BD206" s="14"/>
      <c r="BE206" s="12"/>
      <c r="BF206" s="12"/>
      <c r="BG206" s="12" t="str">
        <f>IFERROR(__xludf.DUMMYFUNCTION("IFERROR(INDEX(QUERY(IMPORTRANGE(""1T7HG8KEs-Ob7f3M5atEVN9Yn7IeORGp0QGvggB62ELw"",""Maestro!A:I""),""SELECT Col8 WHERE Col3 = '""&amp;BD206&amp;""'"", 0), 1, 1),""NO ENCONTRADO"")"),"")</f>
        <v/>
      </c>
      <c r="BH206" s="12" t="str">
        <f>IFERROR(__xludf.DUMMYFUNCTION("IFERROR(INDEX(QUERY(IMPORTRANGE(""1T7HG8KEs-Ob7f3M5atEVN9Yn7IeORGp0QGvggB62ELw"",""Maestro!A:I""),""SELECT Col7 WHERE Col3 = '""&amp;BD206&amp;""'"", 0), 1, 1),""NO ENCONTRADO"")"),"")</f>
        <v/>
      </c>
      <c r="BI206" s="16">
        <f t="shared" si="9"/>
        <v>0</v>
      </c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4"/>
      <c r="BW206" s="14"/>
      <c r="BX206" s="14"/>
      <c r="BY206" s="14"/>
      <c r="BZ206" s="14"/>
      <c r="CA206" s="14"/>
      <c r="CB206" s="14"/>
      <c r="CC206" s="14"/>
      <c r="CD206" s="14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</row>
    <row r="207">
      <c r="A207" s="158">
        <v>4.0</v>
      </c>
      <c r="B207" s="159" t="s">
        <v>254</v>
      </c>
      <c r="C207" s="160" t="s">
        <v>132</v>
      </c>
      <c r="D207" s="161" t="str">
        <f t="shared" si="1"/>
        <v>4-R-1B</v>
      </c>
      <c r="E207" s="162">
        <v>45735.0</v>
      </c>
      <c r="F207" s="163" t="s">
        <v>19</v>
      </c>
      <c r="G207" s="164" t="s">
        <v>346</v>
      </c>
      <c r="H207" s="165" t="s">
        <v>347</v>
      </c>
      <c r="I207" s="166">
        <v>576.0</v>
      </c>
      <c r="J207" s="167" t="s">
        <v>274</v>
      </c>
      <c r="K207" s="32" t="str">
        <f t="shared" si="2"/>
        <v>OCUPADO</v>
      </c>
      <c r="L207" s="33">
        <f t="shared" ref="L207:L283" si="10">IF(B206&lt;&gt;"", ROW(A206), "")
</f>
        <v>206</v>
      </c>
      <c r="M207" s="33" t="s">
        <v>501</v>
      </c>
      <c r="N207" s="122"/>
      <c r="O207" s="353" t="s">
        <v>270</v>
      </c>
      <c r="P207" s="354" t="s">
        <v>427</v>
      </c>
      <c r="Q207" s="355">
        <v>45735.0</v>
      </c>
      <c r="R207" s="356" t="s">
        <v>19</v>
      </c>
      <c r="S207" s="356" t="s">
        <v>346</v>
      </c>
      <c r="T207" s="353" t="s">
        <v>347</v>
      </c>
      <c r="U207" s="357">
        <v>576.0</v>
      </c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BB207" s="12"/>
      <c r="BC207" s="12"/>
      <c r="BD207" s="14"/>
      <c r="BE207" s="12"/>
      <c r="BF207" s="12"/>
      <c r="BG207" s="12" t="str">
        <f>IFERROR(__xludf.DUMMYFUNCTION("IFERROR(INDEX(QUERY(IMPORTRANGE(""1T7HG8KEs-Ob7f3M5atEVN9Yn7IeORGp0QGvggB62ELw"",""Maestro!A:I""),""SELECT Col8 WHERE Col3 = '""&amp;BD207&amp;""'"", 0), 1, 1),""NO ENCONTRADO"")"),"")</f>
        <v/>
      </c>
      <c r="BH207" s="12" t="str">
        <f>IFERROR(__xludf.DUMMYFUNCTION("IFERROR(INDEX(QUERY(IMPORTRANGE(""1T7HG8KEs-Ob7f3M5atEVN9Yn7IeORGp0QGvggB62ELw"",""Maestro!A:I""),""SELECT Col7 WHERE Col3 = '""&amp;BD207&amp;""'"", 0), 1, 1),""NO ENCONTRADO"")"),"")</f>
        <v/>
      </c>
      <c r="BI207" s="16">
        <f t="shared" si="9"/>
        <v>0</v>
      </c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4"/>
      <c r="BW207" s="14"/>
      <c r="BX207" s="14"/>
      <c r="BY207" s="14"/>
      <c r="BZ207" s="14"/>
      <c r="CA207" s="14"/>
      <c r="CB207" s="14"/>
      <c r="CC207" s="14"/>
      <c r="CD207" s="14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</row>
    <row r="208">
      <c r="A208" s="158">
        <v>4.0</v>
      </c>
      <c r="B208" s="159" t="s">
        <v>254</v>
      </c>
      <c r="C208" s="160" t="s">
        <v>560</v>
      </c>
      <c r="D208" s="161" t="str">
        <f t="shared" si="1"/>
        <v>4-R-1C</v>
      </c>
      <c r="E208" s="162">
        <v>45656.0</v>
      </c>
      <c r="F208" s="163" t="s">
        <v>19</v>
      </c>
      <c r="G208" s="164" t="s">
        <v>346</v>
      </c>
      <c r="H208" s="165" t="s">
        <v>347</v>
      </c>
      <c r="I208" s="166">
        <v>840.0</v>
      </c>
      <c r="J208" s="167" t="s">
        <v>274</v>
      </c>
      <c r="K208" s="27" t="str">
        <f t="shared" si="2"/>
        <v>OCUPADO</v>
      </c>
      <c r="L208" s="28">
        <f t="shared" si="10"/>
        <v>207</v>
      </c>
      <c r="M208" s="28" t="s">
        <v>501</v>
      </c>
      <c r="N208" s="109"/>
      <c r="O208" s="358" t="s">
        <v>270</v>
      </c>
      <c r="P208" s="359" t="s">
        <v>431</v>
      </c>
      <c r="Q208" s="360">
        <v>45656.0</v>
      </c>
      <c r="R208" s="361" t="s">
        <v>19</v>
      </c>
      <c r="S208" s="361" t="s">
        <v>346</v>
      </c>
      <c r="T208" s="358" t="s">
        <v>347</v>
      </c>
      <c r="U208" s="362">
        <v>840.0</v>
      </c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BB208" s="12"/>
      <c r="BC208" s="12"/>
      <c r="BD208" s="14"/>
      <c r="BE208" s="12"/>
      <c r="BF208" s="12"/>
      <c r="BG208" s="12" t="str">
        <f>IFERROR(__xludf.DUMMYFUNCTION("IFERROR(INDEX(QUERY(IMPORTRANGE(""1T7HG8KEs-Ob7f3M5atEVN9Yn7IeORGp0QGvggB62ELw"",""Maestro!A:I""),""SELECT Col8 WHERE Col3 = '""&amp;BD208&amp;""'"", 0), 1, 1),""NO ENCONTRADO"")"),"")</f>
        <v/>
      </c>
      <c r="BH208" s="12" t="str">
        <f>IFERROR(__xludf.DUMMYFUNCTION("IFERROR(INDEX(QUERY(IMPORTRANGE(""1T7HG8KEs-Ob7f3M5atEVN9Yn7IeORGp0QGvggB62ELw"",""Maestro!A:I""),""SELECT Col7 WHERE Col3 = '""&amp;BD208&amp;""'"", 0), 1, 1),""NO ENCONTRADO"")"),"")</f>
        <v/>
      </c>
      <c r="BI208" s="16">
        <f t="shared" si="9"/>
        <v>0</v>
      </c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4"/>
      <c r="BW208" s="14"/>
      <c r="BX208" s="14"/>
      <c r="BY208" s="14"/>
      <c r="BZ208" s="14"/>
      <c r="CA208" s="14"/>
      <c r="CB208" s="14"/>
      <c r="CC208" s="14"/>
      <c r="CD208" s="14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</row>
    <row r="209">
      <c r="A209" s="158">
        <v>4.0</v>
      </c>
      <c r="B209" s="159" t="s">
        <v>254</v>
      </c>
      <c r="C209" s="160" t="s">
        <v>124</v>
      </c>
      <c r="D209" s="161" t="str">
        <f t="shared" si="1"/>
        <v>4-R-2A</v>
      </c>
      <c r="E209" s="162">
        <v>45694.0</v>
      </c>
      <c r="F209" s="163" t="s">
        <v>702</v>
      </c>
      <c r="G209" s="164" t="s">
        <v>330</v>
      </c>
      <c r="H209" s="165" t="s">
        <v>331</v>
      </c>
      <c r="I209" s="166">
        <v>31.0</v>
      </c>
      <c r="J209" s="167" t="s">
        <v>43</v>
      </c>
      <c r="K209" s="32" t="str">
        <f t="shared" si="2"/>
        <v>OCUPADO</v>
      </c>
      <c r="L209" s="33">
        <f t="shared" si="10"/>
        <v>208</v>
      </c>
      <c r="M209" s="33" t="s">
        <v>501</v>
      </c>
      <c r="N209" s="122"/>
      <c r="O209" s="353" t="s">
        <v>270</v>
      </c>
      <c r="P209" s="354" t="s">
        <v>470</v>
      </c>
      <c r="Q209" s="355">
        <v>45694.0</v>
      </c>
      <c r="R209" s="356" t="s">
        <v>702</v>
      </c>
      <c r="S209" s="356" t="s">
        <v>330</v>
      </c>
      <c r="T209" s="353" t="s">
        <v>331</v>
      </c>
      <c r="U209" s="357">
        <v>31.0</v>
      </c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BB209" s="12"/>
      <c r="BC209" s="12"/>
      <c r="BD209" s="14"/>
      <c r="BE209" s="12"/>
      <c r="BF209" s="12"/>
      <c r="BG209" s="12" t="str">
        <f>IFERROR(__xludf.DUMMYFUNCTION("IFERROR(INDEX(QUERY(IMPORTRANGE(""1T7HG8KEs-Ob7f3M5atEVN9Yn7IeORGp0QGvggB62ELw"",""Maestro!A:I""),""SELECT Col8 WHERE Col3 = '""&amp;BD209&amp;""'"", 0), 1, 1),""NO ENCONTRADO"")"),"")</f>
        <v/>
      </c>
      <c r="BH209" s="12" t="str">
        <f>IFERROR(__xludf.DUMMYFUNCTION("IFERROR(INDEX(QUERY(IMPORTRANGE(""1T7HG8KEs-Ob7f3M5atEVN9Yn7IeORGp0QGvggB62ELw"",""Maestro!A:I""),""SELECT Col7 WHERE Col3 = '""&amp;BD209&amp;""'"", 0), 1, 1),""NO ENCONTRADO"")"),"")</f>
        <v/>
      </c>
      <c r="BI209" s="16">
        <f t="shared" si="9"/>
        <v>0</v>
      </c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4"/>
      <c r="BW209" s="14"/>
      <c r="BX209" s="14"/>
      <c r="BY209" s="14"/>
      <c r="BZ209" s="14"/>
      <c r="CA209" s="14"/>
      <c r="CB209" s="14"/>
      <c r="CC209" s="14"/>
      <c r="CD209" s="14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</row>
    <row r="210">
      <c r="A210" s="158">
        <v>4.0</v>
      </c>
      <c r="B210" s="159" t="s">
        <v>254</v>
      </c>
      <c r="C210" s="160" t="s">
        <v>140</v>
      </c>
      <c r="D210" s="161" t="str">
        <f t="shared" si="1"/>
        <v>4-R-2B</v>
      </c>
      <c r="E210" s="162">
        <v>45688.0</v>
      </c>
      <c r="F210" s="163" t="s">
        <v>702</v>
      </c>
      <c r="G210" s="164" t="s">
        <v>330</v>
      </c>
      <c r="H210" s="165" t="s">
        <v>331</v>
      </c>
      <c r="I210" s="166">
        <v>171.0</v>
      </c>
      <c r="J210" s="167" t="s">
        <v>43</v>
      </c>
      <c r="K210" s="27" t="str">
        <f t="shared" si="2"/>
        <v>OCUPADO</v>
      </c>
      <c r="L210" s="28">
        <f t="shared" si="10"/>
        <v>209</v>
      </c>
      <c r="M210" s="28" t="s">
        <v>501</v>
      </c>
      <c r="N210" s="109"/>
      <c r="O210" s="358" t="s">
        <v>270</v>
      </c>
      <c r="P210" s="359" t="s">
        <v>434</v>
      </c>
      <c r="Q210" s="360">
        <v>45688.0</v>
      </c>
      <c r="R210" s="361" t="s">
        <v>702</v>
      </c>
      <c r="S210" s="361" t="s">
        <v>330</v>
      </c>
      <c r="T210" s="358" t="s">
        <v>331</v>
      </c>
      <c r="U210" s="362">
        <v>171.0</v>
      </c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BB210" s="12"/>
      <c r="BC210" s="12"/>
      <c r="BD210" s="14"/>
      <c r="BE210" s="12"/>
      <c r="BF210" s="12"/>
      <c r="BG210" s="12" t="str">
        <f>IFERROR(__xludf.DUMMYFUNCTION("IFERROR(INDEX(QUERY(IMPORTRANGE(""1T7HG8KEs-Ob7f3M5atEVN9Yn7IeORGp0QGvggB62ELw"",""Maestro!A:I""),""SELECT Col8 WHERE Col3 = '""&amp;BD210&amp;""'"", 0), 1, 1),""NO ENCONTRADO"")"),"")</f>
        <v/>
      </c>
      <c r="BH210" s="12" t="str">
        <f>IFERROR(__xludf.DUMMYFUNCTION("IFERROR(INDEX(QUERY(IMPORTRANGE(""1T7HG8KEs-Ob7f3M5atEVN9Yn7IeORGp0QGvggB62ELw"",""Maestro!A:I""),""SELECT Col7 WHERE Col3 = '""&amp;BD210&amp;""'"", 0), 1, 1),""NO ENCONTRADO"")"),"")</f>
        <v/>
      </c>
      <c r="BI210" s="16">
        <f t="shared" si="9"/>
        <v>0</v>
      </c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4"/>
      <c r="BW210" s="14"/>
      <c r="BX210" s="14"/>
      <c r="BY210" s="14"/>
      <c r="BZ210" s="14"/>
      <c r="CA210" s="14"/>
      <c r="CB210" s="14"/>
      <c r="CC210" s="14"/>
      <c r="CD210" s="14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</row>
    <row r="211">
      <c r="A211" s="158">
        <v>4.0</v>
      </c>
      <c r="B211" s="159" t="s">
        <v>254</v>
      </c>
      <c r="C211" s="160" t="s">
        <v>130</v>
      </c>
      <c r="D211" s="161" t="str">
        <f t="shared" si="1"/>
        <v>4-R-3A</v>
      </c>
      <c r="E211" s="103"/>
      <c r="F211" s="104"/>
      <c r="G211" s="105"/>
      <c r="H211" s="106"/>
      <c r="I211" s="107"/>
      <c r="J211" s="108"/>
      <c r="K211" s="32" t="str">
        <f t="shared" si="2"/>
        <v>DISPONIBLE</v>
      </c>
      <c r="L211" s="33">
        <f t="shared" si="10"/>
        <v>210</v>
      </c>
      <c r="M211" s="33" t="s">
        <v>501</v>
      </c>
      <c r="N211" s="122"/>
      <c r="O211" s="353"/>
      <c r="P211" s="354" t="s">
        <v>473</v>
      </c>
      <c r="Q211" s="355"/>
      <c r="R211" s="363"/>
      <c r="S211" s="356"/>
      <c r="T211" s="353"/>
      <c r="U211" s="357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BB211" s="12"/>
      <c r="BC211" s="12"/>
      <c r="BD211" s="14"/>
      <c r="BE211" s="12"/>
      <c r="BF211" s="12"/>
      <c r="BG211" s="12" t="str">
        <f>IFERROR(__xludf.DUMMYFUNCTION("IFERROR(INDEX(QUERY(IMPORTRANGE(""1T7HG8KEs-Ob7f3M5atEVN9Yn7IeORGp0QGvggB62ELw"",""Maestro!A:I""),""SELECT Col8 WHERE Col3 = '""&amp;BD211&amp;""'"", 0), 1, 1),""NO ENCONTRADO"")"),"")</f>
        <v/>
      </c>
      <c r="BH211" s="12" t="str">
        <f>IFERROR(__xludf.DUMMYFUNCTION("IFERROR(INDEX(QUERY(IMPORTRANGE(""1T7HG8KEs-Ob7f3M5atEVN9Yn7IeORGp0QGvggB62ELw"",""Maestro!A:I""),""SELECT Col7 WHERE Col3 = '""&amp;BD211&amp;""'"", 0), 1, 1),""NO ENCONTRADO"")"),"")</f>
        <v/>
      </c>
      <c r="BI211" s="16">
        <f t="shared" si="9"/>
        <v>0</v>
      </c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4"/>
      <c r="BW211" s="14"/>
      <c r="BX211" s="14"/>
      <c r="BY211" s="14"/>
      <c r="BZ211" s="14"/>
      <c r="CA211" s="14"/>
      <c r="CB211" s="14"/>
      <c r="CC211" s="14"/>
      <c r="CD211" s="14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</row>
    <row r="212">
      <c r="A212" s="158">
        <v>4.0</v>
      </c>
      <c r="B212" s="159" t="s">
        <v>254</v>
      </c>
      <c r="C212" s="160" t="s">
        <v>148</v>
      </c>
      <c r="D212" s="161" t="str">
        <f t="shared" si="1"/>
        <v>4-R-3B</v>
      </c>
      <c r="E212" s="162">
        <v>45694.0</v>
      </c>
      <c r="F212" s="163" t="s">
        <v>702</v>
      </c>
      <c r="G212" s="164" t="s">
        <v>330</v>
      </c>
      <c r="H212" s="165" t="s">
        <v>331</v>
      </c>
      <c r="I212" s="166">
        <v>163.0</v>
      </c>
      <c r="J212" s="167" t="s">
        <v>43</v>
      </c>
      <c r="K212" s="27" t="str">
        <f t="shared" si="2"/>
        <v>OCUPADO</v>
      </c>
      <c r="L212" s="28">
        <f t="shared" si="10"/>
        <v>211</v>
      </c>
      <c r="M212" s="28" t="s">
        <v>501</v>
      </c>
      <c r="N212" s="109"/>
      <c r="O212" s="358" t="s">
        <v>270</v>
      </c>
      <c r="P212" s="359" t="s">
        <v>437</v>
      </c>
      <c r="Q212" s="360">
        <v>45694.0</v>
      </c>
      <c r="R212" s="361" t="s">
        <v>702</v>
      </c>
      <c r="S212" s="361" t="s">
        <v>330</v>
      </c>
      <c r="T212" s="358" t="s">
        <v>331</v>
      </c>
      <c r="U212" s="362">
        <v>163.0</v>
      </c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BB212" s="12"/>
      <c r="BC212" s="12"/>
      <c r="BD212" s="14"/>
      <c r="BE212" s="12"/>
      <c r="BF212" s="12"/>
      <c r="BG212" s="12" t="str">
        <f>IFERROR(__xludf.DUMMYFUNCTION("IFERROR(INDEX(QUERY(IMPORTRANGE(""1T7HG8KEs-Ob7f3M5atEVN9Yn7IeORGp0QGvggB62ELw"",""Maestro!A:I""),""SELECT Col8 WHERE Col3 = '""&amp;BD212&amp;""'"", 0), 1, 1),""NO ENCONTRADO"")"),"")</f>
        <v/>
      </c>
      <c r="BH212" s="12" t="str">
        <f>IFERROR(__xludf.DUMMYFUNCTION("IFERROR(INDEX(QUERY(IMPORTRANGE(""1T7HG8KEs-Ob7f3M5atEVN9Yn7IeORGp0QGvggB62ELw"",""Maestro!A:I""),""SELECT Col7 WHERE Col3 = '""&amp;BD212&amp;""'"", 0), 1, 1),""NO ENCONTRADO"")"),"")</f>
        <v/>
      </c>
      <c r="BI212" s="16">
        <f t="shared" si="9"/>
        <v>0</v>
      </c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4"/>
      <c r="BW212" s="14"/>
      <c r="BX212" s="14"/>
      <c r="BY212" s="14"/>
      <c r="BZ212" s="14"/>
      <c r="CA212" s="14"/>
      <c r="CB212" s="14"/>
      <c r="CC212" s="14"/>
      <c r="CD212" s="14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</row>
    <row r="213">
      <c r="A213" s="158">
        <v>4.0</v>
      </c>
      <c r="B213" s="159" t="s">
        <v>254</v>
      </c>
      <c r="C213" s="160" t="s">
        <v>145</v>
      </c>
      <c r="D213" s="161" t="str">
        <f t="shared" si="1"/>
        <v>4-R-4A</v>
      </c>
      <c r="E213" s="78">
        <v>45694.0</v>
      </c>
      <c r="F213" s="88" t="s">
        <v>702</v>
      </c>
      <c r="G213" s="164" t="s">
        <v>330</v>
      </c>
      <c r="H213" s="165" t="s">
        <v>331</v>
      </c>
      <c r="I213" s="166">
        <v>6.0</v>
      </c>
      <c r="J213" s="167" t="s">
        <v>43</v>
      </c>
      <c r="K213" s="32" t="str">
        <f t="shared" si="2"/>
        <v>OCUPADO</v>
      </c>
      <c r="L213" s="33">
        <f t="shared" si="10"/>
        <v>212</v>
      </c>
      <c r="M213" s="33" t="s">
        <v>501</v>
      </c>
      <c r="N213" s="122"/>
      <c r="O213" s="353" t="s">
        <v>270</v>
      </c>
      <c r="P213" s="354" t="s">
        <v>476</v>
      </c>
      <c r="Q213" s="355">
        <v>45694.0</v>
      </c>
      <c r="R213" s="356" t="s">
        <v>702</v>
      </c>
      <c r="S213" s="356" t="s">
        <v>330</v>
      </c>
      <c r="T213" s="353" t="s">
        <v>331</v>
      </c>
      <c r="U213" s="357">
        <v>6.0</v>
      </c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BB213" s="12"/>
      <c r="BC213" s="12"/>
      <c r="BD213" s="14"/>
      <c r="BE213" s="12"/>
      <c r="BF213" s="12"/>
      <c r="BG213" s="12" t="str">
        <f>IFERROR(__xludf.DUMMYFUNCTION("IFERROR(INDEX(QUERY(IMPORTRANGE(""1T7HG8KEs-Ob7f3M5atEVN9Yn7IeORGp0QGvggB62ELw"",""Maestro!A:I""),""SELECT Col8 WHERE Col3 = '""&amp;BD213&amp;""'"", 0), 1, 1),""NO ENCONTRADO"")"),"")</f>
        <v/>
      </c>
      <c r="BH213" s="12" t="str">
        <f>IFERROR(__xludf.DUMMYFUNCTION("IFERROR(INDEX(QUERY(IMPORTRANGE(""1T7HG8KEs-Ob7f3M5atEVN9Yn7IeORGp0QGvggB62ELw"",""Maestro!A:I""),""SELECT Col7 WHERE Col3 = '""&amp;BD213&amp;""'"", 0), 1, 1),""NO ENCONTRADO"")"),"")</f>
        <v/>
      </c>
      <c r="BI213" s="16">
        <f t="shared" si="9"/>
        <v>0</v>
      </c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4"/>
      <c r="BW213" s="14"/>
      <c r="BX213" s="14"/>
      <c r="BY213" s="14"/>
      <c r="BZ213" s="14"/>
      <c r="CA213" s="14"/>
      <c r="CB213" s="14"/>
      <c r="CC213" s="14"/>
      <c r="CD213" s="14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</row>
    <row r="214">
      <c r="A214" s="158">
        <v>4.0</v>
      </c>
      <c r="B214" s="159" t="s">
        <v>254</v>
      </c>
      <c r="C214" s="160" t="s">
        <v>181</v>
      </c>
      <c r="D214" s="161" t="str">
        <f t="shared" si="1"/>
        <v>4-R-4B</v>
      </c>
      <c r="E214" s="78">
        <v>45652.0</v>
      </c>
      <c r="F214" s="88" t="s">
        <v>19</v>
      </c>
      <c r="G214" s="164" t="s">
        <v>301</v>
      </c>
      <c r="H214" s="165" t="s">
        <v>302</v>
      </c>
      <c r="I214" s="166">
        <v>5.0</v>
      </c>
      <c r="J214" s="167" t="s">
        <v>274</v>
      </c>
      <c r="K214" s="27" t="str">
        <f t="shared" si="2"/>
        <v>OCUPADO</v>
      </c>
      <c r="L214" s="28">
        <f t="shared" si="10"/>
        <v>213</v>
      </c>
      <c r="M214" s="28" t="s">
        <v>501</v>
      </c>
      <c r="N214" s="109"/>
      <c r="O214" s="358" t="s">
        <v>270</v>
      </c>
      <c r="P214" s="359" t="s">
        <v>440</v>
      </c>
      <c r="Q214" s="360">
        <v>45652.0</v>
      </c>
      <c r="R214" s="361" t="s">
        <v>19</v>
      </c>
      <c r="S214" s="361" t="s">
        <v>301</v>
      </c>
      <c r="T214" s="358" t="s">
        <v>302</v>
      </c>
      <c r="U214" s="362">
        <v>5.0</v>
      </c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BB214" s="12"/>
      <c r="BC214" s="12"/>
      <c r="BD214" s="14"/>
      <c r="BE214" s="12"/>
      <c r="BF214" s="12"/>
      <c r="BG214" s="12" t="str">
        <f>IFERROR(__xludf.DUMMYFUNCTION("IFERROR(INDEX(QUERY(IMPORTRANGE(""1T7HG8KEs-Ob7f3M5atEVN9Yn7IeORGp0QGvggB62ELw"",""Maestro!A:I""),""SELECT Col8 WHERE Col3 = '""&amp;BD214&amp;""'"", 0), 1, 1),""NO ENCONTRADO"")"),"")</f>
        <v/>
      </c>
      <c r="BH214" s="12" t="str">
        <f>IFERROR(__xludf.DUMMYFUNCTION("IFERROR(INDEX(QUERY(IMPORTRANGE(""1T7HG8KEs-Ob7f3M5atEVN9Yn7IeORGp0QGvggB62ELw"",""Maestro!A:I""),""SELECT Col7 WHERE Col3 = '""&amp;BD214&amp;""'"", 0), 1, 1),""NO ENCONTRADO"")"),"")</f>
        <v/>
      </c>
      <c r="BI214" s="16">
        <f t="shared" si="9"/>
        <v>0</v>
      </c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4"/>
      <c r="BW214" s="14"/>
      <c r="BX214" s="14"/>
      <c r="BY214" s="14"/>
      <c r="BZ214" s="14"/>
      <c r="CA214" s="14"/>
      <c r="CB214" s="14"/>
      <c r="CC214" s="14"/>
      <c r="CD214" s="14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</row>
    <row r="215">
      <c r="A215" s="158">
        <v>4.0</v>
      </c>
      <c r="B215" s="159" t="s">
        <v>254</v>
      </c>
      <c r="C215" s="160" t="s">
        <v>188</v>
      </c>
      <c r="D215" s="161" t="str">
        <f t="shared" si="1"/>
        <v>4-R-5A</v>
      </c>
      <c r="E215" s="162">
        <v>45721.0</v>
      </c>
      <c r="F215" s="163" t="s">
        <v>775</v>
      </c>
      <c r="G215" s="164" t="s">
        <v>96</v>
      </c>
      <c r="H215" s="165" t="s">
        <v>97</v>
      </c>
      <c r="I215" s="166">
        <v>2.0</v>
      </c>
      <c r="J215" s="167" t="s">
        <v>274</v>
      </c>
      <c r="K215" s="32" t="str">
        <f t="shared" si="2"/>
        <v>OCUPADO</v>
      </c>
      <c r="L215" s="33">
        <f t="shared" si="10"/>
        <v>214</v>
      </c>
      <c r="M215" s="33" t="s">
        <v>501</v>
      </c>
      <c r="N215" s="122"/>
      <c r="O215" s="353" t="s">
        <v>270</v>
      </c>
      <c r="P215" s="354" t="s">
        <v>444</v>
      </c>
      <c r="Q215" s="355">
        <v>45721.0</v>
      </c>
      <c r="R215" s="356" t="s">
        <v>775</v>
      </c>
      <c r="S215" s="356" t="s">
        <v>96</v>
      </c>
      <c r="T215" s="353" t="s">
        <v>97</v>
      </c>
      <c r="U215" s="357">
        <v>2.0</v>
      </c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BB215" s="12"/>
      <c r="BC215" s="12"/>
      <c r="BD215" s="14"/>
      <c r="BE215" s="12"/>
      <c r="BF215" s="12"/>
      <c r="BG215" s="12" t="str">
        <f>IFERROR(__xludf.DUMMYFUNCTION("IFERROR(INDEX(QUERY(IMPORTRANGE(""1T7HG8KEs-Ob7f3M5atEVN9Yn7IeORGp0QGvggB62ELw"",""Maestro!A:I""),""SELECT Col8 WHERE Col3 = '""&amp;BD215&amp;""'"", 0), 1, 1),""NO ENCONTRADO"")"),"")</f>
        <v/>
      </c>
      <c r="BH215" s="12" t="str">
        <f>IFERROR(__xludf.DUMMYFUNCTION("IFERROR(INDEX(QUERY(IMPORTRANGE(""1T7HG8KEs-Ob7f3M5atEVN9Yn7IeORGp0QGvggB62ELw"",""Maestro!A:I""),""SELECT Col7 WHERE Col3 = '""&amp;BD215&amp;""'"", 0), 1, 1),""NO ENCONTRADO"")"),"")</f>
        <v/>
      </c>
      <c r="BI215" s="16">
        <f t="shared" si="9"/>
        <v>0</v>
      </c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4"/>
      <c r="BW215" s="14"/>
      <c r="BX215" s="14"/>
      <c r="BY215" s="14"/>
      <c r="BZ215" s="14"/>
      <c r="CA215" s="14"/>
      <c r="CB215" s="14"/>
      <c r="CC215" s="14"/>
      <c r="CD215" s="14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</row>
    <row r="216">
      <c r="A216" s="158">
        <v>4.0</v>
      </c>
      <c r="B216" s="159" t="s">
        <v>254</v>
      </c>
      <c r="C216" s="160" t="s">
        <v>192</v>
      </c>
      <c r="D216" s="161" t="str">
        <f t="shared" si="1"/>
        <v>4-R-5B</v>
      </c>
      <c r="E216" s="162">
        <v>45751.0</v>
      </c>
      <c r="F216" s="163" t="s">
        <v>19</v>
      </c>
      <c r="G216" s="164" t="s">
        <v>41</v>
      </c>
      <c r="H216" s="165" t="s">
        <v>42</v>
      </c>
      <c r="I216" s="166">
        <v>8.0</v>
      </c>
      <c r="J216" s="167" t="s">
        <v>43</v>
      </c>
      <c r="K216" s="27" t="str">
        <f t="shared" si="2"/>
        <v>OCUPADO</v>
      </c>
      <c r="L216" s="28">
        <f t="shared" si="10"/>
        <v>215</v>
      </c>
      <c r="M216" s="28" t="s">
        <v>501</v>
      </c>
      <c r="N216" s="109"/>
      <c r="O216" s="358" t="s">
        <v>270</v>
      </c>
      <c r="P216" s="359" t="s">
        <v>448</v>
      </c>
      <c r="Q216" s="360">
        <v>45751.0</v>
      </c>
      <c r="R216" s="361" t="s">
        <v>19</v>
      </c>
      <c r="S216" s="361" t="s">
        <v>41</v>
      </c>
      <c r="T216" s="358" t="s">
        <v>42</v>
      </c>
      <c r="U216" s="362">
        <v>8.0</v>
      </c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BB216" s="12"/>
      <c r="BC216" s="12"/>
      <c r="BD216" s="14"/>
      <c r="BE216" s="12"/>
      <c r="BF216" s="12"/>
      <c r="BG216" s="12" t="str">
        <f>IFERROR(__xludf.DUMMYFUNCTION("IFERROR(INDEX(QUERY(IMPORTRANGE(""1T7HG8KEs-Ob7f3M5atEVN9Yn7IeORGp0QGvggB62ELw"",""Maestro!A:I""),""SELECT Col8 WHERE Col3 = '""&amp;BD216&amp;""'"", 0), 1, 1),""NO ENCONTRADO"")"),"")</f>
        <v/>
      </c>
      <c r="BH216" s="12" t="str">
        <f>IFERROR(__xludf.DUMMYFUNCTION("IFERROR(INDEX(QUERY(IMPORTRANGE(""1T7HG8KEs-Ob7f3M5atEVN9Yn7IeORGp0QGvggB62ELw"",""Maestro!A:I""),""SELECT Col7 WHERE Col3 = '""&amp;BD216&amp;""'"", 0), 1, 1),""NO ENCONTRADO"")"),"")</f>
        <v/>
      </c>
      <c r="BI216" s="16">
        <f t="shared" si="9"/>
        <v>0</v>
      </c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4"/>
      <c r="BW216" s="14"/>
      <c r="BX216" s="14"/>
      <c r="BY216" s="14"/>
      <c r="BZ216" s="14"/>
      <c r="CA216" s="14"/>
      <c r="CB216" s="14"/>
      <c r="CC216" s="14"/>
      <c r="CD216" s="14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</row>
    <row r="217">
      <c r="A217" s="158">
        <v>4.0</v>
      </c>
      <c r="B217" s="159" t="s">
        <v>254</v>
      </c>
      <c r="C217" s="160" t="s">
        <v>570</v>
      </c>
      <c r="D217" s="161" t="str">
        <f t="shared" si="1"/>
        <v>4-R-6A</v>
      </c>
      <c r="E217" s="162">
        <v>45729.0</v>
      </c>
      <c r="F217" s="163" t="s">
        <v>776</v>
      </c>
      <c r="G217" s="164" t="s">
        <v>294</v>
      </c>
      <c r="H217" s="165" t="s">
        <v>295</v>
      </c>
      <c r="I217" s="166">
        <v>4.0</v>
      </c>
      <c r="J217" s="167" t="s">
        <v>274</v>
      </c>
      <c r="K217" s="32" t="str">
        <f t="shared" si="2"/>
        <v>OCUPADO</v>
      </c>
      <c r="L217" s="33">
        <f t="shared" si="10"/>
        <v>216</v>
      </c>
      <c r="M217" s="33" t="s">
        <v>501</v>
      </c>
      <c r="N217" s="122"/>
      <c r="O217" s="353" t="s">
        <v>270</v>
      </c>
      <c r="P217" s="354" t="s">
        <v>454</v>
      </c>
      <c r="Q217" s="355">
        <v>45729.0</v>
      </c>
      <c r="R217" s="356" t="s">
        <v>776</v>
      </c>
      <c r="S217" s="356" t="s">
        <v>294</v>
      </c>
      <c r="T217" s="353" t="s">
        <v>295</v>
      </c>
      <c r="U217" s="357">
        <v>4.0</v>
      </c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BB217" s="12"/>
      <c r="BC217" s="12"/>
      <c r="BD217" s="14"/>
      <c r="BE217" s="12"/>
      <c r="BF217" s="12"/>
      <c r="BG217" s="12" t="str">
        <f>IFERROR(__xludf.DUMMYFUNCTION("IFERROR(INDEX(QUERY(IMPORTRANGE(""1T7HG8KEs-Ob7f3M5atEVN9Yn7IeORGp0QGvggB62ELw"",""Maestro!A:I""),""SELECT Col8 WHERE Col3 = '""&amp;BD217&amp;""'"", 0), 1, 1),""NO ENCONTRADO"")"),"")</f>
        <v/>
      </c>
      <c r="BH217" s="12" t="str">
        <f>IFERROR(__xludf.DUMMYFUNCTION("IFERROR(INDEX(QUERY(IMPORTRANGE(""1T7HG8KEs-Ob7f3M5atEVN9Yn7IeORGp0QGvggB62ELw"",""Maestro!A:I""),""SELECT Col7 WHERE Col3 = '""&amp;BD217&amp;""'"", 0), 1, 1),""NO ENCONTRADO"")"),"")</f>
        <v/>
      </c>
      <c r="BI217" s="16">
        <f t="shared" si="9"/>
        <v>0</v>
      </c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4"/>
      <c r="BW217" s="14"/>
      <c r="BX217" s="14"/>
      <c r="BY217" s="14"/>
      <c r="BZ217" s="14"/>
      <c r="CA217" s="14"/>
      <c r="CB217" s="14"/>
      <c r="CC217" s="14"/>
      <c r="CD217" s="14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</row>
    <row r="218">
      <c r="A218" s="158">
        <v>4.0</v>
      </c>
      <c r="B218" s="159" t="s">
        <v>254</v>
      </c>
      <c r="C218" s="160" t="s">
        <v>573</v>
      </c>
      <c r="D218" s="161" t="str">
        <f t="shared" si="1"/>
        <v>4-R-6B</v>
      </c>
      <c r="E218" s="162">
        <v>45730.0</v>
      </c>
      <c r="F218" s="163" t="s">
        <v>776</v>
      </c>
      <c r="G218" s="164" t="s">
        <v>294</v>
      </c>
      <c r="H218" s="165" t="s">
        <v>295</v>
      </c>
      <c r="I218" s="166">
        <v>29.0</v>
      </c>
      <c r="J218" s="167" t="s">
        <v>274</v>
      </c>
      <c r="K218" s="27" t="str">
        <f t="shared" si="2"/>
        <v>OCUPADO</v>
      </c>
      <c r="L218" s="28">
        <f t="shared" si="10"/>
        <v>217</v>
      </c>
      <c r="M218" s="28" t="s">
        <v>501</v>
      </c>
      <c r="N218" s="109"/>
      <c r="O218" s="358" t="s">
        <v>270</v>
      </c>
      <c r="P218" s="359" t="s">
        <v>458</v>
      </c>
      <c r="Q218" s="360">
        <v>45730.0</v>
      </c>
      <c r="R218" s="361" t="s">
        <v>776</v>
      </c>
      <c r="S218" s="361" t="s">
        <v>294</v>
      </c>
      <c r="T218" s="358" t="s">
        <v>295</v>
      </c>
      <c r="U218" s="362">
        <v>29.0</v>
      </c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BB218" s="12"/>
      <c r="BC218" s="12"/>
      <c r="BD218" s="14"/>
      <c r="BE218" s="12"/>
      <c r="BF218" s="12"/>
      <c r="BG218" s="12" t="str">
        <f>IFERROR(__xludf.DUMMYFUNCTION("IFERROR(INDEX(QUERY(IMPORTRANGE(""1T7HG8KEs-Ob7f3M5atEVN9Yn7IeORGp0QGvggB62ELw"",""Maestro!A:I""),""SELECT Col8 WHERE Col3 = '""&amp;BD218&amp;""'"", 0), 1, 1),""NO ENCONTRADO"")"),"")</f>
        <v/>
      </c>
      <c r="BH218" s="12" t="str">
        <f>IFERROR(__xludf.DUMMYFUNCTION("IFERROR(INDEX(QUERY(IMPORTRANGE(""1T7HG8KEs-Ob7f3M5atEVN9Yn7IeORGp0QGvggB62ELw"",""Maestro!A:I""),""SELECT Col7 WHERE Col3 = '""&amp;BD218&amp;""'"", 0), 1, 1),""NO ENCONTRADO"")"),"")</f>
        <v/>
      </c>
      <c r="BI218" s="16">
        <f t="shared" si="9"/>
        <v>0</v>
      </c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4"/>
      <c r="BW218" s="14"/>
      <c r="BX218" s="14"/>
      <c r="BY218" s="14"/>
      <c r="BZ218" s="14"/>
      <c r="CA218" s="14"/>
      <c r="CB218" s="14"/>
      <c r="CC218" s="14"/>
      <c r="CD218" s="14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</row>
    <row r="219">
      <c r="A219" s="158">
        <v>4.0</v>
      </c>
      <c r="B219" s="159" t="s">
        <v>254</v>
      </c>
      <c r="C219" s="160" t="s">
        <v>576</v>
      </c>
      <c r="D219" s="161" t="str">
        <f t="shared" si="1"/>
        <v>4-R-7A</v>
      </c>
      <c r="E219" s="162">
        <v>45721.0</v>
      </c>
      <c r="F219" s="163" t="s">
        <v>705</v>
      </c>
      <c r="G219" s="164" t="s">
        <v>238</v>
      </c>
      <c r="H219" s="165" t="s">
        <v>239</v>
      </c>
      <c r="I219" s="166">
        <v>5.0</v>
      </c>
      <c r="J219" s="167" t="s">
        <v>43</v>
      </c>
      <c r="K219" s="32" t="str">
        <f t="shared" si="2"/>
        <v>OCUPADO</v>
      </c>
      <c r="L219" s="33">
        <f t="shared" si="10"/>
        <v>218</v>
      </c>
      <c r="M219" s="33" t="s">
        <v>501</v>
      </c>
      <c r="N219" s="122"/>
      <c r="O219" s="353" t="s">
        <v>270</v>
      </c>
      <c r="P219" s="354" t="s">
        <v>462</v>
      </c>
      <c r="Q219" s="355">
        <v>45721.0</v>
      </c>
      <c r="R219" s="356" t="s">
        <v>705</v>
      </c>
      <c r="S219" s="356" t="s">
        <v>238</v>
      </c>
      <c r="T219" s="353" t="s">
        <v>239</v>
      </c>
      <c r="U219" s="357">
        <v>4.0</v>
      </c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BB219" s="12"/>
      <c r="BC219" s="12"/>
      <c r="BD219" s="14"/>
      <c r="BE219" s="12"/>
      <c r="BF219" s="12"/>
      <c r="BG219" s="12" t="str">
        <f>IFERROR(__xludf.DUMMYFUNCTION("IFERROR(INDEX(QUERY(IMPORTRANGE(""1T7HG8KEs-Ob7f3M5atEVN9Yn7IeORGp0QGvggB62ELw"",""Maestro!A:I""),""SELECT Col8 WHERE Col3 = '""&amp;BD219&amp;""'"", 0), 1, 1),""NO ENCONTRADO"")"),"")</f>
        <v/>
      </c>
      <c r="BH219" s="12" t="str">
        <f>IFERROR(__xludf.DUMMYFUNCTION("IFERROR(INDEX(QUERY(IMPORTRANGE(""1T7HG8KEs-Ob7f3M5atEVN9Yn7IeORGp0QGvggB62ELw"",""Maestro!A:I""),""SELECT Col7 WHERE Col3 = '""&amp;BD219&amp;""'"", 0), 1, 1),""NO ENCONTRADO"")"),"")</f>
        <v/>
      </c>
      <c r="BI219" s="16">
        <f t="shared" si="9"/>
        <v>0</v>
      </c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4"/>
      <c r="BW219" s="14"/>
      <c r="BX219" s="14"/>
      <c r="BY219" s="14"/>
      <c r="BZ219" s="14"/>
      <c r="CA219" s="14"/>
      <c r="CB219" s="14"/>
      <c r="CC219" s="14"/>
      <c r="CD219" s="14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</row>
    <row r="220">
      <c r="A220" s="158">
        <v>4.0</v>
      </c>
      <c r="B220" s="159" t="s">
        <v>254</v>
      </c>
      <c r="C220" s="160" t="s">
        <v>580</v>
      </c>
      <c r="D220" s="161" t="str">
        <f t="shared" si="1"/>
        <v>4-R-7B</v>
      </c>
      <c r="E220" s="78">
        <v>45721.0</v>
      </c>
      <c r="F220" s="88" t="s">
        <v>705</v>
      </c>
      <c r="G220" s="80" t="s">
        <v>238</v>
      </c>
      <c r="H220" s="81" t="s">
        <v>239</v>
      </c>
      <c r="I220" s="82">
        <v>118.0</v>
      </c>
      <c r="J220" s="179" t="s">
        <v>43</v>
      </c>
      <c r="K220" s="27" t="str">
        <f t="shared" si="2"/>
        <v>OCUPADO</v>
      </c>
      <c r="L220" s="28">
        <f t="shared" si="10"/>
        <v>219</v>
      </c>
      <c r="M220" s="28" t="s">
        <v>501</v>
      </c>
      <c r="N220" s="109"/>
      <c r="O220" s="358" t="s">
        <v>270</v>
      </c>
      <c r="P220" s="359" t="s">
        <v>468</v>
      </c>
      <c r="Q220" s="360">
        <v>45721.0</v>
      </c>
      <c r="R220" s="361" t="s">
        <v>705</v>
      </c>
      <c r="S220" s="361" t="s">
        <v>238</v>
      </c>
      <c r="T220" s="358" t="s">
        <v>239</v>
      </c>
      <c r="U220" s="362">
        <v>116.0</v>
      </c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BB220" s="12"/>
      <c r="BC220" s="12"/>
      <c r="BD220" s="14"/>
      <c r="BE220" s="12"/>
      <c r="BF220" s="12"/>
      <c r="BG220" s="12" t="str">
        <f>IFERROR(__xludf.DUMMYFUNCTION("IFERROR(INDEX(QUERY(IMPORTRANGE(""1T7HG8KEs-Ob7f3M5atEVN9Yn7IeORGp0QGvggB62ELw"",""Maestro!A:I""),""SELECT Col8 WHERE Col3 = '""&amp;BD220&amp;""'"", 0), 1, 1),""NO ENCONTRADO"")"),"")</f>
        <v/>
      </c>
      <c r="BH220" s="12" t="str">
        <f>IFERROR(__xludf.DUMMYFUNCTION("IFERROR(INDEX(QUERY(IMPORTRANGE(""1T7HG8KEs-Ob7f3M5atEVN9Yn7IeORGp0QGvggB62ELw"",""Maestro!A:I""),""SELECT Col7 WHERE Col3 = '""&amp;BD220&amp;""'"", 0), 1, 1),""NO ENCONTRADO"")"),"")</f>
        <v/>
      </c>
      <c r="BI220" s="16">
        <f t="shared" si="9"/>
        <v>0</v>
      </c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4"/>
      <c r="BW220" s="14"/>
      <c r="BX220" s="14"/>
      <c r="BY220" s="14"/>
      <c r="BZ220" s="14"/>
      <c r="CA220" s="14"/>
      <c r="CB220" s="14"/>
      <c r="CC220" s="14"/>
      <c r="CD220" s="14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</row>
    <row r="221">
      <c r="A221" s="158">
        <v>4.0</v>
      </c>
      <c r="B221" s="159" t="s">
        <v>254</v>
      </c>
      <c r="C221" s="160" t="s">
        <v>583</v>
      </c>
      <c r="D221" s="161" t="str">
        <f t="shared" si="1"/>
        <v>4-R-9A</v>
      </c>
      <c r="E221" s="78">
        <v>45751.0</v>
      </c>
      <c r="F221" s="88" t="s">
        <v>19</v>
      </c>
      <c r="G221" s="80" t="s">
        <v>41</v>
      </c>
      <c r="H221" s="81" t="s">
        <v>42</v>
      </c>
      <c r="I221" s="82">
        <v>6.0</v>
      </c>
      <c r="J221" s="179" t="s">
        <v>43</v>
      </c>
      <c r="K221" s="32" t="str">
        <f t="shared" si="2"/>
        <v>OCUPADO</v>
      </c>
      <c r="L221" s="33">
        <f t="shared" si="10"/>
        <v>220</v>
      </c>
      <c r="M221" s="33" t="s">
        <v>501</v>
      </c>
      <c r="N221" s="122"/>
      <c r="O221" s="353" t="s">
        <v>270</v>
      </c>
      <c r="P221" s="354" t="s">
        <v>471</v>
      </c>
      <c r="Q221" s="355">
        <v>45751.0</v>
      </c>
      <c r="R221" s="356" t="s">
        <v>19</v>
      </c>
      <c r="S221" s="356" t="s">
        <v>41</v>
      </c>
      <c r="T221" s="353" t="s">
        <v>42</v>
      </c>
      <c r="U221" s="357">
        <v>6.0</v>
      </c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BB221" s="12"/>
      <c r="BC221" s="12"/>
      <c r="BD221" s="14"/>
      <c r="BE221" s="12"/>
      <c r="BF221" s="12"/>
      <c r="BG221" s="12" t="str">
        <f>IFERROR(__xludf.DUMMYFUNCTION("IFERROR(INDEX(QUERY(IMPORTRANGE(""1T7HG8KEs-Ob7f3M5atEVN9Yn7IeORGp0QGvggB62ELw"",""Maestro!A:I""),""SELECT Col8 WHERE Col3 = '""&amp;BD221&amp;""'"", 0), 1, 1),""NO ENCONTRADO"")"),"")</f>
        <v/>
      </c>
      <c r="BH221" s="12" t="str">
        <f>IFERROR(__xludf.DUMMYFUNCTION("IFERROR(INDEX(QUERY(IMPORTRANGE(""1T7HG8KEs-Ob7f3M5atEVN9Yn7IeORGp0QGvggB62ELw"",""Maestro!A:I""),""SELECT Col7 WHERE Col3 = '""&amp;BD221&amp;""'"", 0), 1, 1),""NO ENCONTRADO"")"),"")</f>
        <v/>
      </c>
      <c r="BI221" s="16">
        <f t="shared" si="9"/>
        <v>0</v>
      </c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4"/>
      <c r="BW221" s="14"/>
      <c r="BX221" s="14"/>
      <c r="BY221" s="14"/>
      <c r="BZ221" s="14"/>
      <c r="CA221" s="14"/>
      <c r="CB221" s="14"/>
      <c r="CC221" s="14"/>
      <c r="CD221" s="14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</row>
    <row r="222">
      <c r="A222" s="158">
        <v>4.0</v>
      </c>
      <c r="B222" s="159" t="s">
        <v>254</v>
      </c>
      <c r="C222" s="160" t="s">
        <v>586</v>
      </c>
      <c r="D222" s="161" t="str">
        <f t="shared" si="1"/>
        <v>4-R-9B</v>
      </c>
      <c r="E222" s="78">
        <v>45625.0</v>
      </c>
      <c r="F222" s="88" t="s">
        <v>19</v>
      </c>
      <c r="G222" s="80" t="s">
        <v>41</v>
      </c>
      <c r="H222" s="81" t="s">
        <v>42</v>
      </c>
      <c r="I222" s="82">
        <v>40.0</v>
      </c>
      <c r="J222" s="179" t="s">
        <v>43</v>
      </c>
      <c r="K222" s="27" t="str">
        <f t="shared" si="2"/>
        <v>OCUPADO</v>
      </c>
      <c r="L222" s="28">
        <f t="shared" si="10"/>
        <v>221</v>
      </c>
      <c r="M222" s="28" t="s">
        <v>501</v>
      </c>
      <c r="N222" s="109"/>
      <c r="O222" s="358" t="s">
        <v>270</v>
      </c>
      <c r="P222" s="359" t="s">
        <v>474</v>
      </c>
      <c r="Q222" s="360">
        <v>45625.0</v>
      </c>
      <c r="R222" s="361" t="s">
        <v>19</v>
      </c>
      <c r="S222" s="361" t="s">
        <v>41</v>
      </c>
      <c r="T222" s="358" t="s">
        <v>42</v>
      </c>
      <c r="U222" s="362">
        <v>40.0</v>
      </c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BB222" s="12"/>
      <c r="BC222" s="12"/>
      <c r="BD222" s="14"/>
      <c r="BE222" s="12"/>
      <c r="BF222" s="12"/>
      <c r="BG222" s="12" t="str">
        <f>IFERROR(__xludf.DUMMYFUNCTION("IFERROR(INDEX(QUERY(IMPORTRANGE(""1T7HG8KEs-Ob7f3M5atEVN9Yn7IeORGp0QGvggB62ELw"",""Maestro!A:I""),""SELECT Col8 WHERE Col3 = '""&amp;BD222&amp;""'"", 0), 1, 1),""NO ENCONTRADO"")"),"")</f>
        <v/>
      </c>
      <c r="BH222" s="12" t="str">
        <f>IFERROR(__xludf.DUMMYFUNCTION("IFERROR(INDEX(QUERY(IMPORTRANGE(""1T7HG8KEs-Ob7f3M5atEVN9Yn7IeORGp0QGvggB62ELw"",""Maestro!A:I""),""SELECT Col7 WHERE Col3 = '""&amp;BD222&amp;""'"", 0), 1, 1),""NO ENCONTRADO"")"),"")</f>
        <v/>
      </c>
      <c r="BI222" s="16">
        <f t="shared" si="9"/>
        <v>0</v>
      </c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4"/>
      <c r="BW222" s="14"/>
      <c r="BX222" s="14"/>
      <c r="BY222" s="14"/>
      <c r="BZ222" s="14"/>
      <c r="CA222" s="14"/>
      <c r="CB222" s="14"/>
      <c r="CC222" s="14"/>
      <c r="CD222" s="14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</row>
    <row r="223">
      <c r="A223" s="158">
        <v>4.0</v>
      </c>
      <c r="B223" s="159" t="s">
        <v>254</v>
      </c>
      <c r="C223" s="160" t="s">
        <v>554</v>
      </c>
      <c r="D223" s="161" t="str">
        <f t="shared" si="1"/>
        <v>4-R-10A</v>
      </c>
      <c r="E223" s="78">
        <v>45751.0</v>
      </c>
      <c r="F223" s="88" t="s">
        <v>600</v>
      </c>
      <c r="G223" s="80" t="s">
        <v>325</v>
      </c>
      <c r="H223" s="81" t="s">
        <v>326</v>
      </c>
      <c r="I223" s="82">
        <v>80.0</v>
      </c>
      <c r="J223" s="81" t="s">
        <v>43</v>
      </c>
      <c r="K223" s="32" t="str">
        <f t="shared" si="2"/>
        <v>OCUPADO</v>
      </c>
      <c r="L223" s="33">
        <f t="shared" si="10"/>
        <v>222</v>
      </c>
      <c r="M223" s="33" t="s">
        <v>501</v>
      </c>
      <c r="N223" s="122"/>
      <c r="O223" s="353" t="s">
        <v>270</v>
      </c>
      <c r="P223" s="354" t="s">
        <v>416</v>
      </c>
      <c r="Q223" s="355">
        <v>45751.0</v>
      </c>
      <c r="R223" s="356" t="s">
        <v>600</v>
      </c>
      <c r="S223" s="356" t="s">
        <v>325</v>
      </c>
      <c r="T223" s="353" t="s">
        <v>326</v>
      </c>
      <c r="U223" s="357">
        <v>80.0</v>
      </c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BB223" s="12"/>
      <c r="BC223" s="12"/>
      <c r="BD223" s="14"/>
      <c r="BE223" s="12"/>
      <c r="BF223" s="12"/>
      <c r="BG223" s="12" t="str">
        <f>IFERROR(__xludf.DUMMYFUNCTION("IFERROR(INDEX(QUERY(IMPORTRANGE(""1T7HG8KEs-Ob7f3M5atEVN9Yn7IeORGp0QGvggB62ELw"",""Maestro!A:I""),""SELECT Col8 WHERE Col3 = '""&amp;BD223&amp;""'"", 0), 1, 1),""NO ENCONTRADO"")"),"")</f>
        <v/>
      </c>
      <c r="BH223" s="12" t="str">
        <f>IFERROR(__xludf.DUMMYFUNCTION("IFERROR(INDEX(QUERY(IMPORTRANGE(""1T7HG8KEs-Ob7f3M5atEVN9Yn7IeORGp0QGvggB62ELw"",""Maestro!A:I""),""SELECT Col7 WHERE Col3 = '""&amp;BD223&amp;""'"", 0), 1, 1),""NO ENCONTRADO"")"),"")</f>
        <v/>
      </c>
      <c r="BI223" s="16">
        <f t="shared" si="9"/>
        <v>0</v>
      </c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4"/>
      <c r="BW223" s="14"/>
      <c r="BX223" s="14"/>
      <c r="BY223" s="14"/>
      <c r="BZ223" s="14"/>
      <c r="CA223" s="14"/>
      <c r="CB223" s="14"/>
      <c r="CC223" s="14"/>
      <c r="CD223" s="14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</row>
    <row r="224">
      <c r="A224" s="180">
        <v>4.0</v>
      </c>
      <c r="B224" s="181" t="s">
        <v>254</v>
      </c>
      <c r="C224" s="182" t="s">
        <v>556</v>
      </c>
      <c r="D224" s="183" t="str">
        <f t="shared" si="1"/>
        <v>4-R-10B</v>
      </c>
      <c r="E224" s="184">
        <v>45751.0</v>
      </c>
      <c r="F224" s="185" t="s">
        <v>600</v>
      </c>
      <c r="G224" s="186" t="s">
        <v>325</v>
      </c>
      <c r="H224" s="187" t="s">
        <v>326</v>
      </c>
      <c r="I224" s="188">
        <v>160.0</v>
      </c>
      <c r="J224" s="187" t="s">
        <v>43</v>
      </c>
      <c r="K224" s="63" t="str">
        <f t="shared" si="2"/>
        <v>OCUPADO</v>
      </c>
      <c r="L224" s="64">
        <f t="shared" si="10"/>
        <v>223</v>
      </c>
      <c r="M224" s="64" t="s">
        <v>501</v>
      </c>
      <c r="N224" s="65"/>
      <c r="O224" s="64" t="s">
        <v>270</v>
      </c>
      <c r="P224" s="331" t="s">
        <v>419</v>
      </c>
      <c r="Q224" s="332">
        <v>45751.0</v>
      </c>
      <c r="R224" s="333" t="s">
        <v>600</v>
      </c>
      <c r="S224" s="333" t="s">
        <v>325</v>
      </c>
      <c r="T224" s="28" t="s">
        <v>326</v>
      </c>
      <c r="U224" s="334">
        <v>160.0</v>
      </c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BB224" s="12"/>
      <c r="BC224" s="12"/>
      <c r="BD224" s="14"/>
      <c r="BE224" s="12"/>
      <c r="BF224" s="12"/>
      <c r="BG224" s="12" t="str">
        <f>IFERROR(__xludf.DUMMYFUNCTION("IFERROR(INDEX(QUERY(IMPORTRANGE(""1T7HG8KEs-Ob7f3M5atEVN9Yn7IeORGp0QGvggB62ELw"",""Maestro!A:I""),""SELECT Col8 WHERE Col3 = '""&amp;BD224&amp;""'"", 0), 1, 1),""NO ENCONTRADO"")"),"")</f>
        <v/>
      </c>
      <c r="BH224" s="12" t="str">
        <f>IFERROR(__xludf.DUMMYFUNCTION("IFERROR(INDEX(QUERY(IMPORTRANGE(""1T7HG8KEs-Ob7f3M5atEVN9Yn7IeORGp0QGvggB62ELw"",""Maestro!A:I""),""SELECT Col7 WHERE Col3 = '""&amp;BD224&amp;""'"", 0), 1, 1),""NO ENCONTRADO"")"),"")</f>
        <v/>
      </c>
      <c r="BI224" s="16">
        <f t="shared" si="9"/>
        <v>0</v>
      </c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4"/>
      <c r="BW224" s="14"/>
      <c r="BX224" s="14"/>
      <c r="BY224" s="14"/>
      <c r="BZ224" s="14"/>
      <c r="CA224" s="14"/>
      <c r="CB224" s="14"/>
      <c r="CC224" s="14"/>
      <c r="CD224" s="14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</row>
    <row r="225">
      <c r="A225" s="189" t="s">
        <v>480</v>
      </c>
      <c r="B225" s="190" t="s">
        <v>18</v>
      </c>
      <c r="C225" s="190" t="s">
        <v>18</v>
      </c>
      <c r="D225" s="191" t="str">
        <f t="shared" si="1"/>
        <v>ANDEN-1-1</v>
      </c>
      <c r="E225" s="35">
        <v>45751.0</v>
      </c>
      <c r="F225" s="36" t="s">
        <v>766</v>
      </c>
      <c r="G225" s="23" t="s">
        <v>137</v>
      </c>
      <c r="H225" s="38" t="s">
        <v>138</v>
      </c>
      <c r="I225" s="39">
        <v>166.0</v>
      </c>
      <c r="J225" s="38" t="s">
        <v>22</v>
      </c>
      <c r="K225" s="32" t="str">
        <f t="shared" si="2"/>
        <v>OCUPADO</v>
      </c>
      <c r="L225" s="33">
        <f t="shared" si="10"/>
        <v>224</v>
      </c>
      <c r="M225" s="33" t="s">
        <v>23</v>
      </c>
      <c r="N225" s="53"/>
      <c r="O225" s="33" t="s">
        <v>24</v>
      </c>
      <c r="P225" s="335" t="s">
        <v>284</v>
      </c>
      <c r="Q225" s="336">
        <v>45751.0</v>
      </c>
      <c r="R225" s="337" t="s">
        <v>766</v>
      </c>
      <c r="S225" s="337" t="s">
        <v>137</v>
      </c>
      <c r="T225" s="33" t="s">
        <v>138</v>
      </c>
      <c r="U225" s="338">
        <v>166.0</v>
      </c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BB225" s="12"/>
      <c r="BC225" s="12"/>
      <c r="BD225" s="14"/>
      <c r="BE225" s="12"/>
      <c r="BF225" s="12"/>
      <c r="BG225" s="12" t="str">
        <f>IFERROR(__xludf.DUMMYFUNCTION("IFERROR(INDEX(QUERY(IMPORTRANGE(""1T7HG8KEs-Ob7f3M5atEVN9Yn7IeORGp0QGvggB62ELw"",""Maestro!A:I""),""SELECT Col8 WHERE Col3 = '""&amp;BD225&amp;""'"", 0), 1, 1),""NO ENCONTRADO"")"),"")</f>
        <v/>
      </c>
      <c r="BH225" s="12" t="str">
        <f>IFERROR(__xludf.DUMMYFUNCTION("IFERROR(INDEX(QUERY(IMPORTRANGE(""1T7HG8KEs-Ob7f3M5atEVN9Yn7IeORGp0QGvggB62ELw"",""Maestro!A:I""),""SELECT Col7 WHERE Col3 = '""&amp;BD225&amp;""'"", 0), 1, 1),""NO ENCONTRADO"")"),"")</f>
        <v/>
      </c>
      <c r="BI225" s="16">
        <f t="shared" si="9"/>
        <v>0</v>
      </c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4"/>
      <c r="BW225" s="14"/>
      <c r="BX225" s="14"/>
      <c r="BY225" s="14"/>
      <c r="BZ225" s="14"/>
      <c r="CA225" s="14"/>
      <c r="CB225" s="14"/>
      <c r="CC225" s="14"/>
      <c r="CD225" s="14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</row>
    <row r="226">
      <c r="A226" s="189" t="s">
        <v>480</v>
      </c>
      <c r="B226" s="190" t="s">
        <v>18</v>
      </c>
      <c r="C226" s="190" t="s">
        <v>32</v>
      </c>
      <c r="D226" s="191" t="str">
        <f t="shared" si="1"/>
        <v>ANDEN-1-2</v>
      </c>
      <c r="E226" s="35">
        <v>45751.0</v>
      </c>
      <c r="F226" s="36" t="s">
        <v>716</v>
      </c>
      <c r="G226" s="37" t="s">
        <v>46</v>
      </c>
      <c r="H226" s="38" t="s">
        <v>47</v>
      </c>
      <c r="I226" s="39">
        <v>795.0</v>
      </c>
      <c r="J226" s="38" t="s">
        <v>22</v>
      </c>
      <c r="K226" s="27" t="str">
        <f t="shared" si="2"/>
        <v>OCUPADO</v>
      </c>
      <c r="L226" s="28">
        <f t="shared" si="10"/>
        <v>225</v>
      </c>
      <c r="M226" s="28" t="s">
        <v>23</v>
      </c>
      <c r="N226" s="70"/>
      <c r="O226" s="28" t="s">
        <v>24</v>
      </c>
      <c r="P226" s="331" t="s">
        <v>307</v>
      </c>
      <c r="Q226" s="332">
        <v>45751.0</v>
      </c>
      <c r="R226" s="333" t="s">
        <v>716</v>
      </c>
      <c r="S226" s="333" t="s">
        <v>46</v>
      </c>
      <c r="T226" s="28" t="s">
        <v>47</v>
      </c>
      <c r="U226" s="334">
        <v>795.0</v>
      </c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BB226" s="12"/>
      <c r="BC226" s="12"/>
      <c r="BD226" s="14"/>
      <c r="BE226" s="12"/>
      <c r="BF226" s="12"/>
      <c r="BG226" s="12" t="str">
        <f>IFERROR(__xludf.DUMMYFUNCTION("IFERROR(INDEX(QUERY(IMPORTRANGE(""1T7HG8KEs-Ob7f3M5atEVN9Yn7IeORGp0QGvggB62ELw"",""Maestro!A:I""),""SELECT Col8 WHERE Col3 = '""&amp;BD226&amp;""'"", 0), 1, 1),""NO ENCONTRADO"")"),"")</f>
        <v/>
      </c>
      <c r="BH226" s="12" t="str">
        <f>IFERROR(__xludf.DUMMYFUNCTION("IFERROR(INDEX(QUERY(IMPORTRANGE(""1T7HG8KEs-Ob7f3M5atEVN9Yn7IeORGp0QGvggB62ELw"",""Maestro!A:I""),""SELECT Col7 WHERE Col3 = '""&amp;BD226&amp;""'"", 0), 1, 1),""NO ENCONTRADO"")"),"")</f>
        <v/>
      </c>
      <c r="BI226" s="16">
        <f t="shared" si="9"/>
        <v>0</v>
      </c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4"/>
      <c r="BW226" s="14"/>
      <c r="BX226" s="14"/>
      <c r="BY226" s="14"/>
      <c r="BZ226" s="14"/>
      <c r="CA226" s="14"/>
      <c r="CB226" s="14"/>
      <c r="CC226" s="14"/>
      <c r="CD226" s="14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</row>
    <row r="227">
      <c r="A227" s="189" t="s">
        <v>480</v>
      </c>
      <c r="B227" s="190" t="s">
        <v>18</v>
      </c>
      <c r="C227" s="190" t="s">
        <v>44</v>
      </c>
      <c r="D227" s="191" t="str">
        <f t="shared" si="1"/>
        <v>ANDEN-1-3</v>
      </c>
      <c r="E227" s="83"/>
      <c r="F227" s="150"/>
      <c r="G227" s="85"/>
      <c r="H227" s="49"/>
      <c r="I227" s="86"/>
      <c r="J227" s="49"/>
      <c r="K227" s="32" t="str">
        <f t="shared" si="2"/>
        <v>DISPONIBLE</v>
      </c>
      <c r="L227" s="33">
        <f t="shared" si="10"/>
        <v>226</v>
      </c>
      <c r="M227" s="33" t="s">
        <v>23</v>
      </c>
      <c r="N227" s="53"/>
      <c r="O227" s="33"/>
      <c r="P227" s="335" t="s">
        <v>312</v>
      </c>
      <c r="Q227" s="336"/>
      <c r="R227" s="342"/>
      <c r="S227" s="337"/>
      <c r="T227" s="33"/>
      <c r="U227" s="338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BB227" s="12"/>
      <c r="BC227" s="12"/>
      <c r="BD227" s="14"/>
      <c r="BE227" s="12"/>
      <c r="BF227" s="12"/>
      <c r="BG227" s="12" t="str">
        <f>IFERROR(__xludf.DUMMYFUNCTION("IFERROR(INDEX(QUERY(IMPORTRANGE(""1T7HG8KEs-Ob7f3M5atEVN9Yn7IeORGp0QGvggB62ELw"",""Maestro!A:I""),""SELECT Col8 WHERE Col3 = '""&amp;BD227&amp;""'"", 0), 1, 1),""NO ENCONTRADO"")"),"")</f>
        <v/>
      </c>
      <c r="BH227" s="12" t="str">
        <f>IFERROR(__xludf.DUMMYFUNCTION("IFERROR(INDEX(QUERY(IMPORTRANGE(""1T7HG8KEs-Ob7f3M5atEVN9Yn7IeORGp0QGvggB62ELw"",""Maestro!A:I""),""SELECT Col7 WHERE Col3 = '""&amp;BD227&amp;""'"", 0), 1, 1),""NO ENCONTRADO"")"),"")</f>
        <v/>
      </c>
      <c r="BI227" s="16">
        <f t="shared" si="9"/>
        <v>0</v>
      </c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4"/>
      <c r="BW227" s="14"/>
      <c r="BX227" s="14"/>
      <c r="BY227" s="14"/>
      <c r="BZ227" s="14"/>
      <c r="CA227" s="14"/>
      <c r="CB227" s="14"/>
      <c r="CC227" s="14"/>
      <c r="CD227" s="14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</row>
    <row r="228">
      <c r="A228" s="189" t="s">
        <v>480</v>
      </c>
      <c r="B228" s="190" t="s">
        <v>18</v>
      </c>
      <c r="C228" s="190" t="s">
        <v>53</v>
      </c>
      <c r="D228" s="191" t="str">
        <f t="shared" si="1"/>
        <v>ANDEN-1-4</v>
      </c>
      <c r="E228" s="21">
        <v>45751.0</v>
      </c>
      <c r="F228" s="36" t="s">
        <v>766</v>
      </c>
      <c r="G228" s="23" t="s">
        <v>137</v>
      </c>
      <c r="H228" s="38" t="s">
        <v>138</v>
      </c>
      <c r="I228" s="39">
        <v>225.0</v>
      </c>
      <c r="J228" s="38" t="s">
        <v>22</v>
      </c>
      <c r="K228" s="27" t="str">
        <f t="shared" si="2"/>
        <v>OCUPADO</v>
      </c>
      <c r="L228" s="28">
        <f t="shared" si="10"/>
        <v>227</v>
      </c>
      <c r="M228" s="28" t="s">
        <v>23</v>
      </c>
      <c r="N228" s="70"/>
      <c r="O228" s="28" t="s">
        <v>24</v>
      </c>
      <c r="P228" s="331" t="s">
        <v>318</v>
      </c>
      <c r="Q228" s="332">
        <v>45751.0</v>
      </c>
      <c r="R228" s="333" t="s">
        <v>766</v>
      </c>
      <c r="S228" s="333" t="s">
        <v>137</v>
      </c>
      <c r="T228" s="28" t="s">
        <v>138</v>
      </c>
      <c r="U228" s="334">
        <v>225.0</v>
      </c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BB228" s="12"/>
      <c r="BC228" s="12"/>
      <c r="BD228" s="14"/>
      <c r="BE228" s="12"/>
      <c r="BF228" s="12"/>
      <c r="BG228" s="12" t="str">
        <f>IFERROR(__xludf.DUMMYFUNCTION("IFERROR(INDEX(QUERY(IMPORTRANGE(""1T7HG8KEs-Ob7f3M5atEVN9Yn7IeORGp0QGvggB62ELw"",""Maestro!A:I""),""SELECT Col8 WHERE Col3 = '""&amp;BD228&amp;""'"", 0), 1, 1),""NO ENCONTRADO"")"),"")</f>
        <v/>
      </c>
      <c r="BH228" s="12" t="str">
        <f>IFERROR(__xludf.DUMMYFUNCTION("IFERROR(INDEX(QUERY(IMPORTRANGE(""1T7HG8KEs-Ob7f3M5atEVN9Yn7IeORGp0QGvggB62ELw"",""Maestro!A:I""),""SELECT Col7 WHERE Col3 = '""&amp;BD228&amp;""'"", 0), 1, 1),""NO ENCONTRADO"")"),"")</f>
        <v/>
      </c>
      <c r="BI228" s="16">
        <f t="shared" si="9"/>
        <v>0</v>
      </c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4"/>
      <c r="BW228" s="14"/>
      <c r="BX228" s="14"/>
      <c r="BY228" s="14"/>
      <c r="BZ228" s="14"/>
      <c r="CA228" s="14"/>
      <c r="CB228" s="14"/>
      <c r="CC228" s="14"/>
      <c r="CD228" s="14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</row>
    <row r="229">
      <c r="A229" s="189" t="s">
        <v>480</v>
      </c>
      <c r="B229" s="190" t="s">
        <v>18</v>
      </c>
      <c r="C229" s="190" t="s">
        <v>25</v>
      </c>
      <c r="D229" s="191" t="str">
        <f t="shared" si="1"/>
        <v>ANDEN-1-5</v>
      </c>
      <c r="E229" s="193">
        <v>45751.0</v>
      </c>
      <c r="F229" s="194" t="s">
        <v>98</v>
      </c>
      <c r="G229" s="195" t="s">
        <v>63</v>
      </c>
      <c r="H229" s="196" t="s">
        <v>64</v>
      </c>
      <c r="I229" s="197">
        <v>718.0</v>
      </c>
      <c r="J229" s="196" t="s">
        <v>22</v>
      </c>
      <c r="K229" s="32" t="str">
        <f t="shared" si="2"/>
        <v>OCUPADO</v>
      </c>
      <c r="L229" s="33">
        <f t="shared" si="10"/>
        <v>228</v>
      </c>
      <c r="M229" s="33" t="s">
        <v>23</v>
      </c>
      <c r="N229" s="53"/>
      <c r="O229" s="33" t="s">
        <v>24</v>
      </c>
      <c r="P229" s="335" t="s">
        <v>323</v>
      </c>
      <c r="Q229" s="336">
        <v>45751.0</v>
      </c>
      <c r="R229" s="337" t="s">
        <v>98</v>
      </c>
      <c r="S229" s="337" t="s">
        <v>63</v>
      </c>
      <c r="T229" s="33" t="s">
        <v>64</v>
      </c>
      <c r="U229" s="338">
        <v>718.0</v>
      </c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BB229" s="12"/>
      <c r="BC229" s="12"/>
      <c r="BD229" s="14"/>
      <c r="BE229" s="12"/>
      <c r="BF229" s="12"/>
      <c r="BG229" s="12" t="str">
        <f>IFERROR(__xludf.DUMMYFUNCTION("IFERROR(INDEX(QUERY(IMPORTRANGE(""1T7HG8KEs-Ob7f3M5atEVN9Yn7IeORGp0QGvggB62ELw"",""Maestro!A:I""),""SELECT Col8 WHERE Col3 = '""&amp;BD229&amp;""'"", 0), 1, 1),""NO ENCONTRADO"")"),"")</f>
        <v/>
      </c>
      <c r="BH229" s="12" t="str">
        <f>IFERROR(__xludf.DUMMYFUNCTION("IFERROR(INDEX(QUERY(IMPORTRANGE(""1T7HG8KEs-Ob7f3M5atEVN9Yn7IeORGp0QGvggB62ELw"",""Maestro!A:I""),""SELECT Col7 WHERE Col3 = '""&amp;BD229&amp;""'"", 0), 1, 1),""NO ENCONTRADO"")"),"")</f>
        <v/>
      </c>
      <c r="BI229" s="16">
        <f t="shared" si="9"/>
        <v>0</v>
      </c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4"/>
      <c r="BW229" s="14"/>
      <c r="BX229" s="14"/>
      <c r="BY229" s="14"/>
      <c r="BZ229" s="14"/>
      <c r="CA229" s="14"/>
      <c r="CB229" s="14"/>
      <c r="CC229" s="14"/>
      <c r="CD229" s="14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</row>
    <row r="230">
      <c r="A230" s="189" t="s">
        <v>480</v>
      </c>
      <c r="B230" s="190" t="s">
        <v>18</v>
      </c>
      <c r="C230" s="190" t="s">
        <v>36</v>
      </c>
      <c r="D230" s="191" t="str">
        <f t="shared" si="1"/>
        <v>ANDEN-1-6</v>
      </c>
      <c r="E230" s="193">
        <v>45751.0</v>
      </c>
      <c r="F230" s="194" t="s">
        <v>98</v>
      </c>
      <c r="G230" s="195" t="s">
        <v>63</v>
      </c>
      <c r="H230" s="196" t="s">
        <v>64</v>
      </c>
      <c r="I230" s="197">
        <v>716.0</v>
      </c>
      <c r="J230" s="196" t="s">
        <v>22</v>
      </c>
      <c r="K230" s="27" t="str">
        <f t="shared" si="2"/>
        <v>OCUPADO</v>
      </c>
      <c r="L230" s="28">
        <f t="shared" si="10"/>
        <v>229</v>
      </c>
      <c r="M230" s="28" t="s">
        <v>23</v>
      </c>
      <c r="N230" s="70"/>
      <c r="O230" s="28" t="s">
        <v>24</v>
      </c>
      <c r="P230" s="331" t="s">
        <v>328</v>
      </c>
      <c r="Q230" s="332">
        <v>45751.0</v>
      </c>
      <c r="R230" s="333" t="s">
        <v>98</v>
      </c>
      <c r="S230" s="333" t="s">
        <v>63</v>
      </c>
      <c r="T230" s="28" t="s">
        <v>64</v>
      </c>
      <c r="U230" s="334">
        <v>716.0</v>
      </c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BB230" s="12"/>
      <c r="BC230" s="12"/>
      <c r="BD230" s="14"/>
      <c r="BE230" s="12"/>
      <c r="BF230" s="12"/>
      <c r="BG230" s="12" t="str">
        <f>IFERROR(__xludf.DUMMYFUNCTION("IFERROR(INDEX(QUERY(IMPORTRANGE(""1T7HG8KEs-Ob7f3M5atEVN9Yn7IeORGp0QGvggB62ELw"",""Maestro!A:I""),""SELECT Col8 WHERE Col3 = '""&amp;BD230&amp;""'"", 0), 1, 1),""NO ENCONTRADO"")"),"")</f>
        <v/>
      </c>
      <c r="BH230" s="12" t="str">
        <f>IFERROR(__xludf.DUMMYFUNCTION("IFERROR(INDEX(QUERY(IMPORTRANGE(""1T7HG8KEs-Ob7f3M5atEVN9Yn7IeORGp0QGvggB62ELw"",""Maestro!A:I""),""SELECT Col7 WHERE Col3 = '""&amp;BD230&amp;""'"", 0), 1, 1),""NO ENCONTRADO"")"),"")</f>
        <v/>
      </c>
      <c r="BI230" s="16">
        <f t="shared" si="9"/>
        <v>0</v>
      </c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4"/>
      <c r="BW230" s="14"/>
      <c r="BX230" s="14"/>
      <c r="BY230" s="14"/>
      <c r="BZ230" s="14"/>
      <c r="CA230" s="14"/>
      <c r="CB230" s="14"/>
      <c r="CC230" s="14"/>
      <c r="CD230" s="14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</row>
    <row r="231">
      <c r="A231" s="189" t="s">
        <v>480</v>
      </c>
      <c r="B231" s="190" t="s">
        <v>18</v>
      </c>
      <c r="C231" s="190" t="s">
        <v>48</v>
      </c>
      <c r="D231" s="191" t="str">
        <f t="shared" si="1"/>
        <v>ANDEN-1-7</v>
      </c>
      <c r="E231" s="193">
        <v>45751.0</v>
      </c>
      <c r="F231" s="194" t="s">
        <v>98</v>
      </c>
      <c r="G231" s="195" t="s">
        <v>63</v>
      </c>
      <c r="H231" s="196" t="s">
        <v>64</v>
      </c>
      <c r="I231" s="197">
        <v>716.0</v>
      </c>
      <c r="J231" s="196" t="s">
        <v>22</v>
      </c>
      <c r="K231" s="32" t="str">
        <f t="shared" si="2"/>
        <v>OCUPADO</v>
      </c>
      <c r="L231" s="33">
        <f t="shared" si="10"/>
        <v>230</v>
      </c>
      <c r="M231" s="33" t="s">
        <v>23</v>
      </c>
      <c r="N231" s="53"/>
      <c r="O231" s="33" t="s">
        <v>24</v>
      </c>
      <c r="P231" s="335" t="s">
        <v>333</v>
      </c>
      <c r="Q231" s="336">
        <v>45751.0</v>
      </c>
      <c r="R231" s="337" t="s">
        <v>98</v>
      </c>
      <c r="S231" s="337" t="s">
        <v>63</v>
      </c>
      <c r="T231" s="33" t="s">
        <v>64</v>
      </c>
      <c r="U231" s="338">
        <v>716.0</v>
      </c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BB231" s="12"/>
      <c r="BC231" s="12"/>
      <c r="BD231" s="14"/>
      <c r="BE231" s="12"/>
      <c r="BF231" s="12"/>
      <c r="BG231" s="12" t="str">
        <f>IFERROR(__xludf.DUMMYFUNCTION("IFERROR(INDEX(QUERY(IMPORTRANGE(""1T7HG8KEs-Ob7f3M5atEVN9Yn7IeORGp0QGvggB62ELw"",""Maestro!A:I""),""SELECT Col8 WHERE Col3 = '""&amp;BD231&amp;""'"", 0), 1, 1),""NO ENCONTRADO"")"),"")</f>
        <v/>
      </c>
      <c r="BH231" s="12" t="str">
        <f>IFERROR(__xludf.DUMMYFUNCTION("IFERROR(INDEX(QUERY(IMPORTRANGE(""1T7HG8KEs-Ob7f3M5atEVN9Yn7IeORGp0QGvggB62ELw"",""Maestro!A:I""),""SELECT Col7 WHERE Col3 = '""&amp;BD231&amp;""'"", 0), 1, 1),""NO ENCONTRADO"")"),"")</f>
        <v/>
      </c>
      <c r="BI231" s="16">
        <f t="shared" si="9"/>
        <v>0</v>
      </c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4"/>
      <c r="BW231" s="14"/>
      <c r="BX231" s="14"/>
      <c r="BY231" s="14"/>
      <c r="BZ231" s="14"/>
      <c r="CA231" s="14"/>
      <c r="CB231" s="14"/>
      <c r="CC231" s="14"/>
      <c r="CD231" s="14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</row>
    <row r="232">
      <c r="A232" s="189" t="s">
        <v>480</v>
      </c>
      <c r="B232" s="190" t="s">
        <v>18</v>
      </c>
      <c r="C232" s="190" t="s">
        <v>465</v>
      </c>
      <c r="D232" s="191" t="str">
        <f t="shared" si="1"/>
        <v>ANDEN-1-8</v>
      </c>
      <c r="E232" s="35">
        <v>45751.0</v>
      </c>
      <c r="F232" s="36" t="s">
        <v>358</v>
      </c>
      <c r="G232" s="23" t="s">
        <v>137</v>
      </c>
      <c r="H232" s="38" t="s">
        <v>138</v>
      </c>
      <c r="I232" s="39">
        <v>225.0</v>
      </c>
      <c r="J232" s="38" t="s">
        <v>22</v>
      </c>
      <c r="K232" s="27" t="str">
        <f t="shared" si="2"/>
        <v>OCUPADO</v>
      </c>
      <c r="L232" s="28">
        <f t="shared" si="10"/>
        <v>231</v>
      </c>
      <c r="M232" s="28" t="s">
        <v>23</v>
      </c>
      <c r="N232" s="70"/>
      <c r="O232" s="28" t="s">
        <v>24</v>
      </c>
      <c r="P232" s="331" t="s">
        <v>338</v>
      </c>
      <c r="Q232" s="332">
        <v>45751.0</v>
      </c>
      <c r="R232" s="333" t="s">
        <v>358</v>
      </c>
      <c r="S232" s="333" t="s">
        <v>137</v>
      </c>
      <c r="T232" s="28" t="s">
        <v>138</v>
      </c>
      <c r="U232" s="334">
        <v>225.0</v>
      </c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BB232" s="12"/>
      <c r="BC232" s="12"/>
      <c r="BD232" s="14"/>
      <c r="BE232" s="12"/>
      <c r="BF232" s="12"/>
      <c r="BG232" s="12" t="str">
        <f>IFERROR(__xludf.DUMMYFUNCTION("IFERROR(INDEX(QUERY(IMPORTRANGE(""1T7HG8KEs-Ob7f3M5atEVN9Yn7IeORGp0QGvggB62ELw"",""Maestro!A:I""),""SELECT Col8 WHERE Col3 = '""&amp;BD232&amp;""'"", 0), 1, 1),""NO ENCONTRADO"")"),"")</f>
        <v/>
      </c>
      <c r="BH232" s="12" t="str">
        <f>IFERROR(__xludf.DUMMYFUNCTION("IFERROR(INDEX(QUERY(IMPORTRANGE(""1T7HG8KEs-Ob7f3M5atEVN9Yn7IeORGp0QGvggB62ELw"",""Maestro!A:I""),""SELECT Col7 WHERE Col3 = '""&amp;BD232&amp;""'"", 0), 1, 1),""NO ENCONTRADO"")"),"")</f>
        <v/>
      </c>
      <c r="BI232" s="16">
        <f t="shared" si="9"/>
        <v>0</v>
      </c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4"/>
      <c r="BW232" s="14"/>
      <c r="BX232" s="14"/>
      <c r="BY232" s="14"/>
      <c r="BZ232" s="14"/>
      <c r="CA232" s="14"/>
      <c r="CB232" s="14"/>
      <c r="CC232" s="14"/>
      <c r="CD232" s="14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</row>
    <row r="233">
      <c r="A233" s="189" t="s">
        <v>480</v>
      </c>
      <c r="B233" s="190" t="s">
        <v>18</v>
      </c>
      <c r="C233" s="190" t="s">
        <v>511</v>
      </c>
      <c r="D233" s="191" t="str">
        <f t="shared" si="1"/>
        <v>ANDEN-1-9</v>
      </c>
      <c r="E233" s="317">
        <v>45751.0</v>
      </c>
      <c r="F233" s="318" t="s">
        <v>358</v>
      </c>
      <c r="G233" s="319" t="s">
        <v>137</v>
      </c>
      <c r="H233" s="320" t="s">
        <v>138</v>
      </c>
      <c r="I233" s="321">
        <v>225.0</v>
      </c>
      <c r="J233" s="320" t="s">
        <v>22</v>
      </c>
      <c r="K233" s="32" t="str">
        <f t="shared" si="2"/>
        <v>OCUPADO</v>
      </c>
      <c r="L233" s="33">
        <f t="shared" si="10"/>
        <v>232</v>
      </c>
      <c r="M233" s="33" t="s">
        <v>23</v>
      </c>
      <c r="N233" s="53"/>
      <c r="O233" s="33" t="s">
        <v>24</v>
      </c>
      <c r="P233" s="335" t="s">
        <v>512</v>
      </c>
      <c r="Q233" s="336">
        <v>45751.0</v>
      </c>
      <c r="R233" s="342" t="s">
        <v>358</v>
      </c>
      <c r="S233" s="337" t="s">
        <v>137</v>
      </c>
      <c r="T233" s="33" t="s">
        <v>138</v>
      </c>
      <c r="U233" s="338">
        <v>225.0</v>
      </c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BB233" s="12"/>
      <c r="BC233" s="12"/>
      <c r="BD233" s="14"/>
      <c r="BE233" s="12"/>
      <c r="BF233" s="12"/>
      <c r="BG233" s="12" t="str">
        <f>IFERROR(__xludf.DUMMYFUNCTION("IFERROR(INDEX(QUERY(IMPORTRANGE(""1T7HG8KEs-Ob7f3M5atEVN9Yn7IeORGp0QGvggB62ELw"",""Maestro!A:I""),""SELECT Col8 WHERE Col3 = '""&amp;BD233&amp;""'"", 0), 1, 1),""NO ENCONTRADO"")"),"")</f>
        <v/>
      </c>
      <c r="BH233" s="12" t="str">
        <f>IFERROR(__xludf.DUMMYFUNCTION("IFERROR(INDEX(QUERY(IMPORTRANGE(""1T7HG8KEs-Ob7f3M5atEVN9Yn7IeORGp0QGvggB62ELw"",""Maestro!A:I""),""SELECT Col7 WHERE Col3 = '""&amp;BD233&amp;""'"", 0), 1, 1),""NO ENCONTRADO"")"),"")</f>
        <v/>
      </c>
      <c r="BI233" s="16">
        <f t="shared" si="9"/>
        <v>0</v>
      </c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4"/>
      <c r="BW233" s="14"/>
      <c r="BX233" s="14"/>
      <c r="BY233" s="14"/>
      <c r="BZ233" s="14"/>
      <c r="CA233" s="14"/>
      <c r="CB233" s="14"/>
      <c r="CC233" s="14"/>
      <c r="CD233" s="14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</row>
    <row r="234">
      <c r="A234" s="189" t="s">
        <v>480</v>
      </c>
      <c r="B234" s="190" t="s">
        <v>18</v>
      </c>
      <c r="C234" s="190" t="s">
        <v>296</v>
      </c>
      <c r="D234" s="191" t="str">
        <f t="shared" si="1"/>
        <v>ANDEN-1-10</v>
      </c>
      <c r="E234" s="78">
        <v>45751.0</v>
      </c>
      <c r="F234" s="88" t="s">
        <v>121</v>
      </c>
      <c r="G234" s="80" t="s">
        <v>77</v>
      </c>
      <c r="H234" s="81" t="s">
        <v>78</v>
      </c>
      <c r="I234" s="82">
        <v>700.0</v>
      </c>
      <c r="J234" s="81" t="s">
        <v>22</v>
      </c>
      <c r="K234" s="27" t="str">
        <f t="shared" si="2"/>
        <v>OCUPADO</v>
      </c>
      <c r="L234" s="28">
        <f t="shared" si="10"/>
        <v>233</v>
      </c>
      <c r="M234" s="28" t="s">
        <v>23</v>
      </c>
      <c r="N234" s="70"/>
      <c r="O234" s="28" t="s">
        <v>24</v>
      </c>
      <c r="P234" s="331" t="s">
        <v>287</v>
      </c>
      <c r="Q234" s="332">
        <v>45751.0</v>
      </c>
      <c r="R234" s="333" t="s">
        <v>121</v>
      </c>
      <c r="S234" s="333" t="s">
        <v>77</v>
      </c>
      <c r="T234" s="28" t="s">
        <v>78</v>
      </c>
      <c r="U234" s="334">
        <v>700.0</v>
      </c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BB234" s="12"/>
      <c r="BC234" s="12"/>
      <c r="BD234" s="14"/>
      <c r="BE234" s="12"/>
      <c r="BF234" s="12"/>
      <c r="BG234" s="12" t="str">
        <f>IFERROR(__xludf.DUMMYFUNCTION("IFERROR(INDEX(QUERY(IMPORTRANGE(""1T7HG8KEs-Ob7f3M5atEVN9Yn7IeORGp0QGvggB62ELw"",""Maestro!A:I""),""SELECT Col8 WHERE Col3 = '""&amp;BD234&amp;""'"", 0), 1, 1),""NO ENCONTRADO"")"),"")</f>
        <v/>
      </c>
      <c r="BH234" s="12" t="str">
        <f>IFERROR(__xludf.DUMMYFUNCTION("IFERROR(INDEX(QUERY(IMPORTRANGE(""1T7HG8KEs-Ob7f3M5atEVN9Yn7IeORGp0QGvggB62ELw"",""Maestro!A:I""),""SELECT Col7 WHERE Col3 = '""&amp;BD234&amp;""'"", 0), 1, 1),""NO ENCONTRADO"")"),"")</f>
        <v/>
      </c>
      <c r="BI234" s="16">
        <f t="shared" si="9"/>
        <v>0</v>
      </c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4"/>
      <c r="BW234" s="14"/>
      <c r="BX234" s="14"/>
      <c r="BY234" s="14"/>
      <c r="BZ234" s="14"/>
      <c r="CA234" s="14"/>
      <c r="CB234" s="14"/>
      <c r="CC234" s="14"/>
      <c r="CD234" s="14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</row>
    <row r="235">
      <c r="A235" s="189" t="s">
        <v>480</v>
      </c>
      <c r="B235" s="190" t="s">
        <v>18</v>
      </c>
      <c r="C235" s="190" t="s">
        <v>316</v>
      </c>
      <c r="D235" s="203" t="str">
        <f t="shared" si="1"/>
        <v>ANDEN-1-11</v>
      </c>
      <c r="E235" s="204">
        <v>45733.0</v>
      </c>
      <c r="F235" s="36" t="s">
        <v>19</v>
      </c>
      <c r="G235" s="37" t="s">
        <v>114</v>
      </c>
      <c r="H235" s="38" t="s">
        <v>115</v>
      </c>
      <c r="I235" s="39">
        <v>510.0</v>
      </c>
      <c r="J235" s="205" t="s">
        <v>22</v>
      </c>
      <c r="K235" s="32" t="str">
        <f t="shared" si="2"/>
        <v>OCUPADO</v>
      </c>
      <c r="L235" s="33">
        <f t="shared" si="10"/>
        <v>234</v>
      </c>
      <c r="M235" s="33" t="s">
        <v>23</v>
      </c>
      <c r="N235" s="53"/>
      <c r="O235" s="33" t="s">
        <v>24</v>
      </c>
      <c r="P235" s="335" t="s">
        <v>293</v>
      </c>
      <c r="Q235" s="336">
        <v>45733.0</v>
      </c>
      <c r="R235" s="337" t="s">
        <v>19</v>
      </c>
      <c r="S235" s="337" t="s">
        <v>114</v>
      </c>
      <c r="T235" s="33" t="s">
        <v>115</v>
      </c>
      <c r="U235" s="338">
        <v>510.0</v>
      </c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BB235" s="12"/>
      <c r="BC235" s="12"/>
      <c r="BD235" s="14"/>
      <c r="BE235" s="12"/>
      <c r="BF235" s="12"/>
      <c r="BG235" s="12" t="str">
        <f>IFERROR(__xludf.DUMMYFUNCTION("IFERROR(INDEX(QUERY(IMPORTRANGE(""1T7HG8KEs-Ob7f3M5atEVN9Yn7IeORGp0QGvggB62ELw"",""Maestro!A:I""),""SELECT Col8 WHERE Col3 = '""&amp;BD235&amp;""'"", 0), 1, 1),""NO ENCONTRADO"")"),"")</f>
        <v/>
      </c>
      <c r="BH235" s="12" t="str">
        <f>IFERROR(__xludf.DUMMYFUNCTION("IFERROR(INDEX(QUERY(IMPORTRANGE(""1T7HG8KEs-Ob7f3M5atEVN9Yn7IeORGp0QGvggB62ELw"",""Maestro!A:I""),""SELECT Col7 WHERE Col3 = '""&amp;BD235&amp;""'"", 0), 1, 1),""NO ENCONTRADO"")"),"")</f>
        <v/>
      </c>
      <c r="BI235" s="16">
        <f t="shared" si="9"/>
        <v>0</v>
      </c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4"/>
      <c r="BW235" s="14"/>
      <c r="BX235" s="14"/>
      <c r="BY235" s="14"/>
      <c r="BZ235" s="14"/>
      <c r="CA235" s="14"/>
      <c r="CB235" s="14"/>
      <c r="CC235" s="14"/>
      <c r="CD235" s="14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</row>
    <row r="236">
      <c r="A236" s="189" t="s">
        <v>480</v>
      </c>
      <c r="B236" s="190" t="s">
        <v>18</v>
      </c>
      <c r="C236" s="190" t="s">
        <v>336</v>
      </c>
      <c r="D236" s="191" t="str">
        <f t="shared" si="1"/>
        <v>ANDEN-1-12</v>
      </c>
      <c r="E236" s="78">
        <v>45751.0</v>
      </c>
      <c r="F236" s="88" t="s">
        <v>121</v>
      </c>
      <c r="G236" s="80" t="s">
        <v>77</v>
      </c>
      <c r="H236" s="81" t="s">
        <v>78</v>
      </c>
      <c r="I236" s="82">
        <v>600.0</v>
      </c>
      <c r="J236" s="81" t="s">
        <v>22</v>
      </c>
      <c r="K236" s="27" t="str">
        <f t="shared" si="2"/>
        <v>OCUPADO</v>
      </c>
      <c r="L236" s="28">
        <f t="shared" si="10"/>
        <v>235</v>
      </c>
      <c r="M236" s="28" t="s">
        <v>23</v>
      </c>
      <c r="N236" s="28" t="s">
        <v>777</v>
      </c>
      <c r="O236" s="28" t="s">
        <v>24</v>
      </c>
      <c r="P236" s="331" t="s">
        <v>481</v>
      </c>
      <c r="Q236" s="332">
        <v>45751.0</v>
      </c>
      <c r="R236" s="333" t="s">
        <v>121</v>
      </c>
      <c r="S236" s="333" t="s">
        <v>77</v>
      </c>
      <c r="T236" s="28" t="s">
        <v>78</v>
      </c>
      <c r="U236" s="334">
        <v>600.0</v>
      </c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BB236" s="12"/>
      <c r="BC236" s="12"/>
      <c r="BD236" s="14"/>
      <c r="BE236" s="12"/>
      <c r="BF236" s="12"/>
      <c r="BG236" s="12" t="str">
        <f>IFERROR(__xludf.DUMMYFUNCTION("IFERROR(INDEX(QUERY(IMPORTRANGE(""1T7HG8KEs-Ob7f3M5atEVN9Yn7IeORGp0QGvggB62ELw"",""Maestro!A:I""),""SELECT Col8 WHERE Col3 = '""&amp;BD236&amp;""'"", 0), 1, 1),""NO ENCONTRADO"")"),"")</f>
        <v/>
      </c>
      <c r="BH236" s="12" t="str">
        <f>IFERROR(__xludf.DUMMYFUNCTION("IFERROR(INDEX(QUERY(IMPORTRANGE(""1T7HG8KEs-Ob7f3M5atEVN9Yn7IeORGp0QGvggB62ELw"",""Maestro!A:I""),""SELECT Col7 WHERE Col3 = '""&amp;BD236&amp;""'"", 0), 1, 1),""NO ENCONTRADO"")"),"")</f>
        <v/>
      </c>
      <c r="BI236" s="16">
        <f t="shared" si="9"/>
        <v>0</v>
      </c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4"/>
      <c r="BW236" s="14"/>
      <c r="BX236" s="14"/>
      <c r="BY236" s="14"/>
      <c r="BZ236" s="14"/>
      <c r="CA236" s="14"/>
      <c r="CB236" s="14"/>
      <c r="CC236" s="14"/>
      <c r="CD236" s="14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</row>
    <row r="237">
      <c r="A237" s="189" t="s">
        <v>480</v>
      </c>
      <c r="B237" s="190" t="s">
        <v>18</v>
      </c>
      <c r="C237" s="190" t="s">
        <v>350</v>
      </c>
      <c r="D237" s="191" t="str">
        <f t="shared" si="1"/>
        <v>ANDEN-1-13</v>
      </c>
      <c r="E237" s="78">
        <v>45751.0</v>
      </c>
      <c r="F237" s="88" t="s">
        <v>121</v>
      </c>
      <c r="G237" s="80" t="s">
        <v>77</v>
      </c>
      <c r="H237" s="81" t="s">
        <v>78</v>
      </c>
      <c r="I237" s="82">
        <v>996.0</v>
      </c>
      <c r="J237" s="81" t="s">
        <v>22</v>
      </c>
      <c r="K237" s="32" t="str">
        <f t="shared" si="2"/>
        <v>OCUPADO</v>
      </c>
      <c r="L237" s="33">
        <f t="shared" si="10"/>
        <v>236</v>
      </c>
      <c r="M237" s="33" t="s">
        <v>23</v>
      </c>
      <c r="N237" s="33" t="s">
        <v>777</v>
      </c>
      <c r="O237" s="33" t="s">
        <v>24</v>
      </c>
      <c r="P237" s="335" t="s">
        <v>486</v>
      </c>
      <c r="Q237" s="336">
        <v>45751.0</v>
      </c>
      <c r="R237" s="337" t="s">
        <v>121</v>
      </c>
      <c r="S237" s="337" t="s">
        <v>77</v>
      </c>
      <c r="T237" s="33" t="s">
        <v>78</v>
      </c>
      <c r="U237" s="338">
        <v>996.0</v>
      </c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BB237" s="12"/>
      <c r="BC237" s="12"/>
      <c r="BD237" s="14"/>
      <c r="BE237" s="12"/>
      <c r="BF237" s="12"/>
      <c r="BG237" s="12" t="str">
        <f>IFERROR(__xludf.DUMMYFUNCTION("IFERROR(INDEX(QUERY(IMPORTRANGE(""1T7HG8KEs-Ob7f3M5atEVN9Yn7IeORGp0QGvggB62ELw"",""Maestro!A:I""),""SELECT Col8 WHERE Col3 = '""&amp;BD237&amp;""'"", 0), 1, 1),""NO ENCONTRADO"")"),"")</f>
        <v/>
      </c>
      <c r="BH237" s="12" t="str">
        <f>IFERROR(__xludf.DUMMYFUNCTION("IFERROR(INDEX(QUERY(IMPORTRANGE(""1T7HG8KEs-Ob7f3M5atEVN9Yn7IeORGp0QGvggB62ELw"",""Maestro!A:I""),""SELECT Col7 WHERE Col3 = '""&amp;BD237&amp;""'"", 0), 1, 1),""NO ENCONTRADO"")"),"")</f>
        <v/>
      </c>
      <c r="BI237" s="16">
        <f t="shared" si="9"/>
        <v>0</v>
      </c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4"/>
      <c r="BW237" s="14"/>
      <c r="BX237" s="14"/>
      <c r="BY237" s="14"/>
      <c r="BZ237" s="14"/>
      <c r="CA237" s="14"/>
      <c r="CB237" s="14"/>
      <c r="CC237" s="14"/>
      <c r="CD237" s="14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</row>
    <row r="238">
      <c r="A238" s="189" t="s">
        <v>480</v>
      </c>
      <c r="B238" s="190" t="s">
        <v>18</v>
      </c>
      <c r="C238" s="190" t="s">
        <v>362</v>
      </c>
      <c r="D238" s="191" t="str">
        <f t="shared" si="1"/>
        <v>ANDEN-1-14</v>
      </c>
      <c r="E238" s="78">
        <v>45751.0</v>
      </c>
      <c r="F238" s="88" t="s">
        <v>121</v>
      </c>
      <c r="G238" s="80" t="s">
        <v>77</v>
      </c>
      <c r="H238" s="81" t="s">
        <v>78</v>
      </c>
      <c r="I238" s="82">
        <v>790.0</v>
      </c>
      <c r="J238" s="81" t="s">
        <v>22</v>
      </c>
      <c r="K238" s="27" t="str">
        <f t="shared" si="2"/>
        <v>OCUPADO</v>
      </c>
      <c r="L238" s="28">
        <f t="shared" si="10"/>
        <v>237</v>
      </c>
      <c r="M238" s="28" t="s">
        <v>23</v>
      </c>
      <c r="N238" s="28" t="s">
        <v>777</v>
      </c>
      <c r="O238" s="28" t="s">
        <v>24</v>
      </c>
      <c r="P238" s="331" t="s">
        <v>299</v>
      </c>
      <c r="Q238" s="332">
        <v>45751.0</v>
      </c>
      <c r="R238" s="333" t="s">
        <v>121</v>
      </c>
      <c r="S238" s="333" t="s">
        <v>77</v>
      </c>
      <c r="T238" s="28" t="s">
        <v>78</v>
      </c>
      <c r="U238" s="334">
        <v>790.0</v>
      </c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BB238" s="12"/>
      <c r="BC238" s="12"/>
      <c r="BD238" s="14"/>
      <c r="BE238" s="12"/>
      <c r="BF238" s="12"/>
      <c r="BG238" s="12" t="str">
        <f>IFERROR(__xludf.DUMMYFUNCTION("IFERROR(INDEX(QUERY(IMPORTRANGE(""1T7HG8KEs-Ob7f3M5atEVN9Yn7IeORGp0QGvggB62ELw"",""Maestro!A:I""),""SELECT Col8 WHERE Col3 = '""&amp;BD238&amp;""'"", 0), 1, 1),""NO ENCONTRADO"")"),"")</f>
        <v/>
      </c>
      <c r="BH238" s="12" t="str">
        <f>IFERROR(__xludf.DUMMYFUNCTION("IFERROR(INDEX(QUERY(IMPORTRANGE(""1T7HG8KEs-Ob7f3M5atEVN9Yn7IeORGp0QGvggB62ELw"",""Maestro!A:I""),""SELECT Col7 WHERE Col3 = '""&amp;BD238&amp;""'"", 0), 1, 1),""NO ENCONTRADO"")"),"")</f>
        <v/>
      </c>
      <c r="BI238" s="16">
        <f t="shared" si="9"/>
        <v>0</v>
      </c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4"/>
      <c r="BW238" s="14"/>
      <c r="BX238" s="14"/>
      <c r="BY238" s="14"/>
      <c r="BZ238" s="14"/>
      <c r="CA238" s="14"/>
      <c r="CB238" s="14"/>
      <c r="CC238" s="14"/>
      <c r="CD238" s="14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</row>
    <row r="239">
      <c r="A239" s="189" t="s">
        <v>480</v>
      </c>
      <c r="B239" s="190" t="s">
        <v>18</v>
      </c>
      <c r="C239" s="190" t="s">
        <v>372</v>
      </c>
      <c r="D239" s="191" t="str">
        <f t="shared" si="1"/>
        <v>ANDEN-1-15</v>
      </c>
      <c r="E239" s="78">
        <v>45751.0</v>
      </c>
      <c r="F239" s="88" t="s">
        <v>121</v>
      </c>
      <c r="G239" s="80" t="s">
        <v>77</v>
      </c>
      <c r="H239" s="81" t="s">
        <v>78</v>
      </c>
      <c r="I239" s="82">
        <v>600.0</v>
      </c>
      <c r="J239" s="81" t="s">
        <v>22</v>
      </c>
      <c r="K239" s="32" t="str">
        <f t="shared" si="2"/>
        <v>OCUPADO</v>
      </c>
      <c r="L239" s="33">
        <f t="shared" si="10"/>
        <v>238</v>
      </c>
      <c r="M239" s="33" t="s">
        <v>23</v>
      </c>
      <c r="N239" s="33" t="s">
        <v>777</v>
      </c>
      <c r="O239" s="33" t="s">
        <v>24</v>
      </c>
      <c r="P239" s="335" t="s">
        <v>490</v>
      </c>
      <c r="Q239" s="336">
        <v>45751.0</v>
      </c>
      <c r="R239" s="337" t="s">
        <v>121</v>
      </c>
      <c r="S239" s="337" t="s">
        <v>77</v>
      </c>
      <c r="T239" s="33" t="s">
        <v>78</v>
      </c>
      <c r="U239" s="338">
        <v>600.0</v>
      </c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4"/>
      <c r="BE239" s="12"/>
      <c r="BF239" s="12"/>
      <c r="BG239" s="12" t="str">
        <f>IFERROR(__xludf.DUMMYFUNCTION("IFERROR(INDEX(QUERY(IMPORTRANGE(""1T7HG8KEs-Ob7f3M5atEVN9Yn7IeORGp0QGvggB62ELw"",""Maestro!A:I""),""SELECT Col8 WHERE Col3 = '""&amp;BD239&amp;""'"", 0), 1, 1),""NO ENCONTRADO"")"),"")</f>
        <v/>
      </c>
      <c r="BH239" s="12" t="str">
        <f>IFERROR(__xludf.DUMMYFUNCTION("IFERROR(INDEX(QUERY(IMPORTRANGE(""1T7HG8KEs-Ob7f3M5atEVN9Yn7IeORGp0QGvggB62ELw"",""Maestro!A:I""),""SELECT Col7 WHERE Col3 = '""&amp;BD239&amp;""'"", 0), 1, 1),""NO ENCONTRADO"")"),"")</f>
        <v/>
      </c>
      <c r="BI239" s="16">
        <f t="shared" si="9"/>
        <v>0</v>
      </c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4"/>
      <c r="BW239" s="14"/>
      <c r="BX239" s="14"/>
      <c r="BY239" s="14"/>
      <c r="BZ239" s="14"/>
      <c r="CA239" s="14"/>
      <c r="CB239" s="14"/>
      <c r="CC239" s="14"/>
      <c r="CD239" s="14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</row>
    <row r="240">
      <c r="A240" s="189" t="s">
        <v>480</v>
      </c>
      <c r="B240" s="190" t="s">
        <v>18</v>
      </c>
      <c r="C240" s="190" t="s">
        <v>382</v>
      </c>
      <c r="D240" s="191" t="str">
        <f t="shared" si="1"/>
        <v>ANDEN-1-16</v>
      </c>
      <c r="E240" s="78">
        <v>45751.0</v>
      </c>
      <c r="F240" s="88" t="s">
        <v>121</v>
      </c>
      <c r="G240" s="80" t="s">
        <v>77</v>
      </c>
      <c r="H240" s="81" t="s">
        <v>78</v>
      </c>
      <c r="I240" s="82">
        <v>600.0</v>
      </c>
      <c r="J240" s="81" t="s">
        <v>22</v>
      </c>
      <c r="K240" s="27" t="str">
        <f t="shared" si="2"/>
        <v>OCUPADO</v>
      </c>
      <c r="L240" s="28">
        <f t="shared" si="10"/>
        <v>239</v>
      </c>
      <c r="M240" s="28" t="s">
        <v>23</v>
      </c>
      <c r="N240" s="28" t="s">
        <v>777</v>
      </c>
      <c r="O240" s="28" t="s">
        <v>24</v>
      </c>
      <c r="P240" s="331" t="s">
        <v>304</v>
      </c>
      <c r="Q240" s="332">
        <v>45751.0</v>
      </c>
      <c r="R240" s="333" t="s">
        <v>121</v>
      </c>
      <c r="S240" s="333" t="s">
        <v>77</v>
      </c>
      <c r="T240" s="28" t="s">
        <v>78</v>
      </c>
      <c r="U240" s="334">
        <v>600.0</v>
      </c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4"/>
      <c r="BE240" s="12"/>
      <c r="BF240" s="12"/>
      <c r="BG240" s="12" t="str">
        <f>IFERROR(__xludf.DUMMYFUNCTION("IFERROR(INDEX(QUERY(IMPORTRANGE(""1T7HG8KEs-Ob7f3M5atEVN9Yn7IeORGp0QGvggB62ELw"",""Maestro!A:I""),""SELECT Col8 WHERE Col3 = '""&amp;BD240&amp;""'"", 0), 1, 1),""NO ENCONTRADO"")"),"")</f>
        <v/>
      </c>
      <c r="BH240" s="12" t="str">
        <f>IFERROR(__xludf.DUMMYFUNCTION("IFERROR(INDEX(QUERY(IMPORTRANGE(""1T7HG8KEs-Ob7f3M5atEVN9Yn7IeORGp0QGvggB62ELw"",""Maestro!A:I""),""SELECT Col7 WHERE Col3 = '""&amp;BD240&amp;""'"", 0), 1, 1),""NO ENCONTRADO"")"),"")</f>
        <v/>
      </c>
      <c r="BI240" s="16">
        <f t="shared" si="9"/>
        <v>0</v>
      </c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4"/>
      <c r="BW240" s="14"/>
      <c r="BX240" s="14"/>
      <c r="BY240" s="14"/>
      <c r="BZ240" s="14"/>
      <c r="CA240" s="14"/>
      <c r="CB240" s="14"/>
      <c r="CC240" s="14"/>
      <c r="CD240" s="14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</row>
    <row r="241">
      <c r="A241" s="189" t="s">
        <v>480</v>
      </c>
      <c r="B241" s="190" t="s">
        <v>18</v>
      </c>
      <c r="C241" s="190" t="s">
        <v>396</v>
      </c>
      <c r="D241" s="191" t="str">
        <f t="shared" si="1"/>
        <v>ANDEN-1-17</v>
      </c>
      <c r="E241" s="78">
        <v>45751.0</v>
      </c>
      <c r="F241" s="88" t="s">
        <v>121</v>
      </c>
      <c r="G241" s="80" t="s">
        <v>77</v>
      </c>
      <c r="H241" s="81" t="s">
        <v>78</v>
      </c>
      <c r="I241" s="82">
        <v>600.0</v>
      </c>
      <c r="J241" s="81" t="s">
        <v>22</v>
      </c>
      <c r="K241" s="32" t="str">
        <f t="shared" si="2"/>
        <v>OCUPADO</v>
      </c>
      <c r="L241" s="33">
        <f t="shared" si="10"/>
        <v>240</v>
      </c>
      <c r="M241" s="33" t="s">
        <v>23</v>
      </c>
      <c r="N241" s="33"/>
      <c r="O241" s="33" t="s">
        <v>24</v>
      </c>
      <c r="P241" s="335" t="s">
        <v>494</v>
      </c>
      <c r="Q241" s="336">
        <v>45751.0</v>
      </c>
      <c r="R241" s="337" t="s">
        <v>121</v>
      </c>
      <c r="S241" s="337" t="s">
        <v>77</v>
      </c>
      <c r="T241" s="33" t="s">
        <v>78</v>
      </c>
      <c r="U241" s="338">
        <v>600.0</v>
      </c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4"/>
      <c r="BE241" s="12"/>
      <c r="BF241" s="12"/>
      <c r="BG241" s="12" t="str">
        <f>IFERROR(__xludf.DUMMYFUNCTION("IFERROR(INDEX(QUERY(IMPORTRANGE(""1T7HG8KEs-Ob7f3M5atEVN9Yn7IeORGp0QGvggB62ELw"",""Maestro!A:I""),""SELECT Col8 WHERE Col3 = '""&amp;BD241&amp;""'"", 0), 1, 1),""NO ENCONTRADO"")"),"")</f>
        <v/>
      </c>
      <c r="BH241" s="12" t="str">
        <f>IFERROR(__xludf.DUMMYFUNCTION("IFERROR(INDEX(QUERY(IMPORTRANGE(""1T7HG8KEs-Ob7f3M5atEVN9Yn7IeORGp0QGvggB62ELw"",""Maestro!A:I""),""SELECT Col7 WHERE Col3 = '""&amp;BD241&amp;""'"", 0), 1, 1),""NO ENCONTRADO"")"),"")</f>
        <v/>
      </c>
      <c r="BI241" s="16">
        <f t="shared" si="9"/>
        <v>0</v>
      </c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4"/>
      <c r="BW241" s="14"/>
      <c r="BX241" s="14"/>
      <c r="BY241" s="14"/>
      <c r="BZ241" s="14"/>
      <c r="CA241" s="14"/>
      <c r="CB241" s="14"/>
      <c r="CC241" s="14"/>
      <c r="CD241" s="14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</row>
    <row r="242">
      <c r="A242" s="189" t="s">
        <v>480</v>
      </c>
      <c r="B242" s="190" t="s">
        <v>18</v>
      </c>
      <c r="C242" s="190" t="s">
        <v>411</v>
      </c>
      <c r="D242" s="191" t="str">
        <f t="shared" si="1"/>
        <v>ANDEN-1-18</v>
      </c>
      <c r="E242" s="146"/>
      <c r="F242" s="147"/>
      <c r="G242" s="148"/>
      <c r="H242" s="148"/>
      <c r="I242" s="149"/>
      <c r="J242" s="148"/>
      <c r="K242" s="27" t="str">
        <f t="shared" si="2"/>
        <v>DISPONIBLE</v>
      </c>
      <c r="L242" s="28">
        <f t="shared" si="10"/>
        <v>241</v>
      </c>
      <c r="M242" s="28" t="s">
        <v>23</v>
      </c>
      <c r="N242" s="28"/>
      <c r="O242" s="28"/>
      <c r="P242" s="331" t="s">
        <v>498</v>
      </c>
      <c r="Q242" s="70"/>
      <c r="R242" s="70"/>
      <c r="S242" s="70"/>
      <c r="T242" s="70"/>
      <c r="U242" s="140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4"/>
      <c r="BE242" s="12"/>
      <c r="BF242" s="12"/>
      <c r="BG242" s="12" t="str">
        <f>IFERROR(__xludf.DUMMYFUNCTION("IFERROR(INDEX(QUERY(IMPORTRANGE(""1T7HG8KEs-Ob7f3M5atEVN9Yn7IeORGp0QGvggB62ELw"",""Maestro!A:I""),""SELECT Col8 WHERE Col3 = '""&amp;BD242&amp;""'"", 0), 1, 1),""NO ENCONTRADO"")"),"")</f>
        <v/>
      </c>
      <c r="BH242" s="12" t="str">
        <f>IFERROR(__xludf.DUMMYFUNCTION("IFERROR(INDEX(QUERY(IMPORTRANGE(""1T7HG8KEs-Ob7f3M5atEVN9Yn7IeORGp0QGvggB62ELw"",""Maestro!A:I""),""SELECT Col7 WHERE Col3 = '""&amp;BD242&amp;""'"", 0), 1, 1),""NO ENCONTRADO"")"),"")</f>
        <v/>
      </c>
      <c r="BI242" s="16">
        <f t="shared" si="9"/>
        <v>0</v>
      </c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4"/>
      <c r="BW242" s="14"/>
      <c r="BX242" s="14"/>
      <c r="BY242" s="14"/>
      <c r="BZ242" s="14"/>
      <c r="CA242" s="14"/>
      <c r="CB242" s="14"/>
      <c r="CC242" s="14"/>
      <c r="CD242" s="14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</row>
    <row r="243">
      <c r="A243" s="189" t="s">
        <v>480</v>
      </c>
      <c r="B243" s="190" t="s">
        <v>18</v>
      </c>
      <c r="C243" s="190" t="s">
        <v>425</v>
      </c>
      <c r="D243" s="191" t="str">
        <f t="shared" si="1"/>
        <v>ANDEN-1-19</v>
      </c>
      <c r="E243" s="146"/>
      <c r="F243" s="147"/>
      <c r="G243" s="148"/>
      <c r="H243" s="148"/>
      <c r="I243" s="149"/>
      <c r="J243" s="148"/>
      <c r="K243" s="32" t="str">
        <f t="shared" si="2"/>
        <v>DISPONIBLE</v>
      </c>
      <c r="L243" s="33">
        <f t="shared" si="10"/>
        <v>242</v>
      </c>
      <c r="M243" s="33" t="s">
        <v>23</v>
      </c>
      <c r="N243" s="53"/>
      <c r="O243" s="33"/>
      <c r="P243" s="335" t="s">
        <v>502</v>
      </c>
      <c r="Q243" s="53"/>
      <c r="R243" s="53"/>
      <c r="S243" s="53"/>
      <c r="T243" s="53"/>
      <c r="U243" s="129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4"/>
      <c r="BE243" s="12"/>
      <c r="BF243" s="12"/>
      <c r="BG243" s="12" t="str">
        <f>IFERROR(__xludf.DUMMYFUNCTION("IFERROR(INDEX(QUERY(IMPORTRANGE(""1T7HG8KEs-Ob7f3M5atEVN9Yn7IeORGp0QGvggB62ELw"",""Maestro!A:I""),""SELECT Col8 WHERE Col3 = '""&amp;BD243&amp;""'"", 0), 1, 1),""NO ENCONTRADO"")"),"")</f>
        <v/>
      </c>
      <c r="BH243" s="12" t="str">
        <f>IFERROR(__xludf.DUMMYFUNCTION("IFERROR(INDEX(QUERY(IMPORTRANGE(""1T7HG8KEs-Ob7f3M5atEVN9Yn7IeORGp0QGvggB62ELw"",""Maestro!A:I""),""SELECT Col7 WHERE Col3 = '""&amp;BD243&amp;""'"", 0), 1, 1),""NO ENCONTRADO"")"),"")</f>
        <v/>
      </c>
      <c r="BI243" s="16">
        <f t="shared" si="9"/>
        <v>0</v>
      </c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4"/>
      <c r="BW243" s="14"/>
      <c r="BX243" s="14"/>
      <c r="BY243" s="14"/>
      <c r="BZ243" s="14"/>
      <c r="CA243" s="14"/>
      <c r="CB243" s="14"/>
      <c r="CC243" s="14"/>
      <c r="CD243" s="14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</row>
    <row r="244">
      <c r="A244" s="189" t="s">
        <v>480</v>
      </c>
      <c r="B244" s="190" t="s">
        <v>18</v>
      </c>
      <c r="C244" s="190" t="s">
        <v>451</v>
      </c>
      <c r="D244" s="191" t="str">
        <f t="shared" si="1"/>
        <v>ANDEN-1-20</v>
      </c>
      <c r="E244" s="146"/>
      <c r="F244" s="147"/>
      <c r="G244" s="148"/>
      <c r="H244" s="148"/>
      <c r="I244" s="149"/>
      <c r="J244" s="148"/>
      <c r="K244" s="27" t="str">
        <f t="shared" si="2"/>
        <v>DISPONIBLE</v>
      </c>
      <c r="L244" s="28">
        <f t="shared" si="10"/>
        <v>243</v>
      </c>
      <c r="M244" s="28" t="s">
        <v>23</v>
      </c>
      <c r="N244" s="28"/>
      <c r="O244" s="28"/>
      <c r="P244" s="331" t="s">
        <v>505</v>
      </c>
      <c r="Q244" s="70"/>
      <c r="R244" s="70"/>
      <c r="S244" s="70"/>
      <c r="T244" s="70"/>
      <c r="U244" s="140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4"/>
      <c r="BE244" s="12"/>
      <c r="BF244" s="12"/>
      <c r="BG244" s="12" t="str">
        <f>IFERROR(__xludf.DUMMYFUNCTION("IFERROR(INDEX(QUERY(IMPORTRANGE(""1T7HG8KEs-Ob7f3M5atEVN9Yn7IeORGp0QGvggB62ELw"",""Maestro!A:I""),""SELECT Col8 WHERE Col3 = '""&amp;BD244&amp;""'"", 0), 1, 1),""NO ENCONTRADO"")"),"")</f>
        <v/>
      </c>
      <c r="BH244" s="12" t="str">
        <f>IFERROR(__xludf.DUMMYFUNCTION("IFERROR(INDEX(QUERY(IMPORTRANGE(""1T7HG8KEs-Ob7f3M5atEVN9Yn7IeORGp0QGvggB62ELw"",""Maestro!A:I""),""SELECT Col7 WHERE Col3 = '""&amp;BD244&amp;""'"", 0), 1, 1),""NO ENCONTRADO"")"),"")</f>
        <v/>
      </c>
      <c r="BI244" s="16">
        <f t="shared" si="9"/>
        <v>0</v>
      </c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4"/>
      <c r="BW244" s="14"/>
      <c r="BX244" s="14"/>
      <c r="BY244" s="14"/>
      <c r="BZ244" s="14"/>
      <c r="CA244" s="14"/>
      <c r="CB244" s="14"/>
      <c r="CC244" s="14"/>
      <c r="CD244" s="14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</row>
    <row r="245">
      <c r="A245" s="210" t="s">
        <v>480</v>
      </c>
      <c r="B245" s="211" t="s">
        <v>18</v>
      </c>
      <c r="C245" s="211" t="s">
        <v>467</v>
      </c>
      <c r="D245" s="212" t="str">
        <f t="shared" si="1"/>
        <v>ANDEN-1-21</v>
      </c>
      <c r="E245" s="213"/>
      <c r="F245" s="214"/>
      <c r="G245" s="215"/>
      <c r="H245" s="215"/>
      <c r="I245" s="216"/>
      <c r="J245" s="215"/>
      <c r="K245" s="154" t="str">
        <f t="shared" si="2"/>
        <v>DISPONIBLE</v>
      </c>
      <c r="L245" s="155">
        <f t="shared" si="10"/>
        <v>244</v>
      </c>
      <c r="M245" s="155" t="s">
        <v>23</v>
      </c>
      <c r="N245" s="156"/>
      <c r="O245" s="155"/>
      <c r="P245" s="335" t="s">
        <v>508</v>
      </c>
      <c r="Q245" s="53"/>
      <c r="R245" s="53"/>
      <c r="S245" s="53"/>
      <c r="T245" s="53"/>
      <c r="U245" s="129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4"/>
      <c r="BE245" s="12"/>
      <c r="BF245" s="12"/>
      <c r="BG245" s="12" t="str">
        <f>IFERROR(__xludf.DUMMYFUNCTION("IFERROR(INDEX(QUERY(IMPORTRANGE(""1T7HG8KEs-Ob7f3M5atEVN9Yn7IeORGp0QGvggB62ELw"",""Maestro!A:I""),""SELECT Col8 WHERE Col3 = '""&amp;BD245&amp;""'"", 0), 1, 1),""NO ENCONTRADO"")"),"")</f>
        <v/>
      </c>
      <c r="BH245" s="12" t="str">
        <f>IFERROR(__xludf.DUMMYFUNCTION("IFERROR(INDEX(QUERY(IMPORTRANGE(""1T7HG8KEs-Ob7f3M5atEVN9Yn7IeORGp0QGvggB62ELw"",""Maestro!A:I""),""SELECT Col7 WHERE Col3 = '""&amp;BD245&amp;""'"", 0), 1, 1),""NO ENCONTRADO"")"),"")</f>
        <v/>
      </c>
      <c r="BI245" s="16">
        <f t="shared" si="9"/>
        <v>0</v>
      </c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4"/>
      <c r="BW245" s="14"/>
      <c r="BX245" s="14"/>
      <c r="BY245" s="14"/>
      <c r="BZ245" s="14"/>
      <c r="CA245" s="14"/>
      <c r="CB245" s="14"/>
      <c r="CC245" s="14"/>
      <c r="CD245" s="14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</row>
    <row r="246">
      <c r="A246" s="217" t="s">
        <v>516</v>
      </c>
      <c r="B246" s="218" t="s">
        <v>18</v>
      </c>
      <c r="C246" s="218" t="s">
        <v>18</v>
      </c>
      <c r="D246" s="219" t="str">
        <f t="shared" si="1"/>
        <v>CASINO-1-1</v>
      </c>
      <c r="E246" s="83"/>
      <c r="F246" s="150"/>
      <c r="G246" s="85"/>
      <c r="H246" s="49"/>
      <c r="I246" s="86"/>
      <c r="J246" s="49"/>
      <c r="K246" s="27" t="str">
        <f t="shared" si="2"/>
        <v>DISPONIBLE</v>
      </c>
      <c r="L246" s="28">
        <f t="shared" si="10"/>
        <v>245</v>
      </c>
      <c r="M246" s="28" t="s">
        <v>23</v>
      </c>
      <c r="N246" s="70"/>
      <c r="O246" s="28"/>
      <c r="P246" s="331" t="s">
        <v>341</v>
      </c>
      <c r="Q246" s="332"/>
      <c r="R246" s="343"/>
      <c r="S246" s="333"/>
      <c r="T246" s="28"/>
      <c r="U246" s="334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4"/>
      <c r="BE246" s="12"/>
      <c r="BF246" s="12"/>
      <c r="BG246" s="12" t="str">
        <f>IFERROR(__xludf.DUMMYFUNCTION("IFERROR(INDEX(QUERY(IMPORTRANGE(""1T7HG8KEs-Ob7f3M5atEVN9Yn7IeORGp0QGvggB62ELw"",""Maestro!A:I""),""SELECT Col8 WHERE Col3 = '""&amp;BD246&amp;""'"", 0), 1, 1),""NO ENCONTRADO"")"),"")</f>
        <v/>
      </c>
      <c r="BH246" s="12" t="str">
        <f>IFERROR(__xludf.DUMMYFUNCTION("IFERROR(INDEX(QUERY(IMPORTRANGE(""1T7HG8KEs-Ob7f3M5atEVN9Yn7IeORGp0QGvggB62ELw"",""Maestro!A:I""),""SELECT Col7 WHERE Col3 = '""&amp;BD246&amp;""'"", 0), 1, 1),""NO ENCONTRADO"")"),"")</f>
        <v/>
      </c>
      <c r="BI246" s="16">
        <f t="shared" si="9"/>
        <v>0</v>
      </c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4"/>
      <c r="BW246" s="14"/>
      <c r="BX246" s="14"/>
      <c r="BY246" s="14"/>
      <c r="BZ246" s="14"/>
      <c r="CA246" s="14"/>
      <c r="CB246" s="14"/>
      <c r="CC246" s="14"/>
      <c r="CD246" s="14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</row>
    <row r="247">
      <c r="A247" s="217" t="s">
        <v>516</v>
      </c>
      <c r="B247" s="218" t="s">
        <v>18</v>
      </c>
      <c r="C247" s="218" t="s">
        <v>32</v>
      </c>
      <c r="D247" s="219" t="str">
        <f t="shared" si="1"/>
        <v>CASINO-1-2</v>
      </c>
      <c r="E247" s="83"/>
      <c r="F247" s="150"/>
      <c r="G247" s="85"/>
      <c r="H247" s="49"/>
      <c r="I247" s="86"/>
      <c r="J247" s="49"/>
      <c r="K247" s="32" t="str">
        <f t="shared" si="2"/>
        <v>DISPONIBLE</v>
      </c>
      <c r="L247" s="33">
        <f t="shared" si="10"/>
        <v>246</v>
      </c>
      <c r="M247" s="33" t="s">
        <v>23</v>
      </c>
      <c r="N247" s="53"/>
      <c r="O247" s="33"/>
      <c r="P247" s="335" t="s">
        <v>524</v>
      </c>
      <c r="Q247" s="336"/>
      <c r="R247" s="342"/>
      <c r="S247" s="337"/>
      <c r="T247" s="33"/>
      <c r="U247" s="338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4"/>
      <c r="BE247" s="12"/>
      <c r="BF247" s="12"/>
      <c r="BG247" s="12" t="str">
        <f>IFERROR(__xludf.DUMMYFUNCTION("IFERROR(INDEX(QUERY(IMPORTRANGE(""1T7HG8KEs-Ob7f3M5atEVN9Yn7IeORGp0QGvggB62ELw"",""Maestro!A:I""),""SELECT Col8 WHERE Col3 = '""&amp;BD247&amp;""'"", 0), 1, 1),""NO ENCONTRADO"")"),"")</f>
        <v/>
      </c>
      <c r="BH247" s="12" t="str">
        <f>IFERROR(__xludf.DUMMYFUNCTION("IFERROR(INDEX(QUERY(IMPORTRANGE(""1T7HG8KEs-Ob7f3M5atEVN9Yn7IeORGp0QGvggB62ELw"",""Maestro!A:I""),""SELECT Col7 WHERE Col3 = '""&amp;BD247&amp;""'"", 0), 1, 1),""NO ENCONTRADO"")"),"")</f>
        <v/>
      </c>
      <c r="BI247" s="16">
        <f t="shared" si="9"/>
        <v>0</v>
      </c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4"/>
      <c r="BW247" s="14"/>
      <c r="BX247" s="14"/>
      <c r="BY247" s="14"/>
      <c r="BZ247" s="14"/>
      <c r="CA247" s="14"/>
      <c r="CB247" s="14"/>
      <c r="CC247" s="14"/>
      <c r="CD247" s="14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</row>
    <row r="248">
      <c r="A248" s="217" t="s">
        <v>516</v>
      </c>
      <c r="B248" s="218" t="s">
        <v>18</v>
      </c>
      <c r="C248" s="218" t="s">
        <v>44</v>
      </c>
      <c r="D248" s="219" t="str">
        <f t="shared" si="1"/>
        <v>CASINO-1-3</v>
      </c>
      <c r="E248" s="83"/>
      <c r="F248" s="150"/>
      <c r="G248" s="85"/>
      <c r="H248" s="49"/>
      <c r="I248" s="86"/>
      <c r="J248" s="49"/>
      <c r="K248" s="27" t="str">
        <f t="shared" si="2"/>
        <v>DISPONIBLE</v>
      </c>
      <c r="L248" s="28">
        <f t="shared" si="10"/>
        <v>247</v>
      </c>
      <c r="M248" s="28" t="s">
        <v>23</v>
      </c>
      <c r="N248" s="70"/>
      <c r="O248" s="28"/>
      <c r="P248" s="331" t="s">
        <v>527</v>
      </c>
      <c r="Q248" s="332"/>
      <c r="R248" s="343"/>
      <c r="S248" s="333"/>
      <c r="T248" s="28"/>
      <c r="U248" s="334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4"/>
      <c r="BE248" s="12"/>
      <c r="BF248" s="12"/>
      <c r="BG248" s="12" t="str">
        <f>IFERROR(__xludf.DUMMYFUNCTION("IFERROR(INDEX(QUERY(IMPORTRANGE(""1T7HG8KEs-Ob7f3M5atEVN9Yn7IeORGp0QGvggB62ELw"",""Maestro!A:I""),""SELECT Col8 WHERE Col3 = '""&amp;BD248&amp;""'"", 0), 1, 1),""NO ENCONTRADO"")"),"")</f>
        <v/>
      </c>
      <c r="BH248" s="12" t="str">
        <f>IFERROR(__xludf.DUMMYFUNCTION("IFERROR(INDEX(QUERY(IMPORTRANGE(""1T7HG8KEs-Ob7f3M5atEVN9Yn7IeORGp0QGvggB62ELw"",""Maestro!A:I""),""SELECT Col7 WHERE Col3 = '""&amp;BD248&amp;""'"", 0), 1, 1),""NO ENCONTRADO"")"),"")</f>
        <v/>
      </c>
      <c r="BI248" s="16">
        <f t="shared" si="9"/>
        <v>0</v>
      </c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4"/>
      <c r="BW248" s="14"/>
      <c r="BX248" s="14"/>
      <c r="BY248" s="14"/>
      <c r="BZ248" s="14"/>
      <c r="CA248" s="14"/>
      <c r="CB248" s="14"/>
      <c r="CC248" s="14"/>
      <c r="CD248" s="14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</row>
    <row r="249">
      <c r="A249" s="217" t="s">
        <v>516</v>
      </c>
      <c r="B249" s="218" t="s">
        <v>18</v>
      </c>
      <c r="C249" s="218" t="s">
        <v>53</v>
      </c>
      <c r="D249" s="219" t="str">
        <f t="shared" si="1"/>
        <v>CASINO-1-4</v>
      </c>
      <c r="E249" s="83"/>
      <c r="F249" s="150"/>
      <c r="G249" s="85"/>
      <c r="H249" s="49"/>
      <c r="I249" s="86"/>
      <c r="J249" s="49"/>
      <c r="K249" s="32" t="str">
        <f t="shared" si="2"/>
        <v>DISPONIBLE</v>
      </c>
      <c r="L249" s="33">
        <f t="shared" si="10"/>
        <v>248</v>
      </c>
      <c r="M249" s="33" t="s">
        <v>23</v>
      </c>
      <c r="N249" s="53"/>
      <c r="O249" s="33"/>
      <c r="P249" s="335" t="s">
        <v>530</v>
      </c>
      <c r="Q249" s="336"/>
      <c r="R249" s="342"/>
      <c r="S249" s="337"/>
      <c r="T249" s="33"/>
      <c r="U249" s="338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4"/>
      <c r="BE249" s="12"/>
      <c r="BF249" s="12"/>
      <c r="BG249" s="12" t="str">
        <f>IFERROR(__xludf.DUMMYFUNCTION("IFERROR(INDEX(QUERY(IMPORTRANGE(""1T7HG8KEs-Ob7f3M5atEVN9Yn7IeORGp0QGvggB62ELw"",""Maestro!A:I""),""SELECT Col8 WHERE Col3 = '""&amp;BD249&amp;""'"", 0), 1, 1),""NO ENCONTRADO"")"),"")</f>
        <v/>
      </c>
      <c r="BH249" s="12" t="str">
        <f>IFERROR(__xludf.DUMMYFUNCTION("IFERROR(INDEX(QUERY(IMPORTRANGE(""1T7HG8KEs-Ob7f3M5atEVN9Yn7IeORGp0QGvggB62ELw"",""Maestro!A:I""),""SELECT Col7 WHERE Col3 = '""&amp;BD249&amp;""'"", 0), 1, 1),""NO ENCONTRADO"")"),"")</f>
        <v/>
      </c>
      <c r="BI249" s="16">
        <f t="shared" si="9"/>
        <v>0</v>
      </c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4"/>
      <c r="BW249" s="14"/>
      <c r="BX249" s="14"/>
      <c r="BY249" s="14"/>
      <c r="BZ249" s="14"/>
      <c r="CA249" s="14"/>
      <c r="CB249" s="14"/>
      <c r="CC249" s="14"/>
      <c r="CD249" s="14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</row>
    <row r="250">
      <c r="A250" s="217" t="s">
        <v>516</v>
      </c>
      <c r="B250" s="218" t="s">
        <v>18</v>
      </c>
      <c r="C250" s="218" t="s">
        <v>25</v>
      </c>
      <c r="D250" s="219" t="str">
        <f t="shared" si="1"/>
        <v>CASINO-1-5</v>
      </c>
      <c r="E250" s="83"/>
      <c r="F250" s="150"/>
      <c r="G250" s="85"/>
      <c r="H250" s="49"/>
      <c r="I250" s="86"/>
      <c r="J250" s="49"/>
      <c r="K250" s="27" t="str">
        <f t="shared" si="2"/>
        <v>DISPONIBLE</v>
      </c>
      <c r="L250" s="28">
        <f t="shared" si="10"/>
        <v>249</v>
      </c>
      <c r="M250" s="28" t="s">
        <v>23</v>
      </c>
      <c r="N250" s="70"/>
      <c r="O250" s="28"/>
      <c r="P250" s="331" t="s">
        <v>534</v>
      </c>
      <c r="Q250" s="332"/>
      <c r="R250" s="343"/>
      <c r="S250" s="333"/>
      <c r="T250" s="28"/>
      <c r="U250" s="334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4"/>
      <c r="BE250" s="12"/>
      <c r="BF250" s="12"/>
      <c r="BG250" s="12" t="str">
        <f>IFERROR(__xludf.DUMMYFUNCTION("IFERROR(INDEX(QUERY(IMPORTRANGE(""1T7HG8KEs-Ob7f3M5atEVN9Yn7IeORGp0QGvggB62ELw"",""Maestro!A:I""),""SELECT Col8 WHERE Col3 = '""&amp;BD250&amp;""'"", 0), 1, 1),""NO ENCONTRADO"")"),"")</f>
        <v/>
      </c>
      <c r="BH250" s="12" t="str">
        <f>IFERROR(__xludf.DUMMYFUNCTION("IFERROR(INDEX(QUERY(IMPORTRANGE(""1T7HG8KEs-Ob7f3M5atEVN9Yn7IeORGp0QGvggB62ELw"",""Maestro!A:I""),""SELECT Col7 WHERE Col3 = '""&amp;BD250&amp;""'"", 0), 1, 1),""NO ENCONTRADO"")"),"")</f>
        <v/>
      </c>
      <c r="BI250" s="16">
        <f t="shared" si="9"/>
        <v>0</v>
      </c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4"/>
      <c r="BW250" s="14"/>
      <c r="BX250" s="14"/>
      <c r="BY250" s="14"/>
      <c r="BZ250" s="14"/>
      <c r="CA250" s="14"/>
      <c r="CB250" s="14"/>
      <c r="CC250" s="14"/>
      <c r="CD250" s="14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</row>
    <row r="251">
      <c r="A251" s="217" t="s">
        <v>516</v>
      </c>
      <c r="B251" s="218" t="s">
        <v>18</v>
      </c>
      <c r="C251" s="218" t="s">
        <v>36</v>
      </c>
      <c r="D251" s="219" t="str">
        <f t="shared" si="1"/>
        <v>CASINO-1-6</v>
      </c>
      <c r="E251" s="83"/>
      <c r="F251" s="150"/>
      <c r="G251" s="85"/>
      <c r="H251" s="49"/>
      <c r="I251" s="86"/>
      <c r="J251" s="49"/>
      <c r="K251" s="32" t="str">
        <f t="shared" si="2"/>
        <v>DISPONIBLE</v>
      </c>
      <c r="L251" s="33">
        <f t="shared" si="10"/>
        <v>250</v>
      </c>
      <c r="M251" s="33" t="s">
        <v>23</v>
      </c>
      <c r="N251" s="53"/>
      <c r="O251" s="33"/>
      <c r="P251" s="335" t="s">
        <v>537</v>
      </c>
      <c r="Q251" s="336"/>
      <c r="R251" s="342"/>
      <c r="S251" s="337"/>
      <c r="T251" s="33"/>
      <c r="U251" s="338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4"/>
      <c r="BE251" s="12"/>
      <c r="BF251" s="12"/>
      <c r="BG251" s="12" t="str">
        <f>IFERROR(__xludf.DUMMYFUNCTION("IFERROR(INDEX(QUERY(IMPORTRANGE(""1T7HG8KEs-Ob7f3M5atEVN9Yn7IeORGp0QGvggB62ELw"",""Maestro!A:I""),""SELECT Col8 WHERE Col3 = '""&amp;BD251&amp;""'"", 0), 1, 1),""NO ENCONTRADO"")"),"")</f>
        <v/>
      </c>
      <c r="BH251" s="12" t="str">
        <f>IFERROR(__xludf.DUMMYFUNCTION("IFERROR(INDEX(QUERY(IMPORTRANGE(""1T7HG8KEs-Ob7f3M5atEVN9Yn7IeORGp0QGvggB62ELw"",""Maestro!A:I""),""SELECT Col7 WHERE Col3 = '""&amp;BD251&amp;""'"", 0), 1, 1),""NO ENCONTRADO"")"),"")</f>
        <v/>
      </c>
      <c r="BI251" s="16">
        <f t="shared" si="9"/>
        <v>0</v>
      </c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4"/>
      <c r="BW251" s="14"/>
      <c r="BX251" s="14"/>
      <c r="BY251" s="14"/>
      <c r="BZ251" s="14"/>
      <c r="CA251" s="14"/>
      <c r="CB251" s="14"/>
      <c r="CC251" s="14"/>
      <c r="CD251" s="14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</row>
    <row r="252">
      <c r="A252" s="217" t="s">
        <v>516</v>
      </c>
      <c r="B252" s="218" t="s">
        <v>18</v>
      </c>
      <c r="C252" s="218" t="s">
        <v>48</v>
      </c>
      <c r="D252" s="219" t="str">
        <f t="shared" si="1"/>
        <v>CASINO-1-7</v>
      </c>
      <c r="E252" s="35">
        <v>45733.0</v>
      </c>
      <c r="F252" s="36" t="s">
        <v>19</v>
      </c>
      <c r="G252" s="37" t="s">
        <v>749</v>
      </c>
      <c r="H252" s="38" t="s">
        <v>750</v>
      </c>
      <c r="I252" s="39">
        <v>325.0</v>
      </c>
      <c r="J252" s="38" t="s">
        <v>22</v>
      </c>
      <c r="K252" s="27" t="str">
        <f t="shared" si="2"/>
        <v>OCUPADO</v>
      </c>
      <c r="L252" s="28">
        <f t="shared" si="10"/>
        <v>251</v>
      </c>
      <c r="M252" s="28" t="s">
        <v>23</v>
      </c>
      <c r="N252" s="70"/>
      <c r="O252" s="28" t="s">
        <v>24</v>
      </c>
      <c r="P252" s="331" t="s">
        <v>540</v>
      </c>
      <c r="Q252" s="332">
        <v>45733.0</v>
      </c>
      <c r="R252" s="333" t="s">
        <v>19</v>
      </c>
      <c r="S252" s="333" t="s">
        <v>749</v>
      </c>
      <c r="T252" s="28" t="s">
        <v>750</v>
      </c>
      <c r="U252" s="334">
        <v>325.0</v>
      </c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4"/>
      <c r="BE252" s="12"/>
      <c r="BF252" s="12"/>
      <c r="BG252" s="12" t="str">
        <f>IFERROR(__xludf.DUMMYFUNCTION("IFERROR(INDEX(QUERY(IMPORTRANGE(""1T7HG8KEs-Ob7f3M5atEVN9Yn7IeORGp0QGvggB62ELw"",""Maestro!A:I""),""SELECT Col8 WHERE Col3 = '""&amp;BD252&amp;""'"", 0), 1, 1),""NO ENCONTRADO"")"),"")</f>
        <v/>
      </c>
      <c r="BH252" s="12" t="str">
        <f>IFERROR(__xludf.DUMMYFUNCTION("IFERROR(INDEX(QUERY(IMPORTRANGE(""1T7HG8KEs-Ob7f3M5atEVN9Yn7IeORGp0QGvggB62ELw"",""Maestro!A:I""),""SELECT Col7 WHERE Col3 = '""&amp;BD252&amp;""'"", 0), 1, 1),""NO ENCONTRADO"")"),"")</f>
        <v/>
      </c>
      <c r="BI252" s="16">
        <f t="shared" si="9"/>
        <v>0</v>
      </c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4"/>
      <c r="BW252" s="14"/>
      <c r="BX252" s="14"/>
      <c r="BY252" s="14"/>
      <c r="BZ252" s="14"/>
      <c r="CA252" s="14"/>
      <c r="CB252" s="14"/>
      <c r="CC252" s="14"/>
      <c r="CD252" s="14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</row>
    <row r="253">
      <c r="A253" s="217" t="s">
        <v>516</v>
      </c>
      <c r="B253" s="218" t="s">
        <v>18</v>
      </c>
      <c r="C253" s="218" t="s">
        <v>465</v>
      </c>
      <c r="D253" s="219" t="str">
        <f t="shared" si="1"/>
        <v>CASINO-1-8</v>
      </c>
      <c r="E253" s="35">
        <v>45733.0</v>
      </c>
      <c r="F253" s="36" t="s">
        <v>19</v>
      </c>
      <c r="G253" s="37" t="s">
        <v>749</v>
      </c>
      <c r="H253" s="38" t="s">
        <v>750</v>
      </c>
      <c r="I253" s="39">
        <v>275.0</v>
      </c>
      <c r="J253" s="38" t="s">
        <v>22</v>
      </c>
      <c r="K253" s="32" t="str">
        <f t="shared" si="2"/>
        <v>OCUPADO</v>
      </c>
      <c r="L253" s="33">
        <f t="shared" si="10"/>
        <v>252</v>
      </c>
      <c r="M253" s="33" t="s">
        <v>23</v>
      </c>
      <c r="N253" s="53"/>
      <c r="O253" s="33" t="s">
        <v>24</v>
      </c>
      <c r="P253" s="335" t="s">
        <v>542</v>
      </c>
      <c r="Q253" s="336">
        <v>45733.0</v>
      </c>
      <c r="R253" s="337" t="s">
        <v>19</v>
      </c>
      <c r="S253" s="337" t="s">
        <v>749</v>
      </c>
      <c r="T253" s="33" t="s">
        <v>750</v>
      </c>
      <c r="U253" s="338">
        <v>275.0</v>
      </c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4"/>
      <c r="BE253" s="12"/>
      <c r="BF253" s="12"/>
      <c r="BG253" s="12" t="str">
        <f>IFERROR(__xludf.DUMMYFUNCTION("IFERROR(INDEX(QUERY(IMPORTRANGE(""1T7HG8KEs-Ob7f3M5atEVN9Yn7IeORGp0QGvggB62ELw"",""Maestro!A:I""),""SELECT Col8 WHERE Col3 = '""&amp;BD253&amp;""'"", 0), 1, 1),""NO ENCONTRADO"")"),"")</f>
        <v/>
      </c>
      <c r="BH253" s="12" t="str">
        <f>IFERROR(__xludf.DUMMYFUNCTION("IFERROR(INDEX(QUERY(IMPORTRANGE(""1T7HG8KEs-Ob7f3M5atEVN9Yn7IeORGp0QGvggB62ELw"",""Maestro!A:I""),""SELECT Col7 WHERE Col3 = '""&amp;BD253&amp;""'"", 0), 1, 1),""NO ENCONTRADO"")"),"")</f>
        <v/>
      </c>
      <c r="BI253" s="16">
        <f t="shared" si="9"/>
        <v>0</v>
      </c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4"/>
      <c r="BW253" s="14"/>
      <c r="BX253" s="14"/>
      <c r="BY253" s="14"/>
      <c r="BZ253" s="14"/>
      <c r="CA253" s="14"/>
      <c r="CB253" s="14"/>
      <c r="CC253" s="14"/>
      <c r="CD253" s="14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</row>
    <row r="254">
      <c r="A254" s="217" t="s">
        <v>516</v>
      </c>
      <c r="B254" s="218" t="s">
        <v>18</v>
      </c>
      <c r="C254" s="218" t="s">
        <v>511</v>
      </c>
      <c r="D254" s="219" t="str">
        <f t="shared" si="1"/>
        <v>CASINO-1-9</v>
      </c>
      <c r="E254" s="35">
        <v>45733.0</v>
      </c>
      <c r="F254" s="36" t="s">
        <v>19</v>
      </c>
      <c r="G254" s="37" t="s">
        <v>749</v>
      </c>
      <c r="H254" s="38" t="s">
        <v>750</v>
      </c>
      <c r="I254" s="39">
        <v>325.0</v>
      </c>
      <c r="J254" s="38" t="s">
        <v>22</v>
      </c>
      <c r="K254" s="27" t="str">
        <f t="shared" si="2"/>
        <v>OCUPADO</v>
      </c>
      <c r="L254" s="28">
        <f t="shared" si="10"/>
        <v>253</v>
      </c>
      <c r="M254" s="28" t="s">
        <v>23</v>
      </c>
      <c r="N254" s="70"/>
      <c r="O254" s="28" t="s">
        <v>24</v>
      </c>
      <c r="P254" s="331" t="s">
        <v>544</v>
      </c>
      <c r="Q254" s="332">
        <v>45733.0</v>
      </c>
      <c r="R254" s="333" t="s">
        <v>19</v>
      </c>
      <c r="S254" s="333" t="s">
        <v>749</v>
      </c>
      <c r="T254" s="28" t="s">
        <v>750</v>
      </c>
      <c r="U254" s="334">
        <v>325.0</v>
      </c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4"/>
      <c r="BE254" s="12"/>
      <c r="BF254" s="12"/>
      <c r="BG254" s="12" t="str">
        <f>IFERROR(__xludf.DUMMYFUNCTION("IFERROR(INDEX(QUERY(IMPORTRANGE(""1T7HG8KEs-Ob7f3M5atEVN9Yn7IeORGp0QGvggB62ELw"",""Maestro!A:I""),""SELECT Col8 WHERE Col3 = '""&amp;BD254&amp;""'"", 0), 1, 1),""NO ENCONTRADO"")"),"")</f>
        <v/>
      </c>
      <c r="BH254" s="12" t="str">
        <f>IFERROR(__xludf.DUMMYFUNCTION("IFERROR(INDEX(QUERY(IMPORTRANGE(""1T7HG8KEs-Ob7f3M5atEVN9Yn7IeORGp0QGvggB62ELw"",""Maestro!A:I""),""SELECT Col7 WHERE Col3 = '""&amp;BD254&amp;""'"", 0), 1, 1),""NO ENCONTRADO"")"),"")</f>
        <v/>
      </c>
      <c r="BI254" s="16">
        <f t="shared" si="9"/>
        <v>0</v>
      </c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4"/>
      <c r="BW254" s="14"/>
      <c r="BX254" s="14"/>
      <c r="BY254" s="14"/>
      <c r="BZ254" s="14"/>
      <c r="CA254" s="14"/>
      <c r="CB254" s="14"/>
      <c r="CC254" s="14"/>
      <c r="CD254" s="14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</row>
    <row r="255">
      <c r="A255" s="217" t="s">
        <v>516</v>
      </c>
      <c r="B255" s="218" t="s">
        <v>18</v>
      </c>
      <c r="C255" s="218" t="s">
        <v>296</v>
      </c>
      <c r="D255" s="219" t="str">
        <f t="shared" si="1"/>
        <v>CASINO-1-10</v>
      </c>
      <c r="E255" s="35">
        <v>45733.0</v>
      </c>
      <c r="F255" s="36" t="s">
        <v>19</v>
      </c>
      <c r="G255" s="37" t="s">
        <v>749</v>
      </c>
      <c r="H255" s="38" t="s">
        <v>750</v>
      </c>
      <c r="I255" s="39">
        <v>325.0</v>
      </c>
      <c r="J255" s="38" t="s">
        <v>22</v>
      </c>
      <c r="K255" s="32" t="str">
        <f t="shared" si="2"/>
        <v>OCUPADO</v>
      </c>
      <c r="L255" s="33">
        <f t="shared" si="10"/>
        <v>254</v>
      </c>
      <c r="M255" s="33" t="s">
        <v>23</v>
      </c>
      <c r="N255" s="53"/>
      <c r="O255" s="33" t="s">
        <v>24</v>
      </c>
      <c r="P255" s="335" t="s">
        <v>517</v>
      </c>
      <c r="Q255" s="336">
        <v>45733.0</v>
      </c>
      <c r="R255" s="337" t="s">
        <v>19</v>
      </c>
      <c r="S255" s="337" t="s">
        <v>749</v>
      </c>
      <c r="T255" s="33" t="s">
        <v>750</v>
      </c>
      <c r="U255" s="338">
        <v>325.0</v>
      </c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4"/>
      <c r="BE255" s="12"/>
      <c r="BF255" s="12"/>
      <c r="BG255" s="12" t="str">
        <f>IFERROR(__xludf.DUMMYFUNCTION("IFERROR(INDEX(QUERY(IMPORTRANGE(""1T7HG8KEs-Ob7f3M5atEVN9Yn7IeORGp0QGvggB62ELw"",""Maestro!A:I""),""SELECT Col8 WHERE Col3 = '""&amp;BD255&amp;""'"", 0), 1, 1),""NO ENCONTRADO"")"),"")</f>
        <v/>
      </c>
      <c r="BH255" s="12" t="str">
        <f>IFERROR(__xludf.DUMMYFUNCTION("IFERROR(INDEX(QUERY(IMPORTRANGE(""1T7HG8KEs-Ob7f3M5atEVN9Yn7IeORGp0QGvggB62ELw"",""Maestro!A:I""),""SELECT Col7 WHERE Col3 = '""&amp;BD255&amp;""'"", 0), 1, 1),""NO ENCONTRADO"")"),"")</f>
        <v/>
      </c>
      <c r="BI255" s="16">
        <f t="shared" si="9"/>
        <v>0</v>
      </c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4"/>
      <c r="BW255" s="14"/>
      <c r="BX255" s="14"/>
      <c r="BY255" s="14"/>
      <c r="BZ255" s="14"/>
      <c r="CA255" s="14"/>
      <c r="CB255" s="14"/>
      <c r="CC255" s="14"/>
      <c r="CD255" s="14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</row>
    <row r="256">
      <c r="A256" s="220" t="s">
        <v>516</v>
      </c>
      <c r="B256" s="221" t="s">
        <v>18</v>
      </c>
      <c r="C256" s="221" t="s">
        <v>316</v>
      </c>
      <c r="D256" s="222" t="str">
        <f t="shared" si="1"/>
        <v>CASINO-1-11</v>
      </c>
      <c r="E256" s="57"/>
      <c r="F256" s="58"/>
      <c r="G256" s="59"/>
      <c r="H256" s="60"/>
      <c r="I256" s="61"/>
      <c r="J256" s="60"/>
      <c r="K256" s="63" t="str">
        <f t="shared" si="2"/>
        <v>DISPONIBLE</v>
      </c>
      <c r="L256" s="64">
        <f t="shared" si="10"/>
        <v>255</v>
      </c>
      <c r="M256" s="64" t="s">
        <v>23</v>
      </c>
      <c r="N256" s="65"/>
      <c r="O256" s="64"/>
      <c r="P256" s="331" t="s">
        <v>520</v>
      </c>
      <c r="Q256" s="332"/>
      <c r="R256" s="343"/>
      <c r="S256" s="333"/>
      <c r="T256" s="28"/>
      <c r="U256" s="334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4"/>
      <c r="BE256" s="12"/>
      <c r="BF256" s="12"/>
      <c r="BG256" s="12" t="str">
        <f>IFERROR(__xludf.DUMMYFUNCTION("IFERROR(INDEX(QUERY(IMPORTRANGE(""1T7HG8KEs-Ob7f3M5atEVN9Yn7IeORGp0QGvggB62ELw"",""Maestro!A:I""),""SELECT Col8 WHERE Col3 = '""&amp;BD256&amp;""'"", 0), 1, 1),""NO ENCONTRADO"")"),"")</f>
        <v/>
      </c>
      <c r="BH256" s="12" t="str">
        <f>IFERROR(__xludf.DUMMYFUNCTION("IFERROR(INDEX(QUERY(IMPORTRANGE(""1T7HG8KEs-Ob7f3M5atEVN9Yn7IeORGp0QGvggB62ELw"",""Maestro!A:I""),""SELECT Col7 WHERE Col3 = '""&amp;BD256&amp;""'"", 0), 1, 1),""NO ENCONTRADO"")"),"")</f>
        <v/>
      </c>
      <c r="BI256" s="16">
        <f t="shared" si="9"/>
        <v>0</v>
      </c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4"/>
      <c r="BW256" s="14"/>
      <c r="BX256" s="14"/>
      <c r="BY256" s="14"/>
      <c r="BZ256" s="14"/>
      <c r="CA256" s="14"/>
      <c r="CB256" s="14"/>
      <c r="CC256" s="14"/>
      <c r="CD256" s="14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</row>
    <row r="257">
      <c r="A257" s="223" t="s">
        <v>546</v>
      </c>
      <c r="B257" s="224" t="s">
        <v>18</v>
      </c>
      <c r="C257" s="224" t="s">
        <v>18</v>
      </c>
      <c r="D257" s="225" t="str">
        <f t="shared" si="1"/>
        <v>DEV-1-1</v>
      </c>
      <c r="E257" s="141"/>
      <c r="F257" s="137"/>
      <c r="G257" s="138"/>
      <c r="H257" s="138"/>
      <c r="I257" s="142"/>
      <c r="J257" s="138"/>
      <c r="K257" s="32" t="str">
        <f t="shared" si="2"/>
        <v>DISPONIBLE</v>
      </c>
      <c r="L257" s="33">
        <f t="shared" si="10"/>
        <v>256</v>
      </c>
      <c r="M257" s="229" t="s">
        <v>718</v>
      </c>
      <c r="N257" s="102"/>
      <c r="O257" s="366"/>
      <c r="P257" s="367" t="s">
        <v>547</v>
      </c>
      <c r="Q257" s="368"/>
      <c r="R257" s="369"/>
      <c r="S257" s="368"/>
      <c r="T257" s="368"/>
      <c r="U257" s="370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4"/>
      <c r="BE257" s="12"/>
      <c r="BF257" s="12"/>
      <c r="BG257" s="12" t="str">
        <f>IFERROR(__xludf.DUMMYFUNCTION("IFERROR(INDEX(QUERY(IMPORTRANGE(""1T7HG8KEs-Ob7f3M5atEVN9Yn7IeORGp0QGvggB62ELw"",""Maestro!A:I""),""SELECT Col8 WHERE Col3 = '""&amp;BD257&amp;""'"", 0), 1, 1),""NO ENCONTRADO"")"),"")</f>
        <v/>
      </c>
      <c r="BH257" s="12" t="str">
        <f>IFERROR(__xludf.DUMMYFUNCTION("IFERROR(INDEX(QUERY(IMPORTRANGE(""1T7HG8KEs-Ob7f3M5atEVN9Yn7IeORGp0QGvggB62ELw"",""Maestro!A:I""),""SELECT Col7 WHERE Col3 = '""&amp;BD257&amp;""'"", 0), 1, 1),""NO ENCONTRADO"")"),"")</f>
        <v/>
      </c>
      <c r="BI257" s="16">
        <f t="shared" si="9"/>
        <v>0</v>
      </c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4"/>
      <c r="BW257" s="14"/>
      <c r="BX257" s="14"/>
      <c r="BY257" s="14"/>
      <c r="BZ257" s="14"/>
      <c r="CA257" s="14"/>
      <c r="CB257" s="14"/>
      <c r="CC257" s="14"/>
      <c r="CD257" s="14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</row>
    <row r="258">
      <c r="A258" s="223" t="s">
        <v>546</v>
      </c>
      <c r="B258" s="224" t="s">
        <v>18</v>
      </c>
      <c r="C258" s="224" t="s">
        <v>32</v>
      </c>
      <c r="D258" s="225" t="str">
        <f t="shared" si="1"/>
        <v>DEV-1-2</v>
      </c>
      <c r="E258" s="141"/>
      <c r="F258" s="137"/>
      <c r="G258" s="138"/>
      <c r="H258" s="138"/>
      <c r="I258" s="142"/>
      <c r="J258" s="138"/>
      <c r="K258" s="27" t="str">
        <f t="shared" si="2"/>
        <v>DISPONIBLE</v>
      </c>
      <c r="L258" s="28">
        <f t="shared" si="10"/>
        <v>257</v>
      </c>
      <c r="M258" s="226" t="s">
        <v>718</v>
      </c>
      <c r="N258" s="227"/>
      <c r="O258" s="371"/>
      <c r="P258" s="372" t="s">
        <v>548</v>
      </c>
      <c r="Q258" s="373"/>
      <c r="R258" s="374"/>
      <c r="S258" s="373"/>
      <c r="T258" s="373"/>
      <c r="U258" s="375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4"/>
      <c r="BE258" s="12"/>
      <c r="BF258" s="12"/>
      <c r="BG258" s="12" t="str">
        <f>IFERROR(__xludf.DUMMYFUNCTION("IFERROR(INDEX(QUERY(IMPORTRANGE(""1T7HG8KEs-Ob7f3M5atEVN9Yn7IeORGp0QGvggB62ELw"",""Maestro!A:I""),""SELECT Col8 WHERE Col3 = '""&amp;BD258&amp;""'"", 0), 1, 1),""NO ENCONTRADO"")"),"")</f>
        <v/>
      </c>
      <c r="BH258" s="12" t="str">
        <f>IFERROR(__xludf.DUMMYFUNCTION("IFERROR(INDEX(QUERY(IMPORTRANGE(""1T7HG8KEs-Ob7f3M5atEVN9Yn7IeORGp0QGvggB62ELw"",""Maestro!A:I""),""SELECT Col7 WHERE Col3 = '""&amp;BD258&amp;""'"", 0), 1, 1),""NO ENCONTRADO"")"),"")</f>
        <v/>
      </c>
      <c r="BI258" s="16">
        <f t="shared" si="9"/>
        <v>0</v>
      </c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4"/>
      <c r="BW258" s="14"/>
      <c r="BX258" s="14"/>
      <c r="BY258" s="14"/>
      <c r="BZ258" s="14"/>
      <c r="CA258" s="14"/>
      <c r="CB258" s="14"/>
      <c r="CC258" s="14"/>
      <c r="CD258" s="14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</row>
    <row r="259">
      <c r="A259" s="223" t="s">
        <v>546</v>
      </c>
      <c r="B259" s="224" t="s">
        <v>18</v>
      </c>
      <c r="C259" s="224" t="s">
        <v>44</v>
      </c>
      <c r="D259" s="225" t="str">
        <f t="shared" si="1"/>
        <v>DEV-1-3</v>
      </c>
      <c r="E259" s="72"/>
      <c r="F259" s="77"/>
      <c r="G259" s="74"/>
      <c r="H259" s="75"/>
      <c r="I259" s="76"/>
      <c r="J259" s="75"/>
      <c r="K259" s="32" t="str">
        <f t="shared" si="2"/>
        <v>DISPONIBLE</v>
      </c>
      <c r="L259" s="33">
        <f t="shared" si="10"/>
        <v>258</v>
      </c>
      <c r="M259" s="229" t="s">
        <v>718</v>
      </c>
      <c r="N259" s="102"/>
      <c r="O259" s="366"/>
      <c r="P259" s="367" t="s">
        <v>549</v>
      </c>
      <c r="Q259" s="376"/>
      <c r="R259" s="377"/>
      <c r="S259" s="367"/>
      <c r="T259" s="366"/>
      <c r="U259" s="378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4"/>
      <c r="BE259" s="12"/>
      <c r="BF259" s="12"/>
      <c r="BG259" s="12" t="str">
        <f>IFERROR(__xludf.DUMMYFUNCTION("IFERROR(INDEX(QUERY(IMPORTRANGE(""1T7HG8KEs-Ob7f3M5atEVN9Yn7IeORGp0QGvggB62ELw"",""Maestro!A:I""),""SELECT Col8 WHERE Col3 = '""&amp;BD259&amp;""'"", 0), 1, 1),""NO ENCONTRADO"")"),"")</f>
        <v/>
      </c>
      <c r="BH259" s="12" t="str">
        <f>IFERROR(__xludf.DUMMYFUNCTION("IFERROR(INDEX(QUERY(IMPORTRANGE(""1T7HG8KEs-Ob7f3M5atEVN9Yn7IeORGp0QGvggB62ELw"",""Maestro!A:I""),""SELECT Col7 WHERE Col3 = '""&amp;BD259&amp;""'"", 0), 1, 1),""NO ENCONTRADO"")"),"")</f>
        <v/>
      </c>
      <c r="BI259" s="16">
        <f t="shared" si="9"/>
        <v>0</v>
      </c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4"/>
      <c r="BW259" s="14"/>
      <c r="BX259" s="14"/>
      <c r="BY259" s="14"/>
      <c r="BZ259" s="14"/>
      <c r="CA259" s="14"/>
      <c r="CB259" s="14"/>
      <c r="CC259" s="14"/>
      <c r="CD259" s="14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</row>
    <row r="260">
      <c r="A260" s="223" t="s">
        <v>546</v>
      </c>
      <c r="B260" s="224" t="s">
        <v>18</v>
      </c>
      <c r="C260" s="224" t="s">
        <v>53</v>
      </c>
      <c r="D260" s="225" t="str">
        <f t="shared" si="1"/>
        <v>DEV-1-4</v>
      </c>
      <c r="E260" s="72"/>
      <c r="F260" s="77"/>
      <c r="G260" s="74"/>
      <c r="H260" s="75"/>
      <c r="I260" s="76"/>
      <c r="J260" s="75"/>
      <c r="K260" s="27" t="str">
        <f t="shared" si="2"/>
        <v>DISPONIBLE</v>
      </c>
      <c r="L260" s="28">
        <f t="shared" si="10"/>
        <v>259</v>
      </c>
      <c r="M260" s="226" t="s">
        <v>718</v>
      </c>
      <c r="N260" s="227"/>
      <c r="O260" s="371"/>
      <c r="P260" s="372" t="s">
        <v>550</v>
      </c>
      <c r="Q260" s="379"/>
      <c r="R260" s="380"/>
      <c r="S260" s="372"/>
      <c r="T260" s="371"/>
      <c r="U260" s="381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4"/>
      <c r="BE260" s="12"/>
      <c r="BF260" s="12"/>
      <c r="BG260" s="12" t="str">
        <f>IFERROR(__xludf.DUMMYFUNCTION("IFERROR(INDEX(QUERY(IMPORTRANGE(""1T7HG8KEs-Ob7f3M5atEVN9Yn7IeORGp0QGvggB62ELw"",""Maestro!A:I""),""SELECT Col8 WHERE Col3 = '""&amp;BD260&amp;""'"", 0), 1, 1),""NO ENCONTRADO"")"),"")</f>
        <v/>
      </c>
      <c r="BH260" s="12" t="str">
        <f>IFERROR(__xludf.DUMMYFUNCTION("IFERROR(INDEX(QUERY(IMPORTRANGE(""1T7HG8KEs-Ob7f3M5atEVN9Yn7IeORGp0QGvggB62ELw"",""Maestro!A:I""),""SELECT Col7 WHERE Col3 = '""&amp;BD260&amp;""'"", 0), 1, 1),""NO ENCONTRADO"")"),"")</f>
        <v/>
      </c>
      <c r="BI260" s="16">
        <f t="shared" si="9"/>
        <v>0</v>
      </c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4"/>
      <c r="BW260" s="14"/>
      <c r="BX260" s="14"/>
      <c r="BY260" s="14"/>
      <c r="BZ260" s="14"/>
      <c r="CA260" s="14"/>
      <c r="CB260" s="14"/>
      <c r="CC260" s="14"/>
      <c r="CD260" s="14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</row>
    <row r="261">
      <c r="A261" s="223" t="s">
        <v>546</v>
      </c>
      <c r="B261" s="224" t="s">
        <v>18</v>
      </c>
      <c r="C261" s="224" t="s">
        <v>25</v>
      </c>
      <c r="D261" s="225" t="str">
        <f t="shared" si="1"/>
        <v>DEV-1-5</v>
      </c>
      <c r="E261" s="83"/>
      <c r="F261" s="150"/>
      <c r="G261" s="85"/>
      <c r="H261" s="49"/>
      <c r="I261" s="86"/>
      <c r="J261" s="49"/>
      <c r="K261" s="32" t="str">
        <f t="shared" si="2"/>
        <v>DISPONIBLE</v>
      </c>
      <c r="L261" s="33">
        <f t="shared" si="10"/>
        <v>260</v>
      </c>
      <c r="M261" s="229" t="s">
        <v>718</v>
      </c>
      <c r="N261" s="102"/>
      <c r="O261" s="33"/>
      <c r="P261" s="337" t="s">
        <v>551</v>
      </c>
      <c r="Q261" s="336"/>
      <c r="R261" s="342"/>
      <c r="S261" s="337"/>
      <c r="T261" s="33"/>
      <c r="U261" s="338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4"/>
      <c r="BE261" s="12"/>
      <c r="BF261" s="12"/>
      <c r="BG261" s="12" t="str">
        <f>IFERROR(__xludf.DUMMYFUNCTION("IFERROR(INDEX(QUERY(IMPORTRANGE(""1T7HG8KEs-Ob7f3M5atEVN9Yn7IeORGp0QGvggB62ELw"",""Maestro!A:I""),""SELECT Col8 WHERE Col3 = '""&amp;BD261&amp;""'"", 0), 1, 1),""NO ENCONTRADO"")"),"")</f>
        <v/>
      </c>
      <c r="BH261" s="12" t="str">
        <f>IFERROR(__xludf.DUMMYFUNCTION("IFERROR(INDEX(QUERY(IMPORTRANGE(""1T7HG8KEs-Ob7f3M5atEVN9Yn7IeORGp0QGvggB62ELw"",""Maestro!A:I""),""SELECT Col7 WHERE Col3 = '""&amp;BD261&amp;""'"", 0), 1, 1),""NO ENCONTRADO"")"),"")</f>
        <v/>
      </c>
      <c r="BI261" s="16">
        <f t="shared" si="9"/>
        <v>0</v>
      </c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4"/>
      <c r="BW261" s="14"/>
      <c r="BX261" s="14"/>
      <c r="BY261" s="14"/>
      <c r="BZ261" s="14"/>
      <c r="CA261" s="14"/>
      <c r="CB261" s="14"/>
      <c r="CC261" s="14"/>
      <c r="CD261" s="14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</row>
    <row r="262">
      <c r="A262" s="223" t="s">
        <v>546</v>
      </c>
      <c r="B262" s="224" t="s">
        <v>18</v>
      </c>
      <c r="C262" s="224" t="s">
        <v>36</v>
      </c>
      <c r="D262" s="225" t="str">
        <f t="shared" si="1"/>
        <v>DEV-1-6</v>
      </c>
      <c r="E262" s="72"/>
      <c r="F262" s="77"/>
      <c r="G262" s="74"/>
      <c r="H262" s="75"/>
      <c r="I262" s="76"/>
      <c r="J262" s="75"/>
      <c r="K262" s="27" t="str">
        <f t="shared" si="2"/>
        <v>DISPONIBLE</v>
      </c>
      <c r="L262" s="28">
        <f t="shared" si="10"/>
        <v>261</v>
      </c>
      <c r="M262" s="226" t="s">
        <v>718</v>
      </c>
      <c r="N262" s="227"/>
      <c r="O262" s="371"/>
      <c r="P262" s="372" t="s">
        <v>552</v>
      </c>
      <c r="Q262" s="379"/>
      <c r="R262" s="380"/>
      <c r="S262" s="372"/>
      <c r="T262" s="371"/>
      <c r="U262" s="381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4"/>
      <c r="BE262" s="12"/>
      <c r="BF262" s="12"/>
      <c r="BG262" s="12" t="str">
        <f>IFERROR(__xludf.DUMMYFUNCTION("IFERROR(INDEX(QUERY(IMPORTRANGE(""1T7HG8KEs-Ob7f3M5atEVN9Yn7IeORGp0QGvggB62ELw"",""Maestro!A:I""),""SELECT Col8 WHERE Col3 = '""&amp;BD262&amp;""'"", 0), 1, 1),""NO ENCONTRADO"")"),"")</f>
        <v/>
      </c>
      <c r="BH262" s="12" t="str">
        <f>IFERROR(__xludf.DUMMYFUNCTION("IFERROR(INDEX(QUERY(IMPORTRANGE(""1T7HG8KEs-Ob7f3M5atEVN9Yn7IeORGp0QGvggB62ELw"",""Maestro!A:I""),""SELECT Col7 WHERE Col3 = '""&amp;BD262&amp;""'"", 0), 1, 1),""NO ENCONTRADO"")"),"")</f>
        <v/>
      </c>
      <c r="BI262" s="16">
        <f t="shared" si="9"/>
        <v>0</v>
      </c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4"/>
      <c r="BW262" s="14"/>
      <c r="BX262" s="14"/>
      <c r="BY262" s="14"/>
      <c r="BZ262" s="14"/>
      <c r="CA262" s="14"/>
      <c r="CB262" s="14"/>
      <c r="CC262" s="14"/>
      <c r="CD262" s="14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</row>
    <row r="263">
      <c r="A263" s="223" t="s">
        <v>546</v>
      </c>
      <c r="B263" s="224" t="s">
        <v>18</v>
      </c>
      <c r="C263" s="224" t="s">
        <v>48</v>
      </c>
      <c r="D263" s="225" t="str">
        <f t="shared" si="1"/>
        <v>DEV-1-7</v>
      </c>
      <c r="E263" s="72"/>
      <c r="F263" s="77"/>
      <c r="G263" s="74"/>
      <c r="H263" s="75"/>
      <c r="I263" s="76"/>
      <c r="J263" s="75"/>
      <c r="K263" s="32" t="str">
        <f t="shared" si="2"/>
        <v>DISPONIBLE</v>
      </c>
      <c r="L263" s="33">
        <f t="shared" si="10"/>
        <v>262</v>
      </c>
      <c r="M263" s="229" t="s">
        <v>718</v>
      </c>
      <c r="N263" s="102"/>
      <c r="O263" s="366"/>
      <c r="P263" s="367" t="s">
        <v>553</v>
      </c>
      <c r="Q263" s="376"/>
      <c r="R263" s="377"/>
      <c r="S263" s="367"/>
      <c r="T263" s="366"/>
      <c r="U263" s="378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4"/>
      <c r="BE263" s="12"/>
      <c r="BF263" s="12"/>
      <c r="BG263" s="12" t="str">
        <f>IFERROR(__xludf.DUMMYFUNCTION("IFERROR(INDEX(QUERY(IMPORTRANGE(""1T7HG8KEs-Ob7f3M5atEVN9Yn7IeORGp0QGvggB62ELw"",""Maestro!A:I""),""SELECT Col8 WHERE Col3 = '""&amp;BD263&amp;""'"", 0), 1, 1),""NO ENCONTRADO"")"),"")</f>
        <v/>
      </c>
      <c r="BH263" s="12" t="str">
        <f>IFERROR(__xludf.DUMMYFUNCTION("IFERROR(INDEX(QUERY(IMPORTRANGE(""1T7HG8KEs-Ob7f3M5atEVN9Yn7IeORGp0QGvggB62ELw"",""Maestro!A:I""),""SELECT Col7 WHERE Col3 = '""&amp;BD263&amp;""'"", 0), 1, 1),""NO ENCONTRADO"")"),"")</f>
        <v/>
      </c>
      <c r="BI263" s="16">
        <f t="shared" si="9"/>
        <v>0</v>
      </c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4"/>
      <c r="BW263" s="14"/>
      <c r="BX263" s="14"/>
      <c r="BY263" s="14"/>
      <c r="BZ263" s="14"/>
      <c r="CA263" s="14"/>
      <c r="CB263" s="14"/>
      <c r="CC263" s="14"/>
      <c r="CD263" s="14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</row>
    <row r="264">
      <c r="A264" s="223" t="s">
        <v>546</v>
      </c>
      <c r="B264" s="224" t="s">
        <v>18</v>
      </c>
      <c r="C264" s="224" t="s">
        <v>465</v>
      </c>
      <c r="D264" s="225" t="str">
        <f t="shared" si="1"/>
        <v>DEV-1-8</v>
      </c>
      <c r="E264" s="72"/>
      <c r="F264" s="77"/>
      <c r="G264" s="74"/>
      <c r="H264" s="138"/>
      <c r="I264" s="142"/>
      <c r="J264" s="75"/>
      <c r="K264" s="27" t="str">
        <f t="shared" si="2"/>
        <v>DISPONIBLE</v>
      </c>
      <c r="L264" s="28">
        <f t="shared" si="10"/>
        <v>263</v>
      </c>
      <c r="M264" s="226" t="s">
        <v>718</v>
      </c>
      <c r="N264" s="227"/>
      <c r="O264" s="371"/>
      <c r="P264" s="372" t="s">
        <v>555</v>
      </c>
      <c r="Q264" s="379"/>
      <c r="R264" s="380"/>
      <c r="S264" s="372"/>
      <c r="T264" s="373"/>
      <c r="U264" s="38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4"/>
      <c r="BE264" s="12"/>
      <c r="BF264" s="12"/>
      <c r="BG264" s="12" t="str">
        <f>IFERROR(__xludf.DUMMYFUNCTION("IFERROR(INDEX(QUERY(IMPORTRANGE(""1T7HG8KEs-Ob7f3M5atEVN9Yn7IeORGp0QGvggB62ELw"",""Maestro!A:I""),""SELECT Col8 WHERE Col3 = '""&amp;BD264&amp;""'"", 0), 1, 1),""NO ENCONTRADO"")"),"")</f>
        <v/>
      </c>
      <c r="BH264" s="12" t="str">
        <f>IFERROR(__xludf.DUMMYFUNCTION("IFERROR(INDEX(QUERY(IMPORTRANGE(""1T7HG8KEs-Ob7f3M5atEVN9Yn7IeORGp0QGvggB62ELw"",""Maestro!A:I""),""SELECT Col7 WHERE Col3 = '""&amp;BD264&amp;""'"", 0), 1, 1),""NO ENCONTRADO"")"),"")</f>
        <v/>
      </c>
      <c r="BI264" s="16">
        <f t="shared" si="9"/>
        <v>0</v>
      </c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4"/>
      <c r="BW264" s="14"/>
      <c r="BX264" s="14"/>
      <c r="BY264" s="14"/>
      <c r="BZ264" s="14"/>
      <c r="CA264" s="14"/>
      <c r="CB264" s="14"/>
      <c r="CC264" s="14"/>
      <c r="CD264" s="14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</row>
    <row r="265">
      <c r="A265" s="231" t="s">
        <v>546</v>
      </c>
      <c r="B265" s="232" t="s">
        <v>18</v>
      </c>
      <c r="C265" s="232" t="s">
        <v>511</v>
      </c>
      <c r="D265" s="233" t="str">
        <f t="shared" si="1"/>
        <v>DEV-1-9</v>
      </c>
      <c r="E265" s="234"/>
      <c r="F265" s="235"/>
      <c r="G265" s="236"/>
      <c r="H265" s="237"/>
      <c r="I265" s="238"/>
      <c r="J265" s="239"/>
      <c r="K265" s="154" t="str">
        <f t="shared" si="2"/>
        <v>DISPONIBLE</v>
      </c>
      <c r="L265" s="155">
        <f t="shared" si="10"/>
        <v>264</v>
      </c>
      <c r="M265" s="322" t="s">
        <v>718</v>
      </c>
      <c r="N265" s="156"/>
      <c r="O265" s="155"/>
      <c r="P265" s="337" t="s">
        <v>557</v>
      </c>
      <c r="Q265" s="336"/>
      <c r="R265" s="342"/>
      <c r="S265" s="337"/>
      <c r="T265" s="53"/>
      <c r="U265" s="383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4"/>
      <c r="BE265" s="12"/>
      <c r="BF265" s="12"/>
      <c r="BG265" s="12" t="str">
        <f>IFERROR(__xludf.DUMMYFUNCTION("IFERROR(INDEX(QUERY(IMPORTRANGE(""1T7HG8KEs-Ob7f3M5atEVN9Yn7IeORGp0QGvggB62ELw"",""Maestro!A:I""),""SELECT Col8 WHERE Col3 = '""&amp;BD265&amp;""'"", 0), 1, 1),""NO ENCONTRADO"")"),"")</f>
        <v/>
      </c>
      <c r="BH265" s="12" t="str">
        <f>IFERROR(__xludf.DUMMYFUNCTION("IFERROR(INDEX(QUERY(IMPORTRANGE(""1T7HG8KEs-Ob7f3M5atEVN9Yn7IeORGp0QGvggB62ELw"",""Maestro!A:I""),""SELECT Col7 WHERE Col3 = '""&amp;BD265&amp;""'"", 0), 1, 1),""NO ENCONTRADO"")"),"")</f>
        <v/>
      </c>
      <c r="BI265" s="16">
        <f t="shared" si="9"/>
        <v>0</v>
      </c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4"/>
      <c r="BW265" s="14"/>
      <c r="BX265" s="14"/>
      <c r="BY265" s="14"/>
      <c r="BZ265" s="14"/>
      <c r="CA265" s="14"/>
      <c r="CB265" s="14"/>
      <c r="CC265" s="14"/>
      <c r="CD265" s="14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</row>
    <row r="266">
      <c r="A266" s="241" t="s">
        <v>558</v>
      </c>
      <c r="B266" s="242" t="s">
        <v>18</v>
      </c>
      <c r="C266" s="242" t="s">
        <v>18</v>
      </c>
      <c r="D266" s="243" t="str">
        <f t="shared" si="1"/>
        <v>PATIO-1-1</v>
      </c>
      <c r="E266" s="40"/>
      <c r="F266" s="323"/>
      <c r="G266" s="244"/>
      <c r="H266" s="42"/>
      <c r="I266" s="43"/>
      <c r="J266" s="42"/>
      <c r="K266" s="27" t="str">
        <f t="shared" si="2"/>
        <v>DISPONIBLE</v>
      </c>
      <c r="L266" s="28">
        <f t="shared" si="10"/>
        <v>265</v>
      </c>
      <c r="M266" s="28" t="s">
        <v>23</v>
      </c>
      <c r="N266" s="28"/>
      <c r="O266" s="28"/>
      <c r="P266" s="331" t="s">
        <v>344</v>
      </c>
      <c r="Q266" s="332"/>
      <c r="R266" s="333"/>
      <c r="S266" s="333"/>
      <c r="T266" s="28"/>
      <c r="U266" s="334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4"/>
      <c r="BE266" s="12"/>
      <c r="BF266" s="12"/>
      <c r="BG266" s="12" t="str">
        <f>IFERROR(__xludf.DUMMYFUNCTION("IFERROR(INDEX(QUERY(IMPORTRANGE(""1T7HG8KEs-Ob7f3M5atEVN9Yn7IeORGp0QGvggB62ELw"",""Maestro!A:I""),""SELECT Col8 WHERE Col3 = '""&amp;BD266&amp;""'"", 0), 1, 1),""NO ENCONTRADO"")"),"")</f>
        <v/>
      </c>
      <c r="BH266" s="12" t="str">
        <f>IFERROR(__xludf.DUMMYFUNCTION("IFERROR(INDEX(QUERY(IMPORTRANGE(""1T7HG8KEs-Ob7f3M5atEVN9Yn7IeORGp0QGvggB62ELw"",""Maestro!A:I""),""SELECT Col7 WHERE Col3 = '""&amp;BD266&amp;""'"", 0), 1, 1),""NO ENCONTRADO"")"),"")</f>
        <v/>
      </c>
      <c r="BI266" s="16">
        <f t="shared" si="9"/>
        <v>0</v>
      </c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4"/>
      <c r="BW266" s="14"/>
      <c r="BX266" s="14"/>
      <c r="BY266" s="14"/>
      <c r="BZ266" s="14"/>
      <c r="CA266" s="14"/>
      <c r="CB266" s="14"/>
      <c r="CC266" s="14"/>
      <c r="CD266" s="14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</row>
    <row r="267">
      <c r="A267" s="241" t="s">
        <v>558</v>
      </c>
      <c r="B267" s="242" t="s">
        <v>18</v>
      </c>
      <c r="C267" s="242" t="s">
        <v>32</v>
      </c>
      <c r="D267" s="243" t="str">
        <f t="shared" si="1"/>
        <v>PATIO-1-2</v>
      </c>
      <c r="E267" s="40">
        <v>45763.0</v>
      </c>
      <c r="F267" s="41" t="s">
        <v>778</v>
      </c>
      <c r="G267" s="244" t="s">
        <v>221</v>
      </c>
      <c r="H267" s="42" t="s">
        <v>222</v>
      </c>
      <c r="I267" s="43">
        <v>5.0</v>
      </c>
      <c r="J267" s="42" t="s">
        <v>22</v>
      </c>
      <c r="K267" s="32" t="str">
        <f t="shared" si="2"/>
        <v>OCUPADO</v>
      </c>
      <c r="L267" s="33">
        <f t="shared" si="10"/>
        <v>266</v>
      </c>
      <c r="M267" s="33" t="s">
        <v>23</v>
      </c>
      <c r="N267" s="33"/>
      <c r="O267" s="33" t="s">
        <v>24</v>
      </c>
      <c r="P267" s="335" t="s">
        <v>380</v>
      </c>
      <c r="Q267" s="336">
        <v>45763.0</v>
      </c>
      <c r="R267" s="337" t="s">
        <v>778</v>
      </c>
      <c r="S267" s="337" t="s">
        <v>221</v>
      </c>
      <c r="T267" s="33" t="s">
        <v>222</v>
      </c>
      <c r="U267" s="338">
        <v>5.0</v>
      </c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4"/>
      <c r="BE267" s="12"/>
      <c r="BF267" s="12"/>
      <c r="BG267" s="12" t="str">
        <f>IFERROR(__xludf.DUMMYFUNCTION("IFERROR(INDEX(QUERY(IMPORTRANGE(""1T7HG8KEs-Ob7f3M5atEVN9Yn7IeORGp0QGvggB62ELw"",""Maestro!A:I""),""SELECT Col8 WHERE Col3 = '""&amp;BD267&amp;""'"", 0), 1, 1),""NO ENCONTRADO"")"),"")</f>
        <v/>
      </c>
      <c r="BH267" s="12" t="str">
        <f>IFERROR(__xludf.DUMMYFUNCTION("IFERROR(INDEX(QUERY(IMPORTRANGE(""1T7HG8KEs-Ob7f3M5atEVN9Yn7IeORGp0QGvggB62ELw"",""Maestro!A:I""),""SELECT Col7 WHERE Col3 = '""&amp;BD267&amp;""'"", 0), 1, 1),""NO ENCONTRADO"")"),"")</f>
        <v/>
      </c>
      <c r="BI267" s="16">
        <f t="shared" si="9"/>
        <v>0</v>
      </c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4"/>
      <c r="BW267" s="14"/>
      <c r="BX267" s="14"/>
      <c r="BY267" s="14"/>
      <c r="BZ267" s="14"/>
      <c r="CA267" s="14"/>
      <c r="CB267" s="14"/>
      <c r="CC267" s="14"/>
      <c r="CD267" s="14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</row>
    <row r="268">
      <c r="A268" s="241" t="s">
        <v>558</v>
      </c>
      <c r="B268" s="242" t="s">
        <v>18</v>
      </c>
      <c r="C268" s="242" t="s">
        <v>44</v>
      </c>
      <c r="D268" s="243" t="str">
        <f t="shared" si="1"/>
        <v>PATIO-1-3</v>
      </c>
      <c r="E268" s="78">
        <v>45763.0</v>
      </c>
      <c r="F268" s="88" t="s">
        <v>778</v>
      </c>
      <c r="G268" s="80" t="s">
        <v>221</v>
      </c>
      <c r="H268" s="81" t="s">
        <v>222</v>
      </c>
      <c r="I268" s="82">
        <v>150.0</v>
      </c>
      <c r="J268" s="81" t="s">
        <v>22</v>
      </c>
      <c r="K268" s="27" t="str">
        <f t="shared" si="2"/>
        <v>OCUPADO</v>
      </c>
      <c r="L268" s="28">
        <f t="shared" si="10"/>
        <v>267</v>
      </c>
      <c r="M268" s="28" t="s">
        <v>23</v>
      </c>
      <c r="N268" s="70"/>
      <c r="O268" s="28" t="s">
        <v>24</v>
      </c>
      <c r="P268" s="331" t="s">
        <v>393</v>
      </c>
      <c r="Q268" s="332">
        <v>45763.0</v>
      </c>
      <c r="R268" s="333" t="s">
        <v>778</v>
      </c>
      <c r="S268" s="333" t="s">
        <v>221</v>
      </c>
      <c r="T268" s="28" t="s">
        <v>222</v>
      </c>
      <c r="U268" s="334">
        <v>150.0</v>
      </c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4"/>
      <c r="BE268" s="12"/>
      <c r="BF268" s="12"/>
      <c r="BG268" s="12" t="str">
        <f>IFERROR(__xludf.DUMMYFUNCTION("IFERROR(INDEX(QUERY(IMPORTRANGE(""1T7HG8KEs-Ob7f3M5atEVN9Yn7IeORGp0QGvggB62ELw"",""Maestro!A:I""),""SELECT Col8 WHERE Col3 = '""&amp;BD268&amp;""'"", 0), 1, 1),""NO ENCONTRADO"")"),"")</f>
        <v/>
      </c>
      <c r="BH268" s="12" t="str">
        <f>IFERROR(__xludf.DUMMYFUNCTION("IFERROR(INDEX(QUERY(IMPORTRANGE(""1T7HG8KEs-Ob7f3M5atEVN9Yn7IeORGp0QGvggB62ELw"",""Maestro!A:I""),""SELECT Col7 WHERE Col3 = '""&amp;BD268&amp;""'"", 0), 1, 1),""NO ENCONTRADO"")"),"")</f>
        <v/>
      </c>
      <c r="BI268" s="16">
        <f t="shared" si="9"/>
        <v>0</v>
      </c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4"/>
      <c r="BW268" s="14"/>
      <c r="BX268" s="14"/>
      <c r="BY268" s="14"/>
      <c r="BZ268" s="14"/>
      <c r="CA268" s="14"/>
      <c r="CB268" s="14"/>
      <c r="CC268" s="14"/>
      <c r="CD268" s="14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</row>
    <row r="269">
      <c r="A269" s="241" t="s">
        <v>558</v>
      </c>
      <c r="B269" s="242" t="s">
        <v>18</v>
      </c>
      <c r="C269" s="242" t="s">
        <v>53</v>
      </c>
      <c r="D269" s="243" t="str">
        <f t="shared" si="1"/>
        <v>PATIO-1-4</v>
      </c>
      <c r="E269" s="78">
        <v>45763.0</v>
      </c>
      <c r="F269" s="88" t="s">
        <v>778</v>
      </c>
      <c r="G269" s="80" t="s">
        <v>221</v>
      </c>
      <c r="H269" s="81" t="s">
        <v>222</v>
      </c>
      <c r="I269" s="82">
        <v>150.0</v>
      </c>
      <c r="J269" s="81" t="s">
        <v>22</v>
      </c>
      <c r="K269" s="32" t="str">
        <f t="shared" si="2"/>
        <v>OCUPADO</v>
      </c>
      <c r="L269" s="33">
        <f t="shared" si="10"/>
        <v>268</v>
      </c>
      <c r="M269" s="33" t="s">
        <v>23</v>
      </c>
      <c r="N269" s="53"/>
      <c r="O269" s="33" t="s">
        <v>24</v>
      </c>
      <c r="P269" s="335" t="s">
        <v>398</v>
      </c>
      <c r="Q269" s="336">
        <v>45763.0</v>
      </c>
      <c r="R269" s="337" t="s">
        <v>778</v>
      </c>
      <c r="S269" s="337" t="s">
        <v>221</v>
      </c>
      <c r="T269" s="33" t="s">
        <v>222</v>
      </c>
      <c r="U269" s="338">
        <v>150.0</v>
      </c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4"/>
      <c r="BE269" s="12"/>
      <c r="BF269" s="12"/>
      <c r="BG269" s="12" t="str">
        <f>IFERROR(__xludf.DUMMYFUNCTION("IFERROR(INDEX(QUERY(IMPORTRANGE(""1T7HG8KEs-Ob7f3M5atEVN9Yn7IeORGp0QGvggB62ELw"",""Maestro!A:I""),""SELECT Col8 WHERE Col3 = '""&amp;BD269&amp;""'"", 0), 1, 1),""NO ENCONTRADO"")"),"")</f>
        <v/>
      </c>
      <c r="BH269" s="12" t="str">
        <f>IFERROR(__xludf.DUMMYFUNCTION("IFERROR(INDEX(QUERY(IMPORTRANGE(""1T7HG8KEs-Ob7f3M5atEVN9Yn7IeORGp0QGvggB62ELw"",""Maestro!A:I""),""SELECT Col7 WHERE Col3 = '""&amp;BD269&amp;""'"", 0), 1, 1),""NO ENCONTRADO"")"),"")</f>
        <v/>
      </c>
      <c r="BI269" s="16">
        <f t="shared" si="9"/>
        <v>0</v>
      </c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4"/>
      <c r="BW269" s="14"/>
      <c r="BX269" s="14"/>
      <c r="BY269" s="14"/>
      <c r="BZ269" s="14"/>
      <c r="CA269" s="14"/>
      <c r="CB269" s="14"/>
      <c r="CC269" s="14"/>
      <c r="CD269" s="14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</row>
    <row r="270">
      <c r="A270" s="241" t="s">
        <v>558</v>
      </c>
      <c r="B270" s="242" t="s">
        <v>18</v>
      </c>
      <c r="C270" s="242" t="s">
        <v>25</v>
      </c>
      <c r="D270" s="243" t="str">
        <f t="shared" si="1"/>
        <v>PATIO-1-5</v>
      </c>
      <c r="E270" s="78">
        <v>45763.0</v>
      </c>
      <c r="F270" s="88" t="s">
        <v>778</v>
      </c>
      <c r="G270" s="80" t="s">
        <v>221</v>
      </c>
      <c r="H270" s="81" t="s">
        <v>222</v>
      </c>
      <c r="I270" s="82">
        <v>150.0</v>
      </c>
      <c r="J270" s="81" t="s">
        <v>22</v>
      </c>
      <c r="K270" s="27" t="str">
        <f t="shared" si="2"/>
        <v>OCUPADO</v>
      </c>
      <c r="L270" s="28">
        <f t="shared" si="10"/>
        <v>269</v>
      </c>
      <c r="M270" s="28" t="s">
        <v>23</v>
      </c>
      <c r="N270" s="70"/>
      <c r="O270" s="28" t="s">
        <v>24</v>
      </c>
      <c r="P270" s="331" t="s">
        <v>401</v>
      </c>
      <c r="Q270" s="332">
        <v>45763.0</v>
      </c>
      <c r="R270" s="333" t="s">
        <v>778</v>
      </c>
      <c r="S270" s="333" t="s">
        <v>221</v>
      </c>
      <c r="T270" s="28" t="s">
        <v>222</v>
      </c>
      <c r="U270" s="334">
        <v>150.0</v>
      </c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4"/>
      <c r="BE270" s="12"/>
      <c r="BF270" s="12"/>
      <c r="BG270" s="12" t="str">
        <f>IFERROR(__xludf.DUMMYFUNCTION("IFERROR(INDEX(QUERY(IMPORTRANGE(""1T7HG8KEs-Ob7f3M5atEVN9Yn7IeORGp0QGvggB62ELw"",""Maestro!A:I""),""SELECT Col8 WHERE Col3 = '""&amp;BD270&amp;""'"", 0), 1, 1),""NO ENCONTRADO"")"),"")</f>
        <v/>
      </c>
      <c r="BH270" s="12" t="str">
        <f>IFERROR(__xludf.DUMMYFUNCTION("IFERROR(INDEX(QUERY(IMPORTRANGE(""1T7HG8KEs-Ob7f3M5atEVN9Yn7IeORGp0QGvggB62ELw"",""Maestro!A:I""),""SELECT Col7 WHERE Col3 = '""&amp;BD270&amp;""'"", 0), 1, 1),""NO ENCONTRADO"")"),"")</f>
        <v/>
      </c>
      <c r="BI270" s="16">
        <f t="shared" si="9"/>
        <v>0</v>
      </c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4"/>
      <c r="BW270" s="14"/>
      <c r="BX270" s="14"/>
      <c r="BY270" s="14"/>
      <c r="BZ270" s="14"/>
      <c r="CA270" s="14"/>
      <c r="CB270" s="14"/>
      <c r="CC270" s="14"/>
      <c r="CD270" s="14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</row>
    <row r="271">
      <c r="A271" s="241" t="s">
        <v>558</v>
      </c>
      <c r="B271" s="242" t="s">
        <v>18</v>
      </c>
      <c r="C271" s="242" t="s">
        <v>36</v>
      </c>
      <c r="D271" s="243" t="str">
        <f t="shared" si="1"/>
        <v>PATIO-1-6</v>
      </c>
      <c r="E271" s="78">
        <v>45763.0</v>
      </c>
      <c r="F271" s="88" t="s">
        <v>778</v>
      </c>
      <c r="G271" s="80" t="s">
        <v>221</v>
      </c>
      <c r="H271" s="81" t="s">
        <v>222</v>
      </c>
      <c r="I271" s="82">
        <v>150.0</v>
      </c>
      <c r="J271" s="81" t="s">
        <v>22</v>
      </c>
      <c r="K271" s="32" t="str">
        <f t="shared" si="2"/>
        <v>OCUPADO</v>
      </c>
      <c r="L271" s="33">
        <f t="shared" si="10"/>
        <v>270</v>
      </c>
      <c r="M271" s="33" t="s">
        <v>23</v>
      </c>
      <c r="N271" s="53"/>
      <c r="O271" s="33" t="s">
        <v>24</v>
      </c>
      <c r="P271" s="335" t="s">
        <v>453</v>
      </c>
      <c r="Q271" s="336">
        <v>45763.0</v>
      </c>
      <c r="R271" s="337" t="s">
        <v>778</v>
      </c>
      <c r="S271" s="337" t="s">
        <v>221</v>
      </c>
      <c r="T271" s="33" t="s">
        <v>222</v>
      </c>
      <c r="U271" s="338">
        <v>150.0</v>
      </c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4"/>
      <c r="BE271" s="12"/>
      <c r="BF271" s="12"/>
      <c r="BG271" s="12" t="str">
        <f>IFERROR(__xludf.DUMMYFUNCTION("IFERROR(INDEX(QUERY(IMPORTRANGE(""1T7HG8KEs-Ob7f3M5atEVN9Yn7IeORGp0QGvggB62ELw"",""Maestro!A:I""),""SELECT Col8 WHERE Col3 = '""&amp;BD271&amp;""'"", 0), 1, 1),""NO ENCONTRADO"")"),"")</f>
        <v/>
      </c>
      <c r="BH271" s="12" t="str">
        <f>IFERROR(__xludf.DUMMYFUNCTION("IFERROR(INDEX(QUERY(IMPORTRANGE(""1T7HG8KEs-Ob7f3M5atEVN9Yn7IeORGp0QGvggB62ELw"",""Maestro!A:I""),""SELECT Col7 WHERE Col3 = '""&amp;BD271&amp;""'"", 0), 1, 1),""NO ENCONTRADO"")"),"")</f>
        <v/>
      </c>
      <c r="BI271" s="16">
        <f t="shared" si="9"/>
        <v>0</v>
      </c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4"/>
      <c r="BW271" s="14"/>
      <c r="BX271" s="14"/>
      <c r="BY271" s="14"/>
      <c r="BZ271" s="14"/>
      <c r="CA271" s="14"/>
      <c r="CB271" s="14"/>
      <c r="CC271" s="14"/>
      <c r="CD271" s="14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</row>
    <row r="272">
      <c r="A272" s="241" t="s">
        <v>558</v>
      </c>
      <c r="B272" s="242" t="s">
        <v>18</v>
      </c>
      <c r="C272" s="242" t="s">
        <v>48</v>
      </c>
      <c r="D272" s="243" t="str">
        <f t="shared" si="1"/>
        <v>PATIO-1-7</v>
      </c>
      <c r="E272" s="78">
        <v>45763.0</v>
      </c>
      <c r="F272" s="79" t="s">
        <v>778</v>
      </c>
      <c r="G272" s="246">
        <v>692043.0</v>
      </c>
      <c r="H272" s="81" t="s">
        <v>222</v>
      </c>
      <c r="I272" s="82">
        <v>150.0</v>
      </c>
      <c r="J272" s="81" t="s">
        <v>22</v>
      </c>
      <c r="K272" s="27" t="str">
        <f t="shared" si="2"/>
        <v>OCUPADO</v>
      </c>
      <c r="L272" s="28">
        <f t="shared" si="10"/>
        <v>271</v>
      </c>
      <c r="M272" s="28" t="s">
        <v>23</v>
      </c>
      <c r="N272" s="70"/>
      <c r="O272" s="28" t="s">
        <v>24</v>
      </c>
      <c r="P272" s="331" t="s">
        <v>568</v>
      </c>
      <c r="Q272" s="332">
        <v>45763.0</v>
      </c>
      <c r="R272" s="343" t="s">
        <v>778</v>
      </c>
      <c r="S272" s="28">
        <v>692043.0</v>
      </c>
      <c r="T272" s="28" t="s">
        <v>222</v>
      </c>
      <c r="U272" s="334">
        <v>150.0</v>
      </c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4"/>
      <c r="BE272" s="12"/>
      <c r="BF272" s="12"/>
      <c r="BG272" s="12" t="str">
        <f>IFERROR(__xludf.DUMMYFUNCTION("IFERROR(INDEX(QUERY(IMPORTRANGE(""1T7HG8KEs-Ob7f3M5atEVN9Yn7IeORGp0QGvggB62ELw"",""Maestro!A:I""),""SELECT Col8 WHERE Col3 = '""&amp;BD272&amp;""'"", 0), 1, 1),""NO ENCONTRADO"")"),"")</f>
        <v/>
      </c>
      <c r="BH272" s="12" t="str">
        <f>IFERROR(__xludf.DUMMYFUNCTION("IFERROR(INDEX(QUERY(IMPORTRANGE(""1T7HG8KEs-Ob7f3M5atEVN9Yn7IeORGp0QGvggB62ELw"",""Maestro!A:I""),""SELECT Col7 WHERE Col3 = '""&amp;BD272&amp;""'"", 0), 1, 1),""NO ENCONTRADO"")"),"")</f>
        <v/>
      </c>
      <c r="BI272" s="16">
        <f t="shared" si="9"/>
        <v>0</v>
      </c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4"/>
      <c r="BW272" s="14"/>
      <c r="BX272" s="14"/>
      <c r="BY272" s="14"/>
      <c r="BZ272" s="14"/>
      <c r="CA272" s="14"/>
      <c r="CB272" s="14"/>
      <c r="CC272" s="14"/>
      <c r="CD272" s="14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</row>
    <row r="273">
      <c r="A273" s="241" t="s">
        <v>558</v>
      </c>
      <c r="B273" s="242" t="s">
        <v>18</v>
      </c>
      <c r="C273" s="242" t="s">
        <v>465</v>
      </c>
      <c r="D273" s="243" t="str">
        <f t="shared" si="1"/>
        <v>PATIO-1-8</v>
      </c>
      <c r="E273" s="35">
        <v>45763.0</v>
      </c>
      <c r="F273" s="36" t="s">
        <v>778</v>
      </c>
      <c r="G273" s="37" t="s">
        <v>221</v>
      </c>
      <c r="H273" s="38" t="s">
        <v>222</v>
      </c>
      <c r="I273" s="39">
        <v>150.0</v>
      </c>
      <c r="J273" s="38" t="s">
        <v>22</v>
      </c>
      <c r="K273" s="32" t="str">
        <f t="shared" si="2"/>
        <v>OCUPADO</v>
      </c>
      <c r="L273" s="33">
        <f t="shared" si="10"/>
        <v>272</v>
      </c>
      <c r="M273" s="33" t="s">
        <v>23</v>
      </c>
      <c r="N273" s="53"/>
      <c r="O273" s="33" t="s">
        <v>24</v>
      </c>
      <c r="P273" s="335" t="s">
        <v>569</v>
      </c>
      <c r="Q273" s="336">
        <v>45763.0</v>
      </c>
      <c r="R273" s="337" t="s">
        <v>778</v>
      </c>
      <c r="S273" s="337" t="s">
        <v>221</v>
      </c>
      <c r="T273" s="33" t="s">
        <v>222</v>
      </c>
      <c r="U273" s="338">
        <v>150.0</v>
      </c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4"/>
      <c r="BE273" s="12"/>
      <c r="BF273" s="12"/>
      <c r="BG273" s="12" t="str">
        <f>IFERROR(__xludf.DUMMYFUNCTION("IFERROR(INDEX(QUERY(IMPORTRANGE(""1T7HG8KEs-Ob7f3M5atEVN9Yn7IeORGp0QGvggB62ELw"",""Maestro!A:I""),""SELECT Col8 WHERE Col3 = '""&amp;BD273&amp;""'"", 0), 1, 1),""NO ENCONTRADO"")"),"")</f>
        <v/>
      </c>
      <c r="BH273" s="12" t="str">
        <f>IFERROR(__xludf.DUMMYFUNCTION("IFERROR(INDEX(QUERY(IMPORTRANGE(""1T7HG8KEs-Ob7f3M5atEVN9Yn7IeORGp0QGvggB62ELw"",""Maestro!A:I""),""SELECT Col7 WHERE Col3 = '""&amp;BD273&amp;""'"", 0), 1, 1),""NO ENCONTRADO"")"),"")</f>
        <v/>
      </c>
      <c r="BI273" s="16">
        <f t="shared" si="9"/>
        <v>0</v>
      </c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4"/>
      <c r="BW273" s="14"/>
      <c r="BX273" s="14"/>
      <c r="BY273" s="14"/>
      <c r="BZ273" s="14"/>
      <c r="CA273" s="14"/>
      <c r="CB273" s="14"/>
      <c r="CC273" s="14"/>
      <c r="CD273" s="14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</row>
    <row r="274">
      <c r="A274" s="241" t="s">
        <v>558</v>
      </c>
      <c r="B274" s="242" t="s">
        <v>18</v>
      </c>
      <c r="C274" s="242" t="s">
        <v>511</v>
      </c>
      <c r="D274" s="243" t="str">
        <f t="shared" si="1"/>
        <v>PATIO-1-9</v>
      </c>
      <c r="E274" s="35">
        <v>45763.0</v>
      </c>
      <c r="F274" s="36" t="s">
        <v>778</v>
      </c>
      <c r="G274" s="37" t="s">
        <v>221</v>
      </c>
      <c r="H274" s="38" t="s">
        <v>222</v>
      </c>
      <c r="I274" s="39">
        <v>150.0</v>
      </c>
      <c r="J274" s="38" t="s">
        <v>22</v>
      </c>
      <c r="K274" s="27" t="str">
        <f t="shared" si="2"/>
        <v>OCUPADO</v>
      </c>
      <c r="L274" s="28">
        <f t="shared" si="10"/>
        <v>273</v>
      </c>
      <c r="M274" s="28" t="s">
        <v>23</v>
      </c>
      <c r="N274" s="70"/>
      <c r="O274" s="28" t="s">
        <v>24</v>
      </c>
      <c r="P274" s="331" t="s">
        <v>404</v>
      </c>
      <c r="Q274" s="332">
        <v>45763.0</v>
      </c>
      <c r="R274" s="333" t="s">
        <v>778</v>
      </c>
      <c r="S274" s="333" t="s">
        <v>221</v>
      </c>
      <c r="T274" s="28" t="s">
        <v>222</v>
      </c>
      <c r="U274" s="334">
        <v>150.0</v>
      </c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4"/>
      <c r="BE274" s="12"/>
      <c r="BF274" s="12"/>
      <c r="BG274" s="12" t="str">
        <f>IFERROR(__xludf.DUMMYFUNCTION("IFERROR(INDEX(QUERY(IMPORTRANGE(""1T7HG8KEs-Ob7f3M5atEVN9Yn7IeORGp0QGvggB62ELw"",""Maestro!A:I""),""SELECT Col8 WHERE Col3 = '""&amp;BD274&amp;""'"", 0), 1, 1),""NO ENCONTRADO"")"),"")</f>
        <v/>
      </c>
      <c r="BH274" s="12" t="str">
        <f>IFERROR(__xludf.DUMMYFUNCTION("IFERROR(INDEX(QUERY(IMPORTRANGE(""1T7HG8KEs-Ob7f3M5atEVN9Yn7IeORGp0QGvggB62ELw"",""Maestro!A:I""),""SELECT Col7 WHERE Col3 = '""&amp;BD274&amp;""'"", 0), 1, 1),""NO ENCONTRADO"")"),"")</f>
        <v/>
      </c>
      <c r="BI274" s="16">
        <f t="shared" si="9"/>
        <v>0</v>
      </c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4"/>
      <c r="BW274" s="14"/>
      <c r="BX274" s="14"/>
      <c r="BY274" s="14"/>
      <c r="BZ274" s="14"/>
      <c r="CA274" s="14"/>
      <c r="CB274" s="14"/>
      <c r="CC274" s="14"/>
      <c r="CD274" s="14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</row>
    <row r="275">
      <c r="A275" s="241" t="s">
        <v>558</v>
      </c>
      <c r="B275" s="242" t="s">
        <v>18</v>
      </c>
      <c r="C275" s="242" t="s">
        <v>296</v>
      </c>
      <c r="D275" s="243" t="str">
        <f t="shared" si="1"/>
        <v>PATIO-1-10</v>
      </c>
      <c r="E275" s="78">
        <v>45763.0</v>
      </c>
      <c r="F275" s="79" t="s">
        <v>778</v>
      </c>
      <c r="G275" s="246">
        <v>692043.0</v>
      </c>
      <c r="H275" s="81" t="s">
        <v>222</v>
      </c>
      <c r="I275" s="82">
        <v>150.0</v>
      </c>
      <c r="J275" s="81" t="s">
        <v>22</v>
      </c>
      <c r="K275" s="32" t="str">
        <f t="shared" si="2"/>
        <v>OCUPADO</v>
      </c>
      <c r="L275" s="33">
        <f t="shared" si="10"/>
        <v>274</v>
      </c>
      <c r="M275" s="33" t="s">
        <v>23</v>
      </c>
      <c r="N275" s="53"/>
      <c r="O275" s="384" t="s">
        <v>24</v>
      </c>
      <c r="P275" s="335" t="s">
        <v>349</v>
      </c>
      <c r="Q275" s="336">
        <v>45763.0</v>
      </c>
      <c r="R275" s="342" t="s">
        <v>778</v>
      </c>
      <c r="S275" s="33">
        <v>692043.0</v>
      </c>
      <c r="T275" s="33" t="s">
        <v>222</v>
      </c>
      <c r="U275" s="338">
        <v>150.0</v>
      </c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4"/>
      <c r="BE275" s="12"/>
      <c r="BF275" s="12"/>
      <c r="BG275" s="12" t="str">
        <f>IFERROR(__xludf.DUMMYFUNCTION("IFERROR(INDEX(QUERY(IMPORTRANGE(""1T7HG8KEs-Ob7f3M5atEVN9Yn7IeORGp0QGvggB62ELw"",""Maestro!A:I""),""SELECT Col8 WHERE Col3 = '""&amp;BD275&amp;""'"", 0), 1, 1),""NO ENCONTRADO"")"),"")</f>
        <v/>
      </c>
      <c r="BH275" s="12" t="str">
        <f>IFERROR(__xludf.DUMMYFUNCTION("IFERROR(INDEX(QUERY(IMPORTRANGE(""1T7HG8KEs-Ob7f3M5atEVN9Yn7IeORGp0QGvggB62ELw"",""Maestro!A:I""),""SELECT Col7 WHERE Col3 = '""&amp;BD275&amp;""'"", 0), 1, 1),""NO ENCONTRADO"")"),"")</f>
        <v/>
      </c>
      <c r="BI275" s="16">
        <f t="shared" si="9"/>
        <v>0</v>
      </c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4"/>
      <c r="BW275" s="14"/>
      <c r="BX275" s="14"/>
      <c r="BY275" s="14"/>
      <c r="BZ275" s="14"/>
      <c r="CA275" s="14"/>
      <c r="CB275" s="14"/>
      <c r="CC275" s="14"/>
      <c r="CD275" s="14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</row>
    <row r="276">
      <c r="A276" s="241" t="s">
        <v>558</v>
      </c>
      <c r="B276" s="242" t="s">
        <v>18</v>
      </c>
      <c r="C276" s="242" t="s">
        <v>316</v>
      </c>
      <c r="D276" s="243" t="str">
        <f t="shared" si="1"/>
        <v>PATIO-1-11</v>
      </c>
      <c r="E276" s="78">
        <v>45763.0</v>
      </c>
      <c r="F276" s="79" t="s">
        <v>779</v>
      </c>
      <c r="G276" s="246">
        <v>692043.0</v>
      </c>
      <c r="H276" s="81" t="s">
        <v>222</v>
      </c>
      <c r="I276" s="82">
        <v>150.0</v>
      </c>
      <c r="J276" s="81" t="s">
        <v>22</v>
      </c>
      <c r="K276" s="27" t="str">
        <f t="shared" si="2"/>
        <v>OCUPADO</v>
      </c>
      <c r="L276" s="28">
        <f t="shared" si="10"/>
        <v>275</v>
      </c>
      <c r="M276" s="28" t="s">
        <v>23</v>
      </c>
      <c r="N276" s="70"/>
      <c r="O276" s="385" t="s">
        <v>24</v>
      </c>
      <c r="P276" s="331" t="s">
        <v>352</v>
      </c>
      <c r="Q276" s="332">
        <v>45763.0</v>
      </c>
      <c r="R276" s="343" t="s">
        <v>779</v>
      </c>
      <c r="S276" s="28">
        <v>692043.0</v>
      </c>
      <c r="T276" s="28" t="s">
        <v>222</v>
      </c>
      <c r="U276" s="334">
        <v>150.0</v>
      </c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4"/>
      <c r="BE276" s="12"/>
      <c r="BF276" s="12"/>
      <c r="BG276" s="12" t="str">
        <f>IFERROR(__xludf.DUMMYFUNCTION("IFERROR(INDEX(QUERY(IMPORTRANGE(""1T7HG8KEs-Ob7f3M5atEVN9Yn7IeORGp0QGvggB62ELw"",""Maestro!A:I""),""SELECT Col8 WHERE Col3 = '""&amp;BD276&amp;""'"", 0), 1, 1),""NO ENCONTRADO"")"),"")</f>
        <v/>
      </c>
      <c r="BH276" s="12" t="str">
        <f>IFERROR(__xludf.DUMMYFUNCTION("IFERROR(INDEX(QUERY(IMPORTRANGE(""1T7HG8KEs-Ob7f3M5atEVN9Yn7IeORGp0QGvggB62ELw"",""Maestro!A:I""),""SELECT Col7 WHERE Col3 = '""&amp;BD276&amp;""'"", 0), 1, 1),""NO ENCONTRADO"")"),"")</f>
        <v/>
      </c>
      <c r="BI276" s="16">
        <f t="shared" si="9"/>
        <v>0</v>
      </c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4"/>
      <c r="BW276" s="14"/>
      <c r="BX276" s="14"/>
      <c r="BY276" s="14"/>
      <c r="BZ276" s="14"/>
      <c r="CA276" s="14"/>
      <c r="CB276" s="14"/>
      <c r="CC276" s="14"/>
      <c r="CD276" s="14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</row>
    <row r="277">
      <c r="A277" s="241" t="s">
        <v>558</v>
      </c>
      <c r="B277" s="242" t="s">
        <v>18</v>
      </c>
      <c r="C277" s="242" t="s">
        <v>336</v>
      </c>
      <c r="D277" s="243" t="str">
        <f t="shared" si="1"/>
        <v>PATIO-1-12</v>
      </c>
      <c r="E277" s="78">
        <v>45763.0</v>
      </c>
      <c r="F277" s="79" t="s">
        <v>779</v>
      </c>
      <c r="G277" s="246">
        <v>692043.0</v>
      </c>
      <c r="H277" s="81" t="s">
        <v>222</v>
      </c>
      <c r="I277" s="82">
        <v>150.0</v>
      </c>
      <c r="J277" s="81" t="s">
        <v>22</v>
      </c>
      <c r="K277" s="32" t="str">
        <f t="shared" si="2"/>
        <v>OCUPADO</v>
      </c>
      <c r="L277" s="33">
        <f t="shared" si="10"/>
        <v>276</v>
      </c>
      <c r="M277" s="33" t="s">
        <v>23</v>
      </c>
      <c r="N277" s="53"/>
      <c r="O277" s="384" t="s">
        <v>24</v>
      </c>
      <c r="P277" s="335" t="s">
        <v>357</v>
      </c>
      <c r="Q277" s="336">
        <v>45763.0</v>
      </c>
      <c r="R277" s="342" t="s">
        <v>779</v>
      </c>
      <c r="S277" s="33">
        <v>692043.0</v>
      </c>
      <c r="T277" s="33" t="s">
        <v>222</v>
      </c>
      <c r="U277" s="338">
        <v>150.0</v>
      </c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4"/>
      <c r="BE277" s="12"/>
      <c r="BF277" s="12"/>
      <c r="BG277" s="12" t="str">
        <f>IFERROR(__xludf.DUMMYFUNCTION("IFERROR(INDEX(QUERY(IMPORTRANGE(""1T7HG8KEs-Ob7f3M5atEVN9Yn7IeORGp0QGvggB62ELw"",""Maestro!A:I""),""SELECT Col8 WHERE Col3 = '""&amp;BD277&amp;""'"", 0), 1, 1),""NO ENCONTRADO"")"),"")</f>
        <v/>
      </c>
      <c r="BH277" s="12" t="str">
        <f>IFERROR(__xludf.DUMMYFUNCTION("IFERROR(INDEX(QUERY(IMPORTRANGE(""1T7HG8KEs-Ob7f3M5atEVN9Yn7IeORGp0QGvggB62ELw"",""Maestro!A:I""),""SELECT Col7 WHERE Col3 = '""&amp;BD277&amp;""'"", 0), 1, 1),""NO ENCONTRADO"")"),"")</f>
        <v/>
      </c>
      <c r="BI277" s="16">
        <f t="shared" si="9"/>
        <v>0</v>
      </c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4"/>
      <c r="BW277" s="14"/>
      <c r="BX277" s="14"/>
      <c r="BY277" s="14"/>
      <c r="BZ277" s="14"/>
      <c r="CA277" s="14"/>
      <c r="CB277" s="14"/>
      <c r="CC277" s="14"/>
      <c r="CD277" s="14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</row>
    <row r="278">
      <c r="A278" s="241" t="s">
        <v>558</v>
      </c>
      <c r="B278" s="242" t="s">
        <v>18</v>
      </c>
      <c r="C278" s="242" t="s">
        <v>350</v>
      </c>
      <c r="D278" s="243" t="str">
        <f t="shared" si="1"/>
        <v>PATIO-1-13</v>
      </c>
      <c r="E278" s="78">
        <v>45763.0</v>
      </c>
      <c r="F278" s="79" t="s">
        <v>779</v>
      </c>
      <c r="G278" s="246">
        <v>692043.0</v>
      </c>
      <c r="H278" s="81" t="s">
        <v>222</v>
      </c>
      <c r="I278" s="82">
        <v>150.0</v>
      </c>
      <c r="J278" s="81" t="s">
        <v>22</v>
      </c>
      <c r="K278" s="27" t="str">
        <f t="shared" si="2"/>
        <v>OCUPADO</v>
      </c>
      <c r="L278" s="28">
        <f t="shared" si="10"/>
        <v>277</v>
      </c>
      <c r="M278" s="28" t="s">
        <v>23</v>
      </c>
      <c r="N278" s="70"/>
      <c r="O278" s="385" t="s">
        <v>24</v>
      </c>
      <c r="P278" s="331" t="s">
        <v>360</v>
      </c>
      <c r="Q278" s="332">
        <v>45763.0</v>
      </c>
      <c r="R278" s="343" t="s">
        <v>779</v>
      </c>
      <c r="S278" s="28">
        <v>692043.0</v>
      </c>
      <c r="T278" s="28" t="s">
        <v>222</v>
      </c>
      <c r="U278" s="334">
        <v>150.0</v>
      </c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4"/>
      <c r="BE278" s="12"/>
      <c r="BF278" s="12"/>
      <c r="BG278" s="12" t="str">
        <f>IFERROR(__xludf.DUMMYFUNCTION("IFERROR(INDEX(QUERY(IMPORTRANGE(""1T7HG8KEs-Ob7f3M5atEVN9Yn7IeORGp0QGvggB62ELw"",""Maestro!A:I""),""SELECT Col8 WHERE Col3 = '""&amp;BD278&amp;""'"", 0), 1, 1),""NO ENCONTRADO"")"),"")</f>
        <v/>
      </c>
      <c r="BH278" s="12" t="str">
        <f>IFERROR(__xludf.DUMMYFUNCTION("IFERROR(INDEX(QUERY(IMPORTRANGE(""1T7HG8KEs-Ob7f3M5atEVN9Yn7IeORGp0QGvggB62ELw"",""Maestro!A:I""),""SELECT Col7 WHERE Col3 = '""&amp;BD278&amp;""'"", 0), 1, 1),""NO ENCONTRADO"")"),"")</f>
        <v/>
      </c>
      <c r="BI278" s="16">
        <f t="shared" si="9"/>
        <v>0</v>
      </c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4"/>
      <c r="BW278" s="14"/>
      <c r="BX278" s="14"/>
      <c r="BY278" s="14"/>
      <c r="BZ278" s="14"/>
      <c r="CA278" s="14"/>
      <c r="CB278" s="14"/>
      <c r="CC278" s="14"/>
      <c r="CD278" s="14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</row>
    <row r="279">
      <c r="A279" s="241" t="s">
        <v>558</v>
      </c>
      <c r="B279" s="242" t="s">
        <v>18</v>
      </c>
      <c r="C279" s="242" t="s">
        <v>362</v>
      </c>
      <c r="D279" s="243" t="str">
        <f t="shared" si="1"/>
        <v>PATIO-1-14</v>
      </c>
      <c r="E279" s="35">
        <v>45763.0</v>
      </c>
      <c r="F279" s="36" t="s">
        <v>779</v>
      </c>
      <c r="G279" s="37" t="s">
        <v>221</v>
      </c>
      <c r="H279" s="38" t="s">
        <v>222</v>
      </c>
      <c r="I279" s="39">
        <v>150.0</v>
      </c>
      <c r="J279" s="38" t="s">
        <v>22</v>
      </c>
      <c r="K279" s="32" t="str">
        <f t="shared" si="2"/>
        <v>OCUPADO</v>
      </c>
      <c r="L279" s="33">
        <f t="shared" si="10"/>
        <v>278</v>
      </c>
      <c r="M279" s="33" t="s">
        <v>23</v>
      </c>
      <c r="N279" s="53"/>
      <c r="O279" s="33" t="s">
        <v>24</v>
      </c>
      <c r="P279" s="335" t="s">
        <v>364</v>
      </c>
      <c r="Q279" s="336">
        <v>45763.0</v>
      </c>
      <c r="R279" s="337" t="s">
        <v>779</v>
      </c>
      <c r="S279" s="337" t="s">
        <v>221</v>
      </c>
      <c r="T279" s="33" t="s">
        <v>222</v>
      </c>
      <c r="U279" s="338">
        <v>150.0</v>
      </c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4"/>
      <c r="BE279" s="12"/>
      <c r="BF279" s="12"/>
      <c r="BG279" s="12" t="str">
        <f>IFERROR(__xludf.DUMMYFUNCTION("IFERROR(INDEX(QUERY(IMPORTRANGE(""1T7HG8KEs-Ob7f3M5atEVN9Yn7IeORGp0QGvggB62ELw"",""Maestro!A:I""),""SELECT Col8 WHERE Col3 = '""&amp;BD279&amp;""'"", 0), 1, 1),""NO ENCONTRADO"")"),"")</f>
        <v/>
      </c>
      <c r="BH279" s="12" t="str">
        <f>IFERROR(__xludf.DUMMYFUNCTION("IFERROR(INDEX(QUERY(IMPORTRANGE(""1T7HG8KEs-Ob7f3M5atEVN9Yn7IeORGp0QGvggB62ELw"",""Maestro!A:I""),""SELECT Col7 WHERE Col3 = '""&amp;BD279&amp;""'"", 0), 1, 1),""NO ENCONTRADO"")"),"")</f>
        <v/>
      </c>
      <c r="BI279" s="16">
        <f t="shared" si="9"/>
        <v>0</v>
      </c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4"/>
      <c r="BW279" s="14"/>
      <c r="BX279" s="14"/>
      <c r="BY279" s="14"/>
      <c r="BZ279" s="14"/>
      <c r="CA279" s="14"/>
      <c r="CB279" s="14"/>
      <c r="CC279" s="14"/>
      <c r="CD279" s="14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</row>
    <row r="280">
      <c r="A280" s="241" t="s">
        <v>558</v>
      </c>
      <c r="B280" s="242" t="s">
        <v>18</v>
      </c>
      <c r="C280" s="242" t="s">
        <v>372</v>
      </c>
      <c r="D280" s="243" t="str">
        <f t="shared" si="1"/>
        <v>PATIO-1-15</v>
      </c>
      <c r="E280" s="35">
        <v>45763.0</v>
      </c>
      <c r="F280" s="36" t="s">
        <v>779</v>
      </c>
      <c r="G280" s="37" t="s">
        <v>221</v>
      </c>
      <c r="H280" s="38" t="s">
        <v>222</v>
      </c>
      <c r="I280" s="39">
        <v>150.0</v>
      </c>
      <c r="J280" s="38" t="s">
        <v>22</v>
      </c>
      <c r="K280" s="27" t="str">
        <f t="shared" si="2"/>
        <v>OCUPADO</v>
      </c>
      <c r="L280" s="28">
        <f t="shared" si="10"/>
        <v>279</v>
      </c>
      <c r="M280" s="28" t="s">
        <v>23</v>
      </c>
      <c r="N280" s="70"/>
      <c r="O280" s="28" t="s">
        <v>24</v>
      </c>
      <c r="P280" s="331" t="s">
        <v>367</v>
      </c>
      <c r="Q280" s="332">
        <v>45763.0</v>
      </c>
      <c r="R280" s="333" t="s">
        <v>779</v>
      </c>
      <c r="S280" s="333" t="s">
        <v>221</v>
      </c>
      <c r="T280" s="28" t="s">
        <v>222</v>
      </c>
      <c r="U280" s="334">
        <v>150.0</v>
      </c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4"/>
      <c r="BE280" s="12"/>
      <c r="BF280" s="12"/>
      <c r="BG280" s="12" t="str">
        <f>IFERROR(__xludf.DUMMYFUNCTION("IFERROR(INDEX(QUERY(IMPORTRANGE(""1T7HG8KEs-Ob7f3M5atEVN9Yn7IeORGp0QGvggB62ELw"",""Maestro!A:I""),""SELECT Col8 WHERE Col3 = '""&amp;BD280&amp;""'"", 0), 1, 1),""NO ENCONTRADO"")"),"")</f>
        <v/>
      </c>
      <c r="BH280" s="12" t="str">
        <f>IFERROR(__xludf.DUMMYFUNCTION("IFERROR(INDEX(QUERY(IMPORTRANGE(""1T7HG8KEs-Ob7f3M5atEVN9Yn7IeORGp0QGvggB62ELw"",""Maestro!A:I""),""SELECT Col7 WHERE Col3 = '""&amp;BD280&amp;""'"", 0), 1, 1),""NO ENCONTRADO"")"),"")</f>
        <v/>
      </c>
      <c r="BI280" s="16">
        <f t="shared" si="9"/>
        <v>0</v>
      </c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4"/>
      <c r="BW280" s="14"/>
      <c r="BX280" s="14"/>
      <c r="BY280" s="14"/>
      <c r="BZ280" s="14"/>
      <c r="CA280" s="14"/>
      <c r="CB280" s="14"/>
      <c r="CC280" s="14"/>
      <c r="CD280" s="14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</row>
    <row r="281">
      <c r="A281" s="241" t="s">
        <v>558</v>
      </c>
      <c r="B281" s="242" t="s">
        <v>18</v>
      </c>
      <c r="C281" s="242" t="s">
        <v>382</v>
      </c>
      <c r="D281" s="243" t="str">
        <f t="shared" si="1"/>
        <v>PATIO-1-16</v>
      </c>
      <c r="E281" s="35">
        <v>45763.0</v>
      </c>
      <c r="F281" s="36" t="s">
        <v>779</v>
      </c>
      <c r="G281" s="37" t="s">
        <v>221</v>
      </c>
      <c r="H281" s="38" t="s">
        <v>222</v>
      </c>
      <c r="I281" s="39">
        <v>150.0</v>
      </c>
      <c r="J281" s="38" t="s">
        <v>22</v>
      </c>
      <c r="K281" s="32" t="str">
        <f t="shared" si="2"/>
        <v>OCUPADO</v>
      </c>
      <c r="L281" s="33">
        <f t="shared" si="10"/>
        <v>280</v>
      </c>
      <c r="M281" s="33" t="s">
        <v>23</v>
      </c>
      <c r="N281" s="53"/>
      <c r="O281" s="33" t="s">
        <v>24</v>
      </c>
      <c r="P281" s="335" t="s">
        <v>407</v>
      </c>
      <c r="Q281" s="336">
        <v>45763.0</v>
      </c>
      <c r="R281" s="337" t="s">
        <v>779</v>
      </c>
      <c r="S281" s="337" t="s">
        <v>221</v>
      </c>
      <c r="T281" s="33" t="s">
        <v>222</v>
      </c>
      <c r="U281" s="338">
        <v>150.0</v>
      </c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4"/>
      <c r="BE281" s="12"/>
      <c r="BF281" s="12"/>
      <c r="BG281" s="12" t="str">
        <f>IFERROR(__xludf.DUMMYFUNCTION("IFERROR(INDEX(QUERY(IMPORTRANGE(""1T7HG8KEs-Ob7f3M5atEVN9Yn7IeORGp0QGvggB62ELw"",""Maestro!A:I""),""SELECT Col8 WHERE Col3 = '""&amp;BD281&amp;""'"", 0), 1, 1),""NO ENCONTRADO"")"),"")</f>
        <v/>
      </c>
      <c r="BH281" s="12" t="str">
        <f>IFERROR(__xludf.DUMMYFUNCTION("IFERROR(INDEX(QUERY(IMPORTRANGE(""1T7HG8KEs-Ob7f3M5atEVN9Yn7IeORGp0QGvggB62ELw"",""Maestro!A:I""),""SELECT Col7 WHERE Col3 = '""&amp;BD281&amp;""'"", 0), 1, 1),""NO ENCONTRADO"")"),"")</f>
        <v/>
      </c>
      <c r="BI281" s="16">
        <f t="shared" si="9"/>
        <v>0</v>
      </c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4"/>
      <c r="BW281" s="14"/>
      <c r="BX281" s="14"/>
      <c r="BY281" s="14"/>
      <c r="BZ281" s="14"/>
      <c r="CA281" s="14"/>
      <c r="CB281" s="14"/>
      <c r="CC281" s="14"/>
      <c r="CD281" s="14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</row>
    <row r="282">
      <c r="A282" s="241" t="s">
        <v>558</v>
      </c>
      <c r="B282" s="242" t="s">
        <v>18</v>
      </c>
      <c r="C282" s="242" t="s">
        <v>396</v>
      </c>
      <c r="D282" s="243" t="str">
        <f t="shared" si="1"/>
        <v>PATIO-1-17</v>
      </c>
      <c r="E282" s="35">
        <v>45763.0</v>
      </c>
      <c r="F282" s="36" t="s">
        <v>780</v>
      </c>
      <c r="G282" s="37" t="s">
        <v>221</v>
      </c>
      <c r="H282" s="38" t="s">
        <v>222</v>
      </c>
      <c r="I282" s="39">
        <v>150.0</v>
      </c>
      <c r="J282" s="38" t="s">
        <v>22</v>
      </c>
      <c r="K282" s="27" t="str">
        <f t="shared" si="2"/>
        <v>OCUPADO</v>
      </c>
      <c r="L282" s="28">
        <f t="shared" si="10"/>
        <v>281</v>
      </c>
      <c r="M282" s="28" t="s">
        <v>23</v>
      </c>
      <c r="N282" s="70"/>
      <c r="O282" s="28" t="s">
        <v>24</v>
      </c>
      <c r="P282" s="331" t="s">
        <v>370</v>
      </c>
      <c r="Q282" s="332">
        <v>45763.0</v>
      </c>
      <c r="R282" s="333" t="s">
        <v>780</v>
      </c>
      <c r="S282" s="333" t="s">
        <v>221</v>
      </c>
      <c r="T282" s="28" t="s">
        <v>222</v>
      </c>
      <c r="U282" s="334">
        <v>150.0</v>
      </c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4"/>
      <c r="BE282" s="12"/>
      <c r="BF282" s="12"/>
      <c r="BG282" s="12"/>
      <c r="BH282" s="12"/>
      <c r="BI282" s="16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4"/>
      <c r="BW282" s="14"/>
      <c r="BX282" s="14"/>
      <c r="BY282" s="14"/>
      <c r="BZ282" s="14"/>
      <c r="CA282" s="14"/>
      <c r="CB282" s="14"/>
      <c r="CC282" s="14"/>
      <c r="CD282" s="14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</row>
    <row r="283">
      <c r="A283" s="241" t="s">
        <v>558</v>
      </c>
      <c r="B283" s="242" t="s">
        <v>18</v>
      </c>
      <c r="C283" s="242" t="s">
        <v>411</v>
      </c>
      <c r="D283" s="243" t="str">
        <f t="shared" si="1"/>
        <v>PATIO-1-18</v>
      </c>
      <c r="E283" s="35">
        <v>45763.0</v>
      </c>
      <c r="F283" s="36" t="s">
        <v>497</v>
      </c>
      <c r="G283" s="37" t="s">
        <v>221</v>
      </c>
      <c r="H283" s="38" t="s">
        <v>222</v>
      </c>
      <c r="I283" s="39">
        <v>205.0</v>
      </c>
      <c r="J283" s="38" t="s">
        <v>22</v>
      </c>
      <c r="K283" s="32" t="str">
        <f t="shared" si="2"/>
        <v>OCUPADO</v>
      </c>
      <c r="L283" s="33">
        <f t="shared" si="10"/>
        <v>282</v>
      </c>
      <c r="M283" s="33" t="s">
        <v>23</v>
      </c>
      <c r="N283" s="53"/>
      <c r="O283" s="33" t="s">
        <v>24</v>
      </c>
      <c r="P283" s="335" t="s">
        <v>374</v>
      </c>
      <c r="Q283" s="336">
        <v>45763.0</v>
      </c>
      <c r="R283" s="337" t="s">
        <v>497</v>
      </c>
      <c r="S283" s="337" t="s">
        <v>221</v>
      </c>
      <c r="T283" s="33" t="s">
        <v>222</v>
      </c>
      <c r="U283" s="338">
        <v>205.0</v>
      </c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4"/>
      <c r="BE283" s="12"/>
      <c r="BF283" s="12"/>
      <c r="BG283" s="12"/>
      <c r="BH283" s="12"/>
      <c r="BI283" s="16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4"/>
      <c r="BW283" s="14"/>
      <c r="BX283" s="14"/>
      <c r="BY283" s="14"/>
      <c r="BZ283" s="14"/>
      <c r="CA283" s="14"/>
      <c r="CB283" s="14"/>
      <c r="CC283" s="14"/>
      <c r="CD283" s="14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</row>
    <row r="284">
      <c r="A284" s="241" t="s">
        <v>558</v>
      </c>
      <c r="B284" s="242" t="s">
        <v>18</v>
      </c>
      <c r="C284" s="242" t="s">
        <v>425</v>
      </c>
      <c r="D284" s="243" t="str">
        <f t="shared" si="1"/>
        <v>PATIO-1-19</v>
      </c>
      <c r="E284" s="35">
        <v>45763.0</v>
      </c>
      <c r="F284" s="36" t="s">
        <v>497</v>
      </c>
      <c r="G284" s="37" t="s">
        <v>221</v>
      </c>
      <c r="H284" s="38" t="s">
        <v>222</v>
      </c>
      <c r="I284" s="39">
        <v>150.0</v>
      </c>
      <c r="J284" s="38" t="s">
        <v>22</v>
      </c>
      <c r="K284" s="27" t="str">
        <f t="shared" si="2"/>
        <v>OCUPADO</v>
      </c>
      <c r="L284" s="28">
        <f t="shared" ref="L284:L288" si="11">IF(B279&lt;&gt;"", ROW(A279), "")
</f>
        <v>279</v>
      </c>
      <c r="M284" s="28" t="s">
        <v>23</v>
      </c>
      <c r="N284" s="70"/>
      <c r="O284" s="28" t="s">
        <v>24</v>
      </c>
      <c r="P284" s="331" t="s">
        <v>377</v>
      </c>
      <c r="Q284" s="332">
        <v>45763.0</v>
      </c>
      <c r="R284" s="333" t="s">
        <v>497</v>
      </c>
      <c r="S284" s="333" t="s">
        <v>221</v>
      </c>
      <c r="T284" s="28" t="s">
        <v>222</v>
      </c>
      <c r="U284" s="334">
        <v>150.0</v>
      </c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4"/>
      <c r="BE284" s="12"/>
      <c r="BF284" s="12"/>
      <c r="BG284" s="12"/>
      <c r="BH284" s="12"/>
      <c r="BI284" s="16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4"/>
      <c r="BW284" s="14"/>
      <c r="BX284" s="14"/>
      <c r="BY284" s="14"/>
      <c r="BZ284" s="14"/>
      <c r="CA284" s="14"/>
      <c r="CB284" s="14"/>
      <c r="CC284" s="14"/>
      <c r="CD284" s="14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</row>
    <row r="285">
      <c r="A285" s="241" t="s">
        <v>558</v>
      </c>
      <c r="B285" s="242" t="s">
        <v>18</v>
      </c>
      <c r="C285" s="242" t="s">
        <v>451</v>
      </c>
      <c r="D285" s="243" t="str">
        <f t="shared" si="1"/>
        <v>PATIO-1-20</v>
      </c>
      <c r="E285" s="35">
        <v>45763.0</v>
      </c>
      <c r="F285" s="36" t="s">
        <v>497</v>
      </c>
      <c r="G285" s="37" t="s">
        <v>221</v>
      </c>
      <c r="H285" s="38" t="s">
        <v>222</v>
      </c>
      <c r="I285" s="39">
        <v>150.0</v>
      </c>
      <c r="J285" s="38" t="s">
        <v>22</v>
      </c>
      <c r="K285" s="32" t="str">
        <f t="shared" si="2"/>
        <v>OCUPADO</v>
      </c>
      <c r="L285" s="33">
        <f t="shared" si="11"/>
        <v>280</v>
      </c>
      <c r="M285" s="33" t="s">
        <v>23</v>
      </c>
      <c r="N285" s="53"/>
      <c r="O285" s="33" t="s">
        <v>24</v>
      </c>
      <c r="P285" s="335" t="s">
        <v>426</v>
      </c>
      <c r="Q285" s="336">
        <v>45763.0</v>
      </c>
      <c r="R285" s="337" t="s">
        <v>497</v>
      </c>
      <c r="S285" s="337" t="s">
        <v>221</v>
      </c>
      <c r="T285" s="33" t="s">
        <v>222</v>
      </c>
      <c r="U285" s="338">
        <v>150.0</v>
      </c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4"/>
      <c r="BE285" s="12"/>
      <c r="BF285" s="12"/>
      <c r="BG285" s="12"/>
      <c r="BH285" s="12"/>
      <c r="BI285" s="16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4"/>
      <c r="BW285" s="14"/>
      <c r="BX285" s="14"/>
      <c r="BY285" s="14"/>
      <c r="BZ285" s="14"/>
      <c r="CA285" s="14"/>
      <c r="CB285" s="14"/>
      <c r="CC285" s="14"/>
      <c r="CD285" s="14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</row>
    <row r="286">
      <c r="A286" s="241" t="s">
        <v>558</v>
      </c>
      <c r="B286" s="242" t="s">
        <v>18</v>
      </c>
      <c r="C286" s="242" t="s">
        <v>467</v>
      </c>
      <c r="D286" s="243" t="str">
        <f t="shared" si="1"/>
        <v>PATIO-1-21</v>
      </c>
      <c r="E286" s="35">
        <v>45763.0</v>
      </c>
      <c r="F286" s="36" t="s">
        <v>497</v>
      </c>
      <c r="G286" s="37" t="s">
        <v>221</v>
      </c>
      <c r="H286" s="38" t="s">
        <v>222</v>
      </c>
      <c r="I286" s="39">
        <v>93.0</v>
      </c>
      <c r="J286" s="38" t="s">
        <v>22</v>
      </c>
      <c r="K286" s="27" t="str">
        <f t="shared" si="2"/>
        <v>OCUPADO</v>
      </c>
      <c r="L286" s="28">
        <f t="shared" si="11"/>
        <v>281</v>
      </c>
      <c r="M286" s="28" t="s">
        <v>23</v>
      </c>
      <c r="N286" s="70"/>
      <c r="O286" s="28" t="s">
        <v>24</v>
      </c>
      <c r="P286" s="331" t="s">
        <v>384</v>
      </c>
      <c r="Q286" s="332">
        <v>45763.0</v>
      </c>
      <c r="R286" s="333" t="s">
        <v>497</v>
      </c>
      <c r="S286" s="333" t="s">
        <v>221</v>
      </c>
      <c r="T286" s="28" t="s">
        <v>222</v>
      </c>
      <c r="U286" s="334">
        <v>93.0</v>
      </c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4"/>
      <c r="BE286" s="12"/>
      <c r="BF286" s="12"/>
      <c r="BG286" s="12"/>
      <c r="BH286" s="12"/>
      <c r="BI286" s="16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4"/>
      <c r="BW286" s="14"/>
      <c r="BX286" s="14"/>
      <c r="BY286" s="14"/>
      <c r="BZ286" s="14"/>
      <c r="CA286" s="14"/>
      <c r="CB286" s="14"/>
      <c r="CC286" s="14"/>
      <c r="CD286" s="14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</row>
    <row r="287">
      <c r="A287" s="241" t="s">
        <v>558</v>
      </c>
      <c r="B287" s="242" t="s">
        <v>18</v>
      </c>
      <c r="C287" s="242" t="s">
        <v>620</v>
      </c>
      <c r="D287" s="243" t="str">
        <f t="shared" si="1"/>
        <v>PATIO-1-22</v>
      </c>
      <c r="E287" s="35">
        <v>45763.0</v>
      </c>
      <c r="F287" s="36" t="s">
        <v>497</v>
      </c>
      <c r="G287" s="37" t="s">
        <v>221</v>
      </c>
      <c r="H287" s="38" t="s">
        <v>222</v>
      </c>
      <c r="I287" s="39">
        <v>150.0</v>
      </c>
      <c r="J287" s="38" t="s">
        <v>22</v>
      </c>
      <c r="K287" s="32" t="str">
        <f t="shared" si="2"/>
        <v>OCUPADO</v>
      </c>
      <c r="L287" s="33">
        <f t="shared" si="11"/>
        <v>282</v>
      </c>
      <c r="M287" s="33" t="s">
        <v>23</v>
      </c>
      <c r="N287" s="53"/>
      <c r="O287" s="33" t="s">
        <v>24</v>
      </c>
      <c r="P287" s="335" t="s">
        <v>387</v>
      </c>
      <c r="Q287" s="336">
        <v>45763.0</v>
      </c>
      <c r="R287" s="337" t="s">
        <v>497</v>
      </c>
      <c r="S287" s="337" t="s">
        <v>221</v>
      </c>
      <c r="T287" s="33" t="s">
        <v>222</v>
      </c>
      <c r="U287" s="338">
        <v>150.0</v>
      </c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4"/>
      <c r="BE287" s="12"/>
      <c r="BF287" s="12"/>
      <c r="BG287" s="12"/>
      <c r="BH287" s="12"/>
      <c r="BI287" s="16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4"/>
      <c r="BW287" s="14"/>
      <c r="BX287" s="14"/>
      <c r="BY287" s="14"/>
      <c r="BZ287" s="14"/>
      <c r="CA287" s="14"/>
      <c r="CB287" s="14"/>
      <c r="CC287" s="14"/>
      <c r="CD287" s="14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</row>
    <row r="288">
      <c r="A288" s="241" t="s">
        <v>558</v>
      </c>
      <c r="B288" s="242" t="s">
        <v>18</v>
      </c>
      <c r="C288" s="242" t="s">
        <v>561</v>
      </c>
      <c r="D288" s="243" t="str">
        <f t="shared" si="1"/>
        <v>PATIO-1-23</v>
      </c>
      <c r="E288" s="35">
        <v>45763.0</v>
      </c>
      <c r="F288" s="36" t="s">
        <v>781</v>
      </c>
      <c r="G288" s="37" t="s">
        <v>221</v>
      </c>
      <c r="H288" s="38" t="s">
        <v>222</v>
      </c>
      <c r="I288" s="39">
        <v>150.0</v>
      </c>
      <c r="J288" s="38" t="s">
        <v>22</v>
      </c>
      <c r="K288" s="27" t="str">
        <f t="shared" si="2"/>
        <v>OCUPADO</v>
      </c>
      <c r="L288" s="28">
        <f t="shared" si="11"/>
        <v>283</v>
      </c>
      <c r="M288" s="28" t="s">
        <v>23</v>
      </c>
      <c r="N288" s="70"/>
      <c r="O288" s="28" t="s">
        <v>24</v>
      </c>
      <c r="P288" s="331" t="s">
        <v>562</v>
      </c>
      <c r="Q288" s="332">
        <v>45763.0</v>
      </c>
      <c r="R288" s="333" t="s">
        <v>781</v>
      </c>
      <c r="S288" s="333" t="s">
        <v>221</v>
      </c>
      <c r="T288" s="28" t="s">
        <v>222</v>
      </c>
      <c r="U288" s="334">
        <v>150.0</v>
      </c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4"/>
      <c r="BE288" s="12"/>
      <c r="BF288" s="12"/>
      <c r="BG288" s="12"/>
      <c r="BH288" s="12"/>
      <c r="BI288" s="16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4"/>
      <c r="BW288" s="14"/>
      <c r="BX288" s="14"/>
      <c r="BY288" s="14"/>
      <c r="BZ288" s="14"/>
      <c r="CA288" s="14"/>
      <c r="CB288" s="14"/>
      <c r="CC288" s="14"/>
      <c r="CD288" s="14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</row>
    <row r="289">
      <c r="A289" s="241" t="s">
        <v>558</v>
      </c>
      <c r="B289" s="242" t="s">
        <v>18</v>
      </c>
      <c r="C289" s="242" t="s">
        <v>563</v>
      </c>
      <c r="D289" s="243" t="str">
        <f t="shared" si="1"/>
        <v>PATIO-1-24</v>
      </c>
      <c r="E289" s="35">
        <v>45763.0</v>
      </c>
      <c r="F289" s="36" t="s">
        <v>781</v>
      </c>
      <c r="G289" s="37" t="s">
        <v>221</v>
      </c>
      <c r="H289" s="38" t="s">
        <v>222</v>
      </c>
      <c r="I289" s="39">
        <v>150.0</v>
      </c>
      <c r="J289" s="38" t="s">
        <v>22</v>
      </c>
      <c r="K289" s="32" t="str">
        <f t="shared" si="2"/>
        <v>OCUPADO</v>
      </c>
      <c r="L289" s="33">
        <f t="shared" ref="L289:L291" si="12">IF(B281&lt;&gt;"", ROW(A281), "")
</f>
        <v>281</v>
      </c>
      <c r="M289" s="33" t="s">
        <v>23</v>
      </c>
      <c r="N289" s="53"/>
      <c r="O289" s="33" t="s">
        <v>24</v>
      </c>
      <c r="P289" s="335" t="s">
        <v>564</v>
      </c>
      <c r="Q289" s="336">
        <v>45763.0</v>
      </c>
      <c r="R289" s="337" t="s">
        <v>781</v>
      </c>
      <c r="S289" s="337" t="s">
        <v>221</v>
      </c>
      <c r="T289" s="33" t="s">
        <v>222</v>
      </c>
      <c r="U289" s="338">
        <v>150.0</v>
      </c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4"/>
      <c r="BE289" s="12"/>
      <c r="BF289" s="12"/>
      <c r="BG289" s="12"/>
      <c r="BH289" s="12"/>
      <c r="BI289" s="16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4"/>
      <c r="BW289" s="14"/>
      <c r="BX289" s="14"/>
      <c r="BY289" s="14"/>
      <c r="BZ289" s="14"/>
      <c r="CA289" s="14"/>
      <c r="CB289" s="14"/>
      <c r="CC289" s="14"/>
      <c r="CD289" s="14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</row>
    <row r="290">
      <c r="A290" s="241" t="s">
        <v>558</v>
      </c>
      <c r="B290" s="242" t="s">
        <v>18</v>
      </c>
      <c r="C290" s="242" t="s">
        <v>565</v>
      </c>
      <c r="D290" s="243" t="str">
        <f t="shared" si="1"/>
        <v>PATIO-1-25</v>
      </c>
      <c r="E290" s="35">
        <v>45763.0</v>
      </c>
      <c r="F290" s="36" t="s">
        <v>781</v>
      </c>
      <c r="G290" s="37" t="s">
        <v>221</v>
      </c>
      <c r="H290" s="38" t="s">
        <v>222</v>
      </c>
      <c r="I290" s="39">
        <v>150.0</v>
      </c>
      <c r="J290" s="38" t="s">
        <v>22</v>
      </c>
      <c r="K290" s="27" t="str">
        <f t="shared" si="2"/>
        <v>OCUPADO</v>
      </c>
      <c r="L290" s="28">
        <f t="shared" si="12"/>
        <v>282</v>
      </c>
      <c r="M290" s="28" t="s">
        <v>23</v>
      </c>
      <c r="N290" s="70"/>
      <c r="O290" s="28" t="s">
        <v>24</v>
      </c>
      <c r="P290" s="331" t="s">
        <v>566</v>
      </c>
      <c r="Q290" s="332">
        <v>45763.0</v>
      </c>
      <c r="R290" s="333" t="s">
        <v>781</v>
      </c>
      <c r="S290" s="333" t="s">
        <v>221</v>
      </c>
      <c r="T290" s="28" t="s">
        <v>222</v>
      </c>
      <c r="U290" s="334">
        <v>150.0</v>
      </c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4"/>
      <c r="BE290" s="12"/>
      <c r="BF290" s="12"/>
      <c r="BG290" s="12"/>
      <c r="BH290" s="12"/>
      <c r="BI290" s="16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4"/>
      <c r="BW290" s="14"/>
      <c r="BX290" s="14"/>
      <c r="BY290" s="14"/>
      <c r="BZ290" s="14"/>
      <c r="CA290" s="14"/>
      <c r="CB290" s="14"/>
      <c r="CC290" s="14"/>
      <c r="CD290" s="14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</row>
    <row r="291">
      <c r="A291" s="250" t="s">
        <v>558</v>
      </c>
      <c r="B291" s="251" t="s">
        <v>18</v>
      </c>
      <c r="C291" s="251" t="s">
        <v>622</v>
      </c>
      <c r="D291" s="252" t="str">
        <f t="shared" si="1"/>
        <v>PATIO-1-26</v>
      </c>
      <c r="E291" s="253">
        <v>45763.0</v>
      </c>
      <c r="F291" s="254" t="s">
        <v>781</v>
      </c>
      <c r="G291" s="255" t="s">
        <v>221</v>
      </c>
      <c r="H291" s="256" t="s">
        <v>222</v>
      </c>
      <c r="I291" s="257">
        <v>150.0</v>
      </c>
      <c r="J291" s="256" t="s">
        <v>22</v>
      </c>
      <c r="K291" s="154" t="str">
        <f t="shared" si="2"/>
        <v>OCUPADO</v>
      </c>
      <c r="L291" s="155">
        <f t="shared" si="12"/>
        <v>283</v>
      </c>
      <c r="M291" s="156" t="s">
        <v>23</v>
      </c>
      <c r="N291" s="156"/>
      <c r="O291" s="156" t="s">
        <v>24</v>
      </c>
      <c r="P291" s="335" t="s">
        <v>390</v>
      </c>
      <c r="Q291" s="336">
        <v>45763.0</v>
      </c>
      <c r="R291" s="337" t="s">
        <v>781</v>
      </c>
      <c r="S291" s="337" t="s">
        <v>221</v>
      </c>
      <c r="T291" s="33" t="s">
        <v>222</v>
      </c>
      <c r="U291" s="338">
        <v>150.0</v>
      </c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4"/>
      <c r="BE291" s="12"/>
      <c r="BF291" s="12"/>
      <c r="BG291" s="12"/>
      <c r="BH291" s="12"/>
      <c r="BI291" s="16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4"/>
      <c r="BW291" s="14"/>
      <c r="BX291" s="14"/>
      <c r="BY291" s="14"/>
      <c r="BZ291" s="14"/>
      <c r="CA291" s="14"/>
      <c r="CB291" s="14"/>
      <c r="CC291" s="14"/>
      <c r="CD291" s="14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</row>
    <row r="292">
      <c r="A292" s="258" t="s">
        <v>254</v>
      </c>
      <c r="B292" s="259" t="s">
        <v>465</v>
      </c>
      <c r="C292" s="259" t="s">
        <v>629</v>
      </c>
      <c r="D292" s="260" t="str">
        <f t="shared" si="1"/>
        <v>R-8-B1</v>
      </c>
      <c r="E292" s="78">
        <v>45758.0</v>
      </c>
      <c r="F292" s="88" t="s">
        <v>782</v>
      </c>
      <c r="G292" s="80" t="s">
        <v>346</v>
      </c>
      <c r="H292" s="81" t="s">
        <v>347</v>
      </c>
      <c r="I292" s="82">
        <v>8.0</v>
      </c>
      <c r="J292" s="81" t="s">
        <v>478</v>
      </c>
      <c r="K292" s="27" t="str">
        <f t="shared" si="2"/>
        <v>OCUPADO</v>
      </c>
      <c r="L292" s="28">
        <f>IF(B281&lt;&gt;"", ROW(A281), "")
</f>
        <v>281</v>
      </c>
      <c r="M292" s="261" t="s">
        <v>724</v>
      </c>
      <c r="N292" s="264"/>
      <c r="O292" s="358" t="s">
        <v>270</v>
      </c>
      <c r="P292" s="359" t="s">
        <v>477</v>
      </c>
      <c r="Q292" s="360">
        <v>45758.0</v>
      </c>
      <c r="R292" s="361" t="s">
        <v>782</v>
      </c>
      <c r="S292" s="361" t="s">
        <v>346</v>
      </c>
      <c r="T292" s="358" t="s">
        <v>347</v>
      </c>
      <c r="U292" s="362">
        <v>6.0</v>
      </c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4"/>
      <c r="BE292" s="12"/>
      <c r="BF292" s="12"/>
      <c r="BG292" s="12" t="str">
        <f>IFERROR(__xludf.DUMMYFUNCTION("IFERROR(INDEX(QUERY(IMPORTRANGE(""1T7HG8KEs-Ob7f3M5atEVN9Yn7IeORGp0QGvggB62ELw"",""Maestro!A:I""),""SELECT Col8 WHERE Col3 = '""&amp;BD292&amp;""'"", 0), 1, 1),""NO ENCONTRADO"")"),"")</f>
        <v/>
      </c>
      <c r="BH292" s="12" t="str">
        <f>IFERROR(__xludf.DUMMYFUNCTION("IFERROR(INDEX(QUERY(IMPORTRANGE(""1T7HG8KEs-Ob7f3M5atEVN9Yn7IeORGp0QGvggB62ELw"",""Maestro!A:I""),""SELECT Col7 WHERE Col3 = '""&amp;BD292&amp;""'"", 0), 1, 1),""NO ENCONTRADO"")"),"")</f>
        <v/>
      </c>
      <c r="BI292" s="16">
        <f t="shared" ref="BI292:BI295" si="13">IFERROR(ROUND(IF(BG292="D",BF292/BH292,BF292*BH292),0),1)</f>
        <v>0</v>
      </c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4"/>
      <c r="BW292" s="14"/>
      <c r="BX292" s="14"/>
      <c r="BY292" s="14"/>
      <c r="BZ292" s="14"/>
      <c r="CA292" s="14"/>
      <c r="CB292" s="14"/>
      <c r="CC292" s="14"/>
      <c r="CD292" s="14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</row>
    <row r="293">
      <c r="A293" s="258" t="s">
        <v>254</v>
      </c>
      <c r="B293" s="259" t="s">
        <v>465</v>
      </c>
      <c r="C293" s="259" t="s">
        <v>633</v>
      </c>
      <c r="D293" s="260" t="str">
        <f t="shared" si="1"/>
        <v>R-8-B2</v>
      </c>
      <c r="E293" s="72"/>
      <c r="F293" s="77"/>
      <c r="G293" s="325"/>
      <c r="H293" s="75"/>
      <c r="I293" s="76"/>
      <c r="J293" s="75"/>
      <c r="K293" s="32" t="str">
        <f t="shared" si="2"/>
        <v>DISPONIBLE</v>
      </c>
      <c r="L293" s="33">
        <f t="shared" ref="L293:L439" si="14">IF(B292&lt;&gt;"", ROW(A292), "")
</f>
        <v>292</v>
      </c>
      <c r="M293" s="261" t="s">
        <v>724</v>
      </c>
      <c r="N293" s="262"/>
      <c r="O293" s="353"/>
      <c r="P293" s="354" t="s">
        <v>487</v>
      </c>
      <c r="Q293" s="355"/>
      <c r="R293" s="363"/>
      <c r="S293" s="353"/>
      <c r="T293" s="353"/>
      <c r="U293" s="357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4"/>
      <c r="BE293" s="12"/>
      <c r="BF293" s="12"/>
      <c r="BG293" s="12" t="str">
        <f>IFERROR(__xludf.DUMMYFUNCTION("IFERROR(INDEX(QUERY(IMPORTRANGE(""1T7HG8KEs-Ob7f3M5atEVN9Yn7IeORGp0QGvggB62ELw"",""Maestro!A:I""),""SELECT Col8 WHERE Col3 = '""&amp;BD293&amp;""'"", 0), 1, 1),""NO ENCONTRADO"")"),"")</f>
        <v/>
      </c>
      <c r="BH293" s="12" t="str">
        <f>IFERROR(__xludf.DUMMYFUNCTION("IFERROR(INDEX(QUERY(IMPORTRANGE(""1T7HG8KEs-Ob7f3M5atEVN9Yn7IeORGp0QGvggB62ELw"",""Maestro!A:I""),""SELECT Col7 WHERE Col3 = '""&amp;BD293&amp;""'"", 0), 1, 1),""NO ENCONTRADO"")"),"")</f>
        <v/>
      </c>
      <c r="BI293" s="16">
        <f t="shared" si="13"/>
        <v>0</v>
      </c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4"/>
      <c r="BW293" s="14"/>
      <c r="BX293" s="14"/>
      <c r="BY293" s="14"/>
      <c r="BZ293" s="14"/>
      <c r="CA293" s="14"/>
      <c r="CB293" s="14"/>
      <c r="CC293" s="14"/>
      <c r="CD293" s="14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</row>
    <row r="294">
      <c r="A294" s="258" t="s">
        <v>254</v>
      </c>
      <c r="B294" s="259" t="s">
        <v>465</v>
      </c>
      <c r="C294" s="259" t="s">
        <v>635</v>
      </c>
      <c r="D294" s="260" t="str">
        <f t="shared" si="1"/>
        <v>R-8-B3</v>
      </c>
      <c r="E294" s="78">
        <v>45756.0</v>
      </c>
      <c r="F294" s="88" t="s">
        <v>783</v>
      </c>
      <c r="G294" s="80" t="s">
        <v>111</v>
      </c>
      <c r="H294" s="81" t="s">
        <v>112</v>
      </c>
      <c r="I294" s="82">
        <v>4.0</v>
      </c>
      <c r="J294" s="81" t="s">
        <v>478</v>
      </c>
      <c r="K294" s="27" t="str">
        <f t="shared" si="2"/>
        <v>OCUPADO</v>
      </c>
      <c r="L294" s="28">
        <f t="shared" si="14"/>
        <v>293</v>
      </c>
      <c r="M294" s="261" t="s">
        <v>724</v>
      </c>
      <c r="N294" s="264"/>
      <c r="O294" s="358" t="s">
        <v>270</v>
      </c>
      <c r="P294" s="359" t="s">
        <v>491</v>
      </c>
      <c r="Q294" s="360">
        <v>45756.0</v>
      </c>
      <c r="R294" s="361" t="s">
        <v>783</v>
      </c>
      <c r="S294" s="361" t="s">
        <v>111</v>
      </c>
      <c r="T294" s="358" t="s">
        <v>112</v>
      </c>
      <c r="U294" s="362">
        <v>4.0</v>
      </c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4"/>
      <c r="BE294" s="12"/>
      <c r="BF294" s="12"/>
      <c r="BG294" s="12" t="str">
        <f>IFERROR(__xludf.DUMMYFUNCTION("IFERROR(INDEX(QUERY(IMPORTRANGE(""1T7HG8KEs-Ob7f3M5atEVN9Yn7IeORGp0QGvggB62ELw"",""Maestro!A:I""),""SELECT Col8 WHERE Col3 = '""&amp;BD294&amp;""'"", 0), 1, 1),""NO ENCONTRADO"")"),"")</f>
        <v/>
      </c>
      <c r="BH294" s="12" t="str">
        <f>IFERROR(__xludf.DUMMYFUNCTION("IFERROR(INDEX(QUERY(IMPORTRANGE(""1T7HG8KEs-Ob7f3M5atEVN9Yn7IeORGp0QGvggB62ELw"",""Maestro!A:I""),""SELECT Col7 WHERE Col3 = '""&amp;BD294&amp;""'"", 0), 1, 1),""NO ENCONTRADO"")"),"")</f>
        <v/>
      </c>
      <c r="BI294" s="16">
        <f t="shared" si="13"/>
        <v>0</v>
      </c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4"/>
      <c r="BW294" s="14"/>
      <c r="BX294" s="14"/>
      <c r="BY294" s="14"/>
      <c r="BZ294" s="14"/>
      <c r="CA294" s="14"/>
      <c r="CB294" s="14"/>
      <c r="CC294" s="14"/>
      <c r="CD294" s="14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</row>
    <row r="295">
      <c r="A295" s="258" t="s">
        <v>254</v>
      </c>
      <c r="B295" s="259" t="s">
        <v>465</v>
      </c>
      <c r="C295" s="259" t="s">
        <v>637</v>
      </c>
      <c r="D295" s="260" t="str">
        <f t="shared" si="1"/>
        <v>R-8-B4</v>
      </c>
      <c r="E295" s="78">
        <v>45756.0</v>
      </c>
      <c r="F295" s="88" t="s">
        <v>784</v>
      </c>
      <c r="G295" s="80" t="s">
        <v>80</v>
      </c>
      <c r="H295" s="81" t="s">
        <v>81</v>
      </c>
      <c r="I295" s="82">
        <v>1.0</v>
      </c>
      <c r="J295" s="81" t="s">
        <v>478</v>
      </c>
      <c r="K295" s="32" t="str">
        <f t="shared" si="2"/>
        <v>OCUPADO</v>
      </c>
      <c r="L295" s="33">
        <f t="shared" si="14"/>
        <v>294</v>
      </c>
      <c r="M295" s="261" t="s">
        <v>724</v>
      </c>
      <c r="N295" s="262"/>
      <c r="O295" s="353" t="s">
        <v>270</v>
      </c>
      <c r="P295" s="354" t="s">
        <v>495</v>
      </c>
      <c r="Q295" s="355">
        <v>45756.0</v>
      </c>
      <c r="R295" s="356" t="s">
        <v>784</v>
      </c>
      <c r="S295" s="356" t="s">
        <v>80</v>
      </c>
      <c r="T295" s="353" t="s">
        <v>81</v>
      </c>
      <c r="U295" s="357">
        <v>1.0</v>
      </c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4"/>
      <c r="BE295" s="12"/>
      <c r="BF295" s="12"/>
      <c r="BG295" s="12" t="str">
        <f>IFERROR(__xludf.DUMMYFUNCTION("IFERROR(INDEX(QUERY(IMPORTRANGE(""1T7HG8KEs-Ob7f3M5atEVN9Yn7IeORGp0QGvggB62ELw"",""Maestro!A:I""),""SELECT Col8 WHERE Col3 = '""&amp;BD295&amp;""'"", 0), 1, 1),""NO ENCONTRADO"")"),"")</f>
        <v/>
      </c>
      <c r="BH295" s="12" t="str">
        <f>IFERROR(__xludf.DUMMYFUNCTION("IFERROR(INDEX(QUERY(IMPORTRANGE(""1T7HG8KEs-Ob7f3M5atEVN9Yn7IeORGp0QGvggB62ELw"",""Maestro!A:I""),""SELECT Col7 WHERE Col3 = '""&amp;BD295&amp;""'"", 0), 1, 1),""NO ENCONTRADO"")"),"")</f>
        <v/>
      </c>
      <c r="BI295" s="16">
        <f t="shared" si="13"/>
        <v>0</v>
      </c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4"/>
      <c r="BW295" s="14"/>
      <c r="BX295" s="14"/>
      <c r="BY295" s="14"/>
      <c r="BZ295" s="14"/>
      <c r="CA295" s="14"/>
      <c r="CB295" s="14"/>
      <c r="CC295" s="14"/>
      <c r="CD295" s="14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</row>
    <row r="296">
      <c r="A296" s="258" t="s">
        <v>254</v>
      </c>
      <c r="B296" s="259" t="s">
        <v>465</v>
      </c>
      <c r="C296" s="259" t="s">
        <v>589</v>
      </c>
      <c r="D296" s="260" t="str">
        <f t="shared" si="1"/>
        <v>R-8-B5</v>
      </c>
      <c r="E296" s="78">
        <v>45758.0</v>
      </c>
      <c r="F296" s="88" t="s">
        <v>785</v>
      </c>
      <c r="G296" s="80" t="s">
        <v>249</v>
      </c>
      <c r="H296" s="81" t="s">
        <v>250</v>
      </c>
      <c r="I296" s="82">
        <v>3.0</v>
      </c>
      <c r="J296" s="81" t="s">
        <v>478</v>
      </c>
      <c r="K296" s="27" t="str">
        <f t="shared" si="2"/>
        <v>OCUPADO</v>
      </c>
      <c r="L296" s="28">
        <f t="shared" si="14"/>
        <v>295</v>
      </c>
      <c r="M296" s="261" t="s">
        <v>724</v>
      </c>
      <c r="N296" s="264"/>
      <c r="O296" s="358" t="s">
        <v>270</v>
      </c>
      <c r="P296" s="359" t="s">
        <v>590</v>
      </c>
      <c r="Q296" s="360">
        <v>45758.0</v>
      </c>
      <c r="R296" s="361" t="s">
        <v>785</v>
      </c>
      <c r="S296" s="361" t="s">
        <v>249</v>
      </c>
      <c r="T296" s="358" t="s">
        <v>250</v>
      </c>
      <c r="U296" s="362">
        <v>2.0</v>
      </c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4"/>
      <c r="BE296" s="12"/>
      <c r="BF296" s="12"/>
      <c r="BG296" s="12"/>
      <c r="BH296" s="12"/>
      <c r="BI296" s="16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4"/>
      <c r="BW296" s="14"/>
      <c r="BX296" s="14"/>
      <c r="BY296" s="14"/>
      <c r="BZ296" s="14"/>
      <c r="CA296" s="14"/>
      <c r="CB296" s="14"/>
      <c r="CC296" s="14"/>
      <c r="CD296" s="14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</row>
    <row r="297">
      <c r="A297" s="258" t="s">
        <v>254</v>
      </c>
      <c r="B297" s="259" t="s">
        <v>465</v>
      </c>
      <c r="C297" s="259" t="s">
        <v>639</v>
      </c>
      <c r="D297" s="260" t="str">
        <f t="shared" si="1"/>
        <v>R-8-B6</v>
      </c>
      <c r="E297" s="78">
        <v>45758.0</v>
      </c>
      <c r="F297" s="88" t="s">
        <v>786</v>
      </c>
      <c r="G297" s="80" t="s">
        <v>196</v>
      </c>
      <c r="H297" s="81" t="s">
        <v>197</v>
      </c>
      <c r="I297" s="82">
        <v>24.0</v>
      </c>
      <c r="J297" s="81" t="s">
        <v>478</v>
      </c>
      <c r="K297" s="32" t="str">
        <f t="shared" si="2"/>
        <v>OCUPADO</v>
      </c>
      <c r="L297" s="33">
        <f t="shared" si="14"/>
        <v>296</v>
      </c>
      <c r="M297" s="261" t="s">
        <v>724</v>
      </c>
      <c r="N297" s="262"/>
      <c r="O297" s="353" t="s">
        <v>270</v>
      </c>
      <c r="P297" s="354" t="s">
        <v>499</v>
      </c>
      <c r="Q297" s="355">
        <v>45758.0</v>
      </c>
      <c r="R297" s="356" t="s">
        <v>786</v>
      </c>
      <c r="S297" s="356" t="s">
        <v>196</v>
      </c>
      <c r="T297" s="353" t="s">
        <v>197</v>
      </c>
      <c r="U297" s="357">
        <v>24.0</v>
      </c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4"/>
      <c r="BE297" s="12"/>
      <c r="BF297" s="12"/>
      <c r="BG297" s="12" t="str">
        <f>IFERROR(__xludf.DUMMYFUNCTION("IFERROR(INDEX(QUERY(IMPORTRANGE(""1T7HG8KEs-Ob7f3M5atEVN9Yn7IeORGp0QGvggB62ELw"",""Maestro!A:I""),""SELECT Col8 WHERE Col3 = '""&amp;BD297&amp;""'"", 0), 1, 1),""NO ENCONTRADO"")"),"")</f>
        <v/>
      </c>
      <c r="BH297" s="12" t="str">
        <f>IFERROR(__xludf.DUMMYFUNCTION("IFERROR(INDEX(QUERY(IMPORTRANGE(""1T7HG8KEs-Ob7f3M5atEVN9Yn7IeORGp0QGvggB62ELw"",""Maestro!A:I""),""SELECT Col7 WHERE Col3 = '""&amp;BD297&amp;""'"", 0), 1, 1),""NO ENCONTRADO"")"),"")</f>
        <v/>
      </c>
      <c r="BI297" s="16">
        <f t="shared" ref="BI297:BI936" si="15">IFERROR(ROUND(IF(BG297="D",BF297/BH297,BF297*BH297),0),1)</f>
        <v>0</v>
      </c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4"/>
      <c r="BW297" s="14"/>
      <c r="BX297" s="14"/>
      <c r="BY297" s="14"/>
      <c r="BZ297" s="14"/>
      <c r="CA297" s="14"/>
      <c r="CB297" s="14"/>
      <c r="CC297" s="14"/>
      <c r="CD297" s="14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</row>
    <row r="298">
      <c r="A298" s="258" t="s">
        <v>254</v>
      </c>
      <c r="B298" s="259" t="s">
        <v>465</v>
      </c>
      <c r="C298" s="259" t="s">
        <v>641</v>
      </c>
      <c r="D298" s="260" t="str">
        <f t="shared" si="1"/>
        <v>R-8-B7</v>
      </c>
      <c r="E298" s="78">
        <v>45758.0</v>
      </c>
      <c r="F298" s="88" t="s">
        <v>787</v>
      </c>
      <c r="G298" s="80" t="s">
        <v>87</v>
      </c>
      <c r="H298" s="81" t="s">
        <v>88</v>
      </c>
      <c r="I298" s="82">
        <v>8.0</v>
      </c>
      <c r="J298" s="81" t="s">
        <v>478</v>
      </c>
      <c r="K298" s="27" t="str">
        <f t="shared" si="2"/>
        <v>OCUPADO</v>
      </c>
      <c r="L298" s="28">
        <f t="shared" si="14"/>
        <v>297</v>
      </c>
      <c r="M298" s="261" t="s">
        <v>724</v>
      </c>
      <c r="N298" s="264"/>
      <c r="O298" s="358" t="s">
        <v>270</v>
      </c>
      <c r="P298" s="359" t="s">
        <v>503</v>
      </c>
      <c r="Q298" s="360">
        <v>45758.0</v>
      </c>
      <c r="R298" s="361" t="s">
        <v>787</v>
      </c>
      <c r="S298" s="361" t="s">
        <v>87</v>
      </c>
      <c r="T298" s="358" t="s">
        <v>88</v>
      </c>
      <c r="U298" s="362">
        <v>8.0</v>
      </c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4"/>
      <c r="BE298" s="12"/>
      <c r="BF298" s="12"/>
      <c r="BG298" s="12" t="str">
        <f>IFERROR(__xludf.DUMMYFUNCTION("IFERROR(INDEX(QUERY(IMPORTRANGE(""1T7HG8KEs-Ob7f3M5atEVN9Yn7IeORGp0QGvggB62ELw"",""Maestro!A:I""),""SELECT Col8 WHERE Col3 = '""&amp;BD298&amp;""'"", 0), 1, 1),""NO ENCONTRADO"")"),"")</f>
        <v/>
      </c>
      <c r="BH298" s="12" t="str">
        <f>IFERROR(__xludf.DUMMYFUNCTION("IFERROR(INDEX(QUERY(IMPORTRANGE(""1T7HG8KEs-Ob7f3M5atEVN9Yn7IeORGp0QGvggB62ELw"",""Maestro!A:I""),""SELECT Col7 WHERE Col3 = '""&amp;BD298&amp;""'"", 0), 1, 1),""NO ENCONTRADO"")"),"")</f>
        <v/>
      </c>
      <c r="BI298" s="16">
        <f t="shared" si="15"/>
        <v>0</v>
      </c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4"/>
      <c r="BW298" s="14"/>
      <c r="BX298" s="14"/>
      <c r="BY298" s="14"/>
      <c r="BZ298" s="14"/>
      <c r="CA298" s="14"/>
      <c r="CB298" s="14"/>
      <c r="CC298" s="14"/>
      <c r="CD298" s="14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</row>
    <row r="299">
      <c r="A299" s="258" t="s">
        <v>254</v>
      </c>
      <c r="B299" s="259" t="s">
        <v>465</v>
      </c>
      <c r="C299" s="259" t="s">
        <v>591</v>
      </c>
      <c r="D299" s="260" t="str">
        <f t="shared" si="1"/>
        <v>R-8-B8</v>
      </c>
      <c r="E299" s="78">
        <v>45699.0</v>
      </c>
      <c r="F299" s="88" t="s">
        <v>788</v>
      </c>
      <c r="G299" s="80" t="s">
        <v>301</v>
      </c>
      <c r="H299" s="81" t="s">
        <v>302</v>
      </c>
      <c r="I299" s="82">
        <v>4.0</v>
      </c>
      <c r="J299" s="81" t="s">
        <v>463</v>
      </c>
      <c r="K299" s="32" t="str">
        <f t="shared" si="2"/>
        <v>OCUPADO</v>
      </c>
      <c r="L299" s="33">
        <f t="shared" si="14"/>
        <v>298</v>
      </c>
      <c r="M299" s="261" t="s">
        <v>724</v>
      </c>
      <c r="N299" s="262"/>
      <c r="O299" s="353" t="s">
        <v>270</v>
      </c>
      <c r="P299" s="354" t="s">
        <v>592</v>
      </c>
      <c r="Q299" s="355">
        <v>45699.0</v>
      </c>
      <c r="R299" s="356" t="s">
        <v>788</v>
      </c>
      <c r="S299" s="356" t="s">
        <v>301</v>
      </c>
      <c r="T299" s="353" t="s">
        <v>302</v>
      </c>
      <c r="U299" s="357">
        <v>4.0</v>
      </c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4"/>
      <c r="BE299" s="12"/>
      <c r="BF299" s="12"/>
      <c r="BG299" s="12" t="str">
        <f>IFERROR(__xludf.DUMMYFUNCTION("IFERROR(INDEX(QUERY(IMPORTRANGE(""1T7HG8KEs-Ob7f3M5atEVN9Yn7IeORGp0QGvggB62ELw"",""Maestro!A:I""),""SELECT Col8 WHERE Col3 = '""&amp;BD299&amp;""'"", 0), 1, 1),""NO ENCONTRADO"")"),"")</f>
        <v/>
      </c>
      <c r="BH299" s="12" t="str">
        <f>IFERROR(__xludf.DUMMYFUNCTION("IFERROR(INDEX(QUERY(IMPORTRANGE(""1T7HG8KEs-Ob7f3M5atEVN9Yn7IeORGp0QGvggB62ELw"",""Maestro!A:I""),""SELECT Col7 WHERE Col3 = '""&amp;BD299&amp;""'"", 0), 1, 1),""NO ENCONTRADO"")"),"")</f>
        <v/>
      </c>
      <c r="BI299" s="16">
        <f t="shared" si="15"/>
        <v>0</v>
      </c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4"/>
      <c r="BW299" s="14"/>
      <c r="BX299" s="14"/>
      <c r="BY299" s="14"/>
      <c r="BZ299" s="14"/>
      <c r="CA299" s="14"/>
      <c r="CB299" s="14"/>
      <c r="CC299" s="14"/>
      <c r="CD299" s="14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</row>
    <row r="300">
      <c r="A300" s="258" t="s">
        <v>254</v>
      </c>
      <c r="B300" s="259" t="s">
        <v>465</v>
      </c>
      <c r="C300" s="259" t="s">
        <v>643</v>
      </c>
      <c r="D300" s="260" t="str">
        <f t="shared" si="1"/>
        <v>R-8-B9</v>
      </c>
      <c r="E300" s="78">
        <v>45735.0</v>
      </c>
      <c r="F300" s="88" t="s">
        <v>786</v>
      </c>
      <c r="G300" s="80" t="s">
        <v>238</v>
      </c>
      <c r="H300" s="81" t="s">
        <v>239</v>
      </c>
      <c r="I300" s="82">
        <v>1.0</v>
      </c>
      <c r="J300" s="81" t="s">
        <v>478</v>
      </c>
      <c r="K300" s="27" t="str">
        <f t="shared" si="2"/>
        <v>OCUPADO</v>
      </c>
      <c r="L300" s="28">
        <f t="shared" si="14"/>
        <v>299</v>
      </c>
      <c r="M300" s="261" t="s">
        <v>724</v>
      </c>
      <c r="N300" s="264"/>
      <c r="O300" s="358" t="s">
        <v>270</v>
      </c>
      <c r="P300" s="359" t="s">
        <v>506</v>
      </c>
      <c r="Q300" s="360">
        <v>45735.0</v>
      </c>
      <c r="R300" s="361" t="s">
        <v>786</v>
      </c>
      <c r="S300" s="361" t="s">
        <v>238</v>
      </c>
      <c r="T300" s="358" t="s">
        <v>239</v>
      </c>
      <c r="U300" s="362">
        <v>1.0</v>
      </c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4"/>
      <c r="BE300" s="12"/>
      <c r="BF300" s="12"/>
      <c r="BG300" s="12" t="str">
        <f>IFERROR(__xludf.DUMMYFUNCTION("IFERROR(INDEX(QUERY(IMPORTRANGE(""1T7HG8KEs-Ob7f3M5atEVN9Yn7IeORGp0QGvggB62ELw"",""Maestro!A:I""),""SELECT Col8 WHERE Col3 = '""&amp;BD300&amp;""'"", 0), 1, 1),""NO ENCONTRADO"")"),"")</f>
        <v/>
      </c>
      <c r="BH300" s="12" t="str">
        <f>IFERROR(__xludf.DUMMYFUNCTION("IFERROR(INDEX(QUERY(IMPORTRANGE(""1T7HG8KEs-Ob7f3M5atEVN9Yn7IeORGp0QGvggB62ELw"",""Maestro!A:I""),""SELECT Col7 WHERE Col3 = '""&amp;BD300&amp;""'"", 0), 1, 1),""NO ENCONTRADO"")"),"")</f>
        <v/>
      </c>
      <c r="BI300" s="16">
        <f t="shared" si="15"/>
        <v>0</v>
      </c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4"/>
      <c r="BW300" s="14"/>
      <c r="BX300" s="14"/>
      <c r="BY300" s="14"/>
      <c r="BZ300" s="14"/>
      <c r="CA300" s="14"/>
      <c r="CB300" s="14"/>
      <c r="CC300" s="14"/>
      <c r="CD300" s="14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</row>
    <row r="301">
      <c r="A301" s="258" t="s">
        <v>254</v>
      </c>
      <c r="B301" s="259" t="s">
        <v>465</v>
      </c>
      <c r="C301" s="259" t="s">
        <v>631</v>
      </c>
      <c r="D301" s="260" t="str">
        <f t="shared" si="1"/>
        <v>R-8-B10</v>
      </c>
      <c r="E301" s="78">
        <v>45744.0</v>
      </c>
      <c r="F301" s="88" t="s">
        <v>731</v>
      </c>
      <c r="G301" s="80" t="s">
        <v>320</v>
      </c>
      <c r="H301" s="81" t="s">
        <v>321</v>
      </c>
      <c r="I301" s="82">
        <v>17.0</v>
      </c>
      <c r="J301" s="81" t="s">
        <v>478</v>
      </c>
      <c r="K301" s="32" t="str">
        <f t="shared" si="2"/>
        <v>OCUPADO</v>
      </c>
      <c r="L301" s="33">
        <f t="shared" si="14"/>
        <v>300</v>
      </c>
      <c r="M301" s="261" t="s">
        <v>724</v>
      </c>
      <c r="N301" s="262"/>
      <c r="O301" s="353" t="s">
        <v>270</v>
      </c>
      <c r="P301" s="354" t="s">
        <v>482</v>
      </c>
      <c r="Q301" s="355">
        <v>45744.0</v>
      </c>
      <c r="R301" s="356" t="s">
        <v>731</v>
      </c>
      <c r="S301" s="356" t="s">
        <v>320</v>
      </c>
      <c r="T301" s="353" t="s">
        <v>321</v>
      </c>
      <c r="U301" s="357">
        <v>11.0</v>
      </c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4"/>
      <c r="BE301" s="12"/>
      <c r="BF301" s="12"/>
      <c r="BG301" s="12" t="str">
        <f>IFERROR(__xludf.DUMMYFUNCTION("IFERROR(INDEX(QUERY(IMPORTRANGE(""1T7HG8KEs-Ob7f3M5atEVN9Yn7IeORGp0QGvggB62ELw"",""Maestro!A:I""),""SELECT Col8 WHERE Col3 = '""&amp;BD301&amp;""'"", 0), 1, 1),""NO ENCONTRADO"")"),"")</f>
        <v/>
      </c>
      <c r="BH301" s="12" t="str">
        <f>IFERROR(__xludf.DUMMYFUNCTION("IFERROR(INDEX(QUERY(IMPORTRANGE(""1T7HG8KEs-Ob7f3M5atEVN9Yn7IeORGp0QGvggB62ELw"",""Maestro!A:I""),""SELECT Col7 WHERE Col3 = '""&amp;BD301&amp;""'"", 0), 1, 1),""NO ENCONTRADO"")"),"")</f>
        <v/>
      </c>
      <c r="BI301" s="16">
        <f t="shared" si="15"/>
        <v>0</v>
      </c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4"/>
      <c r="BW301" s="14"/>
      <c r="BX301" s="14"/>
      <c r="BY301" s="14"/>
      <c r="BZ301" s="14"/>
      <c r="CA301" s="14"/>
      <c r="CB301" s="14"/>
      <c r="CC301" s="14"/>
      <c r="CD301" s="14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</row>
    <row r="302">
      <c r="A302" s="258" t="s">
        <v>254</v>
      </c>
      <c r="B302" s="259" t="s">
        <v>465</v>
      </c>
      <c r="C302" s="259" t="s">
        <v>571</v>
      </c>
      <c r="D302" s="260" t="str">
        <f t="shared" si="1"/>
        <v>R-8-B11</v>
      </c>
      <c r="E302" s="78">
        <v>45737.0</v>
      </c>
      <c r="F302" s="88" t="s">
        <v>786</v>
      </c>
      <c r="G302" s="80" t="s">
        <v>294</v>
      </c>
      <c r="H302" s="81" t="s">
        <v>295</v>
      </c>
      <c r="I302" s="82">
        <v>3.0</v>
      </c>
      <c r="J302" s="81" t="s">
        <v>478</v>
      </c>
      <c r="K302" s="27" t="str">
        <f t="shared" si="2"/>
        <v>OCUPADO</v>
      </c>
      <c r="L302" s="28">
        <f t="shared" si="14"/>
        <v>301</v>
      </c>
      <c r="M302" s="261" t="s">
        <v>724</v>
      </c>
      <c r="N302" s="264"/>
      <c r="O302" s="358" t="s">
        <v>270</v>
      </c>
      <c r="P302" s="359" t="s">
        <v>572</v>
      </c>
      <c r="Q302" s="360">
        <v>45737.0</v>
      </c>
      <c r="R302" s="361" t="s">
        <v>786</v>
      </c>
      <c r="S302" s="361" t="s">
        <v>294</v>
      </c>
      <c r="T302" s="358" t="s">
        <v>295</v>
      </c>
      <c r="U302" s="362">
        <v>3.0</v>
      </c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4"/>
      <c r="BE302" s="12"/>
      <c r="BF302" s="12"/>
      <c r="BG302" s="12" t="str">
        <f>IFERROR(__xludf.DUMMYFUNCTION("IFERROR(INDEX(QUERY(IMPORTRANGE(""1T7HG8KEs-Ob7f3M5atEVN9Yn7IeORGp0QGvggB62ELw"",""Maestro!A:I""),""SELECT Col8 WHERE Col3 = '""&amp;BD302&amp;""'"", 0), 1, 1),""NO ENCONTRADO"")"),"")</f>
        <v/>
      </c>
      <c r="BH302" s="12" t="str">
        <f>IFERROR(__xludf.DUMMYFUNCTION("IFERROR(INDEX(QUERY(IMPORTRANGE(""1T7HG8KEs-Ob7f3M5atEVN9Yn7IeORGp0QGvggB62ELw"",""Maestro!A:I""),""SELECT Col7 WHERE Col3 = '""&amp;BD302&amp;""'"", 0), 1, 1),""NO ENCONTRADO"")"),"")</f>
        <v/>
      </c>
      <c r="BI302" s="16">
        <f t="shared" si="15"/>
        <v>0</v>
      </c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4"/>
      <c r="BW302" s="14"/>
      <c r="BX302" s="14"/>
      <c r="BY302" s="14"/>
      <c r="BZ302" s="14"/>
      <c r="CA302" s="14"/>
      <c r="CB302" s="14"/>
      <c r="CC302" s="14"/>
      <c r="CD302" s="14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</row>
    <row r="303">
      <c r="A303" s="258" t="s">
        <v>254</v>
      </c>
      <c r="B303" s="259" t="s">
        <v>465</v>
      </c>
      <c r="C303" s="259" t="s">
        <v>574</v>
      </c>
      <c r="D303" s="260" t="str">
        <f t="shared" si="1"/>
        <v>R-8-B12</v>
      </c>
      <c r="E303" s="72"/>
      <c r="F303" s="77"/>
      <c r="G303" s="265"/>
      <c r="H303" s="75"/>
      <c r="I303" s="76"/>
      <c r="J303" s="75"/>
      <c r="K303" s="32" t="str">
        <f t="shared" si="2"/>
        <v>DISPONIBLE</v>
      </c>
      <c r="L303" s="33">
        <f t="shared" si="14"/>
        <v>302</v>
      </c>
      <c r="M303" s="261" t="s">
        <v>724</v>
      </c>
      <c r="N303" s="262"/>
      <c r="O303" s="386"/>
      <c r="P303" s="387" t="s">
        <v>575</v>
      </c>
      <c r="Q303" s="376"/>
      <c r="R303" s="377"/>
      <c r="S303" s="387"/>
      <c r="T303" s="366"/>
      <c r="U303" s="378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4"/>
      <c r="BE303" s="12"/>
      <c r="BF303" s="12"/>
      <c r="BG303" s="12" t="str">
        <f>IFERROR(__xludf.DUMMYFUNCTION("IFERROR(INDEX(QUERY(IMPORTRANGE(""1T7HG8KEs-Ob7f3M5atEVN9Yn7IeORGp0QGvggB62ELw"",""Maestro!A:I""),""SELECT Col8 WHERE Col3 = '""&amp;BD303&amp;""'"", 0), 1, 1),""NO ENCONTRADO"")"),"")</f>
        <v/>
      </c>
      <c r="BH303" s="12" t="str">
        <f>IFERROR(__xludf.DUMMYFUNCTION("IFERROR(INDEX(QUERY(IMPORTRANGE(""1T7HG8KEs-Ob7f3M5atEVN9Yn7IeORGp0QGvggB62ELw"",""Maestro!A:I""),""SELECT Col7 WHERE Col3 = '""&amp;BD303&amp;""'"", 0), 1, 1),""NO ENCONTRADO"")"),"")</f>
        <v/>
      </c>
      <c r="BI303" s="16">
        <f t="shared" si="15"/>
        <v>0</v>
      </c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4"/>
      <c r="BW303" s="14"/>
      <c r="BX303" s="14"/>
      <c r="BY303" s="14"/>
      <c r="BZ303" s="14"/>
      <c r="CA303" s="14"/>
      <c r="CB303" s="14"/>
      <c r="CC303" s="14"/>
      <c r="CD303" s="14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</row>
    <row r="304">
      <c r="A304" s="258" t="s">
        <v>254</v>
      </c>
      <c r="B304" s="259" t="s">
        <v>465</v>
      </c>
      <c r="C304" s="259" t="s">
        <v>578</v>
      </c>
      <c r="D304" s="260" t="str">
        <f t="shared" si="1"/>
        <v>R-8-B13</v>
      </c>
      <c r="E304" s="72"/>
      <c r="F304" s="77"/>
      <c r="G304" s="265"/>
      <c r="H304" s="75"/>
      <c r="I304" s="76"/>
      <c r="J304" s="75"/>
      <c r="K304" s="27" t="str">
        <f t="shared" si="2"/>
        <v>DISPONIBLE</v>
      </c>
      <c r="L304" s="28">
        <f t="shared" si="14"/>
        <v>303</v>
      </c>
      <c r="M304" s="261" t="s">
        <v>724</v>
      </c>
      <c r="N304" s="264"/>
      <c r="O304" s="388"/>
      <c r="P304" s="389" t="s">
        <v>579</v>
      </c>
      <c r="Q304" s="379"/>
      <c r="R304" s="380"/>
      <c r="S304" s="389"/>
      <c r="T304" s="371"/>
      <c r="U304" s="381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4"/>
      <c r="BE304" s="12"/>
      <c r="BF304" s="12"/>
      <c r="BG304" s="12" t="str">
        <f>IFERROR(__xludf.DUMMYFUNCTION("IFERROR(INDEX(QUERY(IMPORTRANGE(""1T7HG8KEs-Ob7f3M5atEVN9Yn7IeORGp0QGvggB62ELw"",""Maestro!A:I""),""SELECT Col8 WHERE Col3 = '""&amp;BD304&amp;""'"", 0), 1, 1),""NO ENCONTRADO"")"),"")</f>
        <v/>
      </c>
      <c r="BH304" s="12" t="str">
        <f>IFERROR(__xludf.DUMMYFUNCTION("IFERROR(INDEX(QUERY(IMPORTRANGE(""1T7HG8KEs-Ob7f3M5atEVN9Yn7IeORGp0QGvggB62ELw"",""Maestro!A:I""),""SELECT Col7 WHERE Col3 = '""&amp;BD304&amp;""'"", 0), 1, 1),""NO ENCONTRADO"")"),"")</f>
        <v/>
      </c>
      <c r="BI304" s="16">
        <f t="shared" si="15"/>
        <v>0</v>
      </c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4"/>
      <c r="BW304" s="14"/>
      <c r="BX304" s="14"/>
      <c r="BY304" s="14"/>
      <c r="BZ304" s="14"/>
      <c r="CA304" s="14"/>
      <c r="CB304" s="14"/>
      <c r="CC304" s="14"/>
      <c r="CD304" s="14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</row>
    <row r="305">
      <c r="A305" s="258" t="s">
        <v>254</v>
      </c>
      <c r="B305" s="259" t="s">
        <v>465</v>
      </c>
      <c r="C305" s="259" t="s">
        <v>581</v>
      </c>
      <c r="D305" s="260" t="str">
        <f t="shared" si="1"/>
        <v>R-8-B14</v>
      </c>
      <c r="E305" s="72"/>
      <c r="F305" s="77"/>
      <c r="G305" s="265"/>
      <c r="H305" s="75"/>
      <c r="I305" s="76"/>
      <c r="J305" s="75"/>
      <c r="K305" s="32" t="str">
        <f t="shared" si="2"/>
        <v>DISPONIBLE</v>
      </c>
      <c r="L305" s="33">
        <f t="shared" si="14"/>
        <v>304</v>
      </c>
      <c r="M305" s="261" t="s">
        <v>724</v>
      </c>
      <c r="N305" s="262"/>
      <c r="O305" s="386"/>
      <c r="P305" s="387" t="s">
        <v>582</v>
      </c>
      <c r="Q305" s="376"/>
      <c r="R305" s="377"/>
      <c r="S305" s="387"/>
      <c r="T305" s="366"/>
      <c r="U305" s="378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4"/>
      <c r="BE305" s="12"/>
      <c r="BF305" s="12"/>
      <c r="BG305" s="12" t="str">
        <f>IFERROR(__xludf.DUMMYFUNCTION("IFERROR(INDEX(QUERY(IMPORTRANGE(""1T7HG8KEs-Ob7f3M5atEVN9Yn7IeORGp0QGvggB62ELw"",""Maestro!A:I""),""SELECT Col8 WHERE Col3 = '""&amp;BD305&amp;""'"", 0), 1, 1),""NO ENCONTRADO"")"),"")</f>
        <v/>
      </c>
      <c r="BH305" s="12" t="str">
        <f>IFERROR(__xludf.DUMMYFUNCTION("IFERROR(INDEX(QUERY(IMPORTRANGE(""1T7HG8KEs-Ob7f3M5atEVN9Yn7IeORGp0QGvggB62ELw"",""Maestro!A:I""),""SELECT Col7 WHERE Col3 = '""&amp;BD305&amp;""'"", 0), 1, 1),""NO ENCONTRADO"")"),"")</f>
        <v/>
      </c>
      <c r="BI305" s="16">
        <f t="shared" si="15"/>
        <v>0</v>
      </c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4"/>
      <c r="BW305" s="14"/>
      <c r="BX305" s="14"/>
      <c r="BY305" s="14"/>
      <c r="BZ305" s="14"/>
      <c r="CA305" s="14"/>
      <c r="CB305" s="14"/>
      <c r="CC305" s="14"/>
      <c r="CD305" s="14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</row>
    <row r="306">
      <c r="A306" s="258" t="s">
        <v>254</v>
      </c>
      <c r="B306" s="259" t="s">
        <v>465</v>
      </c>
      <c r="C306" s="259" t="s">
        <v>584</v>
      </c>
      <c r="D306" s="260" t="str">
        <f t="shared" si="1"/>
        <v>R-8-B15</v>
      </c>
      <c r="E306" s="72"/>
      <c r="F306" s="77"/>
      <c r="G306" s="265"/>
      <c r="H306" s="75"/>
      <c r="I306" s="76"/>
      <c r="J306" s="75"/>
      <c r="K306" s="27" t="str">
        <f t="shared" si="2"/>
        <v>DISPONIBLE</v>
      </c>
      <c r="L306" s="28">
        <f t="shared" si="14"/>
        <v>305</v>
      </c>
      <c r="M306" s="261" t="s">
        <v>724</v>
      </c>
      <c r="N306" s="264"/>
      <c r="O306" s="388"/>
      <c r="P306" s="389" t="s">
        <v>585</v>
      </c>
      <c r="Q306" s="379"/>
      <c r="R306" s="380"/>
      <c r="S306" s="389"/>
      <c r="T306" s="371"/>
      <c r="U306" s="381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4"/>
      <c r="BE306" s="12"/>
      <c r="BF306" s="12"/>
      <c r="BG306" s="12" t="str">
        <f>IFERROR(__xludf.DUMMYFUNCTION("IFERROR(INDEX(QUERY(IMPORTRANGE(""1T7HG8KEs-Ob7f3M5atEVN9Yn7IeORGp0QGvggB62ELw"",""Maestro!A:I""),""SELECT Col8 WHERE Col3 = '""&amp;BD306&amp;""'"", 0), 1, 1),""NO ENCONTRADO"")"),"")</f>
        <v/>
      </c>
      <c r="BH306" s="12" t="str">
        <f>IFERROR(__xludf.DUMMYFUNCTION("IFERROR(INDEX(QUERY(IMPORTRANGE(""1T7HG8KEs-Ob7f3M5atEVN9Yn7IeORGp0QGvggB62ELw"",""Maestro!A:I""),""SELECT Col7 WHERE Col3 = '""&amp;BD306&amp;""'"", 0), 1, 1),""NO ENCONTRADO"")"),"")</f>
        <v/>
      </c>
      <c r="BI306" s="16">
        <f t="shared" si="15"/>
        <v>0</v>
      </c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4"/>
      <c r="BW306" s="14"/>
      <c r="BX306" s="14"/>
      <c r="BY306" s="14"/>
      <c r="BZ306" s="14"/>
      <c r="CA306" s="14"/>
      <c r="CB306" s="14"/>
      <c r="CC306" s="14"/>
      <c r="CD306" s="14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</row>
    <row r="307">
      <c r="A307" s="268" t="s">
        <v>254</v>
      </c>
      <c r="B307" s="269" t="s">
        <v>465</v>
      </c>
      <c r="C307" s="269" t="s">
        <v>587</v>
      </c>
      <c r="D307" s="270" t="str">
        <f t="shared" si="1"/>
        <v>R-8-B16</v>
      </c>
      <c r="E307" s="234"/>
      <c r="F307" s="235"/>
      <c r="G307" s="271"/>
      <c r="H307" s="239"/>
      <c r="I307" s="272"/>
      <c r="J307" s="239"/>
      <c r="K307" s="154" t="str">
        <f t="shared" si="2"/>
        <v>DISPONIBLE</v>
      </c>
      <c r="L307" s="155">
        <f t="shared" si="14"/>
        <v>306</v>
      </c>
      <c r="M307" s="273" t="s">
        <v>724</v>
      </c>
      <c r="N307" s="156"/>
      <c r="O307" s="155"/>
      <c r="P307" s="335" t="s">
        <v>588</v>
      </c>
      <c r="Q307" s="336"/>
      <c r="R307" s="342"/>
      <c r="S307" s="335"/>
      <c r="T307" s="33"/>
      <c r="U307" s="338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4"/>
      <c r="BE307" s="12"/>
      <c r="BF307" s="12"/>
      <c r="BG307" s="12" t="str">
        <f>IFERROR(__xludf.DUMMYFUNCTION("IFERROR(INDEX(QUERY(IMPORTRANGE(""1T7HG8KEs-Ob7f3M5atEVN9Yn7IeORGp0QGvggB62ELw"",""Maestro!A:I""),""SELECT Col8 WHERE Col3 = '""&amp;BD307&amp;""'"", 0), 1, 1),""NO ENCONTRADO"")"),"")</f>
        <v/>
      </c>
      <c r="BH307" s="12" t="str">
        <f>IFERROR(__xludf.DUMMYFUNCTION("IFERROR(INDEX(QUERY(IMPORTRANGE(""1T7HG8KEs-Ob7f3M5atEVN9Yn7IeORGp0QGvggB62ELw"",""Maestro!A:I""),""SELECT Col7 WHERE Col3 = '""&amp;BD307&amp;""'"", 0), 1, 1),""NO ENCONTRADO"")"),"")</f>
        <v/>
      </c>
      <c r="BI307" s="16">
        <f t="shared" si="15"/>
        <v>0</v>
      </c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4"/>
      <c r="BW307" s="14"/>
      <c r="BX307" s="14"/>
      <c r="BY307" s="14"/>
      <c r="BZ307" s="14"/>
      <c r="CA307" s="14"/>
      <c r="CB307" s="14"/>
      <c r="CC307" s="14"/>
      <c r="CD307" s="14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</row>
    <row r="308">
      <c r="A308" s="274" t="s">
        <v>645</v>
      </c>
      <c r="B308" s="275" t="s">
        <v>18</v>
      </c>
      <c r="C308" s="275" t="s">
        <v>18</v>
      </c>
      <c r="D308" s="276" t="str">
        <f t="shared" si="1"/>
        <v>T-1-1</v>
      </c>
      <c r="E308" s="78">
        <v>45723.0</v>
      </c>
      <c r="F308" s="88" t="s">
        <v>789</v>
      </c>
      <c r="G308" s="80" t="s">
        <v>80</v>
      </c>
      <c r="H308" s="81" t="s">
        <v>81</v>
      </c>
      <c r="I308" s="82">
        <v>2.0</v>
      </c>
      <c r="J308" s="81" t="s">
        <v>463</v>
      </c>
      <c r="K308" s="27" t="str">
        <f t="shared" si="2"/>
        <v>OCUPADO</v>
      </c>
      <c r="L308" s="28">
        <f t="shared" si="14"/>
        <v>307</v>
      </c>
      <c r="M308" s="28" t="s">
        <v>733</v>
      </c>
      <c r="N308" s="109"/>
      <c r="O308" s="358" t="s">
        <v>270</v>
      </c>
      <c r="P308" s="359" t="s">
        <v>409</v>
      </c>
      <c r="Q308" s="360">
        <v>45723.0</v>
      </c>
      <c r="R308" s="361" t="s">
        <v>789</v>
      </c>
      <c r="S308" s="361" t="s">
        <v>80</v>
      </c>
      <c r="T308" s="358" t="s">
        <v>81</v>
      </c>
      <c r="U308" s="362">
        <v>2.0</v>
      </c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4"/>
      <c r="BE308" s="12"/>
      <c r="BF308" s="12"/>
      <c r="BG308" s="12" t="str">
        <f>IFERROR(__xludf.DUMMYFUNCTION("IFERROR(INDEX(QUERY(IMPORTRANGE(""1T7HG8KEs-Ob7f3M5atEVN9Yn7IeORGp0QGvggB62ELw"",""Maestro!A:I""),""SELECT Col8 WHERE Col3 = '""&amp;BD308&amp;""'"", 0), 1, 1),""NO ENCONTRADO"")"),"")</f>
        <v/>
      </c>
      <c r="BH308" s="12" t="str">
        <f>IFERROR(__xludf.DUMMYFUNCTION("IFERROR(INDEX(QUERY(IMPORTRANGE(""1T7HG8KEs-Ob7f3M5atEVN9Yn7IeORGp0QGvggB62ELw"",""Maestro!A:I""),""SELECT Col7 WHERE Col3 = '""&amp;BD308&amp;""'"", 0), 1, 1),""NO ENCONTRADO"")"),"")</f>
        <v/>
      </c>
      <c r="BI308" s="16">
        <f t="shared" si="15"/>
        <v>0</v>
      </c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4"/>
      <c r="BW308" s="14"/>
      <c r="BX308" s="14"/>
      <c r="BY308" s="14"/>
      <c r="BZ308" s="14"/>
      <c r="CA308" s="14"/>
      <c r="CB308" s="14"/>
      <c r="CC308" s="14"/>
      <c r="CD308" s="14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</row>
    <row r="309">
      <c r="A309" s="274" t="s">
        <v>645</v>
      </c>
      <c r="B309" s="275" t="s">
        <v>18</v>
      </c>
      <c r="C309" s="275" t="s">
        <v>32</v>
      </c>
      <c r="D309" s="276" t="str">
        <f t="shared" si="1"/>
        <v>T-1-2</v>
      </c>
      <c r="E309" s="78">
        <v>45726.0</v>
      </c>
      <c r="F309" s="88" t="s">
        <v>772</v>
      </c>
      <c r="G309" s="80" t="s">
        <v>111</v>
      </c>
      <c r="H309" s="81" t="s">
        <v>112</v>
      </c>
      <c r="I309" s="82">
        <v>5.0</v>
      </c>
      <c r="J309" s="81" t="s">
        <v>43</v>
      </c>
      <c r="K309" s="32" t="str">
        <f t="shared" si="2"/>
        <v>OCUPADO</v>
      </c>
      <c r="L309" s="33">
        <f t="shared" si="14"/>
        <v>308</v>
      </c>
      <c r="M309" s="33" t="s">
        <v>733</v>
      </c>
      <c r="N309" s="122"/>
      <c r="O309" s="353" t="s">
        <v>270</v>
      </c>
      <c r="P309" s="354" t="s">
        <v>509</v>
      </c>
      <c r="Q309" s="355">
        <v>45726.0</v>
      </c>
      <c r="R309" s="356" t="s">
        <v>772</v>
      </c>
      <c r="S309" s="356" t="s">
        <v>111</v>
      </c>
      <c r="T309" s="353" t="s">
        <v>112</v>
      </c>
      <c r="U309" s="357">
        <v>5.0</v>
      </c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4"/>
      <c r="BE309" s="12"/>
      <c r="BF309" s="12"/>
      <c r="BG309" s="12" t="str">
        <f>IFERROR(__xludf.DUMMYFUNCTION("IFERROR(INDEX(QUERY(IMPORTRANGE(""1T7HG8KEs-Ob7f3M5atEVN9Yn7IeORGp0QGvggB62ELw"",""Maestro!A:I""),""SELECT Col8 WHERE Col3 = '""&amp;BD309&amp;""'"", 0), 1, 1),""NO ENCONTRADO"")"),"")</f>
        <v/>
      </c>
      <c r="BH309" s="12" t="str">
        <f>IFERROR(__xludf.DUMMYFUNCTION("IFERROR(INDEX(QUERY(IMPORTRANGE(""1T7HG8KEs-Ob7f3M5atEVN9Yn7IeORGp0QGvggB62ELw"",""Maestro!A:I""),""SELECT Col7 WHERE Col3 = '""&amp;BD309&amp;""'"", 0), 1, 1),""NO ENCONTRADO"")"),"")</f>
        <v/>
      </c>
      <c r="BI309" s="16">
        <f t="shared" si="15"/>
        <v>0</v>
      </c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4"/>
      <c r="BW309" s="14"/>
      <c r="BX309" s="14"/>
      <c r="BY309" s="14"/>
      <c r="BZ309" s="14"/>
      <c r="CA309" s="14"/>
      <c r="CB309" s="14"/>
      <c r="CC309" s="14"/>
      <c r="CD309" s="14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</row>
    <row r="310">
      <c r="A310" s="274" t="s">
        <v>645</v>
      </c>
      <c r="B310" s="275" t="s">
        <v>18</v>
      </c>
      <c r="C310" s="275" t="s">
        <v>44</v>
      </c>
      <c r="D310" s="276" t="str">
        <f t="shared" si="1"/>
        <v>T-1-3</v>
      </c>
      <c r="E310" s="78">
        <v>45735.0</v>
      </c>
      <c r="F310" s="88" t="s">
        <v>19</v>
      </c>
      <c r="G310" s="80" t="s">
        <v>87</v>
      </c>
      <c r="H310" s="81" t="s">
        <v>88</v>
      </c>
      <c r="I310" s="82">
        <v>6.0</v>
      </c>
      <c r="J310" s="81" t="s">
        <v>43</v>
      </c>
      <c r="K310" s="27" t="str">
        <f t="shared" si="2"/>
        <v>OCUPADO</v>
      </c>
      <c r="L310" s="28">
        <f t="shared" si="14"/>
        <v>309</v>
      </c>
      <c r="M310" s="28" t="s">
        <v>733</v>
      </c>
      <c r="N310" s="109"/>
      <c r="O310" s="358" t="s">
        <v>270</v>
      </c>
      <c r="P310" s="359" t="s">
        <v>525</v>
      </c>
      <c r="Q310" s="360">
        <v>45735.0</v>
      </c>
      <c r="R310" s="361" t="s">
        <v>19</v>
      </c>
      <c r="S310" s="361" t="s">
        <v>87</v>
      </c>
      <c r="T310" s="358" t="s">
        <v>88</v>
      </c>
      <c r="U310" s="362">
        <v>6.0</v>
      </c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4"/>
      <c r="BE310" s="12"/>
      <c r="BF310" s="12"/>
      <c r="BG310" s="12" t="str">
        <f>IFERROR(__xludf.DUMMYFUNCTION("IFERROR(INDEX(QUERY(IMPORTRANGE(""1T7HG8KEs-Ob7f3M5atEVN9Yn7IeORGp0QGvggB62ELw"",""Maestro!A:I""),""SELECT Col8 WHERE Col3 = '""&amp;BD310&amp;""'"", 0), 1, 1),""NO ENCONTRADO"")"),"")</f>
        <v/>
      </c>
      <c r="BH310" s="12" t="str">
        <f>IFERROR(__xludf.DUMMYFUNCTION("IFERROR(INDEX(QUERY(IMPORTRANGE(""1T7HG8KEs-Ob7f3M5atEVN9Yn7IeORGp0QGvggB62ELw"",""Maestro!A:I""),""SELECT Col7 WHERE Col3 = '""&amp;BD310&amp;""'"", 0), 1, 1),""NO ENCONTRADO"")"),"")</f>
        <v/>
      </c>
      <c r="BI310" s="16">
        <f t="shared" si="15"/>
        <v>0</v>
      </c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4"/>
      <c r="BW310" s="14"/>
      <c r="BX310" s="14"/>
      <c r="BY310" s="14"/>
      <c r="BZ310" s="14"/>
      <c r="CA310" s="14"/>
      <c r="CB310" s="14"/>
      <c r="CC310" s="14"/>
      <c r="CD310" s="14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</row>
    <row r="311">
      <c r="A311" s="274" t="s">
        <v>645</v>
      </c>
      <c r="B311" s="275" t="s">
        <v>18</v>
      </c>
      <c r="C311" s="275" t="s">
        <v>53</v>
      </c>
      <c r="D311" s="276" t="str">
        <f t="shared" si="1"/>
        <v>T-1-4</v>
      </c>
      <c r="E311" s="78">
        <v>45758.0</v>
      </c>
      <c r="F311" s="88" t="s">
        <v>790</v>
      </c>
      <c r="G311" s="80" t="s">
        <v>196</v>
      </c>
      <c r="H311" s="81" t="s">
        <v>197</v>
      </c>
      <c r="I311" s="82">
        <v>8.0</v>
      </c>
      <c r="J311" s="81" t="s">
        <v>43</v>
      </c>
      <c r="K311" s="32" t="str">
        <f t="shared" si="2"/>
        <v>OCUPADO</v>
      </c>
      <c r="L311" s="33">
        <f t="shared" si="14"/>
        <v>310</v>
      </c>
      <c r="M311" s="33" t="s">
        <v>733</v>
      </c>
      <c r="N311" s="122"/>
      <c r="O311" s="353" t="s">
        <v>270</v>
      </c>
      <c r="P311" s="354" t="s">
        <v>519</v>
      </c>
      <c r="Q311" s="355">
        <v>45758.0</v>
      </c>
      <c r="R311" s="356" t="s">
        <v>790</v>
      </c>
      <c r="S311" s="356" t="s">
        <v>196</v>
      </c>
      <c r="T311" s="353" t="s">
        <v>197</v>
      </c>
      <c r="U311" s="357">
        <v>8.0</v>
      </c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4"/>
      <c r="BE311" s="12"/>
      <c r="BF311" s="12"/>
      <c r="BG311" s="12" t="str">
        <f>IFERROR(__xludf.DUMMYFUNCTION("IFERROR(INDEX(QUERY(IMPORTRANGE(""1T7HG8KEs-Ob7f3M5atEVN9Yn7IeORGp0QGvggB62ELw"",""Maestro!A:I""),""SELECT Col8 WHERE Col3 = '""&amp;BD311&amp;""'"", 0), 1, 1),""NO ENCONTRADO"")"),"")</f>
        <v/>
      </c>
      <c r="BH311" s="12" t="str">
        <f>IFERROR(__xludf.DUMMYFUNCTION("IFERROR(INDEX(QUERY(IMPORTRANGE(""1T7HG8KEs-Ob7f3M5atEVN9Yn7IeORGp0QGvggB62ELw"",""Maestro!A:I""),""SELECT Col7 WHERE Col3 = '""&amp;BD311&amp;""'"", 0), 1, 1),""NO ENCONTRADO"")"),"")</f>
        <v/>
      </c>
      <c r="BI311" s="16">
        <f t="shared" si="15"/>
        <v>0</v>
      </c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4"/>
      <c r="BW311" s="14"/>
      <c r="BX311" s="14"/>
      <c r="BY311" s="14"/>
      <c r="BZ311" s="14"/>
      <c r="CA311" s="14"/>
      <c r="CB311" s="14"/>
      <c r="CC311" s="14"/>
      <c r="CD311" s="14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</row>
    <row r="312">
      <c r="A312" s="274" t="s">
        <v>645</v>
      </c>
      <c r="B312" s="275" t="s">
        <v>18</v>
      </c>
      <c r="C312" s="275" t="s">
        <v>25</v>
      </c>
      <c r="D312" s="276" t="str">
        <f t="shared" si="1"/>
        <v>T-1-5</v>
      </c>
      <c r="E312" s="78">
        <v>45751.0</v>
      </c>
      <c r="F312" s="88" t="s">
        <v>600</v>
      </c>
      <c r="G312" s="80" t="s">
        <v>325</v>
      </c>
      <c r="H312" s="81" t="s">
        <v>326</v>
      </c>
      <c r="I312" s="82">
        <v>206.0</v>
      </c>
      <c r="J312" s="81" t="s">
        <v>43</v>
      </c>
      <c r="K312" s="27" t="str">
        <f t="shared" si="2"/>
        <v>OCUPADO</v>
      </c>
      <c r="L312" s="28">
        <f t="shared" si="14"/>
        <v>311</v>
      </c>
      <c r="M312" s="28" t="s">
        <v>733</v>
      </c>
      <c r="N312" s="109"/>
      <c r="O312" s="358" t="s">
        <v>270</v>
      </c>
      <c r="P312" s="359" t="s">
        <v>528</v>
      </c>
      <c r="Q312" s="360">
        <v>45751.0</v>
      </c>
      <c r="R312" s="361" t="s">
        <v>600</v>
      </c>
      <c r="S312" s="361" t="s">
        <v>325</v>
      </c>
      <c r="T312" s="358" t="s">
        <v>326</v>
      </c>
      <c r="U312" s="362">
        <v>206.0</v>
      </c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4"/>
      <c r="BE312" s="12"/>
      <c r="BF312" s="12"/>
      <c r="BG312" s="12" t="str">
        <f>IFERROR(__xludf.DUMMYFUNCTION("IFERROR(INDEX(QUERY(IMPORTRANGE(""1T7HG8KEs-Ob7f3M5atEVN9Yn7IeORGp0QGvggB62ELw"",""Maestro!A:I""),""SELECT Col8 WHERE Col3 = '""&amp;BD312&amp;""'"", 0), 1, 1),""NO ENCONTRADO"")"),"")</f>
        <v/>
      </c>
      <c r="BH312" s="12" t="str">
        <f>IFERROR(__xludf.DUMMYFUNCTION("IFERROR(INDEX(QUERY(IMPORTRANGE(""1T7HG8KEs-Ob7f3M5atEVN9Yn7IeORGp0QGvggB62ELw"",""Maestro!A:I""),""SELECT Col7 WHERE Col3 = '""&amp;BD312&amp;""'"", 0), 1, 1),""NO ENCONTRADO"")"),"")</f>
        <v/>
      </c>
      <c r="BI312" s="16">
        <f t="shared" si="15"/>
        <v>0</v>
      </c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4"/>
      <c r="BW312" s="14"/>
      <c r="BX312" s="14"/>
      <c r="BY312" s="14"/>
      <c r="BZ312" s="14"/>
      <c r="CA312" s="14"/>
      <c r="CB312" s="14"/>
      <c r="CC312" s="14"/>
      <c r="CD312" s="14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</row>
    <row r="313">
      <c r="A313" s="274" t="s">
        <v>645</v>
      </c>
      <c r="B313" s="275" t="s">
        <v>18</v>
      </c>
      <c r="C313" s="275" t="s">
        <v>36</v>
      </c>
      <c r="D313" s="276" t="str">
        <f t="shared" si="1"/>
        <v>T-1-6</v>
      </c>
      <c r="E313" s="78">
        <v>45761.0</v>
      </c>
      <c r="F313" s="79" t="s">
        <v>675</v>
      </c>
      <c r="G313" s="81" t="s">
        <v>314</v>
      </c>
      <c r="H313" s="81" t="s">
        <v>315</v>
      </c>
      <c r="I313" s="82">
        <v>1.0</v>
      </c>
      <c r="J313" s="81" t="s">
        <v>43</v>
      </c>
      <c r="K313" s="32" t="str">
        <f t="shared" si="2"/>
        <v>OCUPADO</v>
      </c>
      <c r="L313" s="33">
        <f t="shared" si="14"/>
        <v>312</v>
      </c>
      <c r="M313" s="33" t="s">
        <v>733</v>
      </c>
      <c r="N313" s="122"/>
      <c r="O313" s="384" t="s">
        <v>270</v>
      </c>
      <c r="P313" s="335" t="s">
        <v>526</v>
      </c>
      <c r="Q313" s="336"/>
      <c r="R313" s="342"/>
      <c r="S313" s="33"/>
      <c r="T313" s="33"/>
      <c r="U313" s="338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4"/>
      <c r="BE313" s="12"/>
      <c r="BF313" s="12"/>
      <c r="BG313" s="12" t="str">
        <f>IFERROR(__xludf.DUMMYFUNCTION("IFERROR(INDEX(QUERY(IMPORTRANGE(""1T7HG8KEs-Ob7f3M5atEVN9Yn7IeORGp0QGvggB62ELw"",""Maestro!A:I""),""SELECT Col8 WHERE Col3 = '""&amp;BD313&amp;""'"", 0), 1, 1),""NO ENCONTRADO"")"),"")</f>
        <v/>
      </c>
      <c r="BH313" s="12" t="str">
        <f>IFERROR(__xludf.DUMMYFUNCTION("IFERROR(INDEX(QUERY(IMPORTRANGE(""1T7HG8KEs-Ob7f3M5atEVN9Yn7IeORGp0QGvggB62ELw"",""Maestro!A:I""),""SELECT Col7 WHERE Col3 = '""&amp;BD313&amp;""'"", 0), 1, 1),""NO ENCONTRADO"")"),"")</f>
        <v/>
      </c>
      <c r="BI313" s="16">
        <f t="shared" si="15"/>
        <v>0</v>
      </c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4"/>
      <c r="BW313" s="14"/>
      <c r="BX313" s="14"/>
      <c r="BY313" s="14"/>
      <c r="BZ313" s="14"/>
      <c r="CA313" s="14"/>
      <c r="CB313" s="14"/>
      <c r="CC313" s="14"/>
      <c r="CD313" s="14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</row>
    <row r="314">
      <c r="A314" s="274" t="s">
        <v>645</v>
      </c>
      <c r="B314" s="275" t="s">
        <v>18</v>
      </c>
      <c r="C314" s="275" t="s">
        <v>48</v>
      </c>
      <c r="D314" s="276" t="str">
        <f t="shared" si="1"/>
        <v>T-1-7</v>
      </c>
      <c r="E314" s="72"/>
      <c r="F314" s="77"/>
      <c r="G314" s="75"/>
      <c r="H314" s="75"/>
      <c r="I314" s="76"/>
      <c r="J314" s="75"/>
      <c r="K314" s="27" t="str">
        <f t="shared" si="2"/>
        <v>DISPONIBLE</v>
      </c>
      <c r="L314" s="28">
        <f t="shared" si="14"/>
        <v>313</v>
      </c>
      <c r="M314" s="28" t="s">
        <v>733</v>
      </c>
      <c r="N314" s="109"/>
      <c r="O314" s="385"/>
      <c r="P314" s="331" t="s">
        <v>531</v>
      </c>
      <c r="Q314" s="332"/>
      <c r="R314" s="343"/>
      <c r="S314" s="28"/>
      <c r="T314" s="28"/>
      <c r="U314" s="334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4"/>
      <c r="BE314" s="12"/>
      <c r="BF314" s="12"/>
      <c r="BG314" s="12" t="str">
        <f>IFERROR(__xludf.DUMMYFUNCTION("IFERROR(INDEX(QUERY(IMPORTRANGE(""1T7HG8KEs-Ob7f3M5atEVN9Yn7IeORGp0QGvggB62ELw"",""Maestro!A:I""),""SELECT Col8 WHERE Col3 = '""&amp;BD314&amp;""'"", 0), 1, 1),""NO ENCONTRADO"")"),"")</f>
        <v/>
      </c>
      <c r="BH314" s="12" t="str">
        <f>IFERROR(__xludf.DUMMYFUNCTION("IFERROR(INDEX(QUERY(IMPORTRANGE(""1T7HG8KEs-Ob7f3M5atEVN9Yn7IeORGp0QGvggB62ELw"",""Maestro!A:I""),""SELECT Col7 WHERE Col3 = '""&amp;BD314&amp;""'"", 0), 1, 1),""NO ENCONTRADO"")"),"")</f>
        <v/>
      </c>
      <c r="BI314" s="16">
        <f t="shared" si="15"/>
        <v>0</v>
      </c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4"/>
      <c r="BW314" s="14"/>
      <c r="BX314" s="14"/>
      <c r="BY314" s="14"/>
      <c r="BZ314" s="14"/>
      <c r="CA314" s="14"/>
      <c r="CB314" s="14"/>
      <c r="CC314" s="14"/>
      <c r="CD314" s="14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</row>
    <row r="315">
      <c r="A315" s="274" t="s">
        <v>645</v>
      </c>
      <c r="B315" s="275" t="s">
        <v>18</v>
      </c>
      <c r="C315" s="275" t="s">
        <v>465</v>
      </c>
      <c r="D315" s="276" t="str">
        <f t="shared" si="1"/>
        <v>T-1-8</v>
      </c>
      <c r="E315" s="103"/>
      <c r="F315" s="77"/>
      <c r="G315" s="265"/>
      <c r="H315" s="75"/>
      <c r="I315" s="76"/>
      <c r="J315" s="75"/>
      <c r="K315" s="32" t="str">
        <f t="shared" si="2"/>
        <v>DISPONIBLE</v>
      </c>
      <c r="L315" s="33">
        <f t="shared" si="14"/>
        <v>314</v>
      </c>
      <c r="M315" s="33" t="s">
        <v>733</v>
      </c>
      <c r="N315" s="122"/>
      <c r="O315" s="365"/>
      <c r="P315" s="354" t="s">
        <v>535</v>
      </c>
      <c r="Q315" s="355"/>
      <c r="R315" s="363"/>
      <c r="S315" s="354"/>
      <c r="T315" s="353"/>
      <c r="U315" s="357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4"/>
      <c r="BE315" s="12"/>
      <c r="BF315" s="12"/>
      <c r="BG315" s="12" t="str">
        <f>IFERROR(__xludf.DUMMYFUNCTION("IFERROR(INDEX(QUERY(IMPORTRANGE(""1T7HG8KEs-Ob7f3M5atEVN9Yn7IeORGp0QGvggB62ELw"",""Maestro!A:I""),""SELECT Col8 WHERE Col3 = '""&amp;BD315&amp;""'"", 0), 1, 1),""NO ENCONTRADO"")"),"")</f>
        <v/>
      </c>
      <c r="BH315" s="12" t="str">
        <f>IFERROR(__xludf.DUMMYFUNCTION("IFERROR(INDEX(QUERY(IMPORTRANGE(""1T7HG8KEs-Ob7f3M5atEVN9Yn7IeORGp0QGvggB62ELw"",""Maestro!A:I""),""SELECT Col7 WHERE Col3 = '""&amp;BD315&amp;""'"", 0), 1, 1),""NO ENCONTRADO"")"),"")</f>
        <v/>
      </c>
      <c r="BI315" s="16">
        <f t="shared" si="15"/>
        <v>0</v>
      </c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4"/>
      <c r="BW315" s="14"/>
      <c r="BX315" s="14"/>
      <c r="BY315" s="14"/>
      <c r="BZ315" s="14"/>
      <c r="CA315" s="14"/>
      <c r="CB315" s="14"/>
      <c r="CC315" s="14"/>
      <c r="CD315" s="14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</row>
    <row r="316">
      <c r="A316" s="274" t="s">
        <v>645</v>
      </c>
      <c r="B316" s="275" t="s">
        <v>18</v>
      </c>
      <c r="C316" s="275" t="s">
        <v>511</v>
      </c>
      <c r="D316" s="276" t="str">
        <f t="shared" si="1"/>
        <v>T-1-9</v>
      </c>
      <c r="E316" s="72"/>
      <c r="F316" s="77"/>
      <c r="G316" s="74"/>
      <c r="H316" s="75"/>
      <c r="I316" s="76"/>
      <c r="J316" s="75"/>
      <c r="K316" s="27" t="str">
        <f t="shared" si="2"/>
        <v>DISPONIBLE</v>
      </c>
      <c r="L316" s="28">
        <f t="shared" si="14"/>
        <v>315</v>
      </c>
      <c r="M316" s="28" t="s">
        <v>733</v>
      </c>
      <c r="N316" s="109"/>
      <c r="O316" s="358"/>
      <c r="P316" s="359" t="s">
        <v>538</v>
      </c>
      <c r="Q316" s="360"/>
      <c r="R316" s="364"/>
      <c r="S316" s="361"/>
      <c r="T316" s="358"/>
      <c r="U316" s="36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4"/>
      <c r="BE316" s="12"/>
      <c r="BF316" s="12"/>
      <c r="BG316" s="12" t="str">
        <f>IFERROR(__xludf.DUMMYFUNCTION("IFERROR(INDEX(QUERY(IMPORTRANGE(""1T7HG8KEs-Ob7f3M5atEVN9Yn7IeORGp0QGvggB62ELw"",""Maestro!A:I""),""SELECT Col8 WHERE Col3 = '""&amp;BD316&amp;""'"", 0), 1, 1),""NO ENCONTRADO"")"),"")</f>
        <v/>
      </c>
      <c r="BH316" s="12" t="str">
        <f>IFERROR(__xludf.DUMMYFUNCTION("IFERROR(INDEX(QUERY(IMPORTRANGE(""1T7HG8KEs-Ob7f3M5atEVN9Yn7IeORGp0QGvggB62ELw"",""Maestro!A:I""),""SELECT Col7 WHERE Col3 = '""&amp;BD316&amp;""'"", 0), 1, 1),""NO ENCONTRADO"")"),"")</f>
        <v/>
      </c>
      <c r="BI316" s="16">
        <f t="shared" si="15"/>
        <v>0</v>
      </c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4"/>
      <c r="BW316" s="14"/>
      <c r="BX316" s="14"/>
      <c r="BY316" s="14"/>
      <c r="BZ316" s="14"/>
      <c r="CA316" s="14"/>
      <c r="CB316" s="14"/>
      <c r="CC316" s="14"/>
      <c r="CD316" s="14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</row>
    <row r="317">
      <c r="A317" s="274" t="s">
        <v>645</v>
      </c>
      <c r="B317" s="275" t="s">
        <v>18</v>
      </c>
      <c r="C317" s="275" t="s">
        <v>296</v>
      </c>
      <c r="D317" s="276" t="str">
        <f t="shared" si="1"/>
        <v>T-1-10</v>
      </c>
      <c r="E317" s="146"/>
      <c r="F317" s="147"/>
      <c r="G317" s="148"/>
      <c r="H317" s="148"/>
      <c r="I317" s="149"/>
      <c r="J317" s="148"/>
      <c r="K317" s="32" t="str">
        <f t="shared" si="2"/>
        <v>DISPONIBLE</v>
      </c>
      <c r="L317" s="33">
        <f t="shared" si="14"/>
        <v>316</v>
      </c>
      <c r="M317" s="33" t="s">
        <v>733</v>
      </c>
      <c r="N317" s="33"/>
      <c r="O317" s="353"/>
      <c r="P317" s="354" t="s">
        <v>413</v>
      </c>
      <c r="Q317" s="355">
        <v>45768.0</v>
      </c>
      <c r="R317" s="365" t="s">
        <v>675</v>
      </c>
      <c r="S317" s="353" t="s">
        <v>314</v>
      </c>
      <c r="T317" s="353" t="s">
        <v>315</v>
      </c>
      <c r="U317" s="357">
        <v>3.0</v>
      </c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4"/>
      <c r="BE317" s="12"/>
      <c r="BF317" s="12"/>
      <c r="BG317" s="12" t="str">
        <f>IFERROR(__xludf.DUMMYFUNCTION("IFERROR(INDEX(QUERY(IMPORTRANGE(""1T7HG8KEs-Ob7f3M5atEVN9Yn7IeORGp0QGvggB62ELw"",""Maestro!A:I""),""SELECT Col8 WHERE Col3 = '""&amp;BD317&amp;""'"", 0), 1, 1),""NO ENCONTRADO"")"),"")</f>
        <v/>
      </c>
      <c r="BH317" s="12" t="str">
        <f>IFERROR(__xludf.DUMMYFUNCTION("IFERROR(INDEX(QUERY(IMPORTRANGE(""1T7HG8KEs-Ob7f3M5atEVN9Yn7IeORGp0QGvggB62ELw"",""Maestro!A:I""),""SELECT Col7 WHERE Col3 = '""&amp;BD317&amp;""'"", 0), 1, 1),""NO ENCONTRADO"")"),"")</f>
        <v/>
      </c>
      <c r="BI317" s="16">
        <f t="shared" si="15"/>
        <v>0</v>
      </c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4"/>
      <c r="BW317" s="14"/>
      <c r="BX317" s="14"/>
      <c r="BY317" s="14"/>
      <c r="BZ317" s="14"/>
      <c r="CA317" s="14"/>
      <c r="CB317" s="14"/>
      <c r="CC317" s="14"/>
      <c r="CD317" s="14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</row>
    <row r="318">
      <c r="A318" s="274" t="s">
        <v>645</v>
      </c>
      <c r="B318" s="275" t="s">
        <v>18</v>
      </c>
      <c r="C318" s="275" t="s">
        <v>316</v>
      </c>
      <c r="D318" s="276" t="str">
        <f t="shared" si="1"/>
        <v>T-1-11</v>
      </c>
      <c r="E318" s="78">
        <v>45754.0</v>
      </c>
      <c r="F318" s="79" t="s">
        <v>675</v>
      </c>
      <c r="G318" s="81" t="s">
        <v>272</v>
      </c>
      <c r="H318" s="81" t="s">
        <v>273</v>
      </c>
      <c r="I318" s="82">
        <v>80.0</v>
      </c>
      <c r="J318" s="81" t="s">
        <v>43</v>
      </c>
      <c r="K318" s="27" t="str">
        <f t="shared" si="2"/>
        <v>OCUPADO</v>
      </c>
      <c r="L318" s="28">
        <f t="shared" si="14"/>
        <v>317</v>
      </c>
      <c r="M318" s="28" t="s">
        <v>733</v>
      </c>
      <c r="N318" s="109"/>
      <c r="O318" s="385" t="s">
        <v>270</v>
      </c>
      <c r="P318" s="331" t="s">
        <v>417</v>
      </c>
      <c r="Q318" s="332">
        <v>45754.0</v>
      </c>
      <c r="R318" s="343" t="s">
        <v>675</v>
      </c>
      <c r="S318" s="28" t="s">
        <v>272</v>
      </c>
      <c r="T318" s="28" t="s">
        <v>273</v>
      </c>
      <c r="U318" s="334">
        <v>76.0</v>
      </c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4"/>
      <c r="BE318" s="12"/>
      <c r="BF318" s="12"/>
      <c r="BG318" s="12" t="str">
        <f>IFERROR(__xludf.DUMMYFUNCTION("IFERROR(INDEX(QUERY(IMPORTRANGE(""1T7HG8KEs-Ob7f3M5atEVN9Yn7IeORGp0QGvggB62ELw"",""Maestro!A:I""),""SELECT Col8 WHERE Col3 = '""&amp;BD318&amp;""'"", 0), 1, 1),""NO ENCONTRADO"")"),"")</f>
        <v/>
      </c>
      <c r="BH318" s="12" t="str">
        <f>IFERROR(__xludf.DUMMYFUNCTION("IFERROR(INDEX(QUERY(IMPORTRANGE(""1T7HG8KEs-Ob7f3M5atEVN9Yn7IeORGp0QGvggB62ELw"",""Maestro!A:I""),""SELECT Col7 WHERE Col3 = '""&amp;BD318&amp;""'"", 0), 1, 1),""NO ENCONTRADO"")"),"")</f>
        <v/>
      </c>
      <c r="BI318" s="16">
        <f t="shared" si="15"/>
        <v>0</v>
      </c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4"/>
      <c r="BW318" s="14"/>
      <c r="BX318" s="14"/>
      <c r="BY318" s="14"/>
      <c r="BZ318" s="14"/>
      <c r="CA318" s="14"/>
      <c r="CB318" s="14"/>
      <c r="CC318" s="14"/>
      <c r="CD318" s="14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</row>
    <row r="319">
      <c r="A319" s="274" t="s">
        <v>645</v>
      </c>
      <c r="B319" s="275" t="s">
        <v>18</v>
      </c>
      <c r="C319" s="275" t="s">
        <v>336</v>
      </c>
      <c r="D319" s="276" t="str">
        <f t="shared" si="1"/>
        <v>T-1-12</v>
      </c>
      <c r="E319" s="78">
        <v>45762.0</v>
      </c>
      <c r="F319" s="88" t="s">
        <v>791</v>
      </c>
      <c r="G319" s="80" t="s">
        <v>96</v>
      </c>
      <c r="H319" s="81" t="s">
        <v>97</v>
      </c>
      <c r="I319" s="82">
        <v>65.0</v>
      </c>
      <c r="J319" s="81" t="s">
        <v>463</v>
      </c>
      <c r="K319" s="32" t="str">
        <f t="shared" si="2"/>
        <v>OCUPADO</v>
      </c>
      <c r="L319" s="33">
        <f t="shared" si="14"/>
        <v>318</v>
      </c>
      <c r="M319" s="33" t="s">
        <v>733</v>
      </c>
      <c r="N319" s="122"/>
      <c r="O319" s="353" t="s">
        <v>270</v>
      </c>
      <c r="P319" s="354" t="s">
        <v>420</v>
      </c>
      <c r="Q319" s="355">
        <v>45762.0</v>
      </c>
      <c r="R319" s="356" t="s">
        <v>791</v>
      </c>
      <c r="S319" s="356" t="s">
        <v>96</v>
      </c>
      <c r="T319" s="353" t="s">
        <v>97</v>
      </c>
      <c r="U319" s="357">
        <v>44.0</v>
      </c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4"/>
      <c r="BE319" s="12"/>
      <c r="BF319" s="12"/>
      <c r="BG319" s="12" t="str">
        <f>IFERROR(__xludf.DUMMYFUNCTION("IFERROR(INDEX(QUERY(IMPORTRANGE(""1T7HG8KEs-Ob7f3M5atEVN9Yn7IeORGp0QGvggB62ELw"",""Maestro!A:I""),""SELECT Col8 WHERE Col3 = '""&amp;BD319&amp;""'"", 0), 1, 1),""NO ENCONTRADO"")"),"")</f>
        <v/>
      </c>
      <c r="BH319" s="12" t="str">
        <f>IFERROR(__xludf.DUMMYFUNCTION("IFERROR(INDEX(QUERY(IMPORTRANGE(""1T7HG8KEs-Ob7f3M5atEVN9Yn7IeORGp0QGvggB62ELw"",""Maestro!A:I""),""SELECT Col7 WHERE Col3 = '""&amp;BD319&amp;""'"", 0), 1, 1),""NO ENCONTRADO"")"),"")</f>
        <v/>
      </c>
      <c r="BI319" s="16">
        <f t="shared" si="15"/>
        <v>0</v>
      </c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4"/>
      <c r="BW319" s="14"/>
      <c r="BX319" s="14"/>
      <c r="BY319" s="14"/>
      <c r="BZ319" s="14"/>
      <c r="CA319" s="14"/>
      <c r="CB319" s="14"/>
      <c r="CC319" s="14"/>
      <c r="CD319" s="14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</row>
    <row r="320">
      <c r="A320" s="274" t="s">
        <v>645</v>
      </c>
      <c r="B320" s="275" t="s">
        <v>18</v>
      </c>
      <c r="C320" s="275" t="s">
        <v>350</v>
      </c>
      <c r="D320" s="276" t="str">
        <f t="shared" si="1"/>
        <v>T-1-13</v>
      </c>
      <c r="E320" s="78">
        <v>45762.0</v>
      </c>
      <c r="F320" s="88" t="s">
        <v>792</v>
      </c>
      <c r="G320" s="80" t="s">
        <v>330</v>
      </c>
      <c r="H320" s="81" t="s">
        <v>331</v>
      </c>
      <c r="I320" s="82">
        <v>10.0</v>
      </c>
      <c r="J320" s="81" t="s">
        <v>274</v>
      </c>
      <c r="K320" s="27" t="str">
        <f t="shared" si="2"/>
        <v>OCUPADO</v>
      </c>
      <c r="L320" s="28">
        <f t="shared" si="14"/>
        <v>319</v>
      </c>
      <c r="M320" s="28" t="s">
        <v>733</v>
      </c>
      <c r="N320" s="109"/>
      <c r="O320" s="358" t="s">
        <v>270</v>
      </c>
      <c r="P320" s="359" t="s">
        <v>423</v>
      </c>
      <c r="Q320" s="360">
        <v>45762.0</v>
      </c>
      <c r="R320" s="361" t="s">
        <v>792</v>
      </c>
      <c r="S320" s="361" t="s">
        <v>330</v>
      </c>
      <c r="T320" s="358" t="s">
        <v>331</v>
      </c>
      <c r="U320" s="362">
        <v>10.0</v>
      </c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4"/>
      <c r="BE320" s="12"/>
      <c r="BF320" s="12"/>
      <c r="BG320" s="12" t="str">
        <f>IFERROR(__xludf.DUMMYFUNCTION("IFERROR(INDEX(QUERY(IMPORTRANGE(""1T7HG8KEs-Ob7f3M5atEVN9Yn7IeORGp0QGvggB62ELw"",""Maestro!A:I""),""SELECT Col8 WHERE Col3 = '""&amp;BD320&amp;""'"", 0), 1, 1),""NO ENCONTRADO"")"),"")</f>
        <v/>
      </c>
      <c r="BH320" s="12" t="str">
        <f>IFERROR(__xludf.DUMMYFUNCTION("IFERROR(INDEX(QUERY(IMPORTRANGE(""1T7HG8KEs-Ob7f3M5atEVN9Yn7IeORGp0QGvggB62ELw"",""Maestro!A:I""),""SELECT Col7 WHERE Col3 = '""&amp;BD320&amp;""'"", 0), 1, 1),""NO ENCONTRADO"")"),"")</f>
        <v/>
      </c>
      <c r="BI320" s="16">
        <f t="shared" si="15"/>
        <v>0</v>
      </c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4"/>
      <c r="BW320" s="14"/>
      <c r="BX320" s="14"/>
      <c r="BY320" s="14"/>
      <c r="BZ320" s="14"/>
      <c r="CA320" s="14"/>
      <c r="CB320" s="14"/>
      <c r="CC320" s="14"/>
      <c r="CD320" s="14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</row>
    <row r="321">
      <c r="A321" s="274" t="s">
        <v>645</v>
      </c>
      <c r="B321" s="275" t="s">
        <v>18</v>
      </c>
      <c r="C321" s="275" t="s">
        <v>362</v>
      </c>
      <c r="D321" s="276" t="str">
        <f t="shared" si="1"/>
        <v>T-1-14</v>
      </c>
      <c r="E321" s="78">
        <v>45762.0</v>
      </c>
      <c r="F321" s="88" t="s">
        <v>792</v>
      </c>
      <c r="G321" s="80" t="s">
        <v>325</v>
      </c>
      <c r="H321" s="81" t="s">
        <v>326</v>
      </c>
      <c r="I321" s="82">
        <v>11.0</v>
      </c>
      <c r="J321" s="81" t="s">
        <v>274</v>
      </c>
      <c r="K321" s="32" t="str">
        <f t="shared" si="2"/>
        <v>OCUPADO</v>
      </c>
      <c r="L321" s="33">
        <f t="shared" si="14"/>
        <v>320</v>
      </c>
      <c r="M321" s="33" t="s">
        <v>733</v>
      </c>
      <c r="N321" s="122"/>
      <c r="O321" s="353" t="s">
        <v>270</v>
      </c>
      <c r="P321" s="354" t="s">
        <v>428</v>
      </c>
      <c r="Q321" s="355">
        <v>45762.0</v>
      </c>
      <c r="R321" s="356" t="s">
        <v>792</v>
      </c>
      <c r="S321" s="356" t="s">
        <v>325</v>
      </c>
      <c r="T321" s="353" t="s">
        <v>326</v>
      </c>
      <c r="U321" s="357">
        <v>10.0</v>
      </c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4"/>
      <c r="BE321" s="12"/>
      <c r="BF321" s="12"/>
      <c r="BG321" s="12" t="str">
        <f>IFERROR(__xludf.DUMMYFUNCTION("IFERROR(INDEX(QUERY(IMPORTRANGE(""1T7HG8KEs-Ob7f3M5atEVN9Yn7IeORGp0QGvggB62ELw"",""Maestro!A:I""),""SELECT Col8 WHERE Col3 = '""&amp;BD321&amp;""'"", 0), 1, 1),""NO ENCONTRADO"")"),"")</f>
        <v/>
      </c>
      <c r="BH321" s="12" t="str">
        <f>IFERROR(__xludf.DUMMYFUNCTION("IFERROR(INDEX(QUERY(IMPORTRANGE(""1T7HG8KEs-Ob7f3M5atEVN9Yn7IeORGp0QGvggB62ELw"",""Maestro!A:I""),""SELECT Col7 WHERE Col3 = '""&amp;BD321&amp;""'"", 0), 1, 1),""NO ENCONTRADO"")"),"")</f>
        <v/>
      </c>
      <c r="BI321" s="16">
        <f t="shared" si="15"/>
        <v>0</v>
      </c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4"/>
      <c r="BW321" s="14"/>
      <c r="BX321" s="14"/>
      <c r="BY321" s="14"/>
      <c r="BZ321" s="14"/>
      <c r="CA321" s="14"/>
      <c r="CB321" s="14"/>
      <c r="CC321" s="14"/>
      <c r="CD321" s="14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</row>
    <row r="322">
      <c r="A322" s="274" t="s">
        <v>645</v>
      </c>
      <c r="B322" s="275" t="s">
        <v>18</v>
      </c>
      <c r="C322" s="275" t="s">
        <v>372</v>
      </c>
      <c r="D322" s="276" t="str">
        <f t="shared" si="1"/>
        <v>T-1-15</v>
      </c>
      <c r="E322" s="78">
        <v>45763.0</v>
      </c>
      <c r="F322" s="88" t="s">
        <v>770</v>
      </c>
      <c r="G322" s="80" t="s">
        <v>196</v>
      </c>
      <c r="H322" s="81" t="s">
        <v>197</v>
      </c>
      <c r="I322" s="82">
        <v>100.0</v>
      </c>
      <c r="J322" s="81" t="s">
        <v>43</v>
      </c>
      <c r="K322" s="27" t="str">
        <f t="shared" si="2"/>
        <v>OCUPADO</v>
      </c>
      <c r="L322" s="28">
        <f t="shared" si="14"/>
        <v>321</v>
      </c>
      <c r="M322" s="28" t="s">
        <v>733</v>
      </c>
      <c r="N322" s="109"/>
      <c r="O322" s="358" t="s">
        <v>270</v>
      </c>
      <c r="P322" s="359" t="s">
        <v>432</v>
      </c>
      <c r="Q322" s="360">
        <v>45763.0</v>
      </c>
      <c r="R322" s="361" t="s">
        <v>770</v>
      </c>
      <c r="S322" s="361" t="s">
        <v>196</v>
      </c>
      <c r="T322" s="358" t="s">
        <v>197</v>
      </c>
      <c r="U322" s="362">
        <v>89.0</v>
      </c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4"/>
      <c r="BE322" s="12"/>
      <c r="BF322" s="12"/>
      <c r="BG322" s="12" t="str">
        <f>IFERROR(__xludf.DUMMYFUNCTION("IFERROR(INDEX(QUERY(IMPORTRANGE(""1T7HG8KEs-Ob7f3M5atEVN9Yn7IeORGp0QGvggB62ELw"",""Maestro!A:I""),""SELECT Col8 WHERE Col3 = '""&amp;BD322&amp;""'"", 0), 1, 1),""NO ENCONTRADO"")"),"")</f>
        <v/>
      </c>
      <c r="BH322" s="12" t="str">
        <f>IFERROR(__xludf.DUMMYFUNCTION("IFERROR(INDEX(QUERY(IMPORTRANGE(""1T7HG8KEs-Ob7f3M5atEVN9Yn7IeORGp0QGvggB62ELw"",""Maestro!A:I""),""SELECT Col7 WHERE Col3 = '""&amp;BD322&amp;""'"", 0), 1, 1),""NO ENCONTRADO"")"),"")</f>
        <v/>
      </c>
      <c r="BI322" s="16">
        <f t="shared" si="15"/>
        <v>0</v>
      </c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4"/>
      <c r="BW322" s="14"/>
      <c r="BX322" s="14"/>
      <c r="BY322" s="14"/>
      <c r="BZ322" s="14"/>
      <c r="CA322" s="14"/>
      <c r="CB322" s="14"/>
      <c r="CC322" s="14"/>
      <c r="CD322" s="14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</row>
    <row r="323">
      <c r="A323" s="274" t="s">
        <v>645</v>
      </c>
      <c r="B323" s="275" t="s">
        <v>18</v>
      </c>
      <c r="C323" s="275" t="s">
        <v>382</v>
      </c>
      <c r="D323" s="276" t="str">
        <f t="shared" si="1"/>
        <v>T-1-16</v>
      </c>
      <c r="E323" s="72"/>
      <c r="F323" s="77"/>
      <c r="G323" s="85"/>
      <c r="H323" s="75"/>
      <c r="I323" s="76"/>
      <c r="J323" s="75"/>
      <c r="K323" s="32" t="str">
        <f t="shared" si="2"/>
        <v>DISPONIBLE</v>
      </c>
      <c r="L323" s="33">
        <f t="shared" si="14"/>
        <v>322</v>
      </c>
      <c r="M323" s="33" t="s">
        <v>733</v>
      </c>
      <c r="N323" s="122"/>
      <c r="O323" s="353"/>
      <c r="P323" s="354" t="s">
        <v>435</v>
      </c>
      <c r="Q323" s="355"/>
      <c r="R323" s="363"/>
      <c r="S323" s="356"/>
      <c r="T323" s="353"/>
      <c r="U323" s="357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4"/>
      <c r="BE323" s="12"/>
      <c r="BF323" s="12"/>
      <c r="BG323" s="12" t="str">
        <f>IFERROR(__xludf.DUMMYFUNCTION("IFERROR(INDEX(QUERY(IMPORTRANGE(""1T7HG8KEs-Ob7f3M5atEVN9Yn7IeORGp0QGvggB62ELw"",""Maestro!A:I""),""SELECT Col8 WHERE Col3 = '""&amp;BD323&amp;""'"", 0), 1, 1),""NO ENCONTRADO"")"),"")</f>
        <v/>
      </c>
      <c r="BH323" s="12" t="str">
        <f>IFERROR(__xludf.DUMMYFUNCTION("IFERROR(INDEX(QUERY(IMPORTRANGE(""1T7HG8KEs-Ob7f3M5atEVN9Yn7IeORGp0QGvggB62ELw"",""Maestro!A:I""),""SELECT Col7 WHERE Col3 = '""&amp;BD323&amp;""'"", 0), 1, 1),""NO ENCONTRADO"")"),"")</f>
        <v/>
      </c>
      <c r="BI323" s="16">
        <f t="shared" si="15"/>
        <v>0</v>
      </c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4"/>
      <c r="BW323" s="14"/>
      <c r="BX323" s="14"/>
      <c r="BY323" s="14"/>
      <c r="BZ323" s="14"/>
      <c r="CA323" s="14"/>
      <c r="CB323" s="14"/>
      <c r="CC323" s="14"/>
      <c r="CD323" s="14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</row>
    <row r="324">
      <c r="A324" s="274" t="s">
        <v>645</v>
      </c>
      <c r="B324" s="275" t="s">
        <v>18</v>
      </c>
      <c r="C324" s="275" t="s">
        <v>396</v>
      </c>
      <c r="D324" s="276" t="str">
        <f t="shared" si="1"/>
        <v>T-1-17</v>
      </c>
      <c r="E324" s="72"/>
      <c r="F324" s="77"/>
      <c r="G324" s="74"/>
      <c r="H324" s="75"/>
      <c r="I324" s="76"/>
      <c r="J324" s="87"/>
      <c r="K324" s="27" t="str">
        <f t="shared" si="2"/>
        <v>DISPONIBLE</v>
      </c>
      <c r="L324" s="28">
        <f t="shared" si="14"/>
        <v>323</v>
      </c>
      <c r="M324" s="28" t="s">
        <v>733</v>
      </c>
      <c r="N324" s="109"/>
      <c r="O324" s="358"/>
      <c r="P324" s="359" t="s">
        <v>438</v>
      </c>
      <c r="Q324" s="360"/>
      <c r="R324" s="364"/>
      <c r="S324" s="361"/>
      <c r="T324" s="358"/>
      <c r="U324" s="36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4"/>
      <c r="BE324" s="12"/>
      <c r="BF324" s="12"/>
      <c r="BG324" s="12" t="str">
        <f>IFERROR(__xludf.DUMMYFUNCTION("IFERROR(INDEX(QUERY(IMPORTRANGE(""1T7HG8KEs-Ob7f3M5atEVN9Yn7IeORGp0QGvggB62ELw"",""Maestro!A:I""),""SELECT Col8 WHERE Col3 = '""&amp;BD324&amp;""'"", 0), 1, 1),""NO ENCONTRADO"")"),"")</f>
        <v/>
      </c>
      <c r="BH324" s="12" t="str">
        <f>IFERROR(__xludf.DUMMYFUNCTION("IFERROR(INDEX(QUERY(IMPORTRANGE(""1T7HG8KEs-Ob7f3M5atEVN9Yn7IeORGp0QGvggB62ELw"",""Maestro!A:I""),""SELECT Col7 WHERE Col3 = '""&amp;BD324&amp;""'"", 0), 1, 1),""NO ENCONTRADO"")"),"")</f>
        <v/>
      </c>
      <c r="BI324" s="16">
        <f t="shared" si="15"/>
        <v>0</v>
      </c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4"/>
      <c r="BW324" s="14"/>
      <c r="BX324" s="14"/>
      <c r="BY324" s="14"/>
      <c r="BZ324" s="14"/>
      <c r="CA324" s="14"/>
      <c r="CB324" s="14"/>
      <c r="CC324" s="14"/>
      <c r="CD324" s="14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</row>
    <row r="325">
      <c r="A325" s="274" t="s">
        <v>645</v>
      </c>
      <c r="B325" s="275" t="s">
        <v>18</v>
      </c>
      <c r="C325" s="275" t="s">
        <v>411</v>
      </c>
      <c r="D325" s="276" t="str">
        <f t="shared" si="1"/>
        <v>T-1-18</v>
      </c>
      <c r="E325" s="146"/>
      <c r="F325" s="147"/>
      <c r="G325" s="148"/>
      <c r="H325" s="148"/>
      <c r="I325" s="149"/>
      <c r="J325" s="148"/>
      <c r="K325" s="32" t="str">
        <f t="shared" si="2"/>
        <v>DISPONIBLE</v>
      </c>
      <c r="L325" s="33">
        <f t="shared" si="14"/>
        <v>324</v>
      </c>
      <c r="M325" s="33" t="s">
        <v>733</v>
      </c>
      <c r="N325" s="122"/>
      <c r="O325" s="353"/>
      <c r="P325" s="354" t="s">
        <v>441</v>
      </c>
      <c r="Q325" s="390"/>
      <c r="R325" s="390"/>
      <c r="S325" s="390"/>
      <c r="T325" s="390"/>
      <c r="U325" s="391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4"/>
      <c r="BE325" s="12"/>
      <c r="BF325" s="12"/>
      <c r="BG325" s="12" t="str">
        <f>IFERROR(__xludf.DUMMYFUNCTION("IFERROR(INDEX(QUERY(IMPORTRANGE(""1T7HG8KEs-Ob7f3M5atEVN9Yn7IeORGp0QGvggB62ELw"",""Maestro!A:I""),""SELECT Col8 WHERE Col3 = '""&amp;BD325&amp;""'"", 0), 1, 1),""NO ENCONTRADO"")"),"")</f>
        <v/>
      </c>
      <c r="BH325" s="12" t="str">
        <f>IFERROR(__xludf.DUMMYFUNCTION("IFERROR(INDEX(QUERY(IMPORTRANGE(""1T7HG8KEs-Ob7f3M5atEVN9Yn7IeORGp0QGvggB62ELw"",""Maestro!A:I""),""SELECT Col7 WHERE Col3 = '""&amp;BD325&amp;""'"", 0), 1, 1),""NO ENCONTRADO"")"),"")</f>
        <v/>
      </c>
      <c r="BI325" s="16">
        <f t="shared" si="15"/>
        <v>0</v>
      </c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4"/>
      <c r="BW325" s="14"/>
      <c r="BX325" s="14"/>
      <c r="BY325" s="14"/>
      <c r="BZ325" s="14"/>
      <c r="CA325" s="14"/>
      <c r="CB325" s="14"/>
      <c r="CC325" s="14"/>
      <c r="CD325" s="14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</row>
    <row r="326">
      <c r="A326" s="274" t="s">
        <v>645</v>
      </c>
      <c r="B326" s="275" t="s">
        <v>18</v>
      </c>
      <c r="C326" s="275" t="s">
        <v>425</v>
      </c>
      <c r="D326" s="276" t="str">
        <f t="shared" si="1"/>
        <v>T-1-19</v>
      </c>
      <c r="E326" s="146"/>
      <c r="F326" s="147"/>
      <c r="G326" s="148"/>
      <c r="H326" s="148"/>
      <c r="I326" s="149"/>
      <c r="J326" s="148"/>
      <c r="K326" s="27" t="str">
        <f t="shared" si="2"/>
        <v>DISPONIBLE</v>
      </c>
      <c r="L326" s="28">
        <f t="shared" si="14"/>
        <v>325</v>
      </c>
      <c r="M326" s="28" t="s">
        <v>733</v>
      </c>
      <c r="N326" s="109"/>
      <c r="O326" s="358"/>
      <c r="P326" s="359" t="s">
        <v>445</v>
      </c>
      <c r="Q326" s="392"/>
      <c r="R326" s="392"/>
      <c r="S326" s="392"/>
      <c r="T326" s="392"/>
      <c r="U326" s="393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4"/>
      <c r="BE326" s="12"/>
      <c r="BF326" s="12"/>
      <c r="BG326" s="12" t="str">
        <f>IFERROR(__xludf.DUMMYFUNCTION("IFERROR(INDEX(QUERY(IMPORTRANGE(""1T7HG8KEs-Ob7f3M5atEVN9Yn7IeORGp0QGvggB62ELw"",""Maestro!A:I""),""SELECT Col8 WHERE Col3 = '""&amp;BD326&amp;""'"", 0), 1, 1),""NO ENCONTRADO"")"),"")</f>
        <v/>
      </c>
      <c r="BH326" s="12" t="str">
        <f>IFERROR(__xludf.DUMMYFUNCTION("IFERROR(INDEX(QUERY(IMPORTRANGE(""1T7HG8KEs-Ob7f3M5atEVN9Yn7IeORGp0QGvggB62ELw"",""Maestro!A:I""),""SELECT Col7 WHERE Col3 = '""&amp;BD326&amp;""'"", 0), 1, 1),""NO ENCONTRADO"")"),"")</f>
        <v/>
      </c>
      <c r="BI326" s="16">
        <f t="shared" si="15"/>
        <v>0</v>
      </c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4"/>
      <c r="BW326" s="14"/>
      <c r="BX326" s="14"/>
      <c r="BY326" s="14"/>
      <c r="BZ326" s="14"/>
      <c r="CA326" s="14"/>
      <c r="CB326" s="14"/>
      <c r="CC326" s="14"/>
      <c r="CD326" s="14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</row>
    <row r="327">
      <c r="A327" s="274" t="s">
        <v>645</v>
      </c>
      <c r="B327" s="275" t="s">
        <v>18</v>
      </c>
      <c r="C327" s="275" t="s">
        <v>451</v>
      </c>
      <c r="D327" s="276" t="str">
        <f t="shared" si="1"/>
        <v>T-1-20</v>
      </c>
      <c r="E327" s="146"/>
      <c r="F327" s="147"/>
      <c r="G327" s="148"/>
      <c r="H327" s="148"/>
      <c r="I327" s="149"/>
      <c r="J327" s="148"/>
      <c r="K327" s="32" t="str">
        <f t="shared" si="2"/>
        <v>DISPONIBLE</v>
      </c>
      <c r="L327" s="33">
        <f t="shared" si="14"/>
        <v>326</v>
      </c>
      <c r="M327" s="33" t="s">
        <v>733</v>
      </c>
      <c r="N327" s="122"/>
      <c r="O327" s="353"/>
      <c r="P327" s="354" t="s">
        <v>449</v>
      </c>
      <c r="Q327" s="390"/>
      <c r="R327" s="390"/>
      <c r="S327" s="390"/>
      <c r="T327" s="390"/>
      <c r="U327" s="391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4"/>
      <c r="BE327" s="12"/>
      <c r="BF327" s="12"/>
      <c r="BG327" s="12" t="str">
        <f>IFERROR(__xludf.DUMMYFUNCTION("IFERROR(INDEX(QUERY(IMPORTRANGE(""1T7HG8KEs-Ob7f3M5atEVN9Yn7IeORGp0QGvggB62ELw"",""Maestro!A:I""),""SELECT Col8 WHERE Col3 = '""&amp;BD327&amp;""'"", 0), 1, 1),""NO ENCONTRADO"")"),"")</f>
        <v/>
      </c>
      <c r="BH327" s="12" t="str">
        <f>IFERROR(__xludf.DUMMYFUNCTION("IFERROR(INDEX(QUERY(IMPORTRANGE(""1T7HG8KEs-Ob7f3M5atEVN9Yn7IeORGp0QGvggB62ELw"",""Maestro!A:I""),""SELECT Col7 WHERE Col3 = '""&amp;BD327&amp;""'"", 0), 1, 1),""NO ENCONTRADO"")"),"")</f>
        <v/>
      </c>
      <c r="BI327" s="16">
        <f t="shared" si="15"/>
        <v>0</v>
      </c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4"/>
      <c r="BW327" s="14"/>
      <c r="BX327" s="14"/>
      <c r="BY327" s="14"/>
      <c r="BZ327" s="14"/>
      <c r="CA327" s="14"/>
      <c r="CB327" s="14"/>
      <c r="CC327" s="14"/>
      <c r="CD327" s="14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</row>
    <row r="328">
      <c r="A328" s="274" t="s">
        <v>645</v>
      </c>
      <c r="B328" s="275" t="s">
        <v>18</v>
      </c>
      <c r="C328" s="275" t="s">
        <v>467</v>
      </c>
      <c r="D328" s="276" t="str">
        <f t="shared" si="1"/>
        <v>T-1-21</v>
      </c>
      <c r="E328" s="146"/>
      <c r="F328" s="147"/>
      <c r="G328" s="148"/>
      <c r="H328" s="148"/>
      <c r="I328" s="149"/>
      <c r="J328" s="148"/>
      <c r="K328" s="27" t="str">
        <f t="shared" si="2"/>
        <v>DISPONIBLE</v>
      </c>
      <c r="L328" s="28">
        <f t="shared" si="14"/>
        <v>327</v>
      </c>
      <c r="M328" s="28" t="s">
        <v>733</v>
      </c>
      <c r="N328" s="109"/>
      <c r="O328" s="358"/>
      <c r="P328" s="359" t="s">
        <v>455</v>
      </c>
      <c r="Q328" s="392"/>
      <c r="R328" s="392"/>
      <c r="S328" s="392"/>
      <c r="T328" s="392"/>
      <c r="U328" s="393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4"/>
      <c r="BE328" s="12"/>
      <c r="BF328" s="12"/>
      <c r="BG328" s="12" t="str">
        <f>IFERROR(__xludf.DUMMYFUNCTION("IFERROR(INDEX(QUERY(IMPORTRANGE(""1T7HG8KEs-Ob7f3M5atEVN9Yn7IeORGp0QGvggB62ELw"",""Maestro!A:I""),""SELECT Col8 WHERE Col3 = '""&amp;BD328&amp;""'"", 0), 1, 1),""NO ENCONTRADO"")"),"")</f>
        <v/>
      </c>
      <c r="BH328" s="12" t="str">
        <f>IFERROR(__xludf.DUMMYFUNCTION("IFERROR(INDEX(QUERY(IMPORTRANGE(""1T7HG8KEs-Ob7f3M5atEVN9Yn7IeORGp0QGvggB62ELw"",""Maestro!A:I""),""SELECT Col7 WHERE Col3 = '""&amp;BD328&amp;""'"", 0), 1, 1),""NO ENCONTRADO"")"),"")</f>
        <v/>
      </c>
      <c r="BI328" s="16">
        <f t="shared" si="15"/>
        <v>0</v>
      </c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4"/>
      <c r="BW328" s="14"/>
      <c r="BX328" s="14"/>
      <c r="BY328" s="14"/>
      <c r="BZ328" s="14"/>
      <c r="CA328" s="14"/>
      <c r="CB328" s="14"/>
      <c r="CC328" s="14"/>
      <c r="CD328" s="14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</row>
    <row r="329">
      <c r="A329" s="274" t="s">
        <v>645</v>
      </c>
      <c r="B329" s="275" t="s">
        <v>18</v>
      </c>
      <c r="C329" s="275" t="s">
        <v>620</v>
      </c>
      <c r="D329" s="276" t="str">
        <f t="shared" si="1"/>
        <v>T-1-22</v>
      </c>
      <c r="E329" s="146"/>
      <c r="F329" s="147"/>
      <c r="G329" s="148"/>
      <c r="H329" s="148"/>
      <c r="I329" s="149"/>
      <c r="J329" s="148"/>
      <c r="K329" s="32" t="str">
        <f t="shared" si="2"/>
        <v>DISPONIBLE</v>
      </c>
      <c r="L329" s="33">
        <f t="shared" si="14"/>
        <v>328</v>
      </c>
      <c r="M329" s="33" t="s">
        <v>733</v>
      </c>
      <c r="N329" s="122"/>
      <c r="O329" s="353"/>
      <c r="P329" s="354" t="s">
        <v>459</v>
      </c>
      <c r="Q329" s="390"/>
      <c r="R329" s="390"/>
      <c r="S329" s="390"/>
      <c r="T329" s="390"/>
      <c r="U329" s="391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4"/>
      <c r="BE329" s="12"/>
      <c r="BF329" s="12"/>
      <c r="BG329" s="12" t="str">
        <f>IFERROR(__xludf.DUMMYFUNCTION("IFERROR(INDEX(QUERY(IMPORTRANGE(""1T7HG8KEs-Ob7f3M5atEVN9Yn7IeORGp0QGvggB62ELw"",""Maestro!A:I""),""SELECT Col8 WHERE Col3 = '""&amp;BD329&amp;""'"", 0), 1, 1),""NO ENCONTRADO"")"),"")</f>
        <v/>
      </c>
      <c r="BH329" s="12" t="str">
        <f>IFERROR(__xludf.DUMMYFUNCTION("IFERROR(INDEX(QUERY(IMPORTRANGE(""1T7HG8KEs-Ob7f3M5atEVN9Yn7IeORGp0QGvggB62ELw"",""Maestro!A:I""),""SELECT Col7 WHERE Col3 = '""&amp;BD329&amp;""'"", 0), 1, 1),""NO ENCONTRADO"")"),"")</f>
        <v/>
      </c>
      <c r="BI329" s="16">
        <f t="shared" si="15"/>
        <v>0</v>
      </c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4"/>
      <c r="BW329" s="14"/>
      <c r="BX329" s="14"/>
      <c r="BY329" s="14"/>
      <c r="BZ329" s="14"/>
      <c r="CA329" s="14"/>
      <c r="CB329" s="14"/>
      <c r="CC329" s="14"/>
      <c r="CD329" s="14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</row>
    <row r="330">
      <c r="A330" s="274" t="s">
        <v>645</v>
      </c>
      <c r="B330" s="275" t="s">
        <v>18</v>
      </c>
      <c r="C330" s="275" t="s">
        <v>561</v>
      </c>
      <c r="D330" s="276" t="str">
        <f t="shared" si="1"/>
        <v>T-1-23</v>
      </c>
      <c r="E330" s="146"/>
      <c r="F330" s="147"/>
      <c r="G330" s="148"/>
      <c r="H330" s="148"/>
      <c r="I330" s="149"/>
      <c r="J330" s="148"/>
      <c r="K330" s="27" t="str">
        <f t="shared" si="2"/>
        <v>DISPONIBLE</v>
      </c>
      <c r="L330" s="28">
        <f t="shared" si="14"/>
        <v>329</v>
      </c>
      <c r="M330" s="28" t="s">
        <v>733</v>
      </c>
      <c r="N330" s="109"/>
      <c r="O330" s="358"/>
      <c r="P330" s="359" t="s">
        <v>464</v>
      </c>
      <c r="Q330" s="392"/>
      <c r="R330" s="392"/>
      <c r="S330" s="392"/>
      <c r="T330" s="392"/>
      <c r="U330" s="393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4"/>
      <c r="BE330" s="12"/>
      <c r="BF330" s="12"/>
      <c r="BG330" s="12" t="str">
        <f>IFERROR(__xludf.DUMMYFUNCTION("IFERROR(INDEX(QUERY(IMPORTRANGE(""1T7HG8KEs-Ob7f3M5atEVN9Yn7IeORGp0QGvggB62ELw"",""Maestro!A:I""),""SELECT Col8 WHERE Col3 = '""&amp;BD330&amp;""'"", 0), 1, 1),""NO ENCONTRADO"")"),"")</f>
        <v/>
      </c>
      <c r="BH330" s="12" t="str">
        <f>IFERROR(__xludf.DUMMYFUNCTION("IFERROR(INDEX(QUERY(IMPORTRANGE(""1T7HG8KEs-Ob7f3M5atEVN9Yn7IeORGp0QGvggB62ELw"",""Maestro!A:I""),""SELECT Col7 WHERE Col3 = '""&amp;BD330&amp;""'"", 0), 1, 1),""NO ENCONTRADO"")"),"")</f>
        <v/>
      </c>
      <c r="BI330" s="16">
        <f t="shared" si="15"/>
        <v>0</v>
      </c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4"/>
      <c r="BW330" s="14"/>
      <c r="BX330" s="14"/>
      <c r="BY330" s="14"/>
      <c r="BZ330" s="14"/>
      <c r="CA330" s="14"/>
      <c r="CB330" s="14"/>
      <c r="CC330" s="14"/>
      <c r="CD330" s="14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</row>
    <row r="331">
      <c r="A331" s="274" t="s">
        <v>645</v>
      </c>
      <c r="B331" s="275" t="s">
        <v>18</v>
      </c>
      <c r="C331" s="275" t="s">
        <v>563</v>
      </c>
      <c r="D331" s="276" t="str">
        <f t="shared" si="1"/>
        <v>T-1-24</v>
      </c>
      <c r="E331" s="146"/>
      <c r="F331" s="147"/>
      <c r="G331" s="148"/>
      <c r="H331" s="148"/>
      <c r="I331" s="149"/>
      <c r="J331" s="148"/>
      <c r="K331" s="32" t="str">
        <f t="shared" si="2"/>
        <v>DISPONIBLE</v>
      </c>
      <c r="L331" s="33">
        <f t="shared" si="14"/>
        <v>330</v>
      </c>
      <c r="M331" s="33" t="s">
        <v>733</v>
      </c>
      <c r="N331" s="122"/>
      <c r="O331" s="353"/>
      <c r="P331" s="354" t="s">
        <v>469</v>
      </c>
      <c r="Q331" s="390"/>
      <c r="R331" s="390"/>
      <c r="S331" s="390"/>
      <c r="T331" s="390"/>
      <c r="U331" s="391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4"/>
      <c r="BE331" s="12"/>
      <c r="BF331" s="12"/>
      <c r="BG331" s="12" t="str">
        <f>IFERROR(__xludf.DUMMYFUNCTION("IFERROR(INDEX(QUERY(IMPORTRANGE(""1T7HG8KEs-Ob7f3M5atEVN9Yn7IeORGp0QGvggB62ELw"",""Maestro!A:I""),""SELECT Col8 WHERE Col3 = '""&amp;BD331&amp;""'"", 0), 1, 1),""NO ENCONTRADO"")"),"")</f>
        <v/>
      </c>
      <c r="BH331" s="12" t="str">
        <f>IFERROR(__xludf.DUMMYFUNCTION("IFERROR(INDEX(QUERY(IMPORTRANGE(""1T7HG8KEs-Ob7f3M5atEVN9Yn7IeORGp0QGvggB62ELw"",""Maestro!A:I""),""SELECT Col7 WHERE Col3 = '""&amp;BD331&amp;""'"", 0), 1, 1),""NO ENCONTRADO"")"),"")</f>
        <v/>
      </c>
      <c r="BI331" s="16">
        <f t="shared" si="15"/>
        <v>0</v>
      </c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4"/>
      <c r="BW331" s="14"/>
      <c r="BX331" s="14"/>
      <c r="BY331" s="14"/>
      <c r="BZ331" s="14"/>
      <c r="CA331" s="14"/>
      <c r="CB331" s="14"/>
      <c r="CC331" s="14"/>
      <c r="CD331" s="14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</row>
    <row r="332">
      <c r="A332" s="274" t="s">
        <v>645</v>
      </c>
      <c r="B332" s="275" t="s">
        <v>18</v>
      </c>
      <c r="C332" s="275" t="s">
        <v>565</v>
      </c>
      <c r="D332" s="276" t="str">
        <f t="shared" si="1"/>
        <v>T-1-25</v>
      </c>
      <c r="E332" s="146"/>
      <c r="F332" s="147"/>
      <c r="G332" s="148"/>
      <c r="H332" s="148"/>
      <c r="I332" s="149"/>
      <c r="J332" s="148"/>
      <c r="K332" s="27" t="str">
        <f t="shared" si="2"/>
        <v>DISPONIBLE</v>
      </c>
      <c r="L332" s="28">
        <f t="shared" si="14"/>
        <v>331</v>
      </c>
      <c r="M332" s="28" t="s">
        <v>733</v>
      </c>
      <c r="N332" s="28"/>
      <c r="O332" s="28"/>
      <c r="P332" s="331" t="s">
        <v>513</v>
      </c>
      <c r="Q332" s="70"/>
      <c r="R332" s="70"/>
      <c r="S332" s="70"/>
      <c r="T332" s="70"/>
      <c r="U332" s="140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4"/>
      <c r="BE332" s="12"/>
      <c r="BF332" s="12"/>
      <c r="BG332" s="12" t="str">
        <f>IFERROR(__xludf.DUMMYFUNCTION("IFERROR(INDEX(QUERY(IMPORTRANGE(""1T7HG8KEs-Ob7f3M5atEVN9Yn7IeORGp0QGvggB62ELw"",""Maestro!A:I""),""SELECT Col8 WHERE Col3 = '""&amp;BD332&amp;""'"", 0), 1, 1),""NO ENCONTRADO"")"),"")</f>
        <v/>
      </c>
      <c r="BH332" s="12" t="str">
        <f>IFERROR(__xludf.DUMMYFUNCTION("IFERROR(INDEX(QUERY(IMPORTRANGE(""1T7HG8KEs-Ob7f3M5atEVN9Yn7IeORGp0QGvggB62ELw"",""Maestro!A:I""),""SELECT Col7 WHERE Col3 = '""&amp;BD332&amp;""'"", 0), 1, 1),""NO ENCONTRADO"")"),"")</f>
        <v/>
      </c>
      <c r="BI332" s="16">
        <f t="shared" si="15"/>
        <v>0</v>
      </c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4"/>
      <c r="BW332" s="14"/>
      <c r="BX332" s="14"/>
      <c r="BY332" s="14"/>
      <c r="BZ332" s="14"/>
      <c r="CA332" s="14"/>
      <c r="CB332" s="14"/>
      <c r="CC332" s="14"/>
      <c r="CD332" s="14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</row>
    <row r="333">
      <c r="A333" s="274" t="s">
        <v>645</v>
      </c>
      <c r="B333" s="275" t="s">
        <v>18</v>
      </c>
      <c r="C333" s="275" t="s">
        <v>622</v>
      </c>
      <c r="D333" s="276" t="str">
        <f t="shared" si="1"/>
        <v>T-1-26</v>
      </c>
      <c r="E333" s="83"/>
      <c r="F333" s="150"/>
      <c r="G333" s="85"/>
      <c r="H333" s="49"/>
      <c r="I333" s="86"/>
      <c r="J333" s="49"/>
      <c r="K333" s="32" t="str">
        <f t="shared" si="2"/>
        <v>DISPONIBLE</v>
      </c>
      <c r="L333" s="33">
        <f t="shared" si="14"/>
        <v>332</v>
      </c>
      <c r="M333" s="33" t="s">
        <v>733</v>
      </c>
      <c r="N333" s="33"/>
      <c r="O333" s="33"/>
      <c r="P333" s="335" t="s">
        <v>518</v>
      </c>
      <c r="Q333" s="336"/>
      <c r="R333" s="342"/>
      <c r="S333" s="337"/>
      <c r="T333" s="33"/>
      <c r="U333" s="338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4"/>
      <c r="BE333" s="12"/>
      <c r="BF333" s="12"/>
      <c r="BG333" s="12" t="str">
        <f>IFERROR(__xludf.DUMMYFUNCTION("IFERROR(INDEX(QUERY(IMPORTRANGE(""1T7HG8KEs-Ob7f3M5atEVN9Yn7IeORGp0QGvggB62ELw"",""Maestro!A:I""),""SELECT Col8 WHERE Col3 = '""&amp;BD333&amp;""'"", 0), 1, 1),""NO ENCONTRADO"")"),"")</f>
        <v/>
      </c>
      <c r="BH333" s="12" t="str">
        <f>IFERROR(__xludf.DUMMYFUNCTION("IFERROR(INDEX(QUERY(IMPORTRANGE(""1T7HG8KEs-Ob7f3M5atEVN9Yn7IeORGp0QGvggB62ELw"",""Maestro!A:I""),""SELECT Col7 WHERE Col3 = '""&amp;BD333&amp;""'"", 0), 1, 1),""NO ENCONTRADO"")"),"")</f>
        <v/>
      </c>
      <c r="BI333" s="16">
        <f t="shared" si="15"/>
        <v>0</v>
      </c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4"/>
      <c r="BW333" s="14"/>
      <c r="BX333" s="14"/>
      <c r="BY333" s="14"/>
      <c r="BZ333" s="14"/>
      <c r="CA333" s="14"/>
      <c r="CB333" s="14"/>
      <c r="CC333" s="14"/>
      <c r="CD333" s="14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</row>
    <row r="334">
      <c r="A334" s="274" t="s">
        <v>645</v>
      </c>
      <c r="B334" s="275" t="s">
        <v>18</v>
      </c>
      <c r="C334" s="275" t="s">
        <v>669</v>
      </c>
      <c r="D334" s="276" t="str">
        <f t="shared" si="1"/>
        <v>T-1-27</v>
      </c>
      <c r="E334" s="83"/>
      <c r="F334" s="150"/>
      <c r="G334" s="85"/>
      <c r="H334" s="49"/>
      <c r="I334" s="86"/>
      <c r="J334" s="49"/>
      <c r="K334" s="27" t="str">
        <f t="shared" si="2"/>
        <v>DISPONIBLE</v>
      </c>
      <c r="L334" s="28">
        <f t="shared" si="14"/>
        <v>333</v>
      </c>
      <c r="M334" s="28" t="s">
        <v>733</v>
      </c>
      <c r="N334" s="28"/>
      <c r="O334" s="28"/>
      <c r="P334" s="331" t="s">
        <v>521</v>
      </c>
      <c r="Q334" s="332"/>
      <c r="R334" s="343"/>
      <c r="S334" s="333"/>
      <c r="T334" s="28"/>
      <c r="U334" s="334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4"/>
      <c r="BE334" s="12"/>
      <c r="BF334" s="12"/>
      <c r="BG334" s="12" t="str">
        <f>IFERROR(__xludf.DUMMYFUNCTION("IFERROR(INDEX(QUERY(IMPORTRANGE(""1T7HG8KEs-Ob7f3M5atEVN9Yn7IeORGp0QGvggB62ELw"",""Maestro!A:I""),""SELECT Col8 WHERE Col3 = '""&amp;BD334&amp;""'"", 0), 1, 1),""NO ENCONTRADO"")"),"")</f>
        <v/>
      </c>
      <c r="BH334" s="12" t="str">
        <f>IFERROR(__xludf.DUMMYFUNCTION("IFERROR(INDEX(QUERY(IMPORTRANGE(""1T7HG8KEs-Ob7f3M5atEVN9Yn7IeORGp0QGvggB62ELw"",""Maestro!A:I""),""SELECT Col7 WHERE Col3 = '""&amp;BD334&amp;""'"", 0), 1, 1),""NO ENCONTRADO"")"),"")</f>
        <v/>
      </c>
      <c r="BI334" s="16">
        <f t="shared" si="15"/>
        <v>0</v>
      </c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4"/>
      <c r="BW334" s="14"/>
      <c r="BX334" s="14"/>
      <c r="BY334" s="14"/>
      <c r="BZ334" s="14"/>
      <c r="CA334" s="14"/>
      <c r="CB334" s="14"/>
      <c r="CC334" s="14"/>
      <c r="CD334" s="14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</row>
    <row r="335">
      <c r="A335" s="274" t="s">
        <v>645</v>
      </c>
      <c r="B335" s="275" t="s">
        <v>18</v>
      </c>
      <c r="C335" s="275" t="s">
        <v>671</v>
      </c>
      <c r="D335" s="276" t="str">
        <f t="shared" si="1"/>
        <v>T-1-28</v>
      </c>
      <c r="E335" s="83"/>
      <c r="F335" s="150"/>
      <c r="G335" s="85"/>
      <c r="H335" s="49"/>
      <c r="I335" s="86"/>
      <c r="J335" s="49"/>
      <c r="K335" s="32" t="str">
        <f t="shared" si="2"/>
        <v>DISPONIBLE</v>
      </c>
      <c r="L335" s="33">
        <f t="shared" si="14"/>
        <v>334</v>
      </c>
      <c r="M335" s="33" t="s">
        <v>733</v>
      </c>
      <c r="N335" s="33"/>
      <c r="O335" s="33"/>
      <c r="P335" s="335" t="s">
        <v>472</v>
      </c>
      <c r="Q335" s="336"/>
      <c r="R335" s="342"/>
      <c r="S335" s="337"/>
      <c r="T335" s="33"/>
      <c r="U335" s="338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4"/>
      <c r="BE335" s="12"/>
      <c r="BF335" s="12"/>
      <c r="BG335" s="12" t="str">
        <f>IFERROR(__xludf.DUMMYFUNCTION("IFERROR(INDEX(QUERY(IMPORTRANGE(""1T7HG8KEs-Ob7f3M5atEVN9Yn7IeORGp0QGvggB62ELw"",""Maestro!A:I""),""SELECT Col8 WHERE Col3 = '""&amp;BD335&amp;""'"", 0), 1, 1),""NO ENCONTRADO"")"),"")</f>
        <v/>
      </c>
      <c r="BH335" s="12" t="str">
        <f>IFERROR(__xludf.DUMMYFUNCTION("IFERROR(INDEX(QUERY(IMPORTRANGE(""1T7HG8KEs-Ob7f3M5atEVN9Yn7IeORGp0QGvggB62ELw"",""Maestro!A:I""),""SELECT Col7 WHERE Col3 = '""&amp;BD335&amp;""'"", 0), 1, 1),""NO ENCONTRADO"")"),"")</f>
        <v/>
      </c>
      <c r="BI335" s="16">
        <f t="shared" si="15"/>
        <v>0</v>
      </c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4"/>
      <c r="BW335" s="14"/>
      <c r="BX335" s="14"/>
      <c r="BY335" s="14"/>
      <c r="BZ335" s="14"/>
      <c r="CA335" s="14"/>
      <c r="CB335" s="14"/>
      <c r="CC335" s="14"/>
      <c r="CD335" s="14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</row>
    <row r="336">
      <c r="A336" s="274" t="s">
        <v>645</v>
      </c>
      <c r="B336" s="275" t="s">
        <v>18</v>
      </c>
      <c r="C336" s="275" t="s">
        <v>673</v>
      </c>
      <c r="D336" s="276" t="str">
        <f t="shared" si="1"/>
        <v>T-1-29</v>
      </c>
      <c r="E336" s="83"/>
      <c r="F336" s="150"/>
      <c r="G336" s="85"/>
      <c r="H336" s="49"/>
      <c r="I336" s="86"/>
      <c r="J336" s="49"/>
      <c r="K336" s="27" t="str">
        <f t="shared" si="2"/>
        <v>DISPONIBLE</v>
      </c>
      <c r="L336" s="28">
        <f t="shared" si="14"/>
        <v>335</v>
      </c>
      <c r="M336" s="28" t="s">
        <v>733</v>
      </c>
      <c r="N336" s="28"/>
      <c r="O336" s="28"/>
      <c r="P336" s="331" t="s">
        <v>475</v>
      </c>
      <c r="Q336" s="332"/>
      <c r="R336" s="343"/>
      <c r="S336" s="333"/>
      <c r="T336" s="28"/>
      <c r="U336" s="334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4"/>
      <c r="BE336" s="12"/>
      <c r="BF336" s="12"/>
      <c r="BG336" s="12" t="str">
        <f>IFERROR(__xludf.DUMMYFUNCTION("IFERROR(INDEX(QUERY(IMPORTRANGE(""1T7HG8KEs-Ob7f3M5atEVN9Yn7IeORGp0QGvggB62ELw"",""Maestro!A:I""),""SELECT Col8 WHERE Col3 = '""&amp;BD336&amp;""'"", 0), 1, 1),""NO ENCONTRADO"")"),"")</f>
        <v/>
      </c>
      <c r="BH336" s="12" t="str">
        <f>IFERROR(__xludf.DUMMYFUNCTION("IFERROR(INDEX(QUERY(IMPORTRANGE(""1T7HG8KEs-Ob7f3M5atEVN9Yn7IeORGp0QGvggB62ELw"",""Maestro!A:I""),""SELECT Col7 WHERE Col3 = '""&amp;BD336&amp;""'"", 0), 1, 1),""NO ENCONTRADO"")"),"")</f>
        <v/>
      </c>
      <c r="BI336" s="16">
        <f t="shared" si="15"/>
        <v>0</v>
      </c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4"/>
      <c r="BW336" s="14"/>
      <c r="BX336" s="14"/>
      <c r="BY336" s="14"/>
      <c r="BZ336" s="14"/>
      <c r="CA336" s="14"/>
      <c r="CB336" s="14"/>
      <c r="CC336" s="14"/>
      <c r="CD336" s="14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</row>
    <row r="337">
      <c r="A337" s="274" t="s">
        <v>645</v>
      </c>
      <c r="B337" s="275" t="s">
        <v>18</v>
      </c>
      <c r="C337" s="275" t="s">
        <v>677</v>
      </c>
      <c r="D337" s="276" t="str">
        <f t="shared" si="1"/>
        <v>T-1-30</v>
      </c>
      <c r="E337" s="72"/>
      <c r="F337" s="77"/>
      <c r="G337" s="74"/>
      <c r="H337" s="75"/>
      <c r="I337" s="76"/>
      <c r="J337" s="75"/>
      <c r="K337" s="32" t="str">
        <f t="shared" si="2"/>
        <v>DISPONIBLE</v>
      </c>
      <c r="L337" s="33">
        <f t="shared" si="14"/>
        <v>336</v>
      </c>
      <c r="M337" s="33" t="s">
        <v>733</v>
      </c>
      <c r="N337" s="33"/>
      <c r="O337" s="33"/>
      <c r="P337" s="335" t="s">
        <v>479</v>
      </c>
      <c r="Q337" s="336"/>
      <c r="R337" s="342"/>
      <c r="S337" s="337"/>
      <c r="T337" s="33"/>
      <c r="U337" s="338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4"/>
      <c r="BE337" s="12"/>
      <c r="BF337" s="12"/>
      <c r="BG337" s="12" t="str">
        <f>IFERROR(__xludf.DUMMYFUNCTION("IFERROR(INDEX(QUERY(IMPORTRANGE(""1T7HG8KEs-Ob7f3M5atEVN9Yn7IeORGp0QGvggB62ELw"",""Maestro!A:I""),""SELECT Col8 WHERE Col3 = '""&amp;BD337&amp;""'"", 0), 1, 1),""NO ENCONTRADO"")"),"")</f>
        <v/>
      </c>
      <c r="BH337" s="12" t="str">
        <f>IFERROR(__xludf.DUMMYFUNCTION("IFERROR(INDEX(QUERY(IMPORTRANGE(""1T7HG8KEs-Ob7f3M5atEVN9Yn7IeORGp0QGvggB62ELw"",""Maestro!A:I""),""SELECT Col7 WHERE Col3 = '""&amp;BD337&amp;""'"", 0), 1, 1),""NO ENCONTRADO"")"),"")</f>
        <v/>
      </c>
      <c r="BI337" s="16">
        <f t="shared" si="15"/>
        <v>0</v>
      </c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4"/>
      <c r="BW337" s="14"/>
      <c r="BX337" s="14"/>
      <c r="BY337" s="14"/>
      <c r="BZ337" s="14"/>
      <c r="CA337" s="14"/>
      <c r="CB337" s="14"/>
      <c r="CC337" s="14"/>
      <c r="CD337" s="14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</row>
    <row r="338">
      <c r="A338" s="274" t="s">
        <v>645</v>
      </c>
      <c r="B338" s="275" t="s">
        <v>18</v>
      </c>
      <c r="C338" s="275" t="s">
        <v>679</v>
      </c>
      <c r="D338" s="276" t="str">
        <f t="shared" si="1"/>
        <v>T-1-31</v>
      </c>
      <c r="E338" s="146"/>
      <c r="F338" s="147"/>
      <c r="G338" s="148"/>
      <c r="H338" s="148"/>
      <c r="I338" s="149"/>
      <c r="J338" s="148"/>
      <c r="K338" s="27" t="str">
        <f t="shared" si="2"/>
        <v>DISPONIBLE</v>
      </c>
      <c r="L338" s="28">
        <f t="shared" si="14"/>
        <v>337</v>
      </c>
      <c r="M338" s="28" t="s">
        <v>733</v>
      </c>
      <c r="N338" s="28"/>
      <c r="O338" s="28"/>
      <c r="P338" s="331" t="s">
        <v>483</v>
      </c>
      <c r="Q338" s="70"/>
      <c r="R338" s="70"/>
      <c r="S338" s="70"/>
      <c r="T338" s="70"/>
      <c r="U338" s="140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4"/>
      <c r="BE338" s="12"/>
      <c r="BF338" s="12"/>
      <c r="BG338" s="12" t="str">
        <f>IFERROR(__xludf.DUMMYFUNCTION("IFERROR(INDEX(QUERY(IMPORTRANGE(""1T7HG8KEs-Ob7f3M5atEVN9Yn7IeORGp0QGvggB62ELw"",""Maestro!A:I""),""SELECT Col8 WHERE Col3 = '""&amp;BD338&amp;""'"", 0), 1, 1),""NO ENCONTRADO"")"),"")</f>
        <v/>
      </c>
      <c r="BH338" s="12" t="str">
        <f>IFERROR(__xludf.DUMMYFUNCTION("IFERROR(INDEX(QUERY(IMPORTRANGE(""1T7HG8KEs-Ob7f3M5atEVN9Yn7IeORGp0QGvggB62ELw"",""Maestro!A:I""),""SELECT Col7 WHERE Col3 = '""&amp;BD338&amp;""'"", 0), 1, 1),""NO ENCONTRADO"")"),"")</f>
        <v/>
      </c>
      <c r="BI338" s="16">
        <f t="shared" si="15"/>
        <v>0</v>
      </c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4"/>
      <c r="BW338" s="14"/>
      <c r="BX338" s="14"/>
      <c r="BY338" s="14"/>
      <c r="BZ338" s="14"/>
      <c r="CA338" s="14"/>
      <c r="CB338" s="14"/>
      <c r="CC338" s="14"/>
      <c r="CD338" s="14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</row>
    <row r="339">
      <c r="A339" s="274" t="s">
        <v>645</v>
      </c>
      <c r="B339" s="275" t="s">
        <v>18</v>
      </c>
      <c r="C339" s="275" t="s">
        <v>681</v>
      </c>
      <c r="D339" s="276" t="str">
        <f t="shared" si="1"/>
        <v>T-1-32</v>
      </c>
      <c r="E339" s="146"/>
      <c r="F339" s="147"/>
      <c r="G339" s="148"/>
      <c r="H339" s="148"/>
      <c r="I339" s="149"/>
      <c r="J339" s="148"/>
      <c r="K339" s="32" t="str">
        <f t="shared" si="2"/>
        <v>DISPONIBLE</v>
      </c>
      <c r="L339" s="33">
        <f t="shared" si="14"/>
        <v>338</v>
      </c>
      <c r="M339" s="33" t="s">
        <v>733</v>
      </c>
      <c r="N339" s="33"/>
      <c r="O339" s="33"/>
      <c r="P339" s="335" t="s">
        <v>488</v>
      </c>
      <c r="Q339" s="53"/>
      <c r="R339" s="53"/>
      <c r="S339" s="53"/>
      <c r="T339" s="53"/>
      <c r="U339" s="129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4"/>
      <c r="BE339" s="12"/>
      <c r="BF339" s="12"/>
      <c r="BG339" s="12" t="str">
        <f>IFERROR(__xludf.DUMMYFUNCTION("IFERROR(INDEX(QUERY(IMPORTRANGE(""1T7HG8KEs-Ob7f3M5atEVN9Yn7IeORGp0QGvggB62ELw"",""Maestro!A:I""),""SELECT Col8 WHERE Col3 = '""&amp;BD339&amp;""'"", 0), 1, 1),""NO ENCONTRADO"")"),"")</f>
        <v/>
      </c>
      <c r="BH339" s="12" t="str">
        <f>IFERROR(__xludf.DUMMYFUNCTION("IFERROR(INDEX(QUERY(IMPORTRANGE(""1T7HG8KEs-Ob7f3M5atEVN9Yn7IeORGp0QGvggB62ELw"",""Maestro!A:I""),""SELECT Col7 WHERE Col3 = '""&amp;BD339&amp;""'"", 0), 1, 1),""NO ENCONTRADO"")"),"")</f>
        <v/>
      </c>
      <c r="BI339" s="16">
        <f t="shared" si="15"/>
        <v>0</v>
      </c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4"/>
      <c r="BW339" s="14"/>
      <c r="BX339" s="14"/>
      <c r="BY339" s="14"/>
      <c r="BZ339" s="14"/>
      <c r="CA339" s="14"/>
      <c r="CB339" s="14"/>
      <c r="CC339" s="14"/>
      <c r="CD339" s="14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</row>
    <row r="340">
      <c r="A340" s="274" t="s">
        <v>645</v>
      </c>
      <c r="B340" s="275" t="s">
        <v>18</v>
      </c>
      <c r="C340" s="275" t="s">
        <v>683</v>
      </c>
      <c r="D340" s="276" t="str">
        <f t="shared" si="1"/>
        <v>T-1-33</v>
      </c>
      <c r="E340" s="72"/>
      <c r="F340" s="77"/>
      <c r="G340" s="74"/>
      <c r="H340" s="138"/>
      <c r="I340" s="76"/>
      <c r="J340" s="138"/>
      <c r="K340" s="27" t="str">
        <f t="shared" si="2"/>
        <v>DISPONIBLE</v>
      </c>
      <c r="L340" s="28">
        <f t="shared" si="14"/>
        <v>339</v>
      </c>
      <c r="M340" s="28" t="s">
        <v>733</v>
      </c>
      <c r="N340" s="28"/>
      <c r="O340" s="394"/>
      <c r="P340" s="331" t="s">
        <v>492</v>
      </c>
      <c r="Q340" s="332"/>
      <c r="R340" s="343"/>
      <c r="S340" s="333"/>
      <c r="T340" s="70"/>
      <c r="U340" s="334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4"/>
      <c r="BE340" s="12"/>
      <c r="BF340" s="12"/>
      <c r="BG340" s="12" t="str">
        <f>IFERROR(__xludf.DUMMYFUNCTION("IFERROR(INDEX(QUERY(IMPORTRANGE(""1T7HG8KEs-Ob7f3M5atEVN9Yn7IeORGp0QGvggB62ELw"",""Maestro!A:I""),""SELECT Col8 WHERE Col3 = '""&amp;BD340&amp;""'"", 0), 1, 1),""NO ENCONTRADO"")"),"")</f>
        <v/>
      </c>
      <c r="BH340" s="12" t="str">
        <f>IFERROR(__xludf.DUMMYFUNCTION("IFERROR(INDEX(QUERY(IMPORTRANGE(""1T7HG8KEs-Ob7f3M5atEVN9Yn7IeORGp0QGvggB62ELw"",""Maestro!A:I""),""SELECT Col7 WHERE Col3 = '""&amp;BD340&amp;""'"", 0), 1, 1),""NO ENCONTRADO"")"),"")</f>
        <v/>
      </c>
      <c r="BI340" s="16">
        <f t="shared" si="15"/>
        <v>0</v>
      </c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4"/>
      <c r="BW340" s="14"/>
      <c r="BX340" s="14"/>
      <c r="BY340" s="14"/>
      <c r="BZ340" s="14"/>
      <c r="CA340" s="14"/>
      <c r="CB340" s="14"/>
      <c r="CC340" s="14"/>
      <c r="CD340" s="14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</row>
    <row r="341">
      <c r="A341" s="274" t="s">
        <v>645</v>
      </c>
      <c r="B341" s="275" t="s">
        <v>18</v>
      </c>
      <c r="C341" s="275" t="s">
        <v>685</v>
      </c>
      <c r="D341" s="276" t="str">
        <f t="shared" si="1"/>
        <v>T-1-34</v>
      </c>
      <c r="E341" s="72"/>
      <c r="F341" s="77"/>
      <c r="G341" s="74"/>
      <c r="H341" s="75"/>
      <c r="I341" s="76"/>
      <c r="J341" s="75"/>
      <c r="K341" s="32" t="str">
        <f t="shared" si="2"/>
        <v>DISPONIBLE</v>
      </c>
      <c r="L341" s="33">
        <f t="shared" si="14"/>
        <v>340</v>
      </c>
      <c r="M341" s="33" t="s">
        <v>733</v>
      </c>
      <c r="N341" s="33"/>
      <c r="O341" s="33"/>
      <c r="P341" s="335" t="s">
        <v>496</v>
      </c>
      <c r="Q341" s="336"/>
      <c r="R341" s="342"/>
      <c r="S341" s="337"/>
      <c r="T341" s="33"/>
      <c r="U341" s="338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4"/>
      <c r="BE341" s="12"/>
      <c r="BF341" s="12"/>
      <c r="BG341" s="12" t="str">
        <f>IFERROR(__xludf.DUMMYFUNCTION("IFERROR(INDEX(QUERY(IMPORTRANGE(""1T7HG8KEs-Ob7f3M5atEVN9Yn7IeORGp0QGvggB62ELw"",""Maestro!A:I""),""SELECT Col8 WHERE Col3 = '""&amp;BD341&amp;""'"", 0), 1, 1),""NO ENCONTRADO"")"),"")</f>
        <v/>
      </c>
      <c r="BH341" s="12" t="str">
        <f>IFERROR(__xludf.DUMMYFUNCTION("IFERROR(INDEX(QUERY(IMPORTRANGE(""1T7HG8KEs-Ob7f3M5atEVN9Yn7IeORGp0QGvggB62ELw"",""Maestro!A:I""),""SELECT Col7 WHERE Col3 = '""&amp;BD341&amp;""'"", 0), 1, 1),""NO ENCONTRADO"")"),"")</f>
        <v/>
      </c>
      <c r="BI341" s="16">
        <f t="shared" si="15"/>
        <v>0</v>
      </c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4"/>
      <c r="BW341" s="14"/>
      <c r="BX341" s="14"/>
      <c r="BY341" s="14"/>
      <c r="BZ341" s="14"/>
      <c r="CA341" s="14"/>
      <c r="CB341" s="14"/>
      <c r="CC341" s="14"/>
      <c r="CD341" s="14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</row>
    <row r="342">
      <c r="A342" s="274" t="s">
        <v>645</v>
      </c>
      <c r="B342" s="275" t="s">
        <v>18</v>
      </c>
      <c r="C342" s="275" t="s">
        <v>687</v>
      </c>
      <c r="D342" s="276" t="str">
        <f t="shared" si="1"/>
        <v>T-1-35</v>
      </c>
      <c r="E342" s="141"/>
      <c r="F342" s="137"/>
      <c r="G342" s="138"/>
      <c r="H342" s="138"/>
      <c r="I342" s="142"/>
      <c r="J342" s="138"/>
      <c r="K342" s="27" t="str">
        <f t="shared" si="2"/>
        <v>DISPONIBLE</v>
      </c>
      <c r="L342" s="28">
        <f t="shared" si="14"/>
        <v>341</v>
      </c>
      <c r="M342" s="28" t="s">
        <v>733</v>
      </c>
      <c r="N342" s="28"/>
      <c r="O342" s="358"/>
      <c r="P342" s="359" t="s">
        <v>500</v>
      </c>
      <c r="Q342" s="392"/>
      <c r="R342" s="395"/>
      <c r="S342" s="392"/>
      <c r="T342" s="392"/>
      <c r="U342" s="393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4"/>
      <c r="BE342" s="12"/>
      <c r="BF342" s="12"/>
      <c r="BG342" s="12" t="str">
        <f>IFERROR(__xludf.DUMMYFUNCTION("IFERROR(INDEX(QUERY(IMPORTRANGE(""1T7HG8KEs-Ob7f3M5atEVN9Yn7IeORGp0QGvggB62ELw"",""Maestro!A:I""),""SELECT Col8 WHERE Col3 = '""&amp;BD342&amp;""'"", 0), 1, 1),""NO ENCONTRADO"")"),"")</f>
        <v/>
      </c>
      <c r="BH342" s="12" t="str">
        <f>IFERROR(__xludf.DUMMYFUNCTION("IFERROR(INDEX(QUERY(IMPORTRANGE(""1T7HG8KEs-Ob7f3M5atEVN9Yn7IeORGp0QGvggB62ELw"",""Maestro!A:I""),""SELECT Col7 WHERE Col3 = '""&amp;BD342&amp;""'"", 0), 1, 1),""NO ENCONTRADO"")"),"")</f>
        <v/>
      </c>
      <c r="BI342" s="16">
        <f t="shared" si="15"/>
        <v>0</v>
      </c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4"/>
      <c r="BW342" s="14"/>
      <c r="BX342" s="14"/>
      <c r="BY342" s="14"/>
      <c r="BZ342" s="14"/>
      <c r="CA342" s="14"/>
      <c r="CB342" s="14"/>
      <c r="CC342" s="14"/>
      <c r="CD342" s="14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</row>
    <row r="343">
      <c r="A343" s="274" t="s">
        <v>645</v>
      </c>
      <c r="B343" s="275" t="s">
        <v>18</v>
      </c>
      <c r="C343" s="275" t="s">
        <v>689</v>
      </c>
      <c r="D343" s="276" t="str">
        <f t="shared" si="1"/>
        <v>T-1-36</v>
      </c>
      <c r="E343" s="72"/>
      <c r="F343" s="77"/>
      <c r="G343" s="74"/>
      <c r="H343" s="138"/>
      <c r="I343" s="76"/>
      <c r="J343" s="138"/>
      <c r="K343" s="32" t="str">
        <f t="shared" si="2"/>
        <v>DISPONIBLE</v>
      </c>
      <c r="L343" s="33">
        <f t="shared" si="14"/>
        <v>342</v>
      </c>
      <c r="M343" s="33" t="s">
        <v>733</v>
      </c>
      <c r="N343" s="33"/>
      <c r="O343" s="353"/>
      <c r="P343" s="354" t="s">
        <v>504</v>
      </c>
      <c r="Q343" s="355"/>
      <c r="R343" s="363"/>
      <c r="S343" s="356"/>
      <c r="T343" s="390"/>
      <c r="U343" s="357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4"/>
      <c r="BE343" s="12"/>
      <c r="BF343" s="12"/>
      <c r="BG343" s="12" t="str">
        <f>IFERROR(__xludf.DUMMYFUNCTION("IFERROR(INDEX(QUERY(IMPORTRANGE(""1T7HG8KEs-Ob7f3M5atEVN9Yn7IeORGp0QGvggB62ELw"",""Maestro!A:I""),""SELECT Col8 WHERE Col3 = '""&amp;BD343&amp;""'"", 0), 1, 1),""NO ENCONTRADO"")"),"")</f>
        <v/>
      </c>
      <c r="BH343" s="12" t="str">
        <f>IFERROR(__xludf.DUMMYFUNCTION("IFERROR(INDEX(QUERY(IMPORTRANGE(""1T7HG8KEs-Ob7f3M5atEVN9Yn7IeORGp0QGvggB62ELw"",""Maestro!A:I""),""SELECT Col7 WHERE Col3 = '""&amp;BD343&amp;""'"", 0), 1, 1),""NO ENCONTRADO"")"),"")</f>
        <v/>
      </c>
      <c r="BI343" s="16">
        <f t="shared" si="15"/>
        <v>0</v>
      </c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4"/>
      <c r="BW343" s="14"/>
      <c r="BX343" s="14"/>
      <c r="BY343" s="14"/>
      <c r="BZ343" s="14"/>
      <c r="CA343" s="14"/>
      <c r="CB343" s="14"/>
      <c r="CC343" s="14"/>
      <c r="CD343" s="14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</row>
    <row r="344">
      <c r="A344" s="274" t="s">
        <v>645</v>
      </c>
      <c r="B344" s="275" t="s">
        <v>18</v>
      </c>
      <c r="C344" s="275" t="s">
        <v>691</v>
      </c>
      <c r="D344" s="276" t="str">
        <f t="shared" si="1"/>
        <v>T-1-37</v>
      </c>
      <c r="E344" s="141"/>
      <c r="F344" s="137"/>
      <c r="G344" s="138"/>
      <c r="H344" s="138"/>
      <c r="I344" s="142"/>
      <c r="J344" s="138"/>
      <c r="K344" s="27" t="str">
        <f t="shared" si="2"/>
        <v>DISPONIBLE</v>
      </c>
      <c r="L344" s="28">
        <f t="shared" si="14"/>
        <v>343</v>
      </c>
      <c r="M344" s="28" t="s">
        <v>733</v>
      </c>
      <c r="N344" s="28"/>
      <c r="O344" s="358"/>
      <c r="P344" s="359" t="s">
        <v>507</v>
      </c>
      <c r="Q344" s="392"/>
      <c r="R344" s="395"/>
      <c r="S344" s="392"/>
      <c r="T344" s="392"/>
      <c r="U344" s="393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4"/>
      <c r="BE344" s="12"/>
      <c r="BF344" s="12"/>
      <c r="BG344" s="12" t="str">
        <f>IFERROR(__xludf.DUMMYFUNCTION("IFERROR(INDEX(QUERY(IMPORTRANGE(""1T7HG8KEs-Ob7f3M5atEVN9Yn7IeORGp0QGvggB62ELw"",""Maestro!A:I""),""SELECT Col8 WHERE Col3 = '""&amp;BD344&amp;""'"", 0), 1, 1),""NO ENCONTRADO"")"),"")</f>
        <v/>
      </c>
      <c r="BH344" s="12" t="str">
        <f>IFERROR(__xludf.DUMMYFUNCTION("IFERROR(INDEX(QUERY(IMPORTRANGE(""1T7HG8KEs-Ob7f3M5atEVN9Yn7IeORGp0QGvggB62ELw"",""Maestro!A:I""),""SELECT Col7 WHERE Col3 = '""&amp;BD344&amp;""'"", 0), 1, 1),""NO ENCONTRADO"")"),"")</f>
        <v/>
      </c>
      <c r="BI344" s="16">
        <f t="shared" si="15"/>
        <v>0</v>
      </c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4"/>
      <c r="BW344" s="14"/>
      <c r="BX344" s="14"/>
      <c r="BY344" s="14"/>
      <c r="BZ344" s="14"/>
      <c r="CA344" s="14"/>
      <c r="CB344" s="14"/>
      <c r="CC344" s="14"/>
      <c r="CD344" s="14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</row>
    <row r="345">
      <c r="A345" s="274" t="s">
        <v>645</v>
      </c>
      <c r="B345" s="275" t="s">
        <v>18</v>
      </c>
      <c r="C345" s="275" t="s">
        <v>693</v>
      </c>
      <c r="D345" s="276" t="str">
        <f t="shared" si="1"/>
        <v>T-1-38</v>
      </c>
      <c r="E345" s="141"/>
      <c r="F345" s="137"/>
      <c r="G345" s="138"/>
      <c r="H345" s="138"/>
      <c r="I345" s="142"/>
      <c r="J345" s="138"/>
      <c r="K345" s="32" t="str">
        <f t="shared" si="2"/>
        <v>DISPONIBLE</v>
      </c>
      <c r="L345" s="33">
        <f t="shared" si="14"/>
        <v>344</v>
      </c>
      <c r="M345" s="33" t="s">
        <v>733</v>
      </c>
      <c r="N345" s="33"/>
      <c r="O345" s="353"/>
      <c r="P345" s="354" t="s">
        <v>510</v>
      </c>
      <c r="Q345" s="390"/>
      <c r="R345" s="396"/>
      <c r="S345" s="390"/>
      <c r="T345" s="390"/>
      <c r="U345" s="391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4"/>
      <c r="BE345" s="12"/>
      <c r="BF345" s="12"/>
      <c r="BG345" s="12" t="str">
        <f>IFERROR(__xludf.DUMMYFUNCTION("IFERROR(INDEX(QUERY(IMPORTRANGE(""1T7HG8KEs-Ob7f3M5atEVN9Yn7IeORGp0QGvggB62ELw"",""Maestro!A:I""),""SELECT Col8 WHERE Col3 = '""&amp;BD345&amp;""'"", 0), 1, 1),""NO ENCONTRADO"")"),"")</f>
        <v/>
      </c>
      <c r="BH345" s="12" t="str">
        <f>IFERROR(__xludf.DUMMYFUNCTION("IFERROR(INDEX(QUERY(IMPORTRANGE(""1T7HG8KEs-Ob7f3M5atEVN9Yn7IeORGp0QGvggB62ELw"",""Maestro!A:I""),""SELECT Col7 WHERE Col3 = '""&amp;BD345&amp;""'"", 0), 1, 1),""NO ENCONTRADO"")"),"")</f>
        <v/>
      </c>
      <c r="BI345" s="16">
        <f t="shared" si="15"/>
        <v>0</v>
      </c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4"/>
      <c r="BW345" s="14"/>
      <c r="BX345" s="14"/>
      <c r="BY345" s="14"/>
      <c r="BZ345" s="14"/>
      <c r="CA345" s="14"/>
      <c r="CB345" s="14"/>
      <c r="CC345" s="14"/>
      <c r="CD345" s="14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</row>
    <row r="346">
      <c r="A346" s="274" t="s">
        <v>645</v>
      </c>
      <c r="B346" s="275" t="s">
        <v>18</v>
      </c>
      <c r="C346" s="275" t="s">
        <v>695</v>
      </c>
      <c r="D346" s="276" t="str">
        <f t="shared" si="1"/>
        <v>T-1-39</v>
      </c>
      <c r="E346" s="141"/>
      <c r="F346" s="137"/>
      <c r="G346" s="138"/>
      <c r="H346" s="138"/>
      <c r="I346" s="142"/>
      <c r="J346" s="138"/>
      <c r="K346" s="27" t="str">
        <f t="shared" si="2"/>
        <v>DISPONIBLE</v>
      </c>
      <c r="L346" s="28">
        <f t="shared" si="14"/>
        <v>345</v>
      </c>
      <c r="M346" s="28" t="s">
        <v>733</v>
      </c>
      <c r="N346" s="70"/>
      <c r="O346" s="28"/>
      <c r="P346" s="331" t="s">
        <v>514</v>
      </c>
      <c r="Q346" s="70"/>
      <c r="R346" s="352"/>
      <c r="S346" s="70"/>
      <c r="T346" s="70"/>
      <c r="U346" s="140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4"/>
      <c r="BE346" s="12"/>
      <c r="BF346" s="12"/>
      <c r="BG346" s="12" t="str">
        <f>IFERROR(__xludf.DUMMYFUNCTION("IFERROR(INDEX(QUERY(IMPORTRANGE(""1T7HG8KEs-Ob7f3M5atEVN9Yn7IeORGp0QGvggB62ELw"",""Maestro!A:I""),""SELECT Col8 WHERE Col3 = '""&amp;BD346&amp;""'"", 0), 1, 1),""NO ENCONTRADO"")"),"")</f>
        <v/>
      </c>
      <c r="BH346" s="12" t="str">
        <f>IFERROR(__xludf.DUMMYFUNCTION("IFERROR(INDEX(QUERY(IMPORTRANGE(""1T7HG8KEs-Ob7f3M5atEVN9Yn7IeORGp0QGvggB62ELw"",""Maestro!A:I""),""SELECT Col7 WHERE Col3 = '""&amp;BD346&amp;""'"", 0), 1, 1),""NO ENCONTRADO"")"),"")</f>
        <v/>
      </c>
      <c r="BI346" s="16">
        <f t="shared" si="15"/>
        <v>0</v>
      </c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4"/>
      <c r="BW346" s="14"/>
      <c r="BX346" s="14"/>
      <c r="BY346" s="14"/>
      <c r="BZ346" s="14"/>
      <c r="CA346" s="14"/>
      <c r="CB346" s="14"/>
      <c r="CC346" s="14"/>
      <c r="CD346" s="14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</row>
    <row r="347">
      <c r="A347" s="281" t="s">
        <v>645</v>
      </c>
      <c r="B347" s="282" t="s">
        <v>18</v>
      </c>
      <c r="C347" s="282" t="s">
        <v>698</v>
      </c>
      <c r="D347" s="283" t="str">
        <f t="shared" si="1"/>
        <v>T-1-40</v>
      </c>
      <c r="E347" s="234"/>
      <c r="F347" s="235"/>
      <c r="G347" s="236"/>
      <c r="H347" s="239"/>
      <c r="I347" s="272"/>
      <c r="J347" s="62"/>
      <c r="K347" s="154" t="str">
        <f t="shared" si="2"/>
        <v>DISPONIBLE</v>
      </c>
      <c r="L347" s="155">
        <f t="shared" si="14"/>
        <v>346</v>
      </c>
      <c r="M347" s="155" t="s">
        <v>733</v>
      </c>
      <c r="N347" s="156"/>
      <c r="O347" s="155"/>
      <c r="P347" s="335" t="s">
        <v>522</v>
      </c>
      <c r="Q347" s="336"/>
      <c r="R347" s="342"/>
      <c r="S347" s="337"/>
      <c r="T347" s="33"/>
      <c r="U347" s="338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4"/>
      <c r="BE347" s="12"/>
      <c r="BF347" s="12"/>
      <c r="BG347" s="12" t="str">
        <f>IFERROR(__xludf.DUMMYFUNCTION("IFERROR(INDEX(QUERY(IMPORTRANGE(""1T7HG8KEs-Ob7f3M5atEVN9Yn7IeORGp0QGvggB62ELw"",""Maestro!A:I""),""SELECT Col8 WHERE Col3 = '""&amp;BD347&amp;""'"", 0), 1, 1),""NO ENCONTRADO"")"),"")</f>
        <v/>
      </c>
      <c r="BH347" s="12" t="str">
        <f>IFERROR(__xludf.DUMMYFUNCTION("IFERROR(INDEX(QUERY(IMPORTRANGE(""1T7HG8KEs-Ob7f3M5atEVN9Yn7IeORGp0QGvggB62ELw"",""Maestro!A:I""),""SELECT Col7 WHERE Col3 = '""&amp;BD347&amp;""'"", 0), 1, 1),""NO ENCONTRADO"")"),"")</f>
        <v/>
      </c>
      <c r="BI347" s="16">
        <f t="shared" si="15"/>
        <v>0</v>
      </c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4"/>
      <c r="BW347" s="14"/>
      <c r="BX347" s="14"/>
      <c r="BY347" s="14"/>
      <c r="BZ347" s="14"/>
      <c r="CA347" s="14"/>
      <c r="CB347" s="14"/>
      <c r="CC347" s="14"/>
      <c r="CD347" s="14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</row>
    <row r="348">
      <c r="A348" s="287" t="s">
        <v>664</v>
      </c>
      <c r="B348" s="288" t="s">
        <v>18</v>
      </c>
      <c r="C348" s="288" t="s">
        <v>18</v>
      </c>
      <c r="D348" s="289" t="str">
        <f t="shared" si="1"/>
        <v>ZOUT-1-1</v>
      </c>
      <c r="E348" s="72"/>
      <c r="F348" s="77"/>
      <c r="G348" s="74"/>
      <c r="H348" s="75"/>
      <c r="I348" s="76"/>
      <c r="J348" s="75"/>
      <c r="K348" s="27" t="str">
        <f t="shared" si="2"/>
        <v>DISPONIBLE</v>
      </c>
      <c r="L348" s="28">
        <f t="shared" si="14"/>
        <v>347</v>
      </c>
      <c r="M348" s="28" t="s">
        <v>746</v>
      </c>
      <c r="N348" s="109"/>
      <c r="O348" s="358"/>
      <c r="P348" s="359" t="s">
        <v>665</v>
      </c>
      <c r="Q348" s="360">
        <v>45768.0</v>
      </c>
      <c r="R348" s="364" t="s">
        <v>19</v>
      </c>
      <c r="S348" s="361" t="s">
        <v>249</v>
      </c>
      <c r="T348" s="358" t="s">
        <v>250</v>
      </c>
      <c r="U348" s="362">
        <v>300.0</v>
      </c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4"/>
      <c r="BE348" s="12"/>
      <c r="BF348" s="12"/>
      <c r="BG348" s="12" t="str">
        <f>IFERROR(__xludf.DUMMYFUNCTION("IFERROR(INDEX(QUERY(IMPORTRANGE(""1T7HG8KEs-Ob7f3M5atEVN9Yn7IeORGp0QGvggB62ELw"",""Maestro!A:I""),""SELECT Col8 WHERE Col3 = '""&amp;BD348&amp;""'"", 0), 1, 1),""NO ENCONTRADO"")"),"")</f>
        <v/>
      </c>
      <c r="BH348" s="12" t="str">
        <f>IFERROR(__xludf.DUMMYFUNCTION("IFERROR(INDEX(QUERY(IMPORTRANGE(""1T7HG8KEs-Ob7f3M5atEVN9Yn7IeORGp0QGvggB62ELw"",""Maestro!A:I""),""SELECT Col7 WHERE Col3 = '""&amp;BD348&amp;""'"", 0), 1, 1),""NO ENCONTRADO"")"),"")</f>
        <v/>
      </c>
      <c r="BI348" s="16">
        <f t="shared" si="15"/>
        <v>0</v>
      </c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4"/>
      <c r="BW348" s="14"/>
      <c r="BX348" s="14"/>
      <c r="BY348" s="14"/>
      <c r="BZ348" s="14"/>
      <c r="CA348" s="14"/>
      <c r="CB348" s="14"/>
      <c r="CC348" s="14"/>
      <c r="CD348" s="14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</row>
    <row r="349">
      <c r="A349" s="287" t="s">
        <v>664</v>
      </c>
      <c r="B349" s="288" t="s">
        <v>18</v>
      </c>
      <c r="C349" s="288" t="s">
        <v>32</v>
      </c>
      <c r="D349" s="289" t="str">
        <f t="shared" si="1"/>
        <v>ZOUT-1-2</v>
      </c>
      <c r="E349" s="72"/>
      <c r="F349" s="77"/>
      <c r="G349" s="74"/>
      <c r="H349" s="75"/>
      <c r="I349" s="76"/>
      <c r="J349" s="75"/>
      <c r="K349" s="32" t="str">
        <f t="shared" si="2"/>
        <v>DISPONIBLE</v>
      </c>
      <c r="L349" s="33">
        <f t="shared" si="14"/>
        <v>348</v>
      </c>
      <c r="M349" s="33" t="s">
        <v>746</v>
      </c>
      <c r="N349" s="122"/>
      <c r="O349" s="353"/>
      <c r="P349" s="354" t="s">
        <v>686</v>
      </c>
      <c r="Q349" s="355"/>
      <c r="R349" s="363"/>
      <c r="S349" s="356"/>
      <c r="T349" s="353"/>
      <c r="U349" s="357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4"/>
      <c r="BE349" s="12"/>
      <c r="BF349" s="12"/>
      <c r="BG349" s="12" t="str">
        <f>IFERROR(__xludf.DUMMYFUNCTION("IFERROR(INDEX(QUERY(IMPORTRANGE(""1T7HG8KEs-Ob7f3M5atEVN9Yn7IeORGp0QGvggB62ELw"",""Maestro!A:I""),""SELECT Col8 WHERE Col3 = '""&amp;BD349&amp;""'"", 0), 1, 1),""NO ENCONTRADO"")"),"")</f>
        <v/>
      </c>
      <c r="BH349" s="12" t="str">
        <f>IFERROR(__xludf.DUMMYFUNCTION("IFERROR(INDEX(QUERY(IMPORTRANGE(""1T7HG8KEs-Ob7f3M5atEVN9Yn7IeORGp0QGvggB62ELw"",""Maestro!A:I""),""SELECT Col7 WHERE Col3 = '""&amp;BD349&amp;""'"", 0), 1, 1),""NO ENCONTRADO"")"),"")</f>
        <v/>
      </c>
      <c r="BI349" s="16">
        <f t="shared" si="15"/>
        <v>0</v>
      </c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4"/>
      <c r="BW349" s="14"/>
      <c r="BX349" s="14"/>
      <c r="BY349" s="14"/>
      <c r="BZ349" s="14"/>
      <c r="CA349" s="14"/>
      <c r="CB349" s="14"/>
      <c r="CC349" s="14"/>
      <c r="CD349" s="14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</row>
    <row r="350">
      <c r="A350" s="287" t="s">
        <v>664</v>
      </c>
      <c r="B350" s="288" t="s">
        <v>18</v>
      </c>
      <c r="C350" s="288" t="s">
        <v>44</v>
      </c>
      <c r="D350" s="289" t="str">
        <f t="shared" si="1"/>
        <v>ZOUT-1-3</v>
      </c>
      <c r="E350" s="72"/>
      <c r="F350" s="77"/>
      <c r="G350" s="74"/>
      <c r="H350" s="75"/>
      <c r="I350" s="76"/>
      <c r="J350" s="75"/>
      <c r="K350" s="27" t="str">
        <f t="shared" si="2"/>
        <v>DISPONIBLE</v>
      </c>
      <c r="L350" s="28">
        <f t="shared" si="14"/>
        <v>349</v>
      </c>
      <c r="M350" s="28" t="s">
        <v>746</v>
      </c>
      <c r="N350" s="109"/>
      <c r="O350" s="358"/>
      <c r="P350" s="359" t="s">
        <v>704</v>
      </c>
      <c r="Q350" s="360"/>
      <c r="R350" s="364"/>
      <c r="S350" s="361"/>
      <c r="T350" s="358"/>
      <c r="U350" s="36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4"/>
      <c r="BE350" s="12"/>
      <c r="BF350" s="12"/>
      <c r="BG350" s="12" t="str">
        <f>IFERROR(__xludf.DUMMYFUNCTION("IFERROR(INDEX(QUERY(IMPORTRANGE(""1T7HG8KEs-Ob7f3M5atEVN9Yn7IeORGp0QGvggB62ELw"",""Maestro!A:I""),""SELECT Col8 WHERE Col3 = '""&amp;BD350&amp;""'"", 0), 1, 1),""NO ENCONTRADO"")"),"")</f>
        <v/>
      </c>
      <c r="BH350" s="12" t="str">
        <f>IFERROR(__xludf.DUMMYFUNCTION("IFERROR(INDEX(QUERY(IMPORTRANGE(""1T7HG8KEs-Ob7f3M5atEVN9Yn7IeORGp0QGvggB62ELw"",""Maestro!A:I""),""SELECT Col7 WHERE Col3 = '""&amp;BD350&amp;""'"", 0), 1, 1),""NO ENCONTRADO"")"),"")</f>
        <v/>
      </c>
      <c r="BI350" s="16">
        <f t="shared" si="15"/>
        <v>0</v>
      </c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4"/>
      <c r="BW350" s="14"/>
      <c r="BX350" s="14"/>
      <c r="BY350" s="14"/>
      <c r="BZ350" s="14"/>
      <c r="CA350" s="14"/>
      <c r="CB350" s="14"/>
      <c r="CC350" s="14"/>
      <c r="CD350" s="14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</row>
    <row r="351">
      <c r="A351" s="287" t="s">
        <v>664</v>
      </c>
      <c r="B351" s="288" t="s">
        <v>18</v>
      </c>
      <c r="C351" s="288" t="s">
        <v>53</v>
      </c>
      <c r="D351" s="289" t="str">
        <f t="shared" si="1"/>
        <v>ZOUT-1-4</v>
      </c>
      <c r="E351" s="72"/>
      <c r="F351" s="77"/>
      <c r="G351" s="74"/>
      <c r="H351" s="75"/>
      <c r="I351" s="76"/>
      <c r="J351" s="75"/>
      <c r="K351" s="32" t="str">
        <f t="shared" si="2"/>
        <v>DISPONIBLE</v>
      </c>
      <c r="L351" s="33">
        <f t="shared" si="14"/>
        <v>350</v>
      </c>
      <c r="M351" s="33" t="s">
        <v>746</v>
      </c>
      <c r="N351" s="122"/>
      <c r="O351" s="353"/>
      <c r="P351" s="354" t="s">
        <v>707</v>
      </c>
      <c r="Q351" s="355"/>
      <c r="R351" s="363"/>
      <c r="S351" s="356"/>
      <c r="T351" s="353"/>
      <c r="U351" s="357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4"/>
      <c r="BE351" s="12"/>
      <c r="BF351" s="12"/>
      <c r="BG351" s="12" t="str">
        <f>IFERROR(__xludf.DUMMYFUNCTION("IFERROR(INDEX(QUERY(IMPORTRANGE(""1T7HG8KEs-Ob7f3M5atEVN9Yn7IeORGp0QGvggB62ELw"",""Maestro!A:I""),""SELECT Col8 WHERE Col3 = '""&amp;BD351&amp;""'"", 0), 1, 1),""NO ENCONTRADO"")"),"")</f>
        <v/>
      </c>
      <c r="BH351" s="12" t="str">
        <f>IFERROR(__xludf.DUMMYFUNCTION("IFERROR(INDEX(QUERY(IMPORTRANGE(""1T7HG8KEs-Ob7f3M5atEVN9Yn7IeORGp0QGvggB62ELw"",""Maestro!A:I""),""SELECT Col7 WHERE Col3 = '""&amp;BD351&amp;""'"", 0), 1, 1),""NO ENCONTRADO"")"),"")</f>
        <v/>
      </c>
      <c r="BI351" s="16">
        <f t="shared" si="15"/>
        <v>0</v>
      </c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4"/>
      <c r="BW351" s="14"/>
      <c r="BX351" s="14"/>
      <c r="BY351" s="14"/>
      <c r="BZ351" s="14"/>
      <c r="CA351" s="14"/>
      <c r="CB351" s="14"/>
      <c r="CC351" s="14"/>
      <c r="CD351" s="14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</row>
    <row r="352">
      <c r="A352" s="287" t="s">
        <v>664</v>
      </c>
      <c r="B352" s="288" t="s">
        <v>18</v>
      </c>
      <c r="C352" s="288" t="s">
        <v>25</v>
      </c>
      <c r="D352" s="289" t="str">
        <f t="shared" si="1"/>
        <v>ZOUT-1-5</v>
      </c>
      <c r="E352" s="72"/>
      <c r="F352" s="77"/>
      <c r="G352" s="74"/>
      <c r="H352" s="75"/>
      <c r="I352" s="76"/>
      <c r="J352" s="75"/>
      <c r="K352" s="27" t="str">
        <f t="shared" si="2"/>
        <v>DISPONIBLE</v>
      </c>
      <c r="L352" s="28">
        <f t="shared" si="14"/>
        <v>351</v>
      </c>
      <c r="M352" s="28" t="s">
        <v>746</v>
      </c>
      <c r="N352" s="109"/>
      <c r="O352" s="358"/>
      <c r="P352" s="359" t="s">
        <v>708</v>
      </c>
      <c r="Q352" s="360"/>
      <c r="R352" s="364"/>
      <c r="S352" s="361"/>
      <c r="T352" s="358"/>
      <c r="U352" s="36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4"/>
      <c r="BE352" s="12"/>
      <c r="BF352" s="12"/>
      <c r="BG352" s="12" t="str">
        <f>IFERROR(__xludf.DUMMYFUNCTION("IFERROR(INDEX(QUERY(IMPORTRANGE(""1T7HG8KEs-Ob7f3M5atEVN9Yn7IeORGp0QGvggB62ELw"",""Maestro!A:I""),""SELECT Col8 WHERE Col3 = '""&amp;BD352&amp;""'"", 0), 1, 1),""NO ENCONTRADO"")"),"")</f>
        <v/>
      </c>
      <c r="BH352" s="12" t="str">
        <f>IFERROR(__xludf.DUMMYFUNCTION("IFERROR(INDEX(QUERY(IMPORTRANGE(""1T7HG8KEs-Ob7f3M5atEVN9Yn7IeORGp0QGvggB62ELw"",""Maestro!A:I""),""SELECT Col7 WHERE Col3 = '""&amp;BD352&amp;""'"", 0), 1, 1),""NO ENCONTRADO"")"),"")</f>
        <v/>
      </c>
      <c r="BI352" s="16">
        <f t="shared" si="15"/>
        <v>0</v>
      </c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4"/>
      <c r="BW352" s="14"/>
      <c r="BX352" s="14"/>
      <c r="BY352" s="14"/>
      <c r="BZ352" s="14"/>
      <c r="CA352" s="14"/>
      <c r="CB352" s="14"/>
      <c r="CC352" s="14"/>
      <c r="CD352" s="14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</row>
    <row r="353">
      <c r="A353" s="287" t="s">
        <v>664</v>
      </c>
      <c r="B353" s="288" t="s">
        <v>18</v>
      </c>
      <c r="C353" s="288" t="s">
        <v>36</v>
      </c>
      <c r="D353" s="289" t="str">
        <f t="shared" si="1"/>
        <v>ZOUT-1-6</v>
      </c>
      <c r="E353" s="72"/>
      <c r="F353" s="77"/>
      <c r="G353" s="265"/>
      <c r="H353" s="75"/>
      <c r="I353" s="76"/>
      <c r="J353" s="75"/>
      <c r="K353" s="32" t="str">
        <f t="shared" si="2"/>
        <v>DISPONIBLE</v>
      </c>
      <c r="L353" s="33">
        <f t="shared" si="14"/>
        <v>352</v>
      </c>
      <c r="M353" s="33" t="s">
        <v>746</v>
      </c>
      <c r="N353" s="122"/>
      <c r="O353" s="365"/>
      <c r="P353" s="354" t="s">
        <v>709</v>
      </c>
      <c r="Q353" s="355"/>
      <c r="R353" s="363"/>
      <c r="S353" s="354"/>
      <c r="T353" s="353"/>
      <c r="U353" s="357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4"/>
      <c r="BE353" s="12"/>
      <c r="BF353" s="12"/>
      <c r="BG353" s="12" t="str">
        <f>IFERROR(__xludf.DUMMYFUNCTION("IFERROR(INDEX(QUERY(IMPORTRANGE(""1T7HG8KEs-Ob7f3M5atEVN9Yn7IeORGp0QGvggB62ELw"",""Maestro!A:I""),""SELECT Col8 WHERE Col3 = '""&amp;BD353&amp;""'"", 0), 1, 1),""NO ENCONTRADO"")"),"")</f>
        <v/>
      </c>
      <c r="BH353" s="12" t="str">
        <f>IFERROR(__xludf.DUMMYFUNCTION("IFERROR(INDEX(QUERY(IMPORTRANGE(""1T7HG8KEs-Ob7f3M5atEVN9Yn7IeORGp0QGvggB62ELw"",""Maestro!A:I""),""SELECT Col7 WHERE Col3 = '""&amp;BD353&amp;""'"", 0), 1, 1),""NO ENCONTRADO"")"),"")</f>
        <v/>
      </c>
      <c r="BI353" s="16">
        <f t="shared" si="15"/>
        <v>0</v>
      </c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4"/>
      <c r="BW353" s="14"/>
      <c r="BX353" s="14"/>
      <c r="BY353" s="14"/>
      <c r="BZ353" s="14"/>
      <c r="CA353" s="14"/>
      <c r="CB353" s="14"/>
      <c r="CC353" s="14"/>
      <c r="CD353" s="14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</row>
    <row r="354">
      <c r="A354" s="287" t="s">
        <v>664</v>
      </c>
      <c r="B354" s="288" t="s">
        <v>18</v>
      </c>
      <c r="C354" s="288" t="s">
        <v>48</v>
      </c>
      <c r="D354" s="289" t="str">
        <f t="shared" si="1"/>
        <v>ZOUT-1-7</v>
      </c>
      <c r="E354" s="78">
        <v>45756.0</v>
      </c>
      <c r="F354" s="81" t="s">
        <v>799</v>
      </c>
      <c r="G354" s="81" t="s">
        <v>80</v>
      </c>
      <c r="H354" s="81" t="s">
        <v>81</v>
      </c>
      <c r="I354" s="82">
        <v>6.0</v>
      </c>
      <c r="J354" s="81" t="s">
        <v>43</v>
      </c>
      <c r="K354" s="27" t="str">
        <f t="shared" si="2"/>
        <v>OCUPADO</v>
      </c>
      <c r="L354" s="28">
        <f t="shared" si="14"/>
        <v>353</v>
      </c>
      <c r="M354" s="28" t="s">
        <v>746</v>
      </c>
      <c r="N354" s="109"/>
      <c r="O354" s="358" t="s">
        <v>270</v>
      </c>
      <c r="P354" s="359" t="s">
        <v>710</v>
      </c>
      <c r="Q354" s="360"/>
      <c r="R354" s="358"/>
      <c r="S354" s="358"/>
      <c r="T354" s="358"/>
      <c r="U354" s="36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4"/>
      <c r="BE354" s="12"/>
      <c r="BF354" s="12"/>
      <c r="BG354" s="12" t="str">
        <f>IFERROR(__xludf.DUMMYFUNCTION("IFERROR(INDEX(QUERY(IMPORTRANGE(""1T7HG8KEs-Ob7f3M5atEVN9Yn7IeORGp0QGvggB62ELw"",""Maestro!A:I""),""SELECT Col8 WHERE Col3 = '""&amp;BD354&amp;""'"", 0), 1, 1),""NO ENCONTRADO"")"),"")</f>
        <v/>
      </c>
      <c r="BH354" s="12" t="str">
        <f>IFERROR(__xludf.DUMMYFUNCTION("IFERROR(INDEX(QUERY(IMPORTRANGE(""1T7HG8KEs-Ob7f3M5atEVN9Yn7IeORGp0QGvggB62ELw"",""Maestro!A:I""),""SELECT Col7 WHERE Col3 = '""&amp;BD354&amp;""'"", 0), 1, 1),""NO ENCONTRADO"")"),"")</f>
        <v/>
      </c>
      <c r="BI354" s="16">
        <f t="shared" si="15"/>
        <v>0</v>
      </c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4"/>
      <c r="BW354" s="14"/>
      <c r="BX354" s="14"/>
      <c r="BY354" s="14"/>
      <c r="BZ354" s="14"/>
      <c r="CA354" s="14"/>
      <c r="CB354" s="14"/>
      <c r="CC354" s="14"/>
      <c r="CD354" s="14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</row>
    <row r="355">
      <c r="A355" s="287" t="s">
        <v>664</v>
      </c>
      <c r="B355" s="288" t="s">
        <v>18</v>
      </c>
      <c r="C355" s="288" t="s">
        <v>465</v>
      </c>
      <c r="D355" s="289" t="str">
        <f t="shared" si="1"/>
        <v>ZOUT-1-8</v>
      </c>
      <c r="E355" s="78">
        <v>45756.0</v>
      </c>
      <c r="F355" s="81" t="s">
        <v>799</v>
      </c>
      <c r="G355" s="81" t="s">
        <v>87</v>
      </c>
      <c r="H355" s="81" t="s">
        <v>88</v>
      </c>
      <c r="I355" s="82">
        <v>6.0</v>
      </c>
      <c r="J355" s="81" t="s">
        <v>43</v>
      </c>
      <c r="K355" s="32" t="str">
        <f t="shared" si="2"/>
        <v>OCUPADO</v>
      </c>
      <c r="L355" s="33">
        <f t="shared" si="14"/>
        <v>354</v>
      </c>
      <c r="M355" s="33" t="s">
        <v>746</v>
      </c>
      <c r="N355" s="122"/>
      <c r="O355" s="353" t="s">
        <v>270</v>
      </c>
      <c r="P355" s="354" t="s">
        <v>711</v>
      </c>
      <c r="Q355" s="355"/>
      <c r="R355" s="353"/>
      <c r="S355" s="353"/>
      <c r="T355" s="353"/>
      <c r="U355" s="357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4"/>
      <c r="BE355" s="12"/>
      <c r="BF355" s="12"/>
      <c r="BG355" s="12" t="str">
        <f>IFERROR(__xludf.DUMMYFUNCTION("IFERROR(INDEX(QUERY(IMPORTRANGE(""1T7HG8KEs-Ob7f3M5atEVN9Yn7IeORGp0QGvggB62ELw"",""Maestro!A:I""),""SELECT Col8 WHERE Col3 = '""&amp;BD355&amp;""'"", 0), 1, 1),""NO ENCONTRADO"")"),"")</f>
        <v/>
      </c>
      <c r="BH355" s="12" t="str">
        <f>IFERROR(__xludf.DUMMYFUNCTION("IFERROR(INDEX(QUERY(IMPORTRANGE(""1T7HG8KEs-Ob7f3M5atEVN9Yn7IeORGp0QGvggB62ELw"",""Maestro!A:I""),""SELECT Col7 WHERE Col3 = '""&amp;BD355&amp;""'"", 0), 1, 1),""NO ENCONTRADO"")"),"")</f>
        <v/>
      </c>
      <c r="BI355" s="16">
        <f t="shared" si="15"/>
        <v>0</v>
      </c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4"/>
      <c r="BW355" s="14"/>
      <c r="BX355" s="14"/>
      <c r="BY355" s="14"/>
      <c r="BZ355" s="14"/>
      <c r="CA355" s="14"/>
      <c r="CB355" s="14"/>
      <c r="CC355" s="14"/>
      <c r="CD355" s="14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</row>
    <row r="356">
      <c r="A356" s="287" t="s">
        <v>664</v>
      </c>
      <c r="B356" s="288" t="s">
        <v>18</v>
      </c>
      <c r="C356" s="288" t="s">
        <v>511</v>
      </c>
      <c r="D356" s="289" t="str">
        <f t="shared" si="1"/>
        <v>ZOUT-1-9</v>
      </c>
      <c r="E356" s="78">
        <v>45756.0</v>
      </c>
      <c r="F356" s="81" t="s">
        <v>799</v>
      </c>
      <c r="G356" s="80" t="s">
        <v>294</v>
      </c>
      <c r="H356" s="81" t="s">
        <v>295</v>
      </c>
      <c r="I356" s="82">
        <v>3.0</v>
      </c>
      <c r="J356" s="81" t="s">
        <v>274</v>
      </c>
      <c r="K356" s="27" t="str">
        <f t="shared" si="2"/>
        <v>OCUPADO</v>
      </c>
      <c r="L356" s="28">
        <f t="shared" si="14"/>
        <v>355</v>
      </c>
      <c r="M356" s="28" t="s">
        <v>746</v>
      </c>
      <c r="N356" s="109"/>
      <c r="O356" s="358" t="s">
        <v>270</v>
      </c>
      <c r="P356" s="359" t="s">
        <v>713</v>
      </c>
      <c r="Q356" s="360"/>
      <c r="R356" s="358"/>
      <c r="S356" s="361"/>
      <c r="T356" s="358"/>
      <c r="U356" s="36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4"/>
      <c r="BE356" s="12"/>
      <c r="BF356" s="12"/>
      <c r="BG356" s="12" t="str">
        <f>IFERROR(__xludf.DUMMYFUNCTION("IFERROR(INDEX(QUERY(IMPORTRANGE(""1T7HG8KEs-Ob7f3M5atEVN9Yn7IeORGp0QGvggB62ELw"",""Maestro!A:I""),""SELECT Col8 WHERE Col3 = '""&amp;BD356&amp;""'"", 0), 1, 1),""NO ENCONTRADO"")"),"")</f>
        <v/>
      </c>
      <c r="BH356" s="12" t="str">
        <f>IFERROR(__xludf.DUMMYFUNCTION("IFERROR(INDEX(QUERY(IMPORTRANGE(""1T7HG8KEs-Ob7f3M5atEVN9Yn7IeORGp0QGvggB62ELw"",""Maestro!A:I""),""SELECT Col7 WHERE Col3 = '""&amp;BD356&amp;""'"", 0), 1, 1),""NO ENCONTRADO"")"),"")</f>
        <v/>
      </c>
      <c r="BI356" s="16">
        <f t="shared" si="15"/>
        <v>0</v>
      </c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4"/>
      <c r="BW356" s="14"/>
      <c r="BX356" s="14"/>
      <c r="BY356" s="14"/>
      <c r="BZ356" s="14"/>
      <c r="CA356" s="14"/>
      <c r="CB356" s="14"/>
      <c r="CC356" s="14"/>
      <c r="CD356" s="14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</row>
    <row r="357">
      <c r="A357" s="287" t="s">
        <v>664</v>
      </c>
      <c r="B357" s="288" t="s">
        <v>18</v>
      </c>
      <c r="C357" s="288" t="s">
        <v>296</v>
      </c>
      <c r="D357" s="289" t="str">
        <f t="shared" si="1"/>
        <v>ZOUT-1-10</v>
      </c>
      <c r="E357" s="78">
        <v>45756.0</v>
      </c>
      <c r="F357" s="81" t="s">
        <v>799</v>
      </c>
      <c r="G357" s="80" t="s">
        <v>301</v>
      </c>
      <c r="H357" s="81" t="s">
        <v>302</v>
      </c>
      <c r="I357" s="82">
        <v>4.0</v>
      </c>
      <c r="J357" s="81" t="s">
        <v>274</v>
      </c>
      <c r="K357" s="32" t="str">
        <f t="shared" si="2"/>
        <v>OCUPADO</v>
      </c>
      <c r="L357" s="33">
        <f t="shared" si="14"/>
        <v>356</v>
      </c>
      <c r="M357" s="33" t="s">
        <v>746</v>
      </c>
      <c r="N357" s="122"/>
      <c r="O357" s="353" t="s">
        <v>270</v>
      </c>
      <c r="P357" s="354" t="s">
        <v>667</v>
      </c>
      <c r="Q357" s="355"/>
      <c r="R357" s="353"/>
      <c r="S357" s="356"/>
      <c r="T357" s="353"/>
      <c r="U357" s="357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4"/>
      <c r="BE357" s="12"/>
      <c r="BF357" s="12"/>
      <c r="BG357" s="12" t="str">
        <f>IFERROR(__xludf.DUMMYFUNCTION("IFERROR(INDEX(QUERY(IMPORTRANGE(""1T7HG8KEs-Ob7f3M5atEVN9Yn7IeORGp0QGvggB62ELw"",""Maestro!A:I""),""SELECT Col8 WHERE Col3 = '""&amp;BD357&amp;""'"", 0), 1, 1),""NO ENCONTRADO"")"),"")</f>
        <v/>
      </c>
      <c r="BH357" s="12" t="str">
        <f>IFERROR(__xludf.DUMMYFUNCTION("IFERROR(INDEX(QUERY(IMPORTRANGE(""1T7HG8KEs-Ob7f3M5atEVN9Yn7IeORGp0QGvggB62ELw"",""Maestro!A:I""),""SELECT Col7 WHERE Col3 = '""&amp;BD357&amp;""'"", 0), 1, 1),""NO ENCONTRADO"")"),"")</f>
        <v/>
      </c>
      <c r="BI357" s="16">
        <f t="shared" si="15"/>
        <v>0</v>
      </c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4"/>
      <c r="BW357" s="14"/>
      <c r="BX357" s="14"/>
      <c r="BY357" s="14"/>
      <c r="BZ357" s="14"/>
      <c r="CA357" s="14"/>
      <c r="CB357" s="14"/>
      <c r="CC357" s="14"/>
      <c r="CD357" s="14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</row>
    <row r="358">
      <c r="A358" s="287" t="s">
        <v>664</v>
      </c>
      <c r="B358" s="288" t="s">
        <v>18</v>
      </c>
      <c r="C358" s="288" t="s">
        <v>316</v>
      </c>
      <c r="D358" s="289" t="str">
        <f t="shared" si="1"/>
        <v>ZOUT-1-11</v>
      </c>
      <c r="E358" s="78">
        <v>45756.0</v>
      </c>
      <c r="F358" s="81" t="s">
        <v>799</v>
      </c>
      <c r="G358" s="80" t="s">
        <v>330</v>
      </c>
      <c r="H358" s="81" t="s">
        <v>331</v>
      </c>
      <c r="I358" s="82">
        <v>10.0</v>
      </c>
      <c r="J358" s="81" t="s">
        <v>43</v>
      </c>
      <c r="K358" s="27" t="str">
        <f t="shared" si="2"/>
        <v>OCUPADO</v>
      </c>
      <c r="L358" s="28">
        <f t="shared" si="14"/>
        <v>357</v>
      </c>
      <c r="M358" s="28" t="s">
        <v>746</v>
      </c>
      <c r="N358" s="109"/>
      <c r="O358" s="358" t="s">
        <v>270</v>
      </c>
      <c r="P358" s="359" t="s">
        <v>668</v>
      </c>
      <c r="Q358" s="360"/>
      <c r="R358" s="358"/>
      <c r="S358" s="361"/>
      <c r="T358" s="358"/>
      <c r="U358" s="36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4"/>
      <c r="BE358" s="12"/>
      <c r="BF358" s="12"/>
      <c r="BG358" s="12" t="str">
        <f>IFERROR(__xludf.DUMMYFUNCTION("IFERROR(INDEX(QUERY(IMPORTRANGE(""1T7HG8KEs-Ob7f3M5atEVN9Yn7IeORGp0QGvggB62ELw"",""Maestro!A:I""),""SELECT Col8 WHERE Col3 = '""&amp;BD358&amp;""'"", 0), 1, 1),""NO ENCONTRADO"")"),"")</f>
        <v/>
      </c>
      <c r="BH358" s="12" t="str">
        <f>IFERROR(__xludf.DUMMYFUNCTION("IFERROR(INDEX(QUERY(IMPORTRANGE(""1T7HG8KEs-Ob7f3M5atEVN9Yn7IeORGp0QGvggB62ELw"",""Maestro!A:I""),""SELECT Col7 WHERE Col3 = '""&amp;BD358&amp;""'"", 0), 1, 1),""NO ENCONTRADO"")"),"")</f>
        <v/>
      </c>
      <c r="BI358" s="16">
        <f t="shared" si="15"/>
        <v>0</v>
      </c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4"/>
      <c r="BW358" s="14"/>
      <c r="BX358" s="14"/>
      <c r="BY358" s="14"/>
      <c r="BZ358" s="14"/>
      <c r="CA358" s="14"/>
      <c r="CB358" s="14"/>
      <c r="CC358" s="14"/>
      <c r="CD358" s="14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</row>
    <row r="359">
      <c r="A359" s="287" t="s">
        <v>664</v>
      </c>
      <c r="B359" s="288" t="s">
        <v>18</v>
      </c>
      <c r="C359" s="288" t="s">
        <v>336</v>
      </c>
      <c r="D359" s="289" t="str">
        <f t="shared" si="1"/>
        <v>ZOUT-1-12</v>
      </c>
      <c r="E359" s="78">
        <v>45756.0</v>
      </c>
      <c r="F359" s="81" t="s">
        <v>799</v>
      </c>
      <c r="G359" s="80" t="s">
        <v>291</v>
      </c>
      <c r="H359" s="81" t="s">
        <v>292</v>
      </c>
      <c r="I359" s="82">
        <v>10.0</v>
      </c>
      <c r="J359" s="81" t="s">
        <v>43</v>
      </c>
      <c r="K359" s="32" t="str">
        <f t="shared" si="2"/>
        <v>OCUPADO</v>
      </c>
      <c r="L359" s="33">
        <f t="shared" si="14"/>
        <v>358</v>
      </c>
      <c r="M359" s="33" t="s">
        <v>746</v>
      </c>
      <c r="N359" s="122"/>
      <c r="O359" s="353" t="s">
        <v>270</v>
      </c>
      <c r="P359" s="354" t="s">
        <v>670</v>
      </c>
      <c r="Q359" s="355"/>
      <c r="R359" s="353"/>
      <c r="S359" s="356"/>
      <c r="T359" s="353"/>
      <c r="U359" s="357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4"/>
      <c r="BE359" s="12"/>
      <c r="BF359" s="12"/>
      <c r="BG359" s="12" t="str">
        <f>IFERROR(__xludf.DUMMYFUNCTION("IFERROR(INDEX(QUERY(IMPORTRANGE(""1T7HG8KEs-Ob7f3M5atEVN9Yn7IeORGp0QGvggB62ELw"",""Maestro!A:I""),""SELECT Col8 WHERE Col3 = '""&amp;BD359&amp;""'"", 0), 1, 1),""NO ENCONTRADO"")"),"")</f>
        <v/>
      </c>
      <c r="BH359" s="12" t="str">
        <f>IFERROR(__xludf.DUMMYFUNCTION("IFERROR(INDEX(QUERY(IMPORTRANGE(""1T7HG8KEs-Ob7f3M5atEVN9Yn7IeORGp0QGvggB62ELw"",""Maestro!A:I""),""SELECT Col7 WHERE Col3 = '""&amp;BD359&amp;""'"", 0), 1, 1),""NO ENCONTRADO"")"),"")</f>
        <v/>
      </c>
      <c r="BI359" s="16">
        <f t="shared" si="15"/>
        <v>0</v>
      </c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4"/>
      <c r="BW359" s="14"/>
      <c r="BX359" s="14"/>
      <c r="BY359" s="14"/>
      <c r="BZ359" s="14"/>
      <c r="CA359" s="14"/>
      <c r="CB359" s="14"/>
      <c r="CC359" s="14"/>
      <c r="CD359" s="14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</row>
    <row r="360">
      <c r="A360" s="287" t="s">
        <v>664</v>
      </c>
      <c r="B360" s="288" t="s">
        <v>18</v>
      </c>
      <c r="C360" s="288" t="s">
        <v>350</v>
      </c>
      <c r="D360" s="289" t="str">
        <f t="shared" si="1"/>
        <v>ZOUT-1-13</v>
      </c>
      <c r="E360" s="72"/>
      <c r="F360" s="77"/>
      <c r="G360" s="74"/>
      <c r="H360" s="75"/>
      <c r="I360" s="76"/>
      <c r="J360" s="75"/>
      <c r="K360" s="27" t="str">
        <f t="shared" si="2"/>
        <v>DISPONIBLE</v>
      </c>
      <c r="L360" s="28">
        <f t="shared" si="14"/>
        <v>359</v>
      </c>
      <c r="M360" s="28" t="s">
        <v>746</v>
      </c>
      <c r="N360" s="109"/>
      <c r="O360" s="358"/>
      <c r="P360" s="359" t="s">
        <v>672</v>
      </c>
      <c r="Q360" s="360"/>
      <c r="R360" s="364"/>
      <c r="S360" s="361"/>
      <c r="T360" s="358"/>
      <c r="U360" s="36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4"/>
      <c r="BE360" s="12"/>
      <c r="BF360" s="12"/>
      <c r="BG360" s="12" t="str">
        <f>IFERROR(__xludf.DUMMYFUNCTION("IFERROR(INDEX(QUERY(IMPORTRANGE(""1T7HG8KEs-Ob7f3M5atEVN9Yn7IeORGp0QGvggB62ELw"",""Maestro!A:I""),""SELECT Col8 WHERE Col3 = '""&amp;BD360&amp;""'"", 0), 1, 1),""NO ENCONTRADO"")"),"")</f>
        <v/>
      </c>
      <c r="BH360" s="12" t="str">
        <f>IFERROR(__xludf.DUMMYFUNCTION("IFERROR(INDEX(QUERY(IMPORTRANGE(""1T7HG8KEs-Ob7f3M5atEVN9Yn7IeORGp0QGvggB62ELw"",""Maestro!A:I""),""SELECT Col7 WHERE Col3 = '""&amp;BD360&amp;""'"", 0), 1, 1),""NO ENCONTRADO"")"),"")</f>
        <v/>
      </c>
      <c r="BI360" s="16">
        <f t="shared" si="15"/>
        <v>0</v>
      </c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4"/>
      <c r="BW360" s="14"/>
      <c r="BX360" s="14"/>
      <c r="BY360" s="14"/>
      <c r="BZ360" s="14"/>
      <c r="CA360" s="14"/>
      <c r="CB360" s="14"/>
      <c r="CC360" s="14"/>
      <c r="CD360" s="14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</row>
    <row r="361">
      <c r="A361" s="287" t="s">
        <v>664</v>
      </c>
      <c r="B361" s="288" t="s">
        <v>18</v>
      </c>
      <c r="C361" s="288" t="s">
        <v>362</v>
      </c>
      <c r="D361" s="289" t="str">
        <f t="shared" si="1"/>
        <v>ZOUT-1-14</v>
      </c>
      <c r="E361" s="78">
        <v>45763.0</v>
      </c>
      <c r="F361" s="88" t="s">
        <v>800</v>
      </c>
      <c r="G361" s="80" t="s">
        <v>87</v>
      </c>
      <c r="H361" s="81" t="s">
        <v>88</v>
      </c>
      <c r="I361" s="82">
        <v>15.0</v>
      </c>
      <c r="J361" s="81" t="s">
        <v>43</v>
      </c>
      <c r="K361" s="32" t="str">
        <f t="shared" si="2"/>
        <v>OCUPADO</v>
      </c>
      <c r="L361" s="33">
        <f t="shared" si="14"/>
        <v>360</v>
      </c>
      <c r="M361" s="33" t="s">
        <v>746</v>
      </c>
      <c r="N361" s="122"/>
      <c r="O361" s="353" t="s">
        <v>270</v>
      </c>
      <c r="P361" s="354" t="s">
        <v>674</v>
      </c>
      <c r="Q361" s="355"/>
      <c r="R361" s="356"/>
      <c r="S361" s="356"/>
      <c r="T361" s="353"/>
      <c r="U361" s="357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4"/>
      <c r="BE361" s="12"/>
      <c r="BF361" s="12"/>
      <c r="BG361" s="12" t="str">
        <f>IFERROR(__xludf.DUMMYFUNCTION("IFERROR(INDEX(QUERY(IMPORTRANGE(""1T7HG8KEs-Ob7f3M5atEVN9Yn7IeORGp0QGvggB62ELw"",""Maestro!A:I""),""SELECT Col8 WHERE Col3 = '""&amp;BD361&amp;""'"", 0), 1, 1),""NO ENCONTRADO"")"),"")</f>
        <v/>
      </c>
      <c r="BH361" s="12" t="str">
        <f>IFERROR(__xludf.DUMMYFUNCTION("IFERROR(INDEX(QUERY(IMPORTRANGE(""1T7HG8KEs-Ob7f3M5atEVN9Yn7IeORGp0QGvggB62ELw"",""Maestro!A:I""),""SELECT Col7 WHERE Col3 = '""&amp;BD361&amp;""'"", 0), 1, 1),""NO ENCONTRADO"")"),"")</f>
        <v/>
      </c>
      <c r="BI361" s="16">
        <f t="shared" si="15"/>
        <v>0</v>
      </c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4"/>
      <c r="BW361" s="14"/>
      <c r="BX361" s="14"/>
      <c r="BY361" s="14"/>
      <c r="BZ361" s="14"/>
      <c r="CA361" s="14"/>
      <c r="CB361" s="14"/>
      <c r="CC361" s="14"/>
      <c r="CD361" s="14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</row>
    <row r="362">
      <c r="A362" s="287" t="s">
        <v>664</v>
      </c>
      <c r="B362" s="288" t="s">
        <v>18</v>
      </c>
      <c r="C362" s="288" t="s">
        <v>372</v>
      </c>
      <c r="D362" s="289" t="str">
        <f t="shared" si="1"/>
        <v>ZOUT-1-15</v>
      </c>
      <c r="E362" s="78">
        <v>45763.0</v>
      </c>
      <c r="F362" s="88" t="s">
        <v>800</v>
      </c>
      <c r="G362" s="80" t="s">
        <v>111</v>
      </c>
      <c r="H362" s="81" t="s">
        <v>112</v>
      </c>
      <c r="I362" s="82">
        <v>30.0</v>
      </c>
      <c r="J362" s="81" t="s">
        <v>43</v>
      </c>
      <c r="K362" s="27" t="str">
        <f t="shared" si="2"/>
        <v>OCUPADO</v>
      </c>
      <c r="L362" s="28">
        <f t="shared" si="14"/>
        <v>361</v>
      </c>
      <c r="M362" s="28" t="s">
        <v>746</v>
      </c>
      <c r="N362" s="109"/>
      <c r="O362" s="358" t="s">
        <v>270</v>
      </c>
      <c r="P362" s="359" t="s">
        <v>676</v>
      </c>
      <c r="Q362" s="360"/>
      <c r="R362" s="361"/>
      <c r="S362" s="361"/>
      <c r="T362" s="358"/>
      <c r="U362" s="36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4"/>
      <c r="BE362" s="12"/>
      <c r="BF362" s="12"/>
      <c r="BG362" s="12" t="str">
        <f>IFERROR(__xludf.DUMMYFUNCTION("IFERROR(INDEX(QUERY(IMPORTRANGE(""1T7HG8KEs-Ob7f3M5atEVN9Yn7IeORGp0QGvggB62ELw"",""Maestro!A:I""),""SELECT Col8 WHERE Col3 = '""&amp;BD362&amp;""'"", 0), 1, 1),""NO ENCONTRADO"")"),"")</f>
        <v/>
      </c>
      <c r="BH362" s="12" t="str">
        <f>IFERROR(__xludf.DUMMYFUNCTION("IFERROR(INDEX(QUERY(IMPORTRANGE(""1T7HG8KEs-Ob7f3M5atEVN9Yn7IeORGp0QGvggB62ELw"",""Maestro!A:I""),""SELECT Col7 WHERE Col3 = '""&amp;BD362&amp;""'"", 0), 1, 1),""NO ENCONTRADO"")"),"")</f>
        <v/>
      </c>
      <c r="BI362" s="16">
        <f t="shared" si="15"/>
        <v>0</v>
      </c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4"/>
      <c r="BW362" s="14"/>
      <c r="BX362" s="14"/>
      <c r="BY362" s="14"/>
      <c r="BZ362" s="14"/>
      <c r="CA362" s="14"/>
      <c r="CB362" s="14"/>
      <c r="CC362" s="14"/>
      <c r="CD362" s="14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</row>
    <row r="363">
      <c r="A363" s="287" t="s">
        <v>664</v>
      </c>
      <c r="B363" s="288" t="s">
        <v>18</v>
      </c>
      <c r="C363" s="288" t="s">
        <v>382</v>
      </c>
      <c r="D363" s="289" t="str">
        <f t="shared" si="1"/>
        <v>ZOUT-1-16</v>
      </c>
      <c r="E363" s="78">
        <v>45763.0</v>
      </c>
      <c r="F363" s="88" t="s">
        <v>800</v>
      </c>
      <c r="G363" s="80" t="s">
        <v>96</v>
      </c>
      <c r="H363" s="81" t="s">
        <v>97</v>
      </c>
      <c r="I363" s="82">
        <v>15.0</v>
      </c>
      <c r="J363" s="81" t="s">
        <v>463</v>
      </c>
      <c r="K363" s="32" t="str">
        <f t="shared" si="2"/>
        <v>OCUPADO</v>
      </c>
      <c r="L363" s="33">
        <f t="shared" si="14"/>
        <v>362</v>
      </c>
      <c r="M363" s="33" t="s">
        <v>746</v>
      </c>
      <c r="N363" s="122"/>
      <c r="O363" s="353" t="s">
        <v>270</v>
      </c>
      <c r="P363" s="354" t="s">
        <v>678</v>
      </c>
      <c r="Q363" s="355"/>
      <c r="R363" s="356"/>
      <c r="S363" s="356"/>
      <c r="T363" s="353"/>
      <c r="U363" s="357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4"/>
      <c r="BE363" s="12"/>
      <c r="BF363" s="12"/>
      <c r="BG363" s="12" t="str">
        <f>IFERROR(__xludf.DUMMYFUNCTION("IFERROR(INDEX(QUERY(IMPORTRANGE(""1T7HG8KEs-Ob7f3M5atEVN9Yn7IeORGp0QGvggB62ELw"",""Maestro!A:I""),""SELECT Col8 WHERE Col3 = '""&amp;BD363&amp;""'"", 0), 1, 1),""NO ENCONTRADO"")"),"")</f>
        <v/>
      </c>
      <c r="BH363" s="12" t="str">
        <f>IFERROR(__xludf.DUMMYFUNCTION("IFERROR(INDEX(QUERY(IMPORTRANGE(""1T7HG8KEs-Ob7f3M5atEVN9Yn7IeORGp0QGvggB62ELw"",""Maestro!A:I""),""SELECT Col7 WHERE Col3 = '""&amp;BD363&amp;""'"", 0), 1, 1),""NO ENCONTRADO"")"),"")</f>
        <v/>
      </c>
      <c r="BI363" s="16">
        <f t="shared" si="15"/>
        <v>0</v>
      </c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4"/>
      <c r="BW363" s="14"/>
      <c r="BX363" s="14"/>
      <c r="BY363" s="14"/>
      <c r="BZ363" s="14"/>
      <c r="CA363" s="14"/>
      <c r="CB363" s="14"/>
      <c r="CC363" s="14"/>
      <c r="CD363" s="14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</row>
    <row r="364">
      <c r="A364" s="287" t="s">
        <v>664</v>
      </c>
      <c r="B364" s="288" t="s">
        <v>18</v>
      </c>
      <c r="C364" s="288" t="s">
        <v>396</v>
      </c>
      <c r="D364" s="289" t="str">
        <f t="shared" si="1"/>
        <v>ZOUT-1-17</v>
      </c>
      <c r="E364" s="78">
        <v>45763.0</v>
      </c>
      <c r="F364" s="88" t="s">
        <v>800</v>
      </c>
      <c r="G364" s="80" t="s">
        <v>196</v>
      </c>
      <c r="H364" s="81" t="s">
        <v>197</v>
      </c>
      <c r="I364" s="82">
        <v>30.0</v>
      </c>
      <c r="J364" s="81" t="s">
        <v>43</v>
      </c>
      <c r="K364" s="27" t="str">
        <f t="shared" si="2"/>
        <v>OCUPADO</v>
      </c>
      <c r="L364" s="28">
        <f t="shared" si="14"/>
        <v>363</v>
      </c>
      <c r="M364" s="28" t="s">
        <v>746</v>
      </c>
      <c r="N364" s="109"/>
      <c r="O364" s="358" t="s">
        <v>270</v>
      </c>
      <c r="P364" s="359" t="s">
        <v>680</v>
      </c>
      <c r="Q364" s="360"/>
      <c r="R364" s="361"/>
      <c r="S364" s="361"/>
      <c r="T364" s="358"/>
      <c r="U364" s="36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4"/>
      <c r="BE364" s="12"/>
      <c r="BF364" s="12"/>
      <c r="BG364" s="12" t="str">
        <f>IFERROR(__xludf.DUMMYFUNCTION("IFERROR(INDEX(QUERY(IMPORTRANGE(""1T7HG8KEs-Ob7f3M5atEVN9Yn7IeORGp0QGvggB62ELw"",""Maestro!A:I""),""SELECT Col8 WHERE Col3 = '""&amp;BD364&amp;""'"", 0), 1, 1),""NO ENCONTRADO"")"),"")</f>
        <v/>
      </c>
      <c r="BH364" s="12" t="str">
        <f>IFERROR(__xludf.DUMMYFUNCTION("IFERROR(INDEX(QUERY(IMPORTRANGE(""1T7HG8KEs-Ob7f3M5atEVN9Yn7IeORGp0QGvggB62ELw"",""Maestro!A:I""),""SELECT Col7 WHERE Col3 = '""&amp;BD364&amp;""'"", 0), 1, 1),""NO ENCONTRADO"")"),"")</f>
        <v/>
      </c>
      <c r="BI364" s="16">
        <f t="shared" si="15"/>
        <v>0</v>
      </c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4"/>
      <c r="BW364" s="14"/>
      <c r="BX364" s="14"/>
      <c r="BY364" s="14"/>
      <c r="BZ364" s="14"/>
      <c r="CA364" s="14"/>
      <c r="CB364" s="14"/>
      <c r="CC364" s="14"/>
      <c r="CD364" s="14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</row>
    <row r="365">
      <c r="A365" s="287" t="s">
        <v>664</v>
      </c>
      <c r="B365" s="288" t="s">
        <v>18</v>
      </c>
      <c r="C365" s="288" t="s">
        <v>411</v>
      </c>
      <c r="D365" s="289" t="str">
        <f t="shared" si="1"/>
        <v>ZOUT-1-18</v>
      </c>
      <c r="E365" s="78">
        <v>45763.0</v>
      </c>
      <c r="F365" s="88" t="s">
        <v>800</v>
      </c>
      <c r="G365" s="80" t="s">
        <v>238</v>
      </c>
      <c r="H365" s="81" t="s">
        <v>239</v>
      </c>
      <c r="I365" s="82">
        <v>10.0</v>
      </c>
      <c r="J365" s="81" t="s">
        <v>43</v>
      </c>
      <c r="K365" s="32" t="str">
        <f t="shared" si="2"/>
        <v>OCUPADO</v>
      </c>
      <c r="L365" s="33">
        <f t="shared" si="14"/>
        <v>364</v>
      </c>
      <c r="M365" s="33" t="s">
        <v>746</v>
      </c>
      <c r="N365" s="122"/>
      <c r="O365" s="353" t="s">
        <v>270</v>
      </c>
      <c r="P365" s="354" t="s">
        <v>682</v>
      </c>
      <c r="Q365" s="355"/>
      <c r="R365" s="356"/>
      <c r="S365" s="356"/>
      <c r="T365" s="353"/>
      <c r="U365" s="357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4"/>
      <c r="BE365" s="12"/>
      <c r="BF365" s="12"/>
      <c r="BG365" s="12" t="str">
        <f>IFERROR(__xludf.DUMMYFUNCTION("IFERROR(INDEX(QUERY(IMPORTRANGE(""1T7HG8KEs-Ob7f3M5atEVN9Yn7IeORGp0QGvggB62ELw"",""Maestro!A:I""),""SELECT Col8 WHERE Col3 = '""&amp;BD365&amp;""'"", 0), 1, 1),""NO ENCONTRADO"")"),"")</f>
        <v/>
      </c>
      <c r="BH365" s="12" t="str">
        <f>IFERROR(__xludf.DUMMYFUNCTION("IFERROR(INDEX(QUERY(IMPORTRANGE(""1T7HG8KEs-Ob7f3M5atEVN9Yn7IeORGp0QGvggB62ELw"",""Maestro!A:I""),""SELECT Col7 WHERE Col3 = '""&amp;BD365&amp;""'"", 0), 1, 1),""NO ENCONTRADO"")"),"")</f>
        <v/>
      </c>
      <c r="BI365" s="16">
        <f t="shared" si="15"/>
        <v>0</v>
      </c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4"/>
      <c r="BW365" s="14"/>
      <c r="BX365" s="14"/>
      <c r="BY365" s="14"/>
      <c r="BZ365" s="14"/>
      <c r="CA365" s="14"/>
      <c r="CB365" s="14"/>
      <c r="CC365" s="14"/>
      <c r="CD365" s="14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</row>
    <row r="366">
      <c r="A366" s="287" t="s">
        <v>664</v>
      </c>
      <c r="B366" s="288" t="s">
        <v>18</v>
      </c>
      <c r="C366" s="288" t="s">
        <v>425</v>
      </c>
      <c r="D366" s="289" t="str">
        <f t="shared" si="1"/>
        <v>ZOUT-1-19</v>
      </c>
      <c r="E366" s="78">
        <v>45763.0</v>
      </c>
      <c r="F366" s="88" t="s">
        <v>800</v>
      </c>
      <c r="G366" s="80" t="s">
        <v>249</v>
      </c>
      <c r="H366" s="81" t="s">
        <v>250</v>
      </c>
      <c r="I366" s="82">
        <v>20.0</v>
      </c>
      <c r="J366" s="81" t="s">
        <v>274</v>
      </c>
      <c r="K366" s="27" t="str">
        <f t="shared" si="2"/>
        <v>OCUPADO</v>
      </c>
      <c r="L366" s="28">
        <f t="shared" si="14"/>
        <v>365</v>
      </c>
      <c r="M366" s="28" t="s">
        <v>746</v>
      </c>
      <c r="N366" s="109"/>
      <c r="O366" s="358" t="s">
        <v>270</v>
      </c>
      <c r="P366" s="359" t="s">
        <v>684</v>
      </c>
      <c r="Q366" s="360"/>
      <c r="R366" s="361"/>
      <c r="S366" s="361"/>
      <c r="T366" s="358"/>
      <c r="U366" s="36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4"/>
      <c r="BE366" s="12"/>
      <c r="BF366" s="12"/>
      <c r="BG366" s="12" t="str">
        <f>IFERROR(__xludf.DUMMYFUNCTION("IFERROR(INDEX(QUERY(IMPORTRANGE(""1T7HG8KEs-Ob7f3M5atEVN9Yn7IeORGp0QGvggB62ELw"",""Maestro!A:I""),""SELECT Col8 WHERE Col3 = '""&amp;BD366&amp;""'"", 0), 1, 1),""NO ENCONTRADO"")"),"")</f>
        <v/>
      </c>
      <c r="BH366" s="12" t="str">
        <f>IFERROR(__xludf.DUMMYFUNCTION("IFERROR(INDEX(QUERY(IMPORTRANGE(""1T7HG8KEs-Ob7f3M5atEVN9Yn7IeORGp0QGvggB62ELw"",""Maestro!A:I""),""SELECT Col7 WHERE Col3 = '""&amp;BD366&amp;""'"", 0), 1, 1),""NO ENCONTRADO"")"),"")</f>
        <v/>
      </c>
      <c r="BI366" s="16">
        <f t="shared" si="15"/>
        <v>0</v>
      </c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4"/>
      <c r="BW366" s="14"/>
      <c r="BX366" s="14"/>
      <c r="BY366" s="14"/>
      <c r="BZ366" s="14"/>
      <c r="CA366" s="14"/>
      <c r="CB366" s="14"/>
      <c r="CC366" s="14"/>
      <c r="CD366" s="14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</row>
    <row r="367">
      <c r="A367" s="287" t="s">
        <v>664</v>
      </c>
      <c r="B367" s="288" t="s">
        <v>18</v>
      </c>
      <c r="C367" s="288" t="s">
        <v>451</v>
      </c>
      <c r="D367" s="289" t="str">
        <f t="shared" si="1"/>
        <v>ZOUT-1-20</v>
      </c>
      <c r="E367" s="78">
        <v>45763.0</v>
      </c>
      <c r="F367" s="88" t="s">
        <v>800</v>
      </c>
      <c r="G367" s="80" t="s">
        <v>346</v>
      </c>
      <c r="H367" s="81" t="s">
        <v>347</v>
      </c>
      <c r="I367" s="82">
        <v>10.0</v>
      </c>
      <c r="J367" s="81" t="s">
        <v>767</v>
      </c>
      <c r="K367" s="32" t="str">
        <f t="shared" si="2"/>
        <v>OCUPADO</v>
      </c>
      <c r="L367" s="33">
        <f t="shared" si="14"/>
        <v>366</v>
      </c>
      <c r="M367" s="33" t="s">
        <v>746</v>
      </c>
      <c r="N367" s="122"/>
      <c r="O367" s="353" t="s">
        <v>270</v>
      </c>
      <c r="P367" s="354" t="s">
        <v>688</v>
      </c>
      <c r="Q367" s="355"/>
      <c r="R367" s="356"/>
      <c r="S367" s="356"/>
      <c r="T367" s="353"/>
      <c r="U367" s="357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4"/>
      <c r="BE367" s="12"/>
      <c r="BF367" s="12"/>
      <c r="BG367" s="12" t="str">
        <f>IFERROR(__xludf.DUMMYFUNCTION("IFERROR(INDEX(QUERY(IMPORTRANGE(""1T7HG8KEs-Ob7f3M5atEVN9Yn7IeORGp0QGvggB62ELw"",""Maestro!A:I""),""SELECT Col8 WHERE Col3 = '""&amp;BD367&amp;""'"", 0), 1, 1),""NO ENCONTRADO"")"),"")</f>
        <v/>
      </c>
      <c r="BH367" s="12" t="str">
        <f>IFERROR(__xludf.DUMMYFUNCTION("IFERROR(INDEX(QUERY(IMPORTRANGE(""1T7HG8KEs-Ob7f3M5atEVN9Yn7IeORGp0QGvggB62ELw"",""Maestro!A:I""),""SELECT Col7 WHERE Col3 = '""&amp;BD367&amp;""'"", 0), 1, 1),""NO ENCONTRADO"")"),"")</f>
        <v/>
      </c>
      <c r="BI367" s="16">
        <f t="shared" si="15"/>
        <v>0</v>
      </c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4"/>
      <c r="BW367" s="14"/>
      <c r="BX367" s="14"/>
      <c r="BY367" s="14"/>
      <c r="BZ367" s="14"/>
      <c r="CA367" s="14"/>
      <c r="CB367" s="14"/>
      <c r="CC367" s="14"/>
      <c r="CD367" s="14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</row>
    <row r="368">
      <c r="A368" s="287" t="s">
        <v>664</v>
      </c>
      <c r="B368" s="288" t="s">
        <v>18</v>
      </c>
      <c r="C368" s="288" t="s">
        <v>467</v>
      </c>
      <c r="D368" s="289" t="str">
        <f t="shared" si="1"/>
        <v>ZOUT-1-21</v>
      </c>
      <c r="E368" s="78">
        <v>45763.0</v>
      </c>
      <c r="F368" s="88" t="s">
        <v>800</v>
      </c>
      <c r="G368" s="80" t="s">
        <v>294</v>
      </c>
      <c r="H368" s="81" t="s">
        <v>295</v>
      </c>
      <c r="I368" s="82">
        <v>6.0</v>
      </c>
      <c r="J368" s="81" t="s">
        <v>274</v>
      </c>
      <c r="K368" s="27" t="str">
        <f t="shared" si="2"/>
        <v>OCUPADO</v>
      </c>
      <c r="L368" s="28">
        <f t="shared" si="14"/>
        <v>367</v>
      </c>
      <c r="M368" s="28" t="s">
        <v>746</v>
      </c>
      <c r="N368" s="109"/>
      <c r="O368" s="358" t="s">
        <v>270</v>
      </c>
      <c r="P368" s="359" t="s">
        <v>690</v>
      </c>
      <c r="Q368" s="360"/>
      <c r="R368" s="361"/>
      <c r="S368" s="361"/>
      <c r="T368" s="358"/>
      <c r="U368" s="36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4"/>
      <c r="BE368" s="12"/>
      <c r="BF368" s="12"/>
      <c r="BG368" s="12" t="str">
        <f>IFERROR(__xludf.DUMMYFUNCTION("IFERROR(INDEX(QUERY(IMPORTRANGE(""1T7HG8KEs-Ob7f3M5atEVN9Yn7IeORGp0QGvggB62ELw"",""Maestro!A:I""),""SELECT Col8 WHERE Col3 = '""&amp;BD368&amp;""'"", 0), 1, 1),""NO ENCONTRADO"")"),"")</f>
        <v/>
      </c>
      <c r="BH368" s="12" t="str">
        <f>IFERROR(__xludf.DUMMYFUNCTION("IFERROR(INDEX(QUERY(IMPORTRANGE(""1T7HG8KEs-Ob7f3M5atEVN9Yn7IeORGp0QGvggB62ELw"",""Maestro!A:I""),""SELECT Col7 WHERE Col3 = '""&amp;BD368&amp;""'"", 0), 1, 1),""NO ENCONTRADO"")"),"")</f>
        <v/>
      </c>
      <c r="BI368" s="16">
        <f t="shared" si="15"/>
        <v>0</v>
      </c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4"/>
      <c r="BW368" s="14"/>
      <c r="BX368" s="14"/>
      <c r="BY368" s="14"/>
      <c r="BZ368" s="14"/>
      <c r="CA368" s="14"/>
      <c r="CB368" s="14"/>
      <c r="CC368" s="14"/>
      <c r="CD368" s="14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</row>
    <row r="369">
      <c r="A369" s="287" t="s">
        <v>664</v>
      </c>
      <c r="B369" s="288" t="s">
        <v>18</v>
      </c>
      <c r="C369" s="288" t="s">
        <v>620</v>
      </c>
      <c r="D369" s="289" t="str">
        <f t="shared" si="1"/>
        <v>ZOUT-1-22</v>
      </c>
      <c r="E369" s="78">
        <v>45763.0</v>
      </c>
      <c r="F369" s="88" t="s">
        <v>800</v>
      </c>
      <c r="G369" s="80" t="s">
        <v>301</v>
      </c>
      <c r="H369" s="81" t="s">
        <v>302</v>
      </c>
      <c r="I369" s="82">
        <v>6.0</v>
      </c>
      <c r="J369" s="81" t="s">
        <v>274</v>
      </c>
      <c r="K369" s="32" t="str">
        <f t="shared" si="2"/>
        <v>OCUPADO</v>
      </c>
      <c r="L369" s="33">
        <f t="shared" si="14"/>
        <v>368</v>
      </c>
      <c r="M369" s="33" t="s">
        <v>746</v>
      </c>
      <c r="N369" s="122"/>
      <c r="O369" s="353" t="s">
        <v>270</v>
      </c>
      <c r="P369" s="354" t="s">
        <v>692</v>
      </c>
      <c r="Q369" s="355"/>
      <c r="R369" s="356"/>
      <c r="S369" s="356"/>
      <c r="T369" s="353"/>
      <c r="U369" s="357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4"/>
      <c r="BE369" s="12"/>
      <c r="BF369" s="12"/>
      <c r="BG369" s="12" t="str">
        <f>IFERROR(__xludf.DUMMYFUNCTION("IFERROR(INDEX(QUERY(IMPORTRANGE(""1T7HG8KEs-Ob7f3M5atEVN9Yn7IeORGp0QGvggB62ELw"",""Maestro!A:I""),""SELECT Col8 WHERE Col3 = '""&amp;BD369&amp;""'"", 0), 1, 1),""NO ENCONTRADO"")"),"")</f>
        <v/>
      </c>
      <c r="BH369" s="12" t="str">
        <f>IFERROR(__xludf.DUMMYFUNCTION("IFERROR(INDEX(QUERY(IMPORTRANGE(""1T7HG8KEs-Ob7f3M5atEVN9Yn7IeORGp0QGvggB62ELw"",""Maestro!A:I""),""SELECT Col7 WHERE Col3 = '""&amp;BD369&amp;""'"", 0), 1, 1),""NO ENCONTRADO"")"),"")</f>
        <v/>
      </c>
      <c r="BI369" s="16">
        <f t="shared" si="15"/>
        <v>0</v>
      </c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4"/>
      <c r="BW369" s="14"/>
      <c r="BX369" s="14"/>
      <c r="BY369" s="14"/>
      <c r="BZ369" s="14"/>
      <c r="CA369" s="14"/>
      <c r="CB369" s="14"/>
      <c r="CC369" s="14"/>
      <c r="CD369" s="14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</row>
    <row r="370">
      <c r="A370" s="287" t="s">
        <v>664</v>
      </c>
      <c r="B370" s="288" t="s">
        <v>18</v>
      </c>
      <c r="C370" s="288" t="s">
        <v>561</v>
      </c>
      <c r="D370" s="289" t="str">
        <f t="shared" si="1"/>
        <v>ZOUT-1-23</v>
      </c>
      <c r="E370" s="78">
        <v>45763.0</v>
      </c>
      <c r="F370" s="88" t="s">
        <v>800</v>
      </c>
      <c r="G370" s="80" t="s">
        <v>330</v>
      </c>
      <c r="H370" s="81" t="s">
        <v>331</v>
      </c>
      <c r="I370" s="82">
        <v>10.0</v>
      </c>
      <c r="J370" s="81" t="s">
        <v>43</v>
      </c>
      <c r="K370" s="27" t="str">
        <f t="shared" si="2"/>
        <v>OCUPADO</v>
      </c>
      <c r="L370" s="28">
        <f t="shared" si="14"/>
        <v>369</v>
      </c>
      <c r="M370" s="28" t="s">
        <v>746</v>
      </c>
      <c r="N370" s="109"/>
      <c r="O370" s="358" t="s">
        <v>270</v>
      </c>
      <c r="P370" s="359" t="s">
        <v>694</v>
      </c>
      <c r="Q370" s="360"/>
      <c r="R370" s="361"/>
      <c r="S370" s="361"/>
      <c r="T370" s="358"/>
      <c r="U370" s="36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4"/>
      <c r="BE370" s="12"/>
      <c r="BF370" s="12"/>
      <c r="BG370" s="12" t="str">
        <f>IFERROR(__xludf.DUMMYFUNCTION("IFERROR(INDEX(QUERY(IMPORTRANGE(""1T7HG8KEs-Ob7f3M5atEVN9Yn7IeORGp0QGvggB62ELw"",""Maestro!A:I""),""SELECT Col8 WHERE Col3 = '""&amp;BD370&amp;""'"", 0), 1, 1),""NO ENCONTRADO"")"),"")</f>
        <v/>
      </c>
      <c r="BH370" s="12" t="str">
        <f>IFERROR(__xludf.DUMMYFUNCTION("IFERROR(INDEX(QUERY(IMPORTRANGE(""1T7HG8KEs-Ob7f3M5atEVN9Yn7IeORGp0QGvggB62ELw"",""Maestro!A:I""),""SELECT Col7 WHERE Col3 = '""&amp;BD370&amp;""'"", 0), 1, 1),""NO ENCONTRADO"")"),"")</f>
        <v/>
      </c>
      <c r="BI370" s="16">
        <f t="shared" si="15"/>
        <v>0</v>
      </c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4"/>
      <c r="BW370" s="14"/>
      <c r="BX370" s="14"/>
      <c r="BY370" s="14"/>
      <c r="BZ370" s="14"/>
      <c r="CA370" s="14"/>
      <c r="CB370" s="14"/>
      <c r="CC370" s="14"/>
      <c r="CD370" s="14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</row>
    <row r="371">
      <c r="A371" s="287" t="s">
        <v>664</v>
      </c>
      <c r="B371" s="288" t="s">
        <v>18</v>
      </c>
      <c r="C371" s="288" t="s">
        <v>563</v>
      </c>
      <c r="D371" s="289" t="str">
        <f t="shared" si="1"/>
        <v>ZOUT-1-24</v>
      </c>
      <c r="E371" s="78">
        <v>45763.0</v>
      </c>
      <c r="F371" s="88" t="s">
        <v>800</v>
      </c>
      <c r="G371" s="80" t="s">
        <v>325</v>
      </c>
      <c r="H371" s="81" t="s">
        <v>326</v>
      </c>
      <c r="I371" s="82">
        <v>20.0</v>
      </c>
      <c r="J371" s="81" t="s">
        <v>43</v>
      </c>
      <c r="K371" s="32" t="str">
        <f t="shared" si="2"/>
        <v>OCUPADO</v>
      </c>
      <c r="L371" s="33">
        <f t="shared" si="14"/>
        <v>370</v>
      </c>
      <c r="M371" s="33" t="s">
        <v>746</v>
      </c>
      <c r="N371" s="122"/>
      <c r="O371" s="353" t="s">
        <v>270</v>
      </c>
      <c r="P371" s="354" t="s">
        <v>696</v>
      </c>
      <c r="Q371" s="355"/>
      <c r="R371" s="356"/>
      <c r="S371" s="356"/>
      <c r="T371" s="353"/>
      <c r="U371" s="357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4"/>
      <c r="BE371" s="12"/>
      <c r="BF371" s="12"/>
      <c r="BG371" s="12" t="str">
        <f>IFERROR(__xludf.DUMMYFUNCTION("IFERROR(INDEX(QUERY(IMPORTRANGE(""1T7HG8KEs-Ob7f3M5atEVN9Yn7IeORGp0QGvggB62ELw"",""Maestro!A:I""),""SELECT Col8 WHERE Col3 = '""&amp;BD371&amp;""'"", 0), 1, 1),""NO ENCONTRADO"")"),"")</f>
        <v/>
      </c>
      <c r="BH371" s="12" t="str">
        <f>IFERROR(__xludf.DUMMYFUNCTION("IFERROR(INDEX(QUERY(IMPORTRANGE(""1T7HG8KEs-Ob7f3M5atEVN9Yn7IeORGp0QGvggB62ELw"",""Maestro!A:I""),""SELECT Col7 WHERE Col3 = '""&amp;BD371&amp;""'"", 0), 1, 1),""NO ENCONTRADO"")"),"")</f>
        <v/>
      </c>
      <c r="BI371" s="16">
        <f t="shared" si="15"/>
        <v>0</v>
      </c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4"/>
      <c r="BW371" s="14"/>
      <c r="BX371" s="14"/>
      <c r="BY371" s="14"/>
      <c r="BZ371" s="14"/>
      <c r="CA371" s="14"/>
      <c r="CB371" s="14"/>
      <c r="CC371" s="14"/>
      <c r="CD371" s="14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</row>
    <row r="372">
      <c r="A372" s="287" t="s">
        <v>664</v>
      </c>
      <c r="B372" s="288" t="s">
        <v>18</v>
      </c>
      <c r="C372" s="288" t="s">
        <v>565</v>
      </c>
      <c r="D372" s="289" t="str">
        <f t="shared" si="1"/>
        <v>ZOUT-1-25</v>
      </c>
      <c r="E372" s="78">
        <v>45763.0</v>
      </c>
      <c r="F372" s="88" t="s">
        <v>800</v>
      </c>
      <c r="G372" s="80" t="s">
        <v>291</v>
      </c>
      <c r="H372" s="81" t="s">
        <v>292</v>
      </c>
      <c r="I372" s="82">
        <v>10.0</v>
      </c>
      <c r="J372" s="81" t="s">
        <v>43</v>
      </c>
      <c r="K372" s="27" t="str">
        <f t="shared" si="2"/>
        <v>OCUPADO</v>
      </c>
      <c r="L372" s="28">
        <f t="shared" si="14"/>
        <v>371</v>
      </c>
      <c r="M372" s="28" t="s">
        <v>746</v>
      </c>
      <c r="N372" s="109"/>
      <c r="O372" s="358" t="s">
        <v>270</v>
      </c>
      <c r="P372" s="359" t="s">
        <v>697</v>
      </c>
      <c r="Q372" s="360"/>
      <c r="R372" s="361"/>
      <c r="S372" s="361"/>
      <c r="T372" s="358"/>
      <c r="U372" s="36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4"/>
      <c r="BE372" s="12"/>
      <c r="BF372" s="12"/>
      <c r="BG372" s="12" t="str">
        <f>IFERROR(__xludf.DUMMYFUNCTION("IFERROR(INDEX(QUERY(IMPORTRANGE(""1T7HG8KEs-Ob7f3M5atEVN9Yn7IeORGp0QGvggB62ELw"",""Maestro!A:I""),""SELECT Col8 WHERE Col3 = '""&amp;BD372&amp;""'"", 0), 1, 1),""NO ENCONTRADO"")"),"")</f>
        <v/>
      </c>
      <c r="BH372" s="12" t="str">
        <f>IFERROR(__xludf.DUMMYFUNCTION("IFERROR(INDEX(QUERY(IMPORTRANGE(""1T7HG8KEs-Ob7f3M5atEVN9Yn7IeORGp0QGvggB62ELw"",""Maestro!A:I""),""SELECT Col7 WHERE Col3 = '""&amp;BD372&amp;""'"", 0), 1, 1),""NO ENCONTRADO"")"),"")</f>
        <v/>
      </c>
      <c r="BI372" s="16">
        <f t="shared" si="15"/>
        <v>0</v>
      </c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4"/>
      <c r="BW372" s="14"/>
      <c r="BX372" s="14"/>
      <c r="BY372" s="14"/>
      <c r="BZ372" s="14"/>
      <c r="CA372" s="14"/>
      <c r="CB372" s="14"/>
      <c r="CC372" s="14"/>
      <c r="CD372" s="14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</row>
    <row r="373">
      <c r="A373" s="287" t="s">
        <v>664</v>
      </c>
      <c r="B373" s="288" t="s">
        <v>18</v>
      </c>
      <c r="C373" s="288" t="s">
        <v>622</v>
      </c>
      <c r="D373" s="289" t="str">
        <f t="shared" si="1"/>
        <v>ZOUT-1-26</v>
      </c>
      <c r="E373" s="78">
        <v>45763.0</v>
      </c>
      <c r="F373" s="88" t="s">
        <v>800</v>
      </c>
      <c r="G373" s="80" t="s">
        <v>41</v>
      </c>
      <c r="H373" s="81" t="s">
        <v>42</v>
      </c>
      <c r="I373" s="82">
        <v>10.0</v>
      </c>
      <c r="J373" s="81" t="s">
        <v>43</v>
      </c>
      <c r="K373" s="32" t="str">
        <f t="shared" si="2"/>
        <v>OCUPADO</v>
      </c>
      <c r="L373" s="33">
        <f t="shared" si="14"/>
        <v>372</v>
      </c>
      <c r="M373" s="33" t="s">
        <v>746</v>
      </c>
      <c r="N373" s="122"/>
      <c r="O373" s="353" t="s">
        <v>270</v>
      </c>
      <c r="P373" s="354" t="s">
        <v>699</v>
      </c>
      <c r="Q373" s="355"/>
      <c r="R373" s="356"/>
      <c r="S373" s="356"/>
      <c r="T373" s="353"/>
      <c r="U373" s="357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4"/>
      <c r="BE373" s="12"/>
      <c r="BF373" s="12"/>
      <c r="BG373" s="12" t="str">
        <f>IFERROR(__xludf.DUMMYFUNCTION("IFERROR(INDEX(QUERY(IMPORTRANGE(""1T7HG8KEs-Ob7f3M5atEVN9Yn7IeORGp0QGvggB62ELw"",""Maestro!A:I""),""SELECT Col8 WHERE Col3 = '""&amp;BD373&amp;""'"", 0), 1, 1),""NO ENCONTRADO"")"),"")</f>
        <v/>
      </c>
      <c r="BH373" s="12" t="str">
        <f>IFERROR(__xludf.DUMMYFUNCTION("IFERROR(INDEX(QUERY(IMPORTRANGE(""1T7HG8KEs-Ob7f3M5atEVN9Yn7IeORGp0QGvggB62ELw"",""Maestro!A:I""),""SELECT Col7 WHERE Col3 = '""&amp;BD373&amp;""'"", 0), 1, 1),""NO ENCONTRADO"")"),"")</f>
        <v/>
      </c>
      <c r="BI373" s="16">
        <f t="shared" si="15"/>
        <v>0</v>
      </c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4"/>
      <c r="BW373" s="14"/>
      <c r="BX373" s="14"/>
      <c r="BY373" s="14"/>
      <c r="BZ373" s="14"/>
      <c r="CA373" s="14"/>
      <c r="CB373" s="14"/>
      <c r="CC373" s="14"/>
      <c r="CD373" s="14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</row>
    <row r="374">
      <c r="A374" s="287" t="s">
        <v>664</v>
      </c>
      <c r="B374" s="288" t="s">
        <v>18</v>
      </c>
      <c r="C374" s="288" t="s">
        <v>669</v>
      </c>
      <c r="D374" s="289" t="str">
        <f t="shared" si="1"/>
        <v>ZOUT-1-27</v>
      </c>
      <c r="E374" s="72"/>
      <c r="F374" s="77"/>
      <c r="G374" s="265"/>
      <c r="H374" s="75"/>
      <c r="I374" s="76"/>
      <c r="J374" s="75"/>
      <c r="K374" s="27" t="str">
        <f t="shared" si="2"/>
        <v>DISPONIBLE</v>
      </c>
      <c r="L374" s="28">
        <f t="shared" si="14"/>
        <v>373</v>
      </c>
      <c r="M374" s="28" t="s">
        <v>746</v>
      </c>
      <c r="N374" s="109"/>
      <c r="O374" s="358"/>
      <c r="P374" s="359" t="s">
        <v>700</v>
      </c>
      <c r="Q374" s="360"/>
      <c r="R374" s="364"/>
      <c r="S374" s="359"/>
      <c r="T374" s="358"/>
      <c r="U374" s="36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4"/>
      <c r="BE374" s="12"/>
      <c r="BF374" s="12"/>
      <c r="BG374" s="12" t="str">
        <f>IFERROR(__xludf.DUMMYFUNCTION("IFERROR(INDEX(QUERY(IMPORTRANGE(""1T7HG8KEs-Ob7f3M5atEVN9Yn7IeORGp0QGvggB62ELw"",""Maestro!A:I""),""SELECT Col8 WHERE Col3 = '""&amp;BD374&amp;""'"", 0), 1, 1),""NO ENCONTRADO"")"),"")</f>
        <v/>
      </c>
      <c r="BH374" s="12" t="str">
        <f>IFERROR(__xludf.DUMMYFUNCTION("IFERROR(INDEX(QUERY(IMPORTRANGE(""1T7HG8KEs-Ob7f3M5atEVN9Yn7IeORGp0QGvggB62ELw"",""Maestro!A:I""),""SELECT Col7 WHERE Col3 = '""&amp;BD374&amp;""'"", 0), 1, 1),""NO ENCONTRADO"")"),"")</f>
        <v/>
      </c>
      <c r="BI374" s="16">
        <f t="shared" si="15"/>
        <v>0</v>
      </c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4"/>
      <c r="BW374" s="14"/>
      <c r="BX374" s="14"/>
      <c r="BY374" s="14"/>
      <c r="BZ374" s="14"/>
      <c r="CA374" s="14"/>
      <c r="CB374" s="14"/>
      <c r="CC374" s="14"/>
      <c r="CD374" s="14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</row>
    <row r="375">
      <c r="A375" s="287" t="s">
        <v>664</v>
      </c>
      <c r="B375" s="288" t="s">
        <v>18</v>
      </c>
      <c r="C375" s="288" t="s">
        <v>671</v>
      </c>
      <c r="D375" s="289" t="str">
        <f t="shared" si="1"/>
        <v>ZOUT-1-28</v>
      </c>
      <c r="E375" s="72"/>
      <c r="F375" s="77"/>
      <c r="G375" s="265"/>
      <c r="H375" s="75"/>
      <c r="I375" s="76"/>
      <c r="J375" s="75"/>
      <c r="K375" s="32" t="str">
        <f t="shared" si="2"/>
        <v>DISPONIBLE</v>
      </c>
      <c r="L375" s="33">
        <f t="shared" si="14"/>
        <v>374</v>
      </c>
      <c r="M375" s="33" t="s">
        <v>746</v>
      </c>
      <c r="N375" s="122"/>
      <c r="O375" s="353"/>
      <c r="P375" s="354" t="s">
        <v>701</v>
      </c>
      <c r="Q375" s="355">
        <v>45755.0</v>
      </c>
      <c r="R375" s="356" t="s">
        <v>19</v>
      </c>
      <c r="S375" s="356">
        <v>691084.0</v>
      </c>
      <c r="T375" s="353" t="s">
        <v>533</v>
      </c>
      <c r="U375" s="357">
        <v>1.0</v>
      </c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4"/>
      <c r="BE375" s="12"/>
      <c r="BF375" s="12"/>
      <c r="BG375" s="12" t="str">
        <f>IFERROR(__xludf.DUMMYFUNCTION("IFERROR(INDEX(QUERY(IMPORTRANGE(""1T7HG8KEs-Ob7f3M5atEVN9Yn7IeORGp0QGvggB62ELw"",""Maestro!A:I""),""SELECT Col8 WHERE Col3 = '""&amp;BD375&amp;""'"", 0), 1, 1),""NO ENCONTRADO"")"),"")</f>
        <v/>
      </c>
      <c r="BH375" s="12" t="str">
        <f>IFERROR(__xludf.DUMMYFUNCTION("IFERROR(INDEX(QUERY(IMPORTRANGE(""1T7HG8KEs-Ob7f3M5atEVN9Yn7IeORGp0QGvggB62ELw"",""Maestro!A:I""),""SELECT Col7 WHERE Col3 = '""&amp;BD375&amp;""'"", 0), 1, 1),""NO ENCONTRADO"")"),"")</f>
        <v/>
      </c>
      <c r="BI375" s="16">
        <f t="shared" si="15"/>
        <v>0</v>
      </c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4"/>
      <c r="BW375" s="14"/>
      <c r="BX375" s="14"/>
      <c r="BY375" s="14"/>
      <c r="BZ375" s="14"/>
      <c r="CA375" s="14"/>
      <c r="CB375" s="14"/>
      <c r="CC375" s="14"/>
      <c r="CD375" s="14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</row>
    <row r="376">
      <c r="A376" s="287" t="s">
        <v>664</v>
      </c>
      <c r="B376" s="288" t="s">
        <v>18</v>
      </c>
      <c r="C376" s="288" t="s">
        <v>673</v>
      </c>
      <c r="D376" s="289" t="str">
        <f t="shared" si="1"/>
        <v>ZOUT-1-29</v>
      </c>
      <c r="E376" s="72"/>
      <c r="F376" s="77"/>
      <c r="G376" s="265"/>
      <c r="H376" s="75"/>
      <c r="I376" s="76"/>
      <c r="J376" s="75"/>
      <c r="K376" s="27" t="str">
        <f t="shared" si="2"/>
        <v>DISPONIBLE</v>
      </c>
      <c r="L376" s="28">
        <f t="shared" si="14"/>
        <v>375</v>
      </c>
      <c r="M376" s="28" t="s">
        <v>746</v>
      </c>
      <c r="N376" s="109"/>
      <c r="O376" s="358"/>
      <c r="P376" s="359" t="s">
        <v>703</v>
      </c>
      <c r="Q376" s="360">
        <v>45755.0</v>
      </c>
      <c r="R376" s="361" t="s">
        <v>19</v>
      </c>
      <c r="S376" s="361">
        <v>691084.0</v>
      </c>
      <c r="T376" s="358" t="s">
        <v>533</v>
      </c>
      <c r="U376" s="362">
        <v>50.0</v>
      </c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4"/>
      <c r="BE376" s="12"/>
      <c r="BF376" s="12"/>
      <c r="BG376" s="12" t="str">
        <f>IFERROR(__xludf.DUMMYFUNCTION("IFERROR(INDEX(QUERY(IMPORTRANGE(""1T7HG8KEs-Ob7f3M5atEVN9Yn7IeORGp0QGvggB62ELw"",""Maestro!A:I""),""SELECT Col8 WHERE Col3 = '""&amp;BD376&amp;""'"", 0), 1, 1),""NO ENCONTRADO"")"),"")</f>
        <v/>
      </c>
      <c r="BH376" s="12" t="str">
        <f>IFERROR(__xludf.DUMMYFUNCTION("IFERROR(INDEX(QUERY(IMPORTRANGE(""1T7HG8KEs-Ob7f3M5atEVN9Yn7IeORGp0QGvggB62ELw"",""Maestro!A:I""),""SELECT Col7 WHERE Col3 = '""&amp;BD376&amp;""'"", 0), 1, 1),""NO ENCONTRADO"")"),"")</f>
        <v/>
      </c>
      <c r="BI376" s="16">
        <f t="shared" si="15"/>
        <v>0</v>
      </c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4"/>
      <c r="BW376" s="14"/>
      <c r="BX376" s="14"/>
      <c r="BY376" s="14"/>
      <c r="BZ376" s="14"/>
      <c r="CA376" s="14"/>
      <c r="CB376" s="14"/>
      <c r="CC376" s="14"/>
      <c r="CD376" s="14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</row>
    <row r="377">
      <c r="A377" s="290" t="s">
        <v>664</v>
      </c>
      <c r="B377" s="291" t="s">
        <v>18</v>
      </c>
      <c r="C377" s="291" t="s">
        <v>677</v>
      </c>
      <c r="D377" s="292" t="str">
        <f t="shared" si="1"/>
        <v>ZOUT-1-30</v>
      </c>
      <c r="E377" s="234"/>
      <c r="F377" s="235"/>
      <c r="G377" s="236"/>
      <c r="H377" s="237"/>
      <c r="I377" s="272"/>
      <c r="J377" s="237"/>
      <c r="K377" s="154" t="str">
        <f t="shared" si="2"/>
        <v>DISPONIBLE</v>
      </c>
      <c r="L377" s="155">
        <f t="shared" si="14"/>
        <v>376</v>
      </c>
      <c r="M377" s="155" t="s">
        <v>746</v>
      </c>
      <c r="N377" s="327"/>
      <c r="O377" s="397"/>
      <c r="P377" s="354" t="s">
        <v>706</v>
      </c>
      <c r="Q377" s="355"/>
      <c r="R377" s="356"/>
      <c r="S377" s="356"/>
      <c r="T377" s="353"/>
      <c r="U377" s="357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4"/>
      <c r="BE377" s="12"/>
      <c r="BF377" s="12"/>
      <c r="BG377" s="12" t="str">
        <f>IFERROR(__xludf.DUMMYFUNCTION("IFERROR(INDEX(QUERY(IMPORTRANGE(""1T7HG8KEs-Ob7f3M5atEVN9Yn7IeORGp0QGvggB62ELw"",""Maestro!A:I""),""SELECT Col8 WHERE Col3 = '""&amp;BD377&amp;""'"", 0), 1, 1),""NO ENCONTRADO"")"),"")</f>
        <v/>
      </c>
      <c r="BH377" s="12" t="str">
        <f>IFERROR(__xludf.DUMMYFUNCTION("IFERROR(INDEX(QUERY(IMPORTRANGE(""1T7HG8KEs-Ob7f3M5atEVN9Yn7IeORGp0QGvggB62ELw"",""Maestro!A:I""),""SELECT Col7 WHERE Col3 = '""&amp;BD377&amp;""'"", 0), 1, 1),""NO ENCONTRADO"")"),"")</f>
        <v/>
      </c>
      <c r="BI377" s="16">
        <f t="shared" si="15"/>
        <v>0</v>
      </c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4"/>
      <c r="BW377" s="14"/>
      <c r="BX377" s="14"/>
      <c r="BY377" s="14"/>
      <c r="BZ377" s="14"/>
      <c r="CA377" s="14"/>
      <c r="CB377" s="14"/>
      <c r="CC377" s="14"/>
      <c r="CD377" s="14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</row>
    <row r="378">
      <c r="A378" s="295" t="s">
        <v>593</v>
      </c>
      <c r="B378" s="296" t="s">
        <v>18</v>
      </c>
      <c r="C378" s="296" t="s">
        <v>18</v>
      </c>
      <c r="D378" s="297" t="str">
        <f t="shared" si="1"/>
        <v>ZEST-1-1</v>
      </c>
      <c r="E378" s="146"/>
      <c r="F378" s="147"/>
      <c r="G378" s="148"/>
      <c r="H378" s="148"/>
      <c r="I378" s="149"/>
      <c r="J378" s="148"/>
      <c r="K378" s="27" t="str">
        <f t="shared" si="2"/>
        <v>DISPONIBLE</v>
      </c>
      <c r="L378" s="28">
        <f t="shared" si="14"/>
        <v>377</v>
      </c>
      <c r="M378" s="28" t="s">
        <v>748</v>
      </c>
      <c r="N378" s="109"/>
      <c r="O378" s="28"/>
      <c r="P378" s="331" t="s">
        <v>529</v>
      </c>
      <c r="Q378" s="70"/>
      <c r="R378" s="70"/>
      <c r="S378" s="70"/>
      <c r="T378" s="70"/>
      <c r="U378" s="140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4"/>
      <c r="BE378" s="12"/>
      <c r="BF378" s="12"/>
      <c r="BG378" s="12" t="str">
        <f>IFERROR(__xludf.DUMMYFUNCTION("IFERROR(INDEX(QUERY(IMPORTRANGE(""1T7HG8KEs-Ob7f3M5atEVN9Yn7IeORGp0QGvggB62ELw"",""Maestro!A:I""),""SELECT Col8 WHERE Col3 = '""&amp;BD378&amp;""'"", 0), 1, 1),""NO ENCONTRADO"")"),"")</f>
        <v/>
      </c>
      <c r="BH378" s="12" t="str">
        <f>IFERROR(__xludf.DUMMYFUNCTION("IFERROR(INDEX(QUERY(IMPORTRANGE(""1T7HG8KEs-Ob7f3M5atEVN9Yn7IeORGp0QGvggB62ELw"",""Maestro!A:I""),""SELECT Col7 WHERE Col3 = '""&amp;BD378&amp;""'"", 0), 1, 1),""NO ENCONTRADO"")"),"")</f>
        <v/>
      </c>
      <c r="BI378" s="16">
        <f t="shared" si="15"/>
        <v>0</v>
      </c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4"/>
      <c r="BW378" s="14"/>
      <c r="BX378" s="14"/>
      <c r="BY378" s="14"/>
      <c r="BZ378" s="14"/>
      <c r="CA378" s="14"/>
      <c r="CB378" s="14"/>
      <c r="CC378" s="14"/>
      <c r="CD378" s="14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</row>
    <row r="379">
      <c r="A379" s="295" t="s">
        <v>593</v>
      </c>
      <c r="B379" s="296" t="s">
        <v>18</v>
      </c>
      <c r="C379" s="296" t="s">
        <v>32</v>
      </c>
      <c r="D379" s="297" t="str">
        <f t="shared" si="1"/>
        <v>ZEST-1-2</v>
      </c>
      <c r="E379" s="78">
        <v>45755.0</v>
      </c>
      <c r="F379" s="88" t="s">
        <v>19</v>
      </c>
      <c r="G379" s="80">
        <v>691084.0</v>
      </c>
      <c r="H379" s="81" t="s">
        <v>533</v>
      </c>
      <c r="I379" s="82">
        <v>3.0</v>
      </c>
      <c r="J379" s="81" t="s">
        <v>35</v>
      </c>
      <c r="K379" s="32" t="str">
        <f t="shared" si="2"/>
        <v>OCUPADO</v>
      </c>
      <c r="L379" s="33">
        <f t="shared" si="14"/>
        <v>378</v>
      </c>
      <c r="M379" s="33" t="s">
        <v>748</v>
      </c>
      <c r="N379" s="122"/>
      <c r="O379" s="33" t="s">
        <v>24</v>
      </c>
      <c r="P379" s="335" t="s">
        <v>532</v>
      </c>
      <c r="Q379" s="336">
        <v>45755.0</v>
      </c>
      <c r="R379" s="337" t="s">
        <v>19</v>
      </c>
      <c r="S379" s="337">
        <v>691084.0</v>
      </c>
      <c r="T379" s="33" t="s">
        <v>533</v>
      </c>
      <c r="U379" s="338">
        <v>3.0</v>
      </c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4"/>
      <c r="BE379" s="12"/>
      <c r="BF379" s="12"/>
      <c r="BG379" s="12" t="str">
        <f>IFERROR(__xludf.DUMMYFUNCTION("IFERROR(INDEX(QUERY(IMPORTRANGE(""1T7HG8KEs-Ob7f3M5atEVN9Yn7IeORGp0QGvggB62ELw"",""Maestro!A:I""),""SELECT Col8 WHERE Col3 = '""&amp;BD379&amp;""'"", 0), 1, 1),""NO ENCONTRADO"")"),"")</f>
        <v/>
      </c>
      <c r="BH379" s="12" t="str">
        <f>IFERROR(__xludf.DUMMYFUNCTION("IFERROR(INDEX(QUERY(IMPORTRANGE(""1T7HG8KEs-Ob7f3M5atEVN9Yn7IeORGp0QGvggB62ELw"",""Maestro!A:I""),""SELECT Col7 WHERE Col3 = '""&amp;BD379&amp;""'"", 0), 1, 1),""NO ENCONTRADO"")"),"")</f>
        <v/>
      </c>
      <c r="BI379" s="16">
        <f t="shared" si="15"/>
        <v>0</v>
      </c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4"/>
      <c r="BW379" s="14"/>
      <c r="BX379" s="14"/>
      <c r="BY379" s="14"/>
      <c r="BZ379" s="14"/>
      <c r="CA379" s="14"/>
      <c r="CB379" s="14"/>
      <c r="CC379" s="14"/>
      <c r="CD379" s="14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</row>
    <row r="380">
      <c r="A380" s="295" t="s">
        <v>593</v>
      </c>
      <c r="B380" s="296" t="s">
        <v>18</v>
      </c>
      <c r="C380" s="296" t="s">
        <v>44</v>
      </c>
      <c r="D380" s="297" t="str">
        <f t="shared" si="1"/>
        <v>ZEST-1-3</v>
      </c>
      <c r="E380" s="78">
        <v>45755.0</v>
      </c>
      <c r="F380" s="88" t="s">
        <v>19</v>
      </c>
      <c r="G380" s="80" t="s">
        <v>754</v>
      </c>
      <c r="H380" s="81" t="s">
        <v>755</v>
      </c>
      <c r="I380" s="82">
        <v>24.0</v>
      </c>
      <c r="J380" s="81" t="s">
        <v>35</v>
      </c>
      <c r="K380" s="27" t="str">
        <f t="shared" si="2"/>
        <v>OCUPADO</v>
      </c>
      <c r="L380" s="28">
        <f t="shared" si="14"/>
        <v>379</v>
      </c>
      <c r="M380" s="28" t="s">
        <v>748</v>
      </c>
      <c r="N380" s="109"/>
      <c r="O380" s="28" t="s">
        <v>24</v>
      </c>
      <c r="P380" s="331" t="s">
        <v>594</v>
      </c>
      <c r="Q380" s="332">
        <v>45755.0</v>
      </c>
      <c r="R380" s="333" t="s">
        <v>19</v>
      </c>
      <c r="S380" s="333" t="s">
        <v>754</v>
      </c>
      <c r="T380" s="28" t="s">
        <v>755</v>
      </c>
      <c r="U380" s="334">
        <v>24.0</v>
      </c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4"/>
      <c r="BE380" s="12"/>
      <c r="BF380" s="12"/>
      <c r="BG380" s="12" t="str">
        <f>IFERROR(__xludf.DUMMYFUNCTION("IFERROR(INDEX(QUERY(IMPORTRANGE(""1T7HG8KEs-Ob7f3M5atEVN9Yn7IeORGp0QGvggB62ELw"",""Maestro!A:I""),""SELECT Col8 WHERE Col3 = '""&amp;BD380&amp;""'"", 0), 1, 1),""NO ENCONTRADO"")"),"")</f>
        <v/>
      </c>
      <c r="BH380" s="12" t="str">
        <f>IFERROR(__xludf.DUMMYFUNCTION("IFERROR(INDEX(QUERY(IMPORTRANGE(""1T7HG8KEs-Ob7f3M5atEVN9Yn7IeORGp0QGvggB62ELw"",""Maestro!A:I""),""SELECT Col7 WHERE Col3 = '""&amp;BD380&amp;""'"", 0), 1, 1),""NO ENCONTRADO"")"),"")</f>
        <v/>
      </c>
      <c r="BI380" s="16">
        <f t="shared" si="15"/>
        <v>0</v>
      </c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4"/>
      <c r="BW380" s="14"/>
      <c r="BX380" s="14"/>
      <c r="BY380" s="14"/>
      <c r="BZ380" s="14"/>
      <c r="CA380" s="14"/>
      <c r="CB380" s="14"/>
      <c r="CC380" s="14"/>
      <c r="CD380" s="14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</row>
    <row r="381">
      <c r="A381" s="295" t="s">
        <v>593</v>
      </c>
      <c r="B381" s="296" t="s">
        <v>18</v>
      </c>
      <c r="C381" s="296" t="s">
        <v>53</v>
      </c>
      <c r="D381" s="297" t="str">
        <f t="shared" si="1"/>
        <v>ZEST-1-4</v>
      </c>
      <c r="E381" s="78">
        <v>45755.0</v>
      </c>
      <c r="F381" s="88" t="s">
        <v>19</v>
      </c>
      <c r="G381" s="80" t="s">
        <v>754</v>
      </c>
      <c r="H381" s="81" t="s">
        <v>755</v>
      </c>
      <c r="I381" s="82">
        <v>24.0</v>
      </c>
      <c r="J381" s="81" t="s">
        <v>35</v>
      </c>
      <c r="K381" s="32" t="str">
        <f t="shared" si="2"/>
        <v>OCUPADO</v>
      </c>
      <c r="L381" s="33">
        <f t="shared" si="14"/>
        <v>380</v>
      </c>
      <c r="M381" s="33" t="s">
        <v>748</v>
      </c>
      <c r="N381" s="122"/>
      <c r="O381" s="33" t="s">
        <v>24</v>
      </c>
      <c r="P381" s="335" t="s">
        <v>595</v>
      </c>
      <c r="Q381" s="336">
        <v>45755.0</v>
      </c>
      <c r="R381" s="337" t="s">
        <v>19</v>
      </c>
      <c r="S381" s="337" t="s">
        <v>754</v>
      </c>
      <c r="T381" s="33" t="s">
        <v>755</v>
      </c>
      <c r="U381" s="338">
        <v>24.0</v>
      </c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4"/>
      <c r="BE381" s="12"/>
      <c r="BF381" s="12"/>
      <c r="BG381" s="12" t="str">
        <f>IFERROR(__xludf.DUMMYFUNCTION("IFERROR(INDEX(QUERY(IMPORTRANGE(""1T7HG8KEs-Ob7f3M5atEVN9Yn7IeORGp0QGvggB62ELw"",""Maestro!A:I""),""SELECT Col8 WHERE Col3 = '""&amp;BD381&amp;""'"", 0), 1, 1),""NO ENCONTRADO"")"),"")</f>
        <v/>
      </c>
      <c r="BH381" s="12" t="str">
        <f>IFERROR(__xludf.DUMMYFUNCTION("IFERROR(INDEX(QUERY(IMPORTRANGE(""1T7HG8KEs-Ob7f3M5atEVN9Yn7IeORGp0QGvggB62ELw"",""Maestro!A:I""),""SELECT Col7 WHERE Col3 = '""&amp;BD381&amp;""'"", 0), 1, 1),""NO ENCONTRADO"")"),"")</f>
        <v/>
      </c>
      <c r="BI381" s="16">
        <f t="shared" si="15"/>
        <v>0</v>
      </c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4"/>
      <c r="BW381" s="14"/>
      <c r="BX381" s="14"/>
      <c r="BY381" s="14"/>
      <c r="BZ381" s="14"/>
      <c r="CA381" s="14"/>
      <c r="CB381" s="14"/>
      <c r="CC381" s="14"/>
      <c r="CD381" s="14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</row>
    <row r="382">
      <c r="A382" s="295" t="s">
        <v>593</v>
      </c>
      <c r="B382" s="296" t="s">
        <v>18</v>
      </c>
      <c r="C382" s="296" t="s">
        <v>25</v>
      </c>
      <c r="D382" s="297" t="str">
        <f t="shared" si="1"/>
        <v>ZEST-1-5</v>
      </c>
      <c r="E382" s="78">
        <v>45764.0</v>
      </c>
      <c r="F382" s="79" t="s">
        <v>19</v>
      </c>
      <c r="G382" s="80" t="s">
        <v>101</v>
      </c>
      <c r="H382" s="81" t="s">
        <v>101</v>
      </c>
      <c r="I382" s="82">
        <v>10.0</v>
      </c>
      <c r="J382" s="81" t="s">
        <v>22</v>
      </c>
      <c r="K382" s="27" t="str">
        <f t="shared" si="2"/>
        <v>OCUPADO</v>
      </c>
      <c r="L382" s="28">
        <f t="shared" si="14"/>
        <v>381</v>
      </c>
      <c r="M382" s="28" t="s">
        <v>748</v>
      </c>
      <c r="N382" s="109"/>
      <c r="O382" s="28" t="s">
        <v>24</v>
      </c>
      <c r="P382" s="331" t="s">
        <v>536</v>
      </c>
      <c r="Q382" s="332">
        <v>45764.0</v>
      </c>
      <c r="R382" s="343" t="s">
        <v>19</v>
      </c>
      <c r="S382" s="333" t="s">
        <v>101</v>
      </c>
      <c r="T382" s="28" t="s">
        <v>101</v>
      </c>
      <c r="U382" s="334">
        <v>10.0</v>
      </c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4"/>
      <c r="BE382" s="12"/>
      <c r="BF382" s="12"/>
      <c r="BG382" s="12" t="str">
        <f>IFERROR(__xludf.DUMMYFUNCTION("IFERROR(INDEX(QUERY(IMPORTRANGE(""1T7HG8KEs-Ob7f3M5atEVN9Yn7IeORGp0QGvggB62ELw"",""Maestro!A:I""),""SELECT Col8 WHERE Col3 = '""&amp;BD382&amp;""'"", 0), 1, 1),""NO ENCONTRADO"")"),"")</f>
        <v/>
      </c>
      <c r="BH382" s="12" t="str">
        <f>IFERROR(__xludf.DUMMYFUNCTION("IFERROR(INDEX(QUERY(IMPORTRANGE(""1T7HG8KEs-Ob7f3M5atEVN9Yn7IeORGp0QGvggB62ELw"",""Maestro!A:I""),""SELECT Col7 WHERE Col3 = '""&amp;BD382&amp;""'"", 0), 1, 1),""NO ENCONTRADO"")"),"")</f>
        <v/>
      </c>
      <c r="BI382" s="16">
        <f t="shared" si="15"/>
        <v>0</v>
      </c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4"/>
      <c r="BW382" s="14"/>
      <c r="BX382" s="14"/>
      <c r="BY382" s="14"/>
      <c r="BZ382" s="14"/>
      <c r="CA382" s="14"/>
      <c r="CB382" s="14"/>
      <c r="CC382" s="14"/>
      <c r="CD382" s="14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</row>
    <row r="383">
      <c r="A383" s="295" t="s">
        <v>593</v>
      </c>
      <c r="B383" s="296" t="s">
        <v>32</v>
      </c>
      <c r="C383" s="296" t="s">
        <v>18</v>
      </c>
      <c r="D383" s="297" t="str">
        <f t="shared" si="1"/>
        <v>ZEST-2-1</v>
      </c>
      <c r="E383" s="78">
        <v>45764.0</v>
      </c>
      <c r="F383" s="79" t="s">
        <v>19</v>
      </c>
      <c r="G383" s="80" t="s">
        <v>114</v>
      </c>
      <c r="H383" s="81" t="s">
        <v>115</v>
      </c>
      <c r="I383" s="82">
        <v>18.0</v>
      </c>
      <c r="J383" s="81" t="s">
        <v>35</v>
      </c>
      <c r="K383" s="32" t="str">
        <f t="shared" si="2"/>
        <v>OCUPADO</v>
      </c>
      <c r="L383" s="33">
        <f t="shared" si="14"/>
        <v>382</v>
      </c>
      <c r="M383" s="33" t="s">
        <v>748</v>
      </c>
      <c r="N383" s="122"/>
      <c r="O383" s="33" t="s">
        <v>24</v>
      </c>
      <c r="P383" s="335" t="s">
        <v>539</v>
      </c>
      <c r="Q383" s="336">
        <v>45764.0</v>
      </c>
      <c r="R383" s="342" t="s">
        <v>19</v>
      </c>
      <c r="S383" s="337" t="s">
        <v>114</v>
      </c>
      <c r="T383" s="33" t="s">
        <v>115</v>
      </c>
      <c r="U383" s="338">
        <v>18.0</v>
      </c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4"/>
      <c r="BE383" s="12"/>
      <c r="BF383" s="12"/>
      <c r="BG383" s="12" t="str">
        <f>IFERROR(__xludf.DUMMYFUNCTION("IFERROR(INDEX(QUERY(IMPORTRANGE(""1T7HG8KEs-Ob7f3M5atEVN9Yn7IeORGp0QGvggB62ELw"",""Maestro!A:I""),""SELECT Col8 WHERE Col3 = '""&amp;BD383&amp;""'"", 0), 1, 1),""NO ENCONTRADO"")"),"")</f>
        <v/>
      </c>
      <c r="BH383" s="12" t="str">
        <f>IFERROR(__xludf.DUMMYFUNCTION("IFERROR(INDEX(QUERY(IMPORTRANGE(""1T7HG8KEs-Ob7f3M5atEVN9Yn7IeORGp0QGvggB62ELw"",""Maestro!A:I""),""SELECT Col7 WHERE Col3 = '""&amp;BD383&amp;""'"", 0), 1, 1),""NO ENCONTRADO"")"),"")</f>
        <v/>
      </c>
      <c r="BI383" s="16">
        <f t="shared" si="15"/>
        <v>0</v>
      </c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4"/>
      <c r="BW383" s="14"/>
      <c r="BX383" s="14"/>
      <c r="BY383" s="14"/>
      <c r="BZ383" s="14"/>
      <c r="CA383" s="14"/>
      <c r="CB383" s="14"/>
      <c r="CC383" s="14"/>
      <c r="CD383" s="14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</row>
    <row r="384">
      <c r="A384" s="295" t="s">
        <v>593</v>
      </c>
      <c r="B384" s="296" t="s">
        <v>32</v>
      </c>
      <c r="C384" s="296" t="s">
        <v>32</v>
      </c>
      <c r="D384" s="297" t="str">
        <f t="shared" si="1"/>
        <v>ZEST-2-2</v>
      </c>
      <c r="E384" s="78">
        <v>45764.0</v>
      </c>
      <c r="F384" s="88" t="s">
        <v>19</v>
      </c>
      <c r="G384" s="80" t="s">
        <v>754</v>
      </c>
      <c r="H384" s="81" t="s">
        <v>755</v>
      </c>
      <c r="I384" s="82">
        <v>23.0</v>
      </c>
      <c r="J384" s="81" t="s">
        <v>35</v>
      </c>
      <c r="K384" s="27" t="str">
        <f t="shared" si="2"/>
        <v>OCUPADO</v>
      </c>
      <c r="L384" s="28">
        <f t="shared" si="14"/>
        <v>383</v>
      </c>
      <c r="M384" s="28" t="s">
        <v>748</v>
      </c>
      <c r="N384" s="109"/>
      <c r="O384" s="28" t="s">
        <v>24</v>
      </c>
      <c r="P384" s="331" t="s">
        <v>604</v>
      </c>
      <c r="Q384" s="332">
        <v>45764.0</v>
      </c>
      <c r="R384" s="333" t="s">
        <v>19</v>
      </c>
      <c r="S384" s="333" t="s">
        <v>754</v>
      </c>
      <c r="T384" s="28" t="s">
        <v>755</v>
      </c>
      <c r="U384" s="334">
        <v>23.0</v>
      </c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4"/>
      <c r="BE384" s="12"/>
      <c r="BF384" s="12"/>
      <c r="BG384" s="12" t="str">
        <f>IFERROR(__xludf.DUMMYFUNCTION("IFERROR(INDEX(QUERY(IMPORTRANGE(""1T7HG8KEs-Ob7f3M5atEVN9Yn7IeORGp0QGvggB62ELw"",""Maestro!A:I""),""SELECT Col8 WHERE Col3 = '""&amp;BD384&amp;""'"", 0), 1, 1),""NO ENCONTRADO"")"),"")</f>
        <v/>
      </c>
      <c r="BH384" s="12" t="str">
        <f>IFERROR(__xludf.DUMMYFUNCTION("IFERROR(INDEX(QUERY(IMPORTRANGE(""1T7HG8KEs-Ob7f3M5atEVN9Yn7IeORGp0QGvggB62ELw"",""Maestro!A:I""),""SELECT Col7 WHERE Col3 = '""&amp;BD384&amp;""'"", 0), 1, 1),""NO ENCONTRADO"")"),"")</f>
        <v/>
      </c>
      <c r="BI384" s="16">
        <f t="shared" si="15"/>
        <v>0</v>
      </c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4"/>
      <c r="BW384" s="14"/>
      <c r="BX384" s="14"/>
      <c r="BY384" s="14"/>
      <c r="BZ384" s="14"/>
      <c r="CA384" s="14"/>
      <c r="CB384" s="14"/>
      <c r="CC384" s="14"/>
      <c r="CD384" s="14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</row>
    <row r="385">
      <c r="A385" s="295" t="s">
        <v>593</v>
      </c>
      <c r="B385" s="296" t="s">
        <v>32</v>
      </c>
      <c r="C385" s="296" t="s">
        <v>44</v>
      </c>
      <c r="D385" s="297" t="str">
        <f t="shared" si="1"/>
        <v>ZEST-2-3</v>
      </c>
      <c r="E385" s="78">
        <v>45764.0</v>
      </c>
      <c r="F385" s="88" t="s">
        <v>19</v>
      </c>
      <c r="G385" s="80" t="s">
        <v>754</v>
      </c>
      <c r="H385" s="81" t="s">
        <v>755</v>
      </c>
      <c r="I385" s="82">
        <v>24.0</v>
      </c>
      <c r="J385" s="81" t="s">
        <v>35</v>
      </c>
      <c r="K385" s="32" t="str">
        <f t="shared" si="2"/>
        <v>OCUPADO</v>
      </c>
      <c r="L385" s="33">
        <f t="shared" si="14"/>
        <v>384</v>
      </c>
      <c r="M385" s="33" t="s">
        <v>748</v>
      </c>
      <c r="N385" s="122"/>
      <c r="O385" s="33" t="s">
        <v>24</v>
      </c>
      <c r="P385" s="335" t="s">
        <v>606</v>
      </c>
      <c r="Q385" s="336">
        <v>45764.0</v>
      </c>
      <c r="R385" s="337" t="s">
        <v>19</v>
      </c>
      <c r="S385" s="337" t="s">
        <v>754</v>
      </c>
      <c r="T385" s="33" t="s">
        <v>755</v>
      </c>
      <c r="U385" s="338">
        <v>24.0</v>
      </c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4"/>
      <c r="BE385" s="12"/>
      <c r="BF385" s="12"/>
      <c r="BG385" s="12" t="str">
        <f>IFERROR(__xludf.DUMMYFUNCTION("IFERROR(INDEX(QUERY(IMPORTRANGE(""1T7HG8KEs-Ob7f3M5atEVN9Yn7IeORGp0QGvggB62ELw"",""Maestro!A:I""),""SELECT Col8 WHERE Col3 = '""&amp;BD385&amp;""'"", 0), 1, 1),""NO ENCONTRADO"")"),"")</f>
        <v/>
      </c>
      <c r="BH385" s="12" t="str">
        <f>IFERROR(__xludf.DUMMYFUNCTION("IFERROR(INDEX(QUERY(IMPORTRANGE(""1T7HG8KEs-Ob7f3M5atEVN9Yn7IeORGp0QGvggB62ELw"",""Maestro!A:I""),""SELECT Col7 WHERE Col3 = '""&amp;BD385&amp;""'"", 0), 1, 1),""NO ENCONTRADO"")"),"")</f>
        <v/>
      </c>
      <c r="BI385" s="16">
        <f t="shared" si="15"/>
        <v>0</v>
      </c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4"/>
      <c r="BW385" s="14"/>
      <c r="BX385" s="14"/>
      <c r="BY385" s="14"/>
      <c r="BZ385" s="14"/>
      <c r="CA385" s="14"/>
      <c r="CB385" s="14"/>
      <c r="CC385" s="14"/>
      <c r="CD385" s="14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</row>
    <row r="386">
      <c r="A386" s="295" t="s">
        <v>593</v>
      </c>
      <c r="B386" s="296" t="s">
        <v>32</v>
      </c>
      <c r="C386" s="296" t="s">
        <v>53</v>
      </c>
      <c r="D386" s="297" t="str">
        <f t="shared" si="1"/>
        <v>ZEST-2-4</v>
      </c>
      <c r="E386" s="78">
        <v>45764.0</v>
      </c>
      <c r="F386" s="88" t="s">
        <v>19</v>
      </c>
      <c r="G386" s="80" t="s">
        <v>754</v>
      </c>
      <c r="H386" s="81" t="s">
        <v>755</v>
      </c>
      <c r="I386" s="82">
        <v>24.0</v>
      </c>
      <c r="J386" s="81" t="s">
        <v>35</v>
      </c>
      <c r="K386" s="27" t="str">
        <f t="shared" si="2"/>
        <v>OCUPADO</v>
      </c>
      <c r="L386" s="28">
        <f t="shared" si="14"/>
        <v>385</v>
      </c>
      <c r="M386" s="28" t="s">
        <v>748</v>
      </c>
      <c r="N386" s="109"/>
      <c r="O386" s="28" t="s">
        <v>24</v>
      </c>
      <c r="P386" s="331" t="s">
        <v>607</v>
      </c>
      <c r="Q386" s="332">
        <v>45764.0</v>
      </c>
      <c r="R386" s="333" t="s">
        <v>19</v>
      </c>
      <c r="S386" s="333" t="s">
        <v>754</v>
      </c>
      <c r="T386" s="28" t="s">
        <v>755</v>
      </c>
      <c r="U386" s="334">
        <v>24.0</v>
      </c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4"/>
      <c r="BE386" s="12"/>
      <c r="BF386" s="12"/>
      <c r="BG386" s="12" t="str">
        <f>IFERROR(__xludf.DUMMYFUNCTION("IFERROR(INDEX(QUERY(IMPORTRANGE(""1T7HG8KEs-Ob7f3M5atEVN9Yn7IeORGp0QGvggB62ELw"",""Maestro!A:I""),""SELECT Col8 WHERE Col3 = '""&amp;BD386&amp;""'"", 0), 1, 1),""NO ENCONTRADO"")"),"")</f>
        <v/>
      </c>
      <c r="BH386" s="12" t="str">
        <f>IFERROR(__xludf.DUMMYFUNCTION("IFERROR(INDEX(QUERY(IMPORTRANGE(""1T7HG8KEs-Ob7f3M5atEVN9Yn7IeORGp0QGvggB62ELw"",""Maestro!A:I""),""SELECT Col7 WHERE Col3 = '""&amp;BD386&amp;""'"", 0), 1, 1),""NO ENCONTRADO"")"),"")</f>
        <v/>
      </c>
      <c r="BI386" s="16">
        <f t="shared" si="15"/>
        <v>0</v>
      </c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4"/>
      <c r="BW386" s="14"/>
      <c r="BX386" s="14"/>
      <c r="BY386" s="14"/>
      <c r="BZ386" s="14"/>
      <c r="CA386" s="14"/>
      <c r="CB386" s="14"/>
      <c r="CC386" s="14"/>
      <c r="CD386" s="14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</row>
    <row r="387">
      <c r="A387" s="295" t="s">
        <v>593</v>
      </c>
      <c r="B387" s="296" t="s">
        <v>32</v>
      </c>
      <c r="C387" s="296" t="s">
        <v>25</v>
      </c>
      <c r="D387" s="297" t="str">
        <f t="shared" si="1"/>
        <v>ZEST-2-5</v>
      </c>
      <c r="E387" s="78">
        <v>45764.0</v>
      </c>
      <c r="F387" s="79" t="s">
        <v>19</v>
      </c>
      <c r="G387" s="80" t="s">
        <v>101</v>
      </c>
      <c r="H387" s="81" t="s">
        <v>101</v>
      </c>
      <c r="I387" s="82">
        <v>10.0</v>
      </c>
      <c r="J387" s="81" t="s">
        <v>22</v>
      </c>
      <c r="K387" s="32" t="str">
        <f t="shared" si="2"/>
        <v>OCUPADO</v>
      </c>
      <c r="L387" s="33">
        <f t="shared" si="14"/>
        <v>386</v>
      </c>
      <c r="M387" s="33" t="s">
        <v>748</v>
      </c>
      <c r="N387" s="122"/>
      <c r="O387" s="33" t="s">
        <v>24</v>
      </c>
      <c r="P387" s="335" t="s">
        <v>541</v>
      </c>
      <c r="Q387" s="336">
        <v>45764.0</v>
      </c>
      <c r="R387" s="342" t="s">
        <v>19</v>
      </c>
      <c r="S387" s="337" t="s">
        <v>101</v>
      </c>
      <c r="T387" s="33" t="s">
        <v>101</v>
      </c>
      <c r="U387" s="338">
        <v>10.0</v>
      </c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4"/>
      <c r="BE387" s="12"/>
      <c r="BF387" s="12"/>
      <c r="BG387" s="12" t="str">
        <f>IFERROR(__xludf.DUMMYFUNCTION("IFERROR(INDEX(QUERY(IMPORTRANGE(""1T7HG8KEs-Ob7f3M5atEVN9Yn7IeORGp0QGvggB62ELw"",""Maestro!A:I""),""SELECT Col8 WHERE Col3 = '""&amp;BD387&amp;""'"", 0), 1, 1),""NO ENCONTRADO"")"),"")</f>
        <v/>
      </c>
      <c r="BH387" s="12" t="str">
        <f>IFERROR(__xludf.DUMMYFUNCTION("IFERROR(INDEX(QUERY(IMPORTRANGE(""1T7HG8KEs-Ob7f3M5atEVN9Yn7IeORGp0QGvggB62ELw"",""Maestro!A:I""),""SELECT Col7 WHERE Col3 = '""&amp;BD387&amp;""'"", 0), 1, 1),""NO ENCONTRADO"")"),"")</f>
        <v/>
      </c>
      <c r="BI387" s="16">
        <f t="shared" si="15"/>
        <v>0</v>
      </c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4"/>
      <c r="BW387" s="14"/>
      <c r="BX387" s="14"/>
      <c r="BY387" s="14"/>
      <c r="BZ387" s="14"/>
      <c r="CA387" s="14"/>
      <c r="CB387" s="14"/>
      <c r="CC387" s="14"/>
      <c r="CD387" s="14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</row>
    <row r="388">
      <c r="A388" s="295" t="s">
        <v>593</v>
      </c>
      <c r="B388" s="296" t="s">
        <v>44</v>
      </c>
      <c r="C388" s="296" t="s">
        <v>18</v>
      </c>
      <c r="D388" s="297" t="str">
        <f t="shared" si="1"/>
        <v>ZEST-3-1</v>
      </c>
      <c r="E388" s="72"/>
      <c r="F388" s="77"/>
      <c r="G388" s="74"/>
      <c r="H388" s="138"/>
      <c r="I388" s="76"/>
      <c r="J388" s="138"/>
      <c r="K388" s="27" t="str">
        <f t="shared" si="2"/>
        <v>DISPONIBLE</v>
      </c>
      <c r="L388" s="28">
        <f t="shared" si="14"/>
        <v>387</v>
      </c>
      <c r="M388" s="28" t="s">
        <v>748</v>
      </c>
      <c r="N388" s="109"/>
      <c r="O388" s="358"/>
      <c r="P388" s="359" t="s">
        <v>608</v>
      </c>
      <c r="Q388" s="360"/>
      <c r="R388" s="364"/>
      <c r="S388" s="361"/>
      <c r="T388" s="392"/>
      <c r="U388" s="36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4"/>
      <c r="BE388" s="12"/>
      <c r="BF388" s="12"/>
      <c r="BG388" s="12" t="str">
        <f>IFERROR(__xludf.DUMMYFUNCTION("IFERROR(INDEX(QUERY(IMPORTRANGE(""1T7HG8KEs-Ob7f3M5atEVN9Yn7IeORGp0QGvggB62ELw"",""Maestro!A:I""),""SELECT Col8 WHERE Col3 = '""&amp;BD388&amp;""'"", 0), 1, 1),""NO ENCONTRADO"")"),"")</f>
        <v/>
      </c>
      <c r="BH388" s="12" t="str">
        <f>IFERROR(__xludf.DUMMYFUNCTION("IFERROR(INDEX(QUERY(IMPORTRANGE(""1T7HG8KEs-Ob7f3M5atEVN9Yn7IeORGp0QGvggB62ELw"",""Maestro!A:I""),""SELECT Col7 WHERE Col3 = '""&amp;BD388&amp;""'"", 0), 1, 1),""NO ENCONTRADO"")"),"")</f>
        <v/>
      </c>
      <c r="BI388" s="16">
        <f t="shared" si="15"/>
        <v>0</v>
      </c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4"/>
      <c r="BW388" s="14"/>
      <c r="BX388" s="14"/>
      <c r="BY388" s="14"/>
      <c r="BZ388" s="14"/>
      <c r="CA388" s="14"/>
      <c r="CB388" s="14"/>
      <c r="CC388" s="14"/>
      <c r="CD388" s="14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</row>
    <row r="389">
      <c r="A389" s="295" t="s">
        <v>593</v>
      </c>
      <c r="B389" s="296" t="s">
        <v>44</v>
      </c>
      <c r="C389" s="296" t="s">
        <v>32</v>
      </c>
      <c r="D389" s="297" t="str">
        <f t="shared" si="1"/>
        <v>ZEST-3-2</v>
      </c>
      <c r="E389" s="78">
        <v>45764.0</v>
      </c>
      <c r="F389" s="79" t="s">
        <v>19</v>
      </c>
      <c r="G389" s="80" t="s">
        <v>135</v>
      </c>
      <c r="H389" s="81" t="s">
        <v>135</v>
      </c>
      <c r="I389" s="82">
        <v>24.0</v>
      </c>
      <c r="J389" s="81" t="s">
        <v>35</v>
      </c>
      <c r="K389" s="32" t="str">
        <f t="shared" si="2"/>
        <v>OCUPADO</v>
      </c>
      <c r="L389" s="33">
        <f t="shared" si="14"/>
        <v>388</v>
      </c>
      <c r="M389" s="33" t="s">
        <v>748</v>
      </c>
      <c r="N389" s="122"/>
      <c r="O389" s="33" t="s">
        <v>24</v>
      </c>
      <c r="P389" s="335" t="s">
        <v>609</v>
      </c>
      <c r="Q389" s="336">
        <v>45764.0</v>
      </c>
      <c r="R389" s="342" t="s">
        <v>19</v>
      </c>
      <c r="S389" s="337" t="s">
        <v>135</v>
      </c>
      <c r="T389" s="33" t="s">
        <v>135</v>
      </c>
      <c r="U389" s="338">
        <v>24.0</v>
      </c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4"/>
      <c r="BE389" s="12"/>
      <c r="BF389" s="12"/>
      <c r="BG389" s="12" t="str">
        <f>IFERROR(__xludf.DUMMYFUNCTION("IFERROR(INDEX(QUERY(IMPORTRANGE(""1T7HG8KEs-Ob7f3M5atEVN9Yn7IeORGp0QGvggB62ELw"",""Maestro!A:I""),""SELECT Col8 WHERE Col3 = '""&amp;BD389&amp;""'"", 0), 1, 1),""NO ENCONTRADO"")"),"")</f>
        <v/>
      </c>
      <c r="BH389" s="12" t="str">
        <f>IFERROR(__xludf.DUMMYFUNCTION("IFERROR(INDEX(QUERY(IMPORTRANGE(""1T7HG8KEs-Ob7f3M5atEVN9Yn7IeORGp0QGvggB62ELw"",""Maestro!A:I""),""SELECT Col7 WHERE Col3 = '""&amp;BD389&amp;""'"", 0), 1, 1),""NO ENCONTRADO"")"),"")</f>
        <v/>
      </c>
      <c r="BI389" s="16">
        <f t="shared" si="15"/>
        <v>0</v>
      </c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4"/>
      <c r="BW389" s="14"/>
      <c r="BX389" s="14"/>
      <c r="BY389" s="14"/>
      <c r="BZ389" s="14"/>
      <c r="CA389" s="14"/>
      <c r="CB389" s="14"/>
      <c r="CC389" s="14"/>
      <c r="CD389" s="14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</row>
    <row r="390">
      <c r="A390" s="295" t="s">
        <v>593</v>
      </c>
      <c r="B390" s="296" t="s">
        <v>44</v>
      </c>
      <c r="C390" s="296" t="s">
        <v>44</v>
      </c>
      <c r="D390" s="297" t="str">
        <f t="shared" si="1"/>
        <v>ZEST-3-3</v>
      </c>
      <c r="E390" s="78">
        <v>45764.0</v>
      </c>
      <c r="F390" s="79" t="s">
        <v>19</v>
      </c>
      <c r="G390" s="80" t="s">
        <v>759</v>
      </c>
      <c r="H390" s="81" t="s">
        <v>109</v>
      </c>
      <c r="I390" s="82">
        <v>1.0</v>
      </c>
      <c r="J390" s="81" t="s">
        <v>22</v>
      </c>
      <c r="K390" s="27" t="str">
        <f t="shared" si="2"/>
        <v>OCUPADO</v>
      </c>
      <c r="L390" s="28">
        <f t="shared" si="14"/>
        <v>389</v>
      </c>
      <c r="M390" s="28" t="s">
        <v>748</v>
      </c>
      <c r="N390" s="109"/>
      <c r="O390" s="28" t="s">
        <v>24</v>
      </c>
      <c r="P390" s="331" t="s">
        <v>610</v>
      </c>
      <c r="Q390" s="332">
        <v>45764.0</v>
      </c>
      <c r="R390" s="343" t="s">
        <v>19</v>
      </c>
      <c r="S390" s="333" t="s">
        <v>759</v>
      </c>
      <c r="T390" s="28" t="s">
        <v>109</v>
      </c>
      <c r="U390" s="334">
        <v>1.0</v>
      </c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4"/>
      <c r="BE390" s="12"/>
      <c r="BF390" s="12"/>
      <c r="BG390" s="12" t="str">
        <f>IFERROR(__xludf.DUMMYFUNCTION("IFERROR(INDEX(QUERY(IMPORTRANGE(""1T7HG8KEs-Ob7f3M5atEVN9Yn7IeORGp0QGvggB62ELw"",""Maestro!A:I""),""SELECT Col8 WHERE Col3 = '""&amp;BD390&amp;""'"", 0), 1, 1),""NO ENCONTRADO"")"),"")</f>
        <v/>
      </c>
      <c r="BH390" s="12" t="str">
        <f>IFERROR(__xludf.DUMMYFUNCTION("IFERROR(INDEX(QUERY(IMPORTRANGE(""1T7HG8KEs-Ob7f3M5atEVN9Yn7IeORGp0QGvggB62ELw"",""Maestro!A:I""),""SELECT Col7 WHERE Col3 = '""&amp;BD390&amp;""'"", 0), 1, 1),""NO ENCONTRADO"")"),"")</f>
        <v/>
      </c>
      <c r="BI390" s="16">
        <f t="shared" si="15"/>
        <v>0</v>
      </c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4"/>
      <c r="BW390" s="14"/>
      <c r="BX390" s="14"/>
      <c r="BY390" s="14"/>
      <c r="BZ390" s="14"/>
      <c r="CA390" s="14"/>
      <c r="CB390" s="14"/>
      <c r="CC390" s="14"/>
      <c r="CD390" s="14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</row>
    <row r="391">
      <c r="A391" s="295" t="s">
        <v>593</v>
      </c>
      <c r="B391" s="296" t="s">
        <v>44</v>
      </c>
      <c r="C391" s="296" t="s">
        <v>53</v>
      </c>
      <c r="D391" s="297" t="str">
        <f t="shared" si="1"/>
        <v>ZEST-3-4</v>
      </c>
      <c r="E391" s="78">
        <v>45764.0</v>
      </c>
      <c r="F391" s="79" t="s">
        <v>19</v>
      </c>
      <c r="G391" s="80" t="s">
        <v>135</v>
      </c>
      <c r="H391" s="81" t="s">
        <v>135</v>
      </c>
      <c r="I391" s="82">
        <v>2.0</v>
      </c>
      <c r="J391" s="81" t="s">
        <v>22</v>
      </c>
      <c r="K391" s="32" t="str">
        <f t="shared" si="2"/>
        <v>OCUPADO</v>
      </c>
      <c r="L391" s="33">
        <f t="shared" si="14"/>
        <v>390</v>
      </c>
      <c r="M391" s="33" t="s">
        <v>748</v>
      </c>
      <c r="N391" s="122"/>
      <c r="O391" s="33" t="s">
        <v>24</v>
      </c>
      <c r="P391" s="335" t="s">
        <v>543</v>
      </c>
      <c r="Q391" s="336">
        <v>45764.0</v>
      </c>
      <c r="R391" s="342" t="s">
        <v>19</v>
      </c>
      <c r="S391" s="337" t="s">
        <v>135</v>
      </c>
      <c r="T391" s="33" t="s">
        <v>135</v>
      </c>
      <c r="U391" s="338">
        <v>2.0</v>
      </c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4"/>
      <c r="BE391" s="12"/>
      <c r="BF391" s="12"/>
      <c r="BG391" s="12" t="str">
        <f>IFERROR(__xludf.DUMMYFUNCTION("IFERROR(INDEX(QUERY(IMPORTRANGE(""1T7HG8KEs-Ob7f3M5atEVN9Yn7IeORGp0QGvggB62ELw"",""Maestro!A:I""),""SELECT Col8 WHERE Col3 = '""&amp;BD391&amp;""'"", 0), 1, 1),""NO ENCONTRADO"")"),"")</f>
        <v/>
      </c>
      <c r="BH391" s="12" t="str">
        <f>IFERROR(__xludf.DUMMYFUNCTION("IFERROR(INDEX(QUERY(IMPORTRANGE(""1T7HG8KEs-Ob7f3M5atEVN9Yn7IeORGp0QGvggB62ELw"",""Maestro!A:I""),""SELECT Col7 WHERE Col3 = '""&amp;BD391&amp;""'"", 0), 1, 1),""NO ENCONTRADO"")"),"")</f>
        <v/>
      </c>
      <c r="BI391" s="16">
        <f t="shared" si="15"/>
        <v>0</v>
      </c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4"/>
      <c r="BW391" s="14"/>
      <c r="BX391" s="14"/>
      <c r="BY391" s="14"/>
      <c r="BZ391" s="14"/>
      <c r="CA391" s="14"/>
      <c r="CB391" s="14"/>
      <c r="CC391" s="14"/>
      <c r="CD391" s="14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</row>
    <row r="392">
      <c r="A392" s="295" t="s">
        <v>593</v>
      </c>
      <c r="B392" s="296" t="s">
        <v>44</v>
      </c>
      <c r="C392" s="296" t="s">
        <v>25</v>
      </c>
      <c r="D392" s="297" t="str">
        <f t="shared" si="1"/>
        <v>ZEST-3-5</v>
      </c>
      <c r="E392" s="78">
        <v>45764.0</v>
      </c>
      <c r="F392" s="79" t="s">
        <v>19</v>
      </c>
      <c r="G392" s="80" t="s">
        <v>101</v>
      </c>
      <c r="H392" s="81" t="s">
        <v>101</v>
      </c>
      <c r="I392" s="82">
        <v>8.0</v>
      </c>
      <c r="J392" s="81" t="s">
        <v>22</v>
      </c>
      <c r="K392" s="27" t="str">
        <f t="shared" si="2"/>
        <v>OCUPADO</v>
      </c>
      <c r="L392" s="28">
        <f t="shared" si="14"/>
        <v>391</v>
      </c>
      <c r="M392" s="28" t="s">
        <v>748</v>
      </c>
      <c r="N392" s="109"/>
      <c r="O392" s="28" t="s">
        <v>24</v>
      </c>
      <c r="P392" s="331" t="s">
        <v>545</v>
      </c>
      <c r="Q392" s="332">
        <v>45764.0</v>
      </c>
      <c r="R392" s="343" t="s">
        <v>19</v>
      </c>
      <c r="S392" s="333" t="s">
        <v>101</v>
      </c>
      <c r="T392" s="28" t="s">
        <v>101</v>
      </c>
      <c r="U392" s="334">
        <v>8.0</v>
      </c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4"/>
      <c r="BE392" s="12"/>
      <c r="BF392" s="12"/>
      <c r="BG392" s="12" t="str">
        <f>IFERROR(__xludf.DUMMYFUNCTION("IFERROR(INDEX(QUERY(IMPORTRANGE(""1T7HG8KEs-Ob7f3M5atEVN9Yn7IeORGp0QGvggB62ELw"",""Maestro!A:I""),""SELECT Col8 WHERE Col3 = '""&amp;BD392&amp;""'"", 0), 1, 1),""NO ENCONTRADO"")"),"")</f>
        <v/>
      </c>
      <c r="BH392" s="12" t="str">
        <f>IFERROR(__xludf.DUMMYFUNCTION("IFERROR(INDEX(QUERY(IMPORTRANGE(""1T7HG8KEs-Ob7f3M5atEVN9Yn7IeORGp0QGvggB62ELw"",""Maestro!A:I""),""SELECT Col7 WHERE Col3 = '""&amp;BD392&amp;""'"", 0), 1, 1),""NO ENCONTRADO"")"),"")</f>
        <v/>
      </c>
      <c r="BI392" s="16">
        <f t="shared" si="15"/>
        <v>0</v>
      </c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4"/>
      <c r="BW392" s="14"/>
      <c r="BX392" s="14"/>
      <c r="BY392" s="14"/>
      <c r="BZ392" s="14"/>
      <c r="CA392" s="14"/>
      <c r="CB392" s="14"/>
      <c r="CC392" s="14"/>
      <c r="CD392" s="14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</row>
    <row r="393">
      <c r="A393" s="295" t="s">
        <v>593</v>
      </c>
      <c r="B393" s="296" t="s">
        <v>53</v>
      </c>
      <c r="C393" s="296" t="s">
        <v>18</v>
      </c>
      <c r="D393" s="297" t="str">
        <f t="shared" si="1"/>
        <v>ZEST-4-1</v>
      </c>
      <c r="E393" s="72"/>
      <c r="F393" s="77"/>
      <c r="G393" s="74"/>
      <c r="H393" s="138"/>
      <c r="I393" s="76"/>
      <c r="J393" s="138"/>
      <c r="K393" s="32" t="str">
        <f t="shared" si="2"/>
        <v>DISPONIBLE</v>
      </c>
      <c r="L393" s="33">
        <f t="shared" si="14"/>
        <v>392</v>
      </c>
      <c r="M393" s="33" t="s">
        <v>748</v>
      </c>
      <c r="N393" s="122"/>
      <c r="O393" s="353"/>
      <c r="P393" s="354" t="s">
        <v>611</v>
      </c>
      <c r="Q393" s="355"/>
      <c r="R393" s="363"/>
      <c r="S393" s="356"/>
      <c r="T393" s="390"/>
      <c r="U393" s="357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4"/>
      <c r="BE393" s="12"/>
      <c r="BF393" s="12"/>
      <c r="BG393" s="12" t="str">
        <f>IFERROR(__xludf.DUMMYFUNCTION("IFERROR(INDEX(QUERY(IMPORTRANGE(""1T7HG8KEs-Ob7f3M5atEVN9Yn7IeORGp0QGvggB62ELw"",""Maestro!A:I""),""SELECT Col8 WHERE Col3 = '""&amp;BD393&amp;""'"", 0), 1, 1),""NO ENCONTRADO"")"),"")</f>
        <v/>
      </c>
      <c r="BH393" s="12" t="str">
        <f>IFERROR(__xludf.DUMMYFUNCTION("IFERROR(INDEX(QUERY(IMPORTRANGE(""1T7HG8KEs-Ob7f3M5atEVN9Yn7IeORGp0QGvggB62ELw"",""Maestro!A:I""),""SELECT Col7 WHERE Col3 = '""&amp;BD393&amp;""'"", 0), 1, 1),""NO ENCONTRADO"")"),"")</f>
        <v/>
      </c>
      <c r="BI393" s="16">
        <f t="shared" si="15"/>
        <v>0</v>
      </c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4"/>
      <c r="BW393" s="14"/>
      <c r="BX393" s="14"/>
      <c r="BY393" s="14"/>
      <c r="BZ393" s="14"/>
      <c r="CA393" s="14"/>
      <c r="CB393" s="14"/>
      <c r="CC393" s="14"/>
      <c r="CD393" s="14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</row>
    <row r="394">
      <c r="A394" s="295" t="s">
        <v>593</v>
      </c>
      <c r="B394" s="296" t="s">
        <v>53</v>
      </c>
      <c r="C394" s="296" t="s">
        <v>32</v>
      </c>
      <c r="D394" s="297" t="str">
        <f t="shared" si="1"/>
        <v>ZEST-4-2</v>
      </c>
      <c r="E394" s="78">
        <v>45764.0</v>
      </c>
      <c r="F394" s="79" t="s">
        <v>19</v>
      </c>
      <c r="G394" s="80" t="s">
        <v>63</v>
      </c>
      <c r="H394" s="81" t="s">
        <v>64</v>
      </c>
      <c r="I394" s="82">
        <v>12.0</v>
      </c>
      <c r="J394" s="81" t="s">
        <v>35</v>
      </c>
      <c r="K394" s="27" t="str">
        <f t="shared" si="2"/>
        <v>OCUPADO</v>
      </c>
      <c r="L394" s="28">
        <f t="shared" si="14"/>
        <v>393</v>
      </c>
      <c r="M394" s="28" t="s">
        <v>748</v>
      </c>
      <c r="N394" s="109"/>
      <c r="O394" s="28" t="s">
        <v>24</v>
      </c>
      <c r="P394" s="331" t="s">
        <v>612</v>
      </c>
      <c r="Q394" s="332">
        <v>45764.0</v>
      </c>
      <c r="R394" s="343" t="s">
        <v>19</v>
      </c>
      <c r="S394" s="333" t="s">
        <v>63</v>
      </c>
      <c r="T394" s="28" t="s">
        <v>64</v>
      </c>
      <c r="U394" s="334">
        <v>12.0</v>
      </c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4"/>
      <c r="BE394" s="12"/>
      <c r="BF394" s="12"/>
      <c r="BG394" s="12" t="str">
        <f>IFERROR(__xludf.DUMMYFUNCTION("IFERROR(INDEX(QUERY(IMPORTRANGE(""1T7HG8KEs-Ob7f3M5atEVN9Yn7IeORGp0QGvggB62ELw"",""Maestro!A:I""),""SELECT Col8 WHERE Col3 = '""&amp;BD394&amp;""'"", 0), 1, 1),""NO ENCONTRADO"")"),"")</f>
        <v/>
      </c>
      <c r="BH394" s="12" t="str">
        <f>IFERROR(__xludf.DUMMYFUNCTION("IFERROR(INDEX(QUERY(IMPORTRANGE(""1T7HG8KEs-Ob7f3M5atEVN9Yn7IeORGp0QGvggB62ELw"",""Maestro!A:I""),""SELECT Col7 WHERE Col3 = '""&amp;BD394&amp;""'"", 0), 1, 1),""NO ENCONTRADO"")"),"")</f>
        <v/>
      </c>
      <c r="BI394" s="16">
        <f t="shared" si="15"/>
        <v>0</v>
      </c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4"/>
      <c r="BW394" s="14"/>
      <c r="BX394" s="14"/>
      <c r="BY394" s="14"/>
      <c r="BZ394" s="14"/>
      <c r="CA394" s="14"/>
      <c r="CB394" s="14"/>
      <c r="CC394" s="14"/>
      <c r="CD394" s="14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</row>
    <row r="395">
      <c r="A395" s="295" t="s">
        <v>593</v>
      </c>
      <c r="B395" s="296" t="s">
        <v>53</v>
      </c>
      <c r="C395" s="296" t="s">
        <v>44</v>
      </c>
      <c r="D395" s="297" t="str">
        <f t="shared" si="1"/>
        <v>ZEST-4-3</v>
      </c>
      <c r="E395" s="72"/>
      <c r="F395" s="77"/>
      <c r="G395" s="74"/>
      <c r="H395" s="138"/>
      <c r="I395" s="76"/>
      <c r="J395" s="138"/>
      <c r="K395" s="32" t="str">
        <f t="shared" si="2"/>
        <v>DISPONIBLE</v>
      </c>
      <c r="L395" s="33">
        <f t="shared" si="14"/>
        <v>394</v>
      </c>
      <c r="M395" s="33" t="s">
        <v>748</v>
      </c>
      <c r="N395" s="122"/>
      <c r="O395" s="353"/>
      <c r="P395" s="354" t="s">
        <v>613</v>
      </c>
      <c r="Q395" s="355"/>
      <c r="R395" s="363"/>
      <c r="S395" s="356"/>
      <c r="T395" s="390"/>
      <c r="U395" s="357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4"/>
      <c r="BE395" s="12"/>
      <c r="BF395" s="12"/>
      <c r="BG395" s="12" t="str">
        <f>IFERROR(__xludf.DUMMYFUNCTION("IFERROR(INDEX(QUERY(IMPORTRANGE(""1T7HG8KEs-Ob7f3M5atEVN9Yn7IeORGp0QGvggB62ELw"",""Maestro!A:I""),""SELECT Col8 WHERE Col3 = '""&amp;BD395&amp;""'"", 0), 1, 1),""NO ENCONTRADO"")"),"")</f>
        <v/>
      </c>
      <c r="BH395" s="12" t="str">
        <f>IFERROR(__xludf.DUMMYFUNCTION("IFERROR(INDEX(QUERY(IMPORTRANGE(""1T7HG8KEs-Ob7f3M5atEVN9Yn7IeORGp0QGvggB62ELw"",""Maestro!A:I""),""SELECT Col7 WHERE Col3 = '""&amp;BD395&amp;""'"", 0), 1, 1),""NO ENCONTRADO"")"),"")</f>
        <v/>
      </c>
      <c r="BI395" s="16">
        <f t="shared" si="15"/>
        <v>0</v>
      </c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4"/>
      <c r="BW395" s="14"/>
      <c r="BX395" s="14"/>
      <c r="BY395" s="14"/>
      <c r="BZ395" s="14"/>
      <c r="CA395" s="14"/>
      <c r="CB395" s="14"/>
      <c r="CC395" s="14"/>
      <c r="CD395" s="14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</row>
    <row r="396">
      <c r="A396" s="295" t="s">
        <v>593</v>
      </c>
      <c r="B396" s="296" t="s">
        <v>53</v>
      </c>
      <c r="C396" s="296" t="s">
        <v>53</v>
      </c>
      <c r="D396" s="297" t="str">
        <f t="shared" si="1"/>
        <v>ZEST-4-4</v>
      </c>
      <c r="E396" s="72"/>
      <c r="F396" s="77"/>
      <c r="G396" s="74"/>
      <c r="H396" s="138"/>
      <c r="I396" s="76"/>
      <c r="J396" s="138"/>
      <c r="K396" s="27" t="str">
        <f t="shared" si="2"/>
        <v>DISPONIBLE</v>
      </c>
      <c r="L396" s="28">
        <f t="shared" si="14"/>
        <v>395</v>
      </c>
      <c r="M396" s="28" t="s">
        <v>748</v>
      </c>
      <c r="N396" s="109"/>
      <c r="O396" s="358"/>
      <c r="P396" s="359" t="s">
        <v>615</v>
      </c>
      <c r="Q396" s="360"/>
      <c r="R396" s="364"/>
      <c r="S396" s="361"/>
      <c r="T396" s="392"/>
      <c r="U396" s="36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4"/>
      <c r="BE396" s="12"/>
      <c r="BF396" s="12"/>
      <c r="BG396" s="12" t="str">
        <f>IFERROR(__xludf.DUMMYFUNCTION("IFERROR(INDEX(QUERY(IMPORTRANGE(""1T7HG8KEs-Ob7f3M5atEVN9Yn7IeORGp0QGvggB62ELw"",""Maestro!A:I""),""SELECT Col8 WHERE Col3 = '""&amp;BD396&amp;""'"", 0), 1, 1),""NO ENCONTRADO"")"),"")</f>
        <v/>
      </c>
      <c r="BH396" s="12" t="str">
        <f>IFERROR(__xludf.DUMMYFUNCTION("IFERROR(INDEX(QUERY(IMPORTRANGE(""1T7HG8KEs-Ob7f3M5atEVN9Yn7IeORGp0QGvggB62ELw"",""Maestro!A:I""),""SELECT Col7 WHERE Col3 = '""&amp;BD396&amp;""'"", 0), 1, 1),""NO ENCONTRADO"")"),"")</f>
        <v/>
      </c>
      <c r="BI396" s="16">
        <f t="shared" si="15"/>
        <v>0</v>
      </c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4"/>
      <c r="BW396" s="14"/>
      <c r="BX396" s="14"/>
      <c r="BY396" s="14"/>
      <c r="BZ396" s="14"/>
      <c r="CA396" s="14"/>
      <c r="CB396" s="14"/>
      <c r="CC396" s="14"/>
      <c r="CD396" s="14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</row>
    <row r="397">
      <c r="A397" s="295" t="s">
        <v>593</v>
      </c>
      <c r="B397" s="296" t="s">
        <v>53</v>
      </c>
      <c r="C397" s="296" t="s">
        <v>25</v>
      </c>
      <c r="D397" s="297" t="str">
        <f t="shared" si="1"/>
        <v>ZEST-4-5</v>
      </c>
      <c r="E397" s="72"/>
      <c r="F397" s="77"/>
      <c r="G397" s="74"/>
      <c r="H397" s="138"/>
      <c r="I397" s="76"/>
      <c r="J397" s="138"/>
      <c r="K397" s="32" t="str">
        <f t="shared" si="2"/>
        <v>DISPONIBLE</v>
      </c>
      <c r="L397" s="33">
        <f t="shared" si="14"/>
        <v>396</v>
      </c>
      <c r="M397" s="33" t="s">
        <v>748</v>
      </c>
      <c r="N397" s="122"/>
      <c r="O397" s="353"/>
      <c r="P397" s="354" t="s">
        <v>616</v>
      </c>
      <c r="Q397" s="355"/>
      <c r="R397" s="363"/>
      <c r="S397" s="356"/>
      <c r="T397" s="390"/>
      <c r="U397" s="357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4"/>
      <c r="BE397" s="12"/>
      <c r="BF397" s="12"/>
      <c r="BG397" s="12" t="str">
        <f>IFERROR(__xludf.DUMMYFUNCTION("IFERROR(INDEX(QUERY(IMPORTRANGE(""1T7HG8KEs-Ob7f3M5atEVN9Yn7IeORGp0QGvggB62ELw"",""Maestro!A:I""),""SELECT Col8 WHERE Col3 = '""&amp;BD397&amp;""'"", 0), 1, 1),""NO ENCONTRADO"")"),"")</f>
        <v/>
      </c>
      <c r="BH397" s="12" t="str">
        <f>IFERROR(__xludf.DUMMYFUNCTION("IFERROR(INDEX(QUERY(IMPORTRANGE(""1T7HG8KEs-Ob7f3M5atEVN9Yn7IeORGp0QGvggB62ELw"",""Maestro!A:I""),""SELECT Col7 WHERE Col3 = '""&amp;BD397&amp;""'"", 0), 1, 1),""NO ENCONTRADO"")"),"")</f>
        <v/>
      </c>
      <c r="BI397" s="16">
        <f t="shared" si="15"/>
        <v>0</v>
      </c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4"/>
      <c r="BW397" s="14"/>
      <c r="BX397" s="14"/>
      <c r="BY397" s="14"/>
      <c r="BZ397" s="14"/>
      <c r="CA397" s="14"/>
      <c r="CB397" s="14"/>
      <c r="CC397" s="14"/>
      <c r="CD397" s="14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</row>
    <row r="398">
      <c r="A398" s="295" t="s">
        <v>593</v>
      </c>
      <c r="B398" s="296" t="s">
        <v>25</v>
      </c>
      <c r="C398" s="296" t="s">
        <v>18</v>
      </c>
      <c r="D398" s="297" t="str">
        <f t="shared" si="1"/>
        <v>ZEST-5-1</v>
      </c>
      <c r="E398" s="72"/>
      <c r="F398" s="77"/>
      <c r="G398" s="74"/>
      <c r="H398" s="138"/>
      <c r="I398" s="76"/>
      <c r="J398" s="138"/>
      <c r="K398" s="27" t="str">
        <f t="shared" si="2"/>
        <v>DISPONIBLE</v>
      </c>
      <c r="L398" s="28">
        <f t="shared" si="14"/>
        <v>397</v>
      </c>
      <c r="M398" s="28" t="s">
        <v>748</v>
      </c>
      <c r="N398" s="109"/>
      <c r="O398" s="358"/>
      <c r="P398" s="359" t="s">
        <v>617</v>
      </c>
      <c r="Q398" s="360"/>
      <c r="R398" s="364"/>
      <c r="S398" s="361"/>
      <c r="T398" s="392"/>
      <c r="U398" s="36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4"/>
      <c r="BE398" s="12"/>
      <c r="BF398" s="12"/>
      <c r="BG398" s="12" t="str">
        <f>IFERROR(__xludf.DUMMYFUNCTION("IFERROR(INDEX(QUERY(IMPORTRANGE(""1T7HG8KEs-Ob7f3M5atEVN9Yn7IeORGp0QGvggB62ELw"",""Maestro!A:I""),""SELECT Col8 WHERE Col3 = '""&amp;BD398&amp;""'"", 0), 1, 1),""NO ENCONTRADO"")"),"")</f>
        <v/>
      </c>
      <c r="BH398" s="12" t="str">
        <f>IFERROR(__xludf.DUMMYFUNCTION("IFERROR(INDEX(QUERY(IMPORTRANGE(""1T7HG8KEs-Ob7f3M5atEVN9Yn7IeORGp0QGvggB62ELw"",""Maestro!A:I""),""SELECT Col7 WHERE Col3 = '""&amp;BD398&amp;""'"", 0), 1, 1),""NO ENCONTRADO"")"),"")</f>
        <v/>
      </c>
      <c r="BI398" s="16">
        <f t="shared" si="15"/>
        <v>0</v>
      </c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4"/>
      <c r="BW398" s="14"/>
      <c r="BX398" s="14"/>
      <c r="BY398" s="14"/>
      <c r="BZ398" s="14"/>
      <c r="CA398" s="14"/>
      <c r="CB398" s="14"/>
      <c r="CC398" s="14"/>
      <c r="CD398" s="14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</row>
    <row r="399">
      <c r="A399" s="295" t="s">
        <v>593</v>
      </c>
      <c r="B399" s="296" t="s">
        <v>25</v>
      </c>
      <c r="C399" s="296" t="s">
        <v>32</v>
      </c>
      <c r="D399" s="297" t="str">
        <f t="shared" si="1"/>
        <v>ZEST-5-2</v>
      </c>
      <c r="E399" s="72"/>
      <c r="F399" s="77"/>
      <c r="G399" s="74"/>
      <c r="H399" s="138"/>
      <c r="I399" s="76"/>
      <c r="J399" s="138"/>
      <c r="K399" s="32" t="str">
        <f t="shared" si="2"/>
        <v>DISPONIBLE</v>
      </c>
      <c r="L399" s="33">
        <f t="shared" si="14"/>
        <v>398</v>
      </c>
      <c r="M399" s="33" t="s">
        <v>748</v>
      </c>
      <c r="N399" s="122"/>
      <c r="O399" s="353"/>
      <c r="P399" s="354" t="s">
        <v>618</v>
      </c>
      <c r="Q399" s="355"/>
      <c r="R399" s="363"/>
      <c r="S399" s="356"/>
      <c r="T399" s="390"/>
      <c r="U399" s="357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4"/>
      <c r="BE399" s="12"/>
      <c r="BF399" s="12"/>
      <c r="BG399" s="12" t="str">
        <f>IFERROR(__xludf.DUMMYFUNCTION("IFERROR(INDEX(QUERY(IMPORTRANGE(""1T7HG8KEs-Ob7f3M5atEVN9Yn7IeORGp0QGvggB62ELw"",""Maestro!A:I""),""SELECT Col8 WHERE Col3 = '""&amp;BD399&amp;""'"", 0), 1, 1),""NO ENCONTRADO"")"),"")</f>
        <v/>
      </c>
      <c r="BH399" s="12" t="str">
        <f>IFERROR(__xludf.DUMMYFUNCTION("IFERROR(INDEX(QUERY(IMPORTRANGE(""1T7HG8KEs-Ob7f3M5atEVN9Yn7IeORGp0QGvggB62ELw"",""Maestro!A:I""),""SELECT Col7 WHERE Col3 = '""&amp;BD399&amp;""'"", 0), 1, 1),""NO ENCONTRADO"")"),"")</f>
        <v/>
      </c>
      <c r="BI399" s="16">
        <f t="shared" si="15"/>
        <v>0</v>
      </c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4"/>
      <c r="BW399" s="14"/>
      <c r="BX399" s="14"/>
      <c r="BY399" s="14"/>
      <c r="BZ399" s="14"/>
      <c r="CA399" s="14"/>
      <c r="CB399" s="14"/>
      <c r="CC399" s="14"/>
      <c r="CD399" s="14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</row>
    <row r="400">
      <c r="A400" s="295" t="s">
        <v>593</v>
      </c>
      <c r="B400" s="296" t="s">
        <v>25</v>
      </c>
      <c r="C400" s="296" t="s">
        <v>44</v>
      </c>
      <c r="D400" s="297" t="str">
        <f t="shared" si="1"/>
        <v>ZEST-5-3</v>
      </c>
      <c r="E400" s="72"/>
      <c r="F400" s="77"/>
      <c r="G400" s="74"/>
      <c r="H400" s="138"/>
      <c r="I400" s="76"/>
      <c r="J400" s="138"/>
      <c r="K400" s="27" t="str">
        <f t="shared" si="2"/>
        <v>DISPONIBLE</v>
      </c>
      <c r="L400" s="28">
        <f t="shared" si="14"/>
        <v>399</v>
      </c>
      <c r="M400" s="28" t="s">
        <v>748</v>
      </c>
      <c r="N400" s="109"/>
      <c r="O400" s="358"/>
      <c r="P400" s="359" t="s">
        <v>619</v>
      </c>
      <c r="Q400" s="360"/>
      <c r="R400" s="364"/>
      <c r="S400" s="361"/>
      <c r="T400" s="392"/>
      <c r="U400" s="36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4"/>
      <c r="BE400" s="12"/>
      <c r="BF400" s="12"/>
      <c r="BG400" s="12" t="str">
        <f>IFERROR(__xludf.DUMMYFUNCTION("IFERROR(INDEX(QUERY(IMPORTRANGE(""1T7HG8KEs-Ob7f3M5atEVN9Yn7IeORGp0QGvggB62ELw"",""Maestro!A:I""),""SELECT Col8 WHERE Col3 = '""&amp;BD400&amp;""'"", 0), 1, 1),""NO ENCONTRADO"")"),"")</f>
        <v/>
      </c>
      <c r="BH400" s="12" t="str">
        <f>IFERROR(__xludf.DUMMYFUNCTION("IFERROR(INDEX(QUERY(IMPORTRANGE(""1T7HG8KEs-Ob7f3M5atEVN9Yn7IeORGp0QGvggB62ELw"",""Maestro!A:I""),""SELECT Col7 WHERE Col3 = '""&amp;BD400&amp;""'"", 0), 1, 1),""NO ENCONTRADO"")"),"")</f>
        <v/>
      </c>
      <c r="BI400" s="16">
        <f t="shared" si="15"/>
        <v>0</v>
      </c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4"/>
      <c r="BW400" s="14"/>
      <c r="BX400" s="14"/>
      <c r="BY400" s="14"/>
      <c r="BZ400" s="14"/>
      <c r="CA400" s="14"/>
      <c r="CB400" s="14"/>
      <c r="CC400" s="14"/>
      <c r="CD400" s="14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</row>
    <row r="401">
      <c r="A401" s="295" t="s">
        <v>593</v>
      </c>
      <c r="B401" s="296" t="s">
        <v>25</v>
      </c>
      <c r="C401" s="296" t="s">
        <v>53</v>
      </c>
      <c r="D401" s="297" t="str">
        <f t="shared" si="1"/>
        <v>ZEST-5-4</v>
      </c>
      <c r="E401" s="72"/>
      <c r="F401" s="77"/>
      <c r="G401" s="74"/>
      <c r="H401" s="138"/>
      <c r="I401" s="76"/>
      <c r="J401" s="138"/>
      <c r="K401" s="32" t="str">
        <f t="shared" si="2"/>
        <v>DISPONIBLE</v>
      </c>
      <c r="L401" s="33">
        <f t="shared" si="14"/>
        <v>400</v>
      </c>
      <c r="M401" s="33" t="s">
        <v>748</v>
      </c>
      <c r="N401" s="122"/>
      <c r="O401" s="353"/>
      <c r="P401" s="354" t="s">
        <v>621</v>
      </c>
      <c r="Q401" s="355"/>
      <c r="R401" s="363"/>
      <c r="S401" s="356"/>
      <c r="T401" s="390"/>
      <c r="U401" s="357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4"/>
      <c r="BE401" s="12"/>
      <c r="BF401" s="12"/>
      <c r="BG401" s="12" t="str">
        <f>IFERROR(__xludf.DUMMYFUNCTION("IFERROR(INDEX(QUERY(IMPORTRANGE(""1T7HG8KEs-Ob7f3M5atEVN9Yn7IeORGp0QGvggB62ELw"",""Maestro!A:I""),""SELECT Col8 WHERE Col3 = '""&amp;BD401&amp;""'"", 0), 1, 1),""NO ENCONTRADO"")"),"")</f>
        <v/>
      </c>
      <c r="BH401" s="12" t="str">
        <f>IFERROR(__xludf.DUMMYFUNCTION("IFERROR(INDEX(QUERY(IMPORTRANGE(""1T7HG8KEs-Ob7f3M5atEVN9Yn7IeORGp0QGvggB62ELw"",""Maestro!A:I""),""SELECT Col7 WHERE Col3 = '""&amp;BD401&amp;""'"", 0), 1, 1),""NO ENCONTRADO"")"),"")</f>
        <v/>
      </c>
      <c r="BI401" s="16">
        <f t="shared" si="15"/>
        <v>0</v>
      </c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4"/>
      <c r="BW401" s="14"/>
      <c r="BX401" s="14"/>
      <c r="BY401" s="14"/>
      <c r="BZ401" s="14"/>
      <c r="CA401" s="14"/>
      <c r="CB401" s="14"/>
      <c r="CC401" s="14"/>
      <c r="CD401" s="14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</row>
    <row r="402">
      <c r="A402" s="295" t="s">
        <v>593</v>
      </c>
      <c r="B402" s="296" t="s">
        <v>25</v>
      </c>
      <c r="C402" s="296" t="s">
        <v>25</v>
      </c>
      <c r="D402" s="297" t="str">
        <f t="shared" si="1"/>
        <v>ZEST-5-5</v>
      </c>
      <c r="E402" s="72"/>
      <c r="F402" s="77"/>
      <c r="G402" s="74"/>
      <c r="H402" s="138"/>
      <c r="I402" s="76"/>
      <c r="J402" s="138"/>
      <c r="K402" s="27" t="str">
        <f t="shared" si="2"/>
        <v>DISPONIBLE</v>
      </c>
      <c r="L402" s="28">
        <f t="shared" si="14"/>
        <v>401</v>
      </c>
      <c r="M402" s="28" t="s">
        <v>748</v>
      </c>
      <c r="N402" s="109"/>
      <c r="O402" s="358"/>
      <c r="P402" s="359" t="s">
        <v>623</v>
      </c>
      <c r="Q402" s="360"/>
      <c r="R402" s="364"/>
      <c r="S402" s="361"/>
      <c r="T402" s="392"/>
      <c r="U402" s="36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4"/>
      <c r="BE402" s="12"/>
      <c r="BF402" s="12"/>
      <c r="BG402" s="12" t="str">
        <f>IFERROR(__xludf.DUMMYFUNCTION("IFERROR(INDEX(QUERY(IMPORTRANGE(""1T7HG8KEs-Ob7f3M5atEVN9Yn7IeORGp0QGvggB62ELw"",""Maestro!A:I""),""SELECT Col8 WHERE Col3 = '""&amp;BD402&amp;""'"", 0), 1, 1),""NO ENCONTRADO"")"),"")</f>
        <v/>
      </c>
      <c r="BH402" s="12" t="str">
        <f>IFERROR(__xludf.DUMMYFUNCTION("IFERROR(INDEX(QUERY(IMPORTRANGE(""1T7HG8KEs-Ob7f3M5atEVN9Yn7IeORGp0QGvggB62ELw"",""Maestro!A:I""),""SELECT Col7 WHERE Col3 = '""&amp;BD402&amp;""'"", 0), 1, 1),""NO ENCONTRADO"")"),"")</f>
        <v/>
      </c>
      <c r="BI402" s="16">
        <f t="shared" si="15"/>
        <v>0</v>
      </c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4"/>
      <c r="BW402" s="14"/>
      <c r="BX402" s="14"/>
      <c r="BY402" s="14"/>
      <c r="BZ402" s="14"/>
      <c r="CA402" s="14"/>
      <c r="CB402" s="14"/>
      <c r="CC402" s="14"/>
      <c r="CD402" s="14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</row>
    <row r="403">
      <c r="A403" s="295" t="s">
        <v>593</v>
      </c>
      <c r="B403" s="296" t="s">
        <v>25</v>
      </c>
      <c r="C403" s="296" t="s">
        <v>36</v>
      </c>
      <c r="D403" s="297" t="str">
        <f t="shared" si="1"/>
        <v>ZEST-5-6</v>
      </c>
      <c r="E403" s="72"/>
      <c r="F403" s="77"/>
      <c r="G403" s="74"/>
      <c r="H403" s="138"/>
      <c r="I403" s="76"/>
      <c r="J403" s="138"/>
      <c r="K403" s="32" t="str">
        <f t="shared" si="2"/>
        <v>DISPONIBLE</v>
      </c>
      <c r="L403" s="33">
        <f t="shared" si="14"/>
        <v>402</v>
      </c>
      <c r="M403" s="33" t="s">
        <v>748</v>
      </c>
      <c r="N403" s="122"/>
      <c r="O403" s="353"/>
      <c r="P403" s="354" t="s">
        <v>624</v>
      </c>
      <c r="Q403" s="355"/>
      <c r="R403" s="363"/>
      <c r="S403" s="356"/>
      <c r="T403" s="390"/>
      <c r="U403" s="357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4"/>
      <c r="BE403" s="12"/>
      <c r="BF403" s="12"/>
      <c r="BG403" s="12" t="str">
        <f>IFERROR(__xludf.DUMMYFUNCTION("IFERROR(INDEX(QUERY(IMPORTRANGE(""1T7HG8KEs-Ob7f3M5atEVN9Yn7IeORGp0QGvggB62ELw"",""Maestro!A:I""),""SELECT Col8 WHERE Col3 = '""&amp;BD403&amp;""'"", 0), 1, 1),""NO ENCONTRADO"")"),"")</f>
        <v/>
      </c>
      <c r="BH403" s="12" t="str">
        <f>IFERROR(__xludf.DUMMYFUNCTION("IFERROR(INDEX(QUERY(IMPORTRANGE(""1T7HG8KEs-Ob7f3M5atEVN9Yn7IeORGp0QGvggB62ELw"",""Maestro!A:I""),""SELECT Col7 WHERE Col3 = '""&amp;BD403&amp;""'"", 0), 1, 1),""NO ENCONTRADO"")"),"")</f>
        <v/>
      </c>
      <c r="BI403" s="16">
        <f t="shared" si="15"/>
        <v>0</v>
      </c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4"/>
      <c r="BW403" s="14"/>
      <c r="BX403" s="14"/>
      <c r="BY403" s="14"/>
      <c r="BZ403" s="14"/>
      <c r="CA403" s="14"/>
      <c r="CB403" s="14"/>
      <c r="CC403" s="14"/>
      <c r="CD403" s="14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</row>
    <row r="404">
      <c r="A404" s="295" t="s">
        <v>593</v>
      </c>
      <c r="B404" s="296" t="s">
        <v>25</v>
      </c>
      <c r="C404" s="296" t="s">
        <v>48</v>
      </c>
      <c r="D404" s="297" t="str">
        <f t="shared" si="1"/>
        <v>ZEST-5-7</v>
      </c>
      <c r="E404" s="72"/>
      <c r="F404" s="77"/>
      <c r="G404" s="74"/>
      <c r="H404" s="138"/>
      <c r="I404" s="76"/>
      <c r="J404" s="138"/>
      <c r="K404" s="27" t="str">
        <f t="shared" si="2"/>
        <v>DISPONIBLE</v>
      </c>
      <c r="L404" s="28">
        <f t="shared" si="14"/>
        <v>403</v>
      </c>
      <c r="M404" s="28" t="s">
        <v>748</v>
      </c>
      <c r="N404" s="109"/>
      <c r="O404" s="358"/>
      <c r="P404" s="359" t="s">
        <v>626</v>
      </c>
      <c r="Q404" s="360"/>
      <c r="R404" s="364"/>
      <c r="S404" s="361"/>
      <c r="T404" s="392"/>
      <c r="U404" s="36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4"/>
      <c r="BE404" s="12"/>
      <c r="BF404" s="12"/>
      <c r="BG404" s="12" t="str">
        <f>IFERROR(__xludf.DUMMYFUNCTION("IFERROR(INDEX(QUERY(IMPORTRANGE(""1T7HG8KEs-Ob7f3M5atEVN9Yn7IeORGp0QGvggB62ELw"",""Maestro!A:I""),""SELECT Col8 WHERE Col3 = '""&amp;BD404&amp;""'"", 0), 1, 1),""NO ENCONTRADO"")"),"")</f>
        <v/>
      </c>
      <c r="BH404" s="12" t="str">
        <f>IFERROR(__xludf.DUMMYFUNCTION("IFERROR(INDEX(QUERY(IMPORTRANGE(""1T7HG8KEs-Ob7f3M5atEVN9Yn7IeORGp0QGvggB62ELw"",""Maestro!A:I""),""SELECT Col7 WHERE Col3 = '""&amp;BD404&amp;""'"", 0), 1, 1),""NO ENCONTRADO"")"),"")</f>
        <v/>
      </c>
      <c r="BI404" s="16">
        <f t="shared" si="15"/>
        <v>0</v>
      </c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4"/>
      <c r="BW404" s="14"/>
      <c r="BX404" s="14"/>
      <c r="BY404" s="14"/>
      <c r="BZ404" s="14"/>
      <c r="CA404" s="14"/>
      <c r="CB404" s="14"/>
      <c r="CC404" s="14"/>
      <c r="CD404" s="14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</row>
    <row r="405">
      <c r="A405" s="295" t="s">
        <v>593</v>
      </c>
      <c r="B405" s="296" t="s">
        <v>36</v>
      </c>
      <c r="C405" s="296" t="s">
        <v>18</v>
      </c>
      <c r="D405" s="297" t="str">
        <f t="shared" si="1"/>
        <v>ZEST-6-1</v>
      </c>
      <c r="E405" s="72"/>
      <c r="F405" s="77"/>
      <c r="G405" s="74"/>
      <c r="H405" s="138"/>
      <c r="I405" s="76"/>
      <c r="J405" s="138"/>
      <c r="K405" s="32" t="str">
        <f t="shared" si="2"/>
        <v>DISPONIBLE</v>
      </c>
      <c r="L405" s="33">
        <f t="shared" si="14"/>
        <v>404</v>
      </c>
      <c r="M405" s="33" t="s">
        <v>748</v>
      </c>
      <c r="N405" s="122"/>
      <c r="O405" s="353"/>
      <c r="P405" s="354" t="s">
        <v>627</v>
      </c>
      <c r="Q405" s="355"/>
      <c r="R405" s="363"/>
      <c r="S405" s="356"/>
      <c r="T405" s="390"/>
      <c r="U405" s="357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4"/>
      <c r="BE405" s="12"/>
      <c r="BF405" s="12"/>
      <c r="BG405" s="12" t="str">
        <f>IFERROR(__xludf.DUMMYFUNCTION("IFERROR(INDEX(QUERY(IMPORTRANGE(""1T7HG8KEs-Ob7f3M5atEVN9Yn7IeORGp0QGvggB62ELw"",""Maestro!A:I""),""SELECT Col8 WHERE Col3 = '""&amp;BD405&amp;""'"", 0), 1, 1),""NO ENCONTRADO"")"),"")</f>
        <v/>
      </c>
      <c r="BH405" s="12" t="str">
        <f>IFERROR(__xludf.DUMMYFUNCTION("IFERROR(INDEX(QUERY(IMPORTRANGE(""1T7HG8KEs-Ob7f3M5atEVN9Yn7IeORGp0QGvggB62ELw"",""Maestro!A:I""),""SELECT Col7 WHERE Col3 = '""&amp;BD405&amp;""'"", 0), 1, 1),""NO ENCONTRADO"")"),"")</f>
        <v/>
      </c>
      <c r="BI405" s="16">
        <f t="shared" si="15"/>
        <v>0</v>
      </c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4"/>
      <c r="BW405" s="14"/>
      <c r="BX405" s="14"/>
      <c r="BY405" s="14"/>
      <c r="BZ405" s="14"/>
      <c r="CA405" s="14"/>
      <c r="CB405" s="14"/>
      <c r="CC405" s="14"/>
      <c r="CD405" s="14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</row>
    <row r="406">
      <c r="A406" s="295" t="s">
        <v>593</v>
      </c>
      <c r="B406" s="296" t="s">
        <v>36</v>
      </c>
      <c r="C406" s="296" t="s">
        <v>32</v>
      </c>
      <c r="D406" s="297" t="str">
        <f t="shared" si="1"/>
        <v>ZEST-6-2</v>
      </c>
      <c r="E406" s="72"/>
      <c r="F406" s="77"/>
      <c r="G406" s="74"/>
      <c r="H406" s="138"/>
      <c r="I406" s="76"/>
      <c r="J406" s="138"/>
      <c r="K406" s="27" t="str">
        <f t="shared" si="2"/>
        <v>DISPONIBLE</v>
      </c>
      <c r="L406" s="28">
        <f t="shared" si="14"/>
        <v>405</v>
      </c>
      <c r="M406" s="28" t="s">
        <v>748</v>
      </c>
      <c r="N406" s="109"/>
      <c r="O406" s="358"/>
      <c r="P406" s="359" t="s">
        <v>628</v>
      </c>
      <c r="Q406" s="360"/>
      <c r="R406" s="364"/>
      <c r="S406" s="361"/>
      <c r="T406" s="392"/>
      <c r="U406" s="36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4"/>
      <c r="BE406" s="12"/>
      <c r="BF406" s="12"/>
      <c r="BG406" s="12" t="str">
        <f>IFERROR(__xludf.DUMMYFUNCTION("IFERROR(INDEX(QUERY(IMPORTRANGE(""1T7HG8KEs-Ob7f3M5atEVN9Yn7IeORGp0QGvggB62ELw"",""Maestro!A:I""),""SELECT Col8 WHERE Col3 = '""&amp;BD406&amp;""'"", 0), 1, 1),""NO ENCONTRADO"")"),"")</f>
        <v/>
      </c>
      <c r="BH406" s="12" t="str">
        <f>IFERROR(__xludf.DUMMYFUNCTION("IFERROR(INDEX(QUERY(IMPORTRANGE(""1T7HG8KEs-Ob7f3M5atEVN9Yn7IeORGp0QGvggB62ELw"",""Maestro!A:I""),""SELECT Col7 WHERE Col3 = '""&amp;BD406&amp;""'"", 0), 1, 1),""NO ENCONTRADO"")"),"")</f>
        <v/>
      </c>
      <c r="BI406" s="16">
        <f t="shared" si="15"/>
        <v>0</v>
      </c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4"/>
      <c r="BW406" s="14"/>
      <c r="BX406" s="14"/>
      <c r="BY406" s="14"/>
      <c r="BZ406" s="14"/>
      <c r="CA406" s="14"/>
      <c r="CB406" s="14"/>
      <c r="CC406" s="14"/>
      <c r="CD406" s="14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</row>
    <row r="407">
      <c r="A407" s="295" t="s">
        <v>593</v>
      </c>
      <c r="B407" s="296" t="s">
        <v>36</v>
      </c>
      <c r="C407" s="296" t="s">
        <v>44</v>
      </c>
      <c r="D407" s="297" t="str">
        <f t="shared" si="1"/>
        <v>ZEST-6-3</v>
      </c>
      <c r="E407" s="72"/>
      <c r="F407" s="77"/>
      <c r="G407" s="74"/>
      <c r="H407" s="138"/>
      <c r="I407" s="76"/>
      <c r="J407" s="138"/>
      <c r="K407" s="32" t="str">
        <f t="shared" si="2"/>
        <v>DISPONIBLE</v>
      </c>
      <c r="L407" s="33">
        <f t="shared" si="14"/>
        <v>406</v>
      </c>
      <c r="M407" s="33" t="s">
        <v>748</v>
      </c>
      <c r="N407" s="122"/>
      <c r="O407" s="353"/>
      <c r="P407" s="354" t="s">
        <v>630</v>
      </c>
      <c r="Q407" s="355"/>
      <c r="R407" s="363"/>
      <c r="S407" s="356"/>
      <c r="T407" s="390"/>
      <c r="U407" s="357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4"/>
      <c r="BE407" s="12"/>
      <c r="BF407" s="12"/>
      <c r="BG407" s="12" t="str">
        <f>IFERROR(__xludf.DUMMYFUNCTION("IFERROR(INDEX(QUERY(IMPORTRANGE(""1T7HG8KEs-Ob7f3M5atEVN9Yn7IeORGp0QGvggB62ELw"",""Maestro!A:I""),""SELECT Col8 WHERE Col3 = '""&amp;BD407&amp;""'"", 0), 1, 1),""NO ENCONTRADO"")"),"")</f>
        <v/>
      </c>
      <c r="BH407" s="12" t="str">
        <f>IFERROR(__xludf.DUMMYFUNCTION("IFERROR(INDEX(QUERY(IMPORTRANGE(""1T7HG8KEs-Ob7f3M5atEVN9Yn7IeORGp0QGvggB62ELw"",""Maestro!A:I""),""SELECT Col7 WHERE Col3 = '""&amp;BD407&amp;""'"", 0), 1, 1),""NO ENCONTRADO"")"),"")</f>
        <v/>
      </c>
      <c r="BI407" s="16">
        <f t="shared" si="15"/>
        <v>0</v>
      </c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4"/>
      <c r="BW407" s="14"/>
      <c r="BX407" s="14"/>
      <c r="BY407" s="14"/>
      <c r="BZ407" s="14"/>
      <c r="CA407" s="14"/>
      <c r="CB407" s="14"/>
      <c r="CC407" s="14"/>
      <c r="CD407" s="14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</row>
    <row r="408">
      <c r="A408" s="295" t="s">
        <v>593</v>
      </c>
      <c r="B408" s="296" t="s">
        <v>36</v>
      </c>
      <c r="C408" s="296" t="s">
        <v>53</v>
      </c>
      <c r="D408" s="297" t="str">
        <f t="shared" si="1"/>
        <v>ZEST-6-4</v>
      </c>
      <c r="E408" s="72"/>
      <c r="F408" s="77"/>
      <c r="G408" s="74"/>
      <c r="H408" s="138"/>
      <c r="I408" s="76"/>
      <c r="J408" s="138"/>
      <c r="K408" s="27" t="str">
        <f t="shared" si="2"/>
        <v>DISPONIBLE</v>
      </c>
      <c r="L408" s="28">
        <f t="shared" si="14"/>
        <v>407</v>
      </c>
      <c r="M408" s="28" t="s">
        <v>748</v>
      </c>
      <c r="N408" s="109"/>
      <c r="O408" s="358"/>
      <c r="P408" s="359" t="s">
        <v>632</v>
      </c>
      <c r="Q408" s="360"/>
      <c r="R408" s="364"/>
      <c r="S408" s="361"/>
      <c r="T408" s="392"/>
      <c r="U408" s="36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4"/>
      <c r="BE408" s="12"/>
      <c r="BF408" s="12"/>
      <c r="BG408" s="12" t="str">
        <f>IFERROR(__xludf.DUMMYFUNCTION("IFERROR(INDEX(QUERY(IMPORTRANGE(""1T7HG8KEs-Ob7f3M5atEVN9Yn7IeORGp0QGvggB62ELw"",""Maestro!A:I""),""SELECT Col8 WHERE Col3 = '""&amp;BD408&amp;""'"", 0), 1, 1),""NO ENCONTRADO"")"),"")</f>
        <v/>
      </c>
      <c r="BH408" s="12" t="str">
        <f>IFERROR(__xludf.DUMMYFUNCTION("IFERROR(INDEX(QUERY(IMPORTRANGE(""1T7HG8KEs-Ob7f3M5atEVN9Yn7IeORGp0QGvggB62ELw"",""Maestro!A:I""),""SELECT Col7 WHERE Col3 = '""&amp;BD408&amp;""'"", 0), 1, 1),""NO ENCONTRADO"")"),"")</f>
        <v/>
      </c>
      <c r="BI408" s="16">
        <f t="shared" si="15"/>
        <v>0</v>
      </c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4"/>
      <c r="BW408" s="14"/>
      <c r="BX408" s="14"/>
      <c r="BY408" s="14"/>
      <c r="BZ408" s="14"/>
      <c r="CA408" s="14"/>
      <c r="CB408" s="14"/>
      <c r="CC408" s="14"/>
      <c r="CD408" s="14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</row>
    <row r="409">
      <c r="A409" s="295" t="s">
        <v>593</v>
      </c>
      <c r="B409" s="296" t="s">
        <v>36</v>
      </c>
      <c r="C409" s="296" t="s">
        <v>25</v>
      </c>
      <c r="D409" s="297" t="str">
        <f t="shared" si="1"/>
        <v>ZEST-6-5</v>
      </c>
      <c r="E409" s="72"/>
      <c r="F409" s="77"/>
      <c r="G409" s="74"/>
      <c r="H409" s="138"/>
      <c r="I409" s="76"/>
      <c r="J409" s="138"/>
      <c r="K409" s="32" t="str">
        <f t="shared" si="2"/>
        <v>DISPONIBLE</v>
      </c>
      <c r="L409" s="33">
        <f t="shared" si="14"/>
        <v>408</v>
      </c>
      <c r="M409" s="33" t="s">
        <v>748</v>
      </c>
      <c r="N409" s="122"/>
      <c r="O409" s="353"/>
      <c r="P409" s="354" t="s">
        <v>634</v>
      </c>
      <c r="Q409" s="355"/>
      <c r="R409" s="363"/>
      <c r="S409" s="356"/>
      <c r="T409" s="390"/>
      <c r="U409" s="357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4"/>
      <c r="BE409" s="12"/>
      <c r="BF409" s="12"/>
      <c r="BG409" s="12" t="str">
        <f>IFERROR(__xludf.DUMMYFUNCTION("IFERROR(INDEX(QUERY(IMPORTRANGE(""1T7HG8KEs-Ob7f3M5atEVN9Yn7IeORGp0QGvggB62ELw"",""Maestro!A:I""),""SELECT Col8 WHERE Col3 = '""&amp;BD409&amp;""'"", 0), 1, 1),""NO ENCONTRADO"")"),"")</f>
        <v/>
      </c>
      <c r="BH409" s="12" t="str">
        <f>IFERROR(__xludf.DUMMYFUNCTION("IFERROR(INDEX(QUERY(IMPORTRANGE(""1T7HG8KEs-Ob7f3M5atEVN9Yn7IeORGp0QGvggB62ELw"",""Maestro!A:I""),""SELECT Col7 WHERE Col3 = '""&amp;BD409&amp;""'"", 0), 1, 1),""NO ENCONTRADO"")"),"")</f>
        <v/>
      </c>
      <c r="BI409" s="16">
        <f t="shared" si="15"/>
        <v>0</v>
      </c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4"/>
      <c r="BW409" s="14"/>
      <c r="BX409" s="14"/>
      <c r="BY409" s="14"/>
      <c r="BZ409" s="14"/>
      <c r="CA409" s="14"/>
      <c r="CB409" s="14"/>
      <c r="CC409" s="14"/>
      <c r="CD409" s="14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</row>
    <row r="410">
      <c r="A410" s="295" t="s">
        <v>593</v>
      </c>
      <c r="B410" s="296" t="s">
        <v>48</v>
      </c>
      <c r="C410" s="296" t="s">
        <v>36</v>
      </c>
      <c r="D410" s="297" t="str">
        <f t="shared" si="1"/>
        <v>ZEST-7-6</v>
      </c>
      <c r="E410" s="72"/>
      <c r="F410" s="77"/>
      <c r="G410" s="74"/>
      <c r="H410" s="138"/>
      <c r="I410" s="76"/>
      <c r="J410" s="138"/>
      <c r="K410" s="27" t="str">
        <f t="shared" si="2"/>
        <v>DISPONIBLE</v>
      </c>
      <c r="L410" s="28">
        <f t="shared" si="14"/>
        <v>409</v>
      </c>
      <c r="M410" s="28" t="s">
        <v>748</v>
      </c>
      <c r="N410" s="109"/>
      <c r="O410" s="358"/>
      <c r="P410" s="359" t="s">
        <v>646</v>
      </c>
      <c r="Q410" s="360"/>
      <c r="R410" s="364"/>
      <c r="S410" s="361"/>
      <c r="T410" s="392"/>
      <c r="U410" s="36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4"/>
      <c r="BE410" s="12"/>
      <c r="BF410" s="12"/>
      <c r="BG410" s="12" t="str">
        <f>IFERROR(__xludf.DUMMYFUNCTION("IFERROR(INDEX(QUERY(IMPORTRANGE(""1T7HG8KEs-Ob7f3M5atEVN9Yn7IeORGp0QGvggB62ELw"",""Maestro!A:I""),""SELECT Col8 WHERE Col3 = '""&amp;BD410&amp;""'"", 0), 1, 1),""NO ENCONTRADO"")"),"")</f>
        <v/>
      </c>
      <c r="BH410" s="12" t="str">
        <f>IFERROR(__xludf.DUMMYFUNCTION("IFERROR(INDEX(QUERY(IMPORTRANGE(""1T7HG8KEs-Ob7f3M5atEVN9Yn7IeORGp0QGvggB62ELw"",""Maestro!A:I""),""SELECT Col7 WHERE Col3 = '""&amp;BD410&amp;""'"", 0), 1, 1),""NO ENCONTRADO"")"),"")</f>
        <v/>
      </c>
      <c r="BI410" s="16">
        <f t="shared" si="15"/>
        <v>0</v>
      </c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4"/>
      <c r="BW410" s="14"/>
      <c r="BX410" s="14"/>
      <c r="BY410" s="14"/>
      <c r="BZ410" s="14"/>
      <c r="CA410" s="14"/>
      <c r="CB410" s="14"/>
      <c r="CC410" s="14"/>
      <c r="CD410" s="14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</row>
    <row r="411">
      <c r="A411" s="295" t="s">
        <v>593</v>
      </c>
      <c r="B411" s="296" t="s">
        <v>48</v>
      </c>
      <c r="C411" s="296" t="s">
        <v>48</v>
      </c>
      <c r="D411" s="297" t="str">
        <f t="shared" si="1"/>
        <v>ZEST-7-7</v>
      </c>
      <c r="E411" s="72"/>
      <c r="F411" s="77"/>
      <c r="G411" s="74"/>
      <c r="H411" s="138"/>
      <c r="I411" s="76"/>
      <c r="J411" s="138"/>
      <c r="K411" s="32" t="str">
        <f t="shared" si="2"/>
        <v>DISPONIBLE</v>
      </c>
      <c r="L411" s="33">
        <f t="shared" si="14"/>
        <v>410</v>
      </c>
      <c r="M411" s="33" t="s">
        <v>748</v>
      </c>
      <c r="N411" s="122"/>
      <c r="O411" s="353"/>
      <c r="P411" s="354" t="s">
        <v>648</v>
      </c>
      <c r="Q411" s="355"/>
      <c r="R411" s="363"/>
      <c r="S411" s="356"/>
      <c r="T411" s="390"/>
      <c r="U411" s="357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4"/>
      <c r="BE411" s="12"/>
      <c r="BF411" s="12"/>
      <c r="BG411" s="12" t="str">
        <f>IFERROR(__xludf.DUMMYFUNCTION("IFERROR(INDEX(QUERY(IMPORTRANGE(""1T7HG8KEs-Ob7f3M5atEVN9Yn7IeORGp0QGvggB62ELw"",""Maestro!A:I""),""SELECT Col8 WHERE Col3 = '""&amp;BD411&amp;""'"", 0), 1, 1),""NO ENCONTRADO"")"),"")</f>
        <v/>
      </c>
      <c r="BH411" s="12" t="str">
        <f>IFERROR(__xludf.DUMMYFUNCTION("IFERROR(INDEX(QUERY(IMPORTRANGE(""1T7HG8KEs-Ob7f3M5atEVN9Yn7IeORGp0QGvggB62ELw"",""Maestro!A:I""),""SELECT Col7 WHERE Col3 = '""&amp;BD411&amp;""'"", 0), 1, 1),""NO ENCONTRADO"")"),"")</f>
        <v/>
      </c>
      <c r="BI411" s="16">
        <f t="shared" si="15"/>
        <v>0</v>
      </c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4"/>
      <c r="BW411" s="14"/>
      <c r="BX411" s="14"/>
      <c r="BY411" s="14"/>
      <c r="BZ411" s="14"/>
      <c r="CA411" s="14"/>
      <c r="CB411" s="14"/>
      <c r="CC411" s="14"/>
      <c r="CD411" s="14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</row>
    <row r="412">
      <c r="A412" s="295" t="s">
        <v>593</v>
      </c>
      <c r="B412" s="296" t="s">
        <v>48</v>
      </c>
      <c r="C412" s="296" t="s">
        <v>18</v>
      </c>
      <c r="D412" s="297" t="str">
        <f t="shared" si="1"/>
        <v>ZEST-7-1</v>
      </c>
      <c r="E412" s="72"/>
      <c r="F412" s="77"/>
      <c r="G412" s="74"/>
      <c r="H412" s="138"/>
      <c r="I412" s="76"/>
      <c r="J412" s="138"/>
      <c r="K412" s="27" t="str">
        <f t="shared" si="2"/>
        <v>DISPONIBLE</v>
      </c>
      <c r="L412" s="28">
        <f t="shared" si="14"/>
        <v>411</v>
      </c>
      <c r="M412" s="28" t="s">
        <v>748</v>
      </c>
      <c r="N412" s="109"/>
      <c r="O412" s="358"/>
      <c r="P412" s="359" t="s">
        <v>636</v>
      </c>
      <c r="Q412" s="360"/>
      <c r="R412" s="364"/>
      <c r="S412" s="361"/>
      <c r="T412" s="392"/>
      <c r="U412" s="36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4"/>
      <c r="BE412" s="12"/>
      <c r="BF412" s="12"/>
      <c r="BG412" s="12" t="str">
        <f>IFERROR(__xludf.DUMMYFUNCTION("IFERROR(INDEX(QUERY(IMPORTRANGE(""1T7HG8KEs-Ob7f3M5atEVN9Yn7IeORGp0QGvggB62ELw"",""Maestro!A:I""),""SELECT Col8 WHERE Col3 = '""&amp;BD412&amp;""'"", 0), 1, 1),""NO ENCONTRADO"")"),"")</f>
        <v/>
      </c>
      <c r="BH412" s="12" t="str">
        <f>IFERROR(__xludf.DUMMYFUNCTION("IFERROR(INDEX(QUERY(IMPORTRANGE(""1T7HG8KEs-Ob7f3M5atEVN9Yn7IeORGp0QGvggB62ELw"",""Maestro!A:I""),""SELECT Col7 WHERE Col3 = '""&amp;BD412&amp;""'"", 0), 1, 1),""NO ENCONTRADO"")"),"")</f>
        <v/>
      </c>
      <c r="BI412" s="16">
        <f t="shared" si="15"/>
        <v>0</v>
      </c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4"/>
      <c r="BW412" s="14"/>
      <c r="BX412" s="14"/>
      <c r="BY412" s="14"/>
      <c r="BZ412" s="14"/>
      <c r="CA412" s="14"/>
      <c r="CB412" s="14"/>
      <c r="CC412" s="14"/>
      <c r="CD412" s="14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</row>
    <row r="413">
      <c r="A413" s="295" t="s">
        <v>593</v>
      </c>
      <c r="B413" s="296" t="s">
        <v>48</v>
      </c>
      <c r="C413" s="296" t="s">
        <v>32</v>
      </c>
      <c r="D413" s="297" t="str">
        <f t="shared" si="1"/>
        <v>ZEST-7-2</v>
      </c>
      <c r="E413" s="72"/>
      <c r="F413" s="77"/>
      <c r="G413" s="74"/>
      <c r="H413" s="138"/>
      <c r="I413" s="76"/>
      <c r="J413" s="138"/>
      <c r="K413" s="32" t="str">
        <f t="shared" si="2"/>
        <v>DISPONIBLE</v>
      </c>
      <c r="L413" s="33">
        <f t="shared" si="14"/>
        <v>412</v>
      </c>
      <c r="M413" s="33" t="s">
        <v>748</v>
      </c>
      <c r="N413" s="122"/>
      <c r="O413" s="353"/>
      <c r="P413" s="354" t="s">
        <v>638</v>
      </c>
      <c r="Q413" s="355"/>
      <c r="R413" s="363"/>
      <c r="S413" s="356"/>
      <c r="T413" s="390"/>
      <c r="U413" s="357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4"/>
      <c r="BE413" s="12"/>
      <c r="BF413" s="12"/>
      <c r="BG413" s="12" t="str">
        <f>IFERROR(__xludf.DUMMYFUNCTION("IFERROR(INDEX(QUERY(IMPORTRANGE(""1T7HG8KEs-Ob7f3M5atEVN9Yn7IeORGp0QGvggB62ELw"",""Maestro!A:I""),""SELECT Col8 WHERE Col3 = '""&amp;BD413&amp;""'"", 0), 1, 1),""NO ENCONTRADO"")"),"")</f>
        <v/>
      </c>
      <c r="BH413" s="12" t="str">
        <f>IFERROR(__xludf.DUMMYFUNCTION("IFERROR(INDEX(QUERY(IMPORTRANGE(""1T7HG8KEs-Ob7f3M5atEVN9Yn7IeORGp0QGvggB62ELw"",""Maestro!A:I""),""SELECT Col7 WHERE Col3 = '""&amp;BD413&amp;""'"", 0), 1, 1),""NO ENCONTRADO"")"),"")</f>
        <v/>
      </c>
      <c r="BI413" s="16">
        <f t="shared" si="15"/>
        <v>0</v>
      </c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4"/>
      <c r="BW413" s="14"/>
      <c r="BX413" s="14"/>
      <c r="BY413" s="14"/>
      <c r="BZ413" s="14"/>
      <c r="CA413" s="14"/>
      <c r="CB413" s="14"/>
      <c r="CC413" s="14"/>
      <c r="CD413" s="14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</row>
    <row r="414">
      <c r="A414" s="295" t="s">
        <v>593</v>
      </c>
      <c r="B414" s="296" t="s">
        <v>48</v>
      </c>
      <c r="C414" s="296" t="s">
        <v>44</v>
      </c>
      <c r="D414" s="297" t="str">
        <f t="shared" si="1"/>
        <v>ZEST-7-3</v>
      </c>
      <c r="E414" s="72"/>
      <c r="F414" s="77"/>
      <c r="G414" s="74"/>
      <c r="H414" s="138"/>
      <c r="I414" s="76"/>
      <c r="J414" s="138"/>
      <c r="K414" s="27" t="str">
        <f t="shared" si="2"/>
        <v>DISPONIBLE</v>
      </c>
      <c r="L414" s="28">
        <f t="shared" si="14"/>
        <v>413</v>
      </c>
      <c r="M414" s="28" t="s">
        <v>748</v>
      </c>
      <c r="N414" s="109"/>
      <c r="O414" s="358"/>
      <c r="P414" s="359" t="s">
        <v>640</v>
      </c>
      <c r="Q414" s="360"/>
      <c r="R414" s="364"/>
      <c r="S414" s="361"/>
      <c r="T414" s="392"/>
      <c r="U414" s="36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4"/>
      <c r="BE414" s="12"/>
      <c r="BF414" s="12"/>
      <c r="BG414" s="12" t="str">
        <f>IFERROR(__xludf.DUMMYFUNCTION("IFERROR(INDEX(QUERY(IMPORTRANGE(""1T7HG8KEs-Ob7f3M5atEVN9Yn7IeORGp0QGvggB62ELw"",""Maestro!A:I""),""SELECT Col8 WHERE Col3 = '""&amp;BD414&amp;""'"", 0), 1, 1),""NO ENCONTRADO"")"),"")</f>
        <v/>
      </c>
      <c r="BH414" s="12" t="str">
        <f>IFERROR(__xludf.DUMMYFUNCTION("IFERROR(INDEX(QUERY(IMPORTRANGE(""1T7HG8KEs-Ob7f3M5atEVN9Yn7IeORGp0QGvggB62ELw"",""Maestro!A:I""),""SELECT Col7 WHERE Col3 = '""&amp;BD414&amp;""'"", 0), 1, 1),""NO ENCONTRADO"")"),"")</f>
        <v/>
      </c>
      <c r="BI414" s="16">
        <f t="shared" si="15"/>
        <v>0</v>
      </c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4"/>
      <c r="BW414" s="14"/>
      <c r="BX414" s="14"/>
      <c r="BY414" s="14"/>
      <c r="BZ414" s="14"/>
      <c r="CA414" s="14"/>
      <c r="CB414" s="14"/>
      <c r="CC414" s="14"/>
      <c r="CD414" s="14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</row>
    <row r="415">
      <c r="A415" s="295" t="s">
        <v>593</v>
      </c>
      <c r="B415" s="296" t="s">
        <v>48</v>
      </c>
      <c r="C415" s="296" t="s">
        <v>53</v>
      </c>
      <c r="D415" s="297" t="str">
        <f t="shared" si="1"/>
        <v>ZEST-7-4</v>
      </c>
      <c r="E415" s="72"/>
      <c r="F415" s="77"/>
      <c r="G415" s="74"/>
      <c r="H415" s="138"/>
      <c r="I415" s="76"/>
      <c r="J415" s="138"/>
      <c r="K415" s="32" t="str">
        <f t="shared" si="2"/>
        <v>DISPONIBLE</v>
      </c>
      <c r="L415" s="33">
        <f t="shared" si="14"/>
        <v>414</v>
      </c>
      <c r="M415" s="33" t="s">
        <v>748</v>
      </c>
      <c r="N415" s="122"/>
      <c r="O415" s="353"/>
      <c r="P415" s="354" t="s">
        <v>642</v>
      </c>
      <c r="Q415" s="355"/>
      <c r="R415" s="363"/>
      <c r="S415" s="356"/>
      <c r="T415" s="390"/>
      <c r="U415" s="357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4"/>
      <c r="BE415" s="12"/>
      <c r="BF415" s="12"/>
      <c r="BG415" s="12" t="str">
        <f>IFERROR(__xludf.DUMMYFUNCTION("IFERROR(INDEX(QUERY(IMPORTRANGE(""1T7HG8KEs-Ob7f3M5atEVN9Yn7IeORGp0QGvggB62ELw"",""Maestro!A:I""),""SELECT Col8 WHERE Col3 = '""&amp;BD415&amp;""'"", 0), 1, 1),""NO ENCONTRADO"")"),"")</f>
        <v/>
      </c>
      <c r="BH415" s="12" t="str">
        <f>IFERROR(__xludf.DUMMYFUNCTION("IFERROR(INDEX(QUERY(IMPORTRANGE(""1T7HG8KEs-Ob7f3M5atEVN9Yn7IeORGp0QGvggB62ELw"",""Maestro!A:I""),""SELECT Col7 WHERE Col3 = '""&amp;BD415&amp;""'"", 0), 1, 1),""NO ENCONTRADO"")"),"")</f>
        <v/>
      </c>
      <c r="BI415" s="16">
        <f t="shared" si="15"/>
        <v>0</v>
      </c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4"/>
      <c r="BW415" s="14"/>
      <c r="BX415" s="14"/>
      <c r="BY415" s="14"/>
      <c r="BZ415" s="14"/>
      <c r="CA415" s="14"/>
      <c r="CB415" s="14"/>
      <c r="CC415" s="14"/>
      <c r="CD415" s="14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</row>
    <row r="416">
      <c r="A416" s="295" t="s">
        <v>593</v>
      </c>
      <c r="B416" s="296" t="s">
        <v>48</v>
      </c>
      <c r="C416" s="296" t="s">
        <v>25</v>
      </c>
      <c r="D416" s="297" t="str">
        <f t="shared" si="1"/>
        <v>ZEST-7-5</v>
      </c>
      <c r="E416" s="72"/>
      <c r="F416" s="77"/>
      <c r="G416" s="74"/>
      <c r="H416" s="138"/>
      <c r="I416" s="76"/>
      <c r="J416" s="138"/>
      <c r="K416" s="27" t="str">
        <f t="shared" si="2"/>
        <v>DISPONIBLE</v>
      </c>
      <c r="L416" s="28">
        <f t="shared" si="14"/>
        <v>415</v>
      </c>
      <c r="M416" s="28" t="s">
        <v>748</v>
      </c>
      <c r="N416" s="109"/>
      <c r="O416" s="358"/>
      <c r="P416" s="359" t="s">
        <v>644</v>
      </c>
      <c r="Q416" s="360"/>
      <c r="R416" s="364"/>
      <c r="S416" s="361"/>
      <c r="T416" s="392"/>
      <c r="U416" s="36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4"/>
      <c r="BE416" s="12"/>
      <c r="BF416" s="12"/>
      <c r="BG416" s="12" t="str">
        <f>IFERROR(__xludf.DUMMYFUNCTION("IFERROR(INDEX(QUERY(IMPORTRANGE(""1T7HG8KEs-Ob7f3M5atEVN9Yn7IeORGp0QGvggB62ELw"",""Maestro!A:I""),""SELECT Col8 WHERE Col3 = '""&amp;BD416&amp;""'"", 0), 1, 1),""NO ENCONTRADO"")"),"")</f>
        <v/>
      </c>
      <c r="BH416" s="12" t="str">
        <f>IFERROR(__xludf.DUMMYFUNCTION("IFERROR(INDEX(QUERY(IMPORTRANGE(""1T7HG8KEs-Ob7f3M5atEVN9Yn7IeORGp0QGvggB62ELw"",""Maestro!A:I""),""SELECT Col7 WHERE Col3 = '""&amp;BD416&amp;""'"", 0), 1, 1),""NO ENCONTRADO"")"),"")</f>
        <v/>
      </c>
      <c r="BI416" s="16">
        <f t="shared" si="15"/>
        <v>0</v>
      </c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4"/>
      <c r="BW416" s="14"/>
      <c r="BX416" s="14"/>
      <c r="BY416" s="14"/>
      <c r="BZ416" s="14"/>
      <c r="CA416" s="14"/>
      <c r="CB416" s="14"/>
      <c r="CC416" s="14"/>
      <c r="CD416" s="14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</row>
    <row r="417">
      <c r="A417" s="295" t="s">
        <v>593</v>
      </c>
      <c r="B417" s="296" t="s">
        <v>48</v>
      </c>
      <c r="C417" s="296" t="s">
        <v>36</v>
      </c>
      <c r="D417" s="297" t="str">
        <f t="shared" si="1"/>
        <v>ZEST-7-6</v>
      </c>
      <c r="E417" s="72"/>
      <c r="F417" s="77"/>
      <c r="G417" s="74"/>
      <c r="H417" s="138"/>
      <c r="I417" s="76"/>
      <c r="J417" s="138"/>
      <c r="K417" s="32" t="str">
        <f t="shared" si="2"/>
        <v>DISPONIBLE</v>
      </c>
      <c r="L417" s="33">
        <f t="shared" si="14"/>
        <v>416</v>
      </c>
      <c r="M417" s="33" t="s">
        <v>748</v>
      </c>
      <c r="N417" s="122"/>
      <c r="O417" s="353"/>
      <c r="P417" s="354" t="s">
        <v>646</v>
      </c>
      <c r="Q417" s="355"/>
      <c r="R417" s="363"/>
      <c r="S417" s="356"/>
      <c r="T417" s="390"/>
      <c r="U417" s="357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4"/>
      <c r="BE417" s="12"/>
      <c r="BF417" s="12"/>
      <c r="BG417" s="12" t="str">
        <f>IFERROR(__xludf.DUMMYFUNCTION("IFERROR(INDEX(QUERY(IMPORTRANGE(""1T7HG8KEs-Ob7f3M5atEVN9Yn7IeORGp0QGvggB62ELw"",""Maestro!A:I""),""SELECT Col8 WHERE Col3 = '""&amp;BD417&amp;""'"", 0), 1, 1),""NO ENCONTRADO"")"),"")</f>
        <v/>
      </c>
      <c r="BH417" s="12" t="str">
        <f>IFERROR(__xludf.DUMMYFUNCTION("IFERROR(INDEX(QUERY(IMPORTRANGE(""1T7HG8KEs-Ob7f3M5atEVN9Yn7IeORGp0QGvggB62ELw"",""Maestro!A:I""),""SELECT Col7 WHERE Col3 = '""&amp;BD417&amp;""'"", 0), 1, 1),""NO ENCONTRADO"")"),"")</f>
        <v/>
      </c>
      <c r="BI417" s="16">
        <f t="shared" si="15"/>
        <v>0</v>
      </c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4"/>
      <c r="BW417" s="14"/>
      <c r="BX417" s="14"/>
      <c r="BY417" s="14"/>
      <c r="BZ417" s="14"/>
      <c r="CA417" s="14"/>
      <c r="CB417" s="14"/>
      <c r="CC417" s="14"/>
      <c r="CD417" s="14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</row>
    <row r="418">
      <c r="A418" s="295" t="s">
        <v>593</v>
      </c>
      <c r="B418" s="296" t="s">
        <v>48</v>
      </c>
      <c r="C418" s="296" t="s">
        <v>48</v>
      </c>
      <c r="D418" s="297" t="str">
        <f t="shared" si="1"/>
        <v>ZEST-7-7</v>
      </c>
      <c r="E418" s="72"/>
      <c r="F418" s="77"/>
      <c r="G418" s="74"/>
      <c r="H418" s="138"/>
      <c r="I418" s="76"/>
      <c r="J418" s="138"/>
      <c r="K418" s="27" t="str">
        <f t="shared" si="2"/>
        <v>DISPONIBLE</v>
      </c>
      <c r="L418" s="28">
        <f t="shared" si="14"/>
        <v>417</v>
      </c>
      <c r="M418" s="28" t="s">
        <v>748</v>
      </c>
      <c r="N418" s="109"/>
      <c r="O418" s="358"/>
      <c r="P418" s="359" t="s">
        <v>648</v>
      </c>
      <c r="Q418" s="360"/>
      <c r="R418" s="364"/>
      <c r="S418" s="361"/>
      <c r="T418" s="392"/>
      <c r="U418" s="36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4"/>
      <c r="BE418" s="12"/>
      <c r="BF418" s="12"/>
      <c r="BG418" s="12" t="str">
        <f>IFERROR(__xludf.DUMMYFUNCTION("IFERROR(INDEX(QUERY(IMPORTRANGE(""1T7HG8KEs-Ob7f3M5atEVN9Yn7IeORGp0QGvggB62ELw"",""Maestro!A:I""),""SELECT Col8 WHERE Col3 = '""&amp;BD418&amp;""'"", 0), 1, 1),""NO ENCONTRADO"")"),"")</f>
        <v/>
      </c>
      <c r="BH418" s="12" t="str">
        <f>IFERROR(__xludf.DUMMYFUNCTION("IFERROR(INDEX(QUERY(IMPORTRANGE(""1T7HG8KEs-Ob7f3M5atEVN9Yn7IeORGp0QGvggB62ELw"",""Maestro!A:I""),""SELECT Col7 WHERE Col3 = '""&amp;BD418&amp;""'"", 0), 1, 1),""NO ENCONTRADO"")"),"")</f>
        <v/>
      </c>
      <c r="BI418" s="16">
        <f t="shared" si="15"/>
        <v>0</v>
      </c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4"/>
      <c r="BW418" s="14"/>
      <c r="BX418" s="14"/>
      <c r="BY418" s="14"/>
      <c r="BZ418" s="14"/>
      <c r="CA418" s="14"/>
      <c r="CB418" s="14"/>
      <c r="CC418" s="14"/>
      <c r="CD418" s="14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</row>
    <row r="419">
      <c r="A419" s="295" t="s">
        <v>593</v>
      </c>
      <c r="B419" s="296" t="s">
        <v>465</v>
      </c>
      <c r="C419" s="296" t="s">
        <v>18</v>
      </c>
      <c r="D419" s="297" t="str">
        <f t="shared" si="1"/>
        <v>ZEST-8-1</v>
      </c>
      <c r="E419" s="72"/>
      <c r="F419" s="77"/>
      <c r="G419" s="74"/>
      <c r="H419" s="138"/>
      <c r="I419" s="76"/>
      <c r="J419" s="138"/>
      <c r="K419" s="32" t="str">
        <f t="shared" si="2"/>
        <v>DISPONIBLE</v>
      </c>
      <c r="L419" s="33">
        <f t="shared" si="14"/>
        <v>418</v>
      </c>
      <c r="M419" s="33" t="s">
        <v>748</v>
      </c>
      <c r="N419" s="122"/>
      <c r="O419" s="353"/>
      <c r="P419" s="354" t="s">
        <v>649</v>
      </c>
      <c r="Q419" s="355"/>
      <c r="R419" s="363"/>
      <c r="S419" s="356"/>
      <c r="T419" s="390"/>
      <c r="U419" s="357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4"/>
      <c r="BE419" s="12"/>
      <c r="BF419" s="12"/>
      <c r="BG419" s="12" t="str">
        <f>IFERROR(__xludf.DUMMYFUNCTION("IFERROR(INDEX(QUERY(IMPORTRANGE(""1T7HG8KEs-Ob7f3M5atEVN9Yn7IeORGp0QGvggB62ELw"",""Maestro!A:I""),""SELECT Col8 WHERE Col3 = '""&amp;BD419&amp;""'"", 0), 1, 1),""NO ENCONTRADO"")"),"")</f>
        <v/>
      </c>
      <c r="BH419" s="12" t="str">
        <f>IFERROR(__xludf.DUMMYFUNCTION("IFERROR(INDEX(QUERY(IMPORTRANGE(""1T7HG8KEs-Ob7f3M5atEVN9Yn7IeORGp0QGvggB62ELw"",""Maestro!A:I""),""SELECT Col7 WHERE Col3 = '""&amp;BD419&amp;""'"", 0), 1, 1),""NO ENCONTRADO"")"),"")</f>
        <v/>
      </c>
      <c r="BI419" s="16">
        <f t="shared" si="15"/>
        <v>0</v>
      </c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4"/>
      <c r="BW419" s="14"/>
      <c r="BX419" s="14"/>
      <c r="BY419" s="14"/>
      <c r="BZ419" s="14"/>
      <c r="CA419" s="14"/>
      <c r="CB419" s="14"/>
      <c r="CC419" s="14"/>
      <c r="CD419" s="14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</row>
    <row r="420">
      <c r="A420" s="295" t="s">
        <v>593</v>
      </c>
      <c r="B420" s="296" t="s">
        <v>465</v>
      </c>
      <c r="C420" s="296" t="s">
        <v>32</v>
      </c>
      <c r="D420" s="297" t="str">
        <f t="shared" si="1"/>
        <v>ZEST-8-2</v>
      </c>
      <c r="E420" s="72"/>
      <c r="F420" s="77"/>
      <c r="G420" s="74"/>
      <c r="H420" s="138"/>
      <c r="I420" s="76"/>
      <c r="J420" s="138"/>
      <c r="K420" s="27" t="str">
        <f t="shared" si="2"/>
        <v>DISPONIBLE</v>
      </c>
      <c r="L420" s="28">
        <f t="shared" si="14"/>
        <v>419</v>
      </c>
      <c r="M420" s="28" t="s">
        <v>748</v>
      </c>
      <c r="N420" s="109"/>
      <c r="O420" s="358"/>
      <c r="P420" s="359" t="s">
        <v>650</v>
      </c>
      <c r="Q420" s="360"/>
      <c r="R420" s="364"/>
      <c r="S420" s="361"/>
      <c r="T420" s="392"/>
      <c r="U420" s="36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4"/>
      <c r="BE420" s="12"/>
      <c r="BF420" s="12"/>
      <c r="BG420" s="12" t="str">
        <f>IFERROR(__xludf.DUMMYFUNCTION("IFERROR(INDEX(QUERY(IMPORTRANGE(""1T7HG8KEs-Ob7f3M5atEVN9Yn7IeORGp0QGvggB62ELw"",""Maestro!A:I""),""SELECT Col8 WHERE Col3 = '""&amp;BD420&amp;""'"", 0), 1, 1),""NO ENCONTRADO"")"),"")</f>
        <v/>
      </c>
      <c r="BH420" s="12" t="str">
        <f>IFERROR(__xludf.DUMMYFUNCTION("IFERROR(INDEX(QUERY(IMPORTRANGE(""1T7HG8KEs-Ob7f3M5atEVN9Yn7IeORGp0QGvggB62ELw"",""Maestro!A:I""),""SELECT Col7 WHERE Col3 = '""&amp;BD420&amp;""'"", 0), 1, 1),""NO ENCONTRADO"")"),"")</f>
        <v/>
      </c>
      <c r="BI420" s="16">
        <f t="shared" si="15"/>
        <v>0</v>
      </c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4"/>
      <c r="BW420" s="14"/>
      <c r="BX420" s="14"/>
      <c r="BY420" s="14"/>
      <c r="BZ420" s="14"/>
      <c r="CA420" s="14"/>
      <c r="CB420" s="14"/>
      <c r="CC420" s="14"/>
      <c r="CD420" s="14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</row>
    <row r="421">
      <c r="A421" s="295" t="s">
        <v>593</v>
      </c>
      <c r="B421" s="296" t="s">
        <v>465</v>
      </c>
      <c r="C421" s="296" t="s">
        <v>44</v>
      </c>
      <c r="D421" s="297" t="str">
        <f t="shared" si="1"/>
        <v>ZEST-8-3</v>
      </c>
      <c r="E421" s="72"/>
      <c r="F421" s="77"/>
      <c r="G421" s="74"/>
      <c r="H421" s="138"/>
      <c r="I421" s="76"/>
      <c r="J421" s="138"/>
      <c r="K421" s="32" t="str">
        <f t="shared" si="2"/>
        <v>DISPONIBLE</v>
      </c>
      <c r="L421" s="33">
        <f t="shared" si="14"/>
        <v>420</v>
      </c>
      <c r="M421" s="33" t="s">
        <v>748</v>
      </c>
      <c r="N421" s="122"/>
      <c r="O421" s="353"/>
      <c r="P421" s="354" t="s">
        <v>651</v>
      </c>
      <c r="Q421" s="355"/>
      <c r="R421" s="363"/>
      <c r="S421" s="356"/>
      <c r="T421" s="390"/>
      <c r="U421" s="357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4"/>
      <c r="BE421" s="12"/>
      <c r="BF421" s="12"/>
      <c r="BG421" s="12" t="str">
        <f>IFERROR(__xludf.DUMMYFUNCTION("IFERROR(INDEX(QUERY(IMPORTRANGE(""1T7HG8KEs-Ob7f3M5atEVN9Yn7IeORGp0QGvggB62ELw"",""Maestro!A:I""),""SELECT Col8 WHERE Col3 = '""&amp;BD421&amp;""'"", 0), 1, 1),""NO ENCONTRADO"")"),"")</f>
        <v/>
      </c>
      <c r="BH421" s="12" t="str">
        <f>IFERROR(__xludf.DUMMYFUNCTION("IFERROR(INDEX(QUERY(IMPORTRANGE(""1T7HG8KEs-Ob7f3M5atEVN9Yn7IeORGp0QGvggB62ELw"",""Maestro!A:I""),""SELECT Col7 WHERE Col3 = '""&amp;BD421&amp;""'"", 0), 1, 1),""NO ENCONTRADO"")"),"")</f>
        <v/>
      </c>
      <c r="BI421" s="16">
        <f t="shared" si="15"/>
        <v>0</v>
      </c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4"/>
      <c r="BW421" s="14"/>
      <c r="BX421" s="14"/>
      <c r="BY421" s="14"/>
      <c r="BZ421" s="14"/>
      <c r="CA421" s="14"/>
      <c r="CB421" s="14"/>
      <c r="CC421" s="14"/>
      <c r="CD421" s="14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</row>
    <row r="422">
      <c r="A422" s="295" t="s">
        <v>593</v>
      </c>
      <c r="B422" s="296" t="s">
        <v>465</v>
      </c>
      <c r="C422" s="296" t="s">
        <v>53</v>
      </c>
      <c r="D422" s="297" t="str">
        <f t="shared" si="1"/>
        <v>ZEST-8-4</v>
      </c>
      <c r="E422" s="72"/>
      <c r="F422" s="77"/>
      <c r="G422" s="74"/>
      <c r="H422" s="138"/>
      <c r="I422" s="76"/>
      <c r="J422" s="138"/>
      <c r="K422" s="27" t="str">
        <f t="shared" si="2"/>
        <v>DISPONIBLE</v>
      </c>
      <c r="L422" s="28">
        <f t="shared" si="14"/>
        <v>421</v>
      </c>
      <c r="M422" s="28" t="s">
        <v>748</v>
      </c>
      <c r="N422" s="109"/>
      <c r="O422" s="358"/>
      <c r="P422" s="359" t="s">
        <v>653</v>
      </c>
      <c r="Q422" s="360"/>
      <c r="R422" s="364"/>
      <c r="S422" s="361"/>
      <c r="T422" s="392"/>
      <c r="U422" s="36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4"/>
      <c r="BE422" s="12"/>
      <c r="BF422" s="12"/>
      <c r="BG422" s="12" t="str">
        <f>IFERROR(__xludf.DUMMYFUNCTION("IFERROR(INDEX(QUERY(IMPORTRANGE(""1T7HG8KEs-Ob7f3M5atEVN9Yn7IeORGp0QGvggB62ELw"",""Maestro!A:I""),""SELECT Col8 WHERE Col3 = '""&amp;BD422&amp;""'"", 0), 1, 1),""NO ENCONTRADO"")"),"")</f>
        <v/>
      </c>
      <c r="BH422" s="12" t="str">
        <f>IFERROR(__xludf.DUMMYFUNCTION("IFERROR(INDEX(QUERY(IMPORTRANGE(""1T7HG8KEs-Ob7f3M5atEVN9Yn7IeORGp0QGvggB62ELw"",""Maestro!A:I""),""SELECT Col7 WHERE Col3 = '""&amp;BD422&amp;""'"", 0), 1, 1),""NO ENCONTRADO"")"),"")</f>
        <v/>
      </c>
      <c r="BI422" s="16">
        <f t="shared" si="15"/>
        <v>0</v>
      </c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4"/>
      <c r="BW422" s="14"/>
      <c r="BX422" s="14"/>
      <c r="BY422" s="14"/>
      <c r="BZ422" s="14"/>
      <c r="CA422" s="14"/>
      <c r="CB422" s="14"/>
      <c r="CC422" s="14"/>
      <c r="CD422" s="14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</row>
    <row r="423">
      <c r="A423" s="295" t="s">
        <v>593</v>
      </c>
      <c r="B423" s="296" t="s">
        <v>465</v>
      </c>
      <c r="C423" s="296" t="s">
        <v>25</v>
      </c>
      <c r="D423" s="297" t="str">
        <f t="shared" si="1"/>
        <v>ZEST-8-5</v>
      </c>
      <c r="E423" s="72"/>
      <c r="F423" s="77"/>
      <c r="G423" s="74"/>
      <c r="H423" s="138"/>
      <c r="I423" s="76"/>
      <c r="J423" s="138"/>
      <c r="K423" s="32" t="str">
        <f t="shared" si="2"/>
        <v>DISPONIBLE</v>
      </c>
      <c r="L423" s="33">
        <f t="shared" si="14"/>
        <v>422</v>
      </c>
      <c r="M423" s="33" t="s">
        <v>748</v>
      </c>
      <c r="N423" s="122"/>
      <c r="O423" s="353"/>
      <c r="P423" s="354" t="s">
        <v>654</v>
      </c>
      <c r="Q423" s="355"/>
      <c r="R423" s="363"/>
      <c r="S423" s="356"/>
      <c r="T423" s="390"/>
      <c r="U423" s="357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4"/>
      <c r="BE423" s="12"/>
      <c r="BF423" s="12"/>
      <c r="BG423" s="12" t="str">
        <f>IFERROR(__xludf.DUMMYFUNCTION("IFERROR(INDEX(QUERY(IMPORTRANGE(""1T7HG8KEs-Ob7f3M5atEVN9Yn7IeORGp0QGvggB62ELw"",""Maestro!A:I""),""SELECT Col8 WHERE Col3 = '""&amp;BD423&amp;""'"", 0), 1, 1),""NO ENCONTRADO"")"),"")</f>
        <v/>
      </c>
      <c r="BH423" s="12" t="str">
        <f>IFERROR(__xludf.DUMMYFUNCTION("IFERROR(INDEX(QUERY(IMPORTRANGE(""1T7HG8KEs-Ob7f3M5atEVN9Yn7IeORGp0QGvggB62ELw"",""Maestro!A:I""),""SELECT Col7 WHERE Col3 = '""&amp;BD423&amp;""'"", 0), 1, 1),""NO ENCONTRADO"")"),"")</f>
        <v/>
      </c>
      <c r="BI423" s="16">
        <f t="shared" si="15"/>
        <v>0</v>
      </c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4"/>
      <c r="BW423" s="14"/>
      <c r="BX423" s="14"/>
      <c r="BY423" s="14"/>
      <c r="BZ423" s="14"/>
      <c r="CA423" s="14"/>
      <c r="CB423" s="14"/>
      <c r="CC423" s="14"/>
      <c r="CD423" s="14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</row>
    <row r="424">
      <c r="A424" s="295" t="s">
        <v>593</v>
      </c>
      <c r="B424" s="296" t="s">
        <v>465</v>
      </c>
      <c r="C424" s="296" t="s">
        <v>36</v>
      </c>
      <c r="D424" s="297" t="str">
        <f t="shared" si="1"/>
        <v>ZEST-8-6</v>
      </c>
      <c r="E424" s="72"/>
      <c r="F424" s="77"/>
      <c r="G424" s="74"/>
      <c r="H424" s="138"/>
      <c r="I424" s="76"/>
      <c r="J424" s="138"/>
      <c r="K424" s="27" t="str">
        <f t="shared" si="2"/>
        <v>DISPONIBLE</v>
      </c>
      <c r="L424" s="28">
        <f t="shared" si="14"/>
        <v>423</v>
      </c>
      <c r="M424" s="28" t="s">
        <v>748</v>
      </c>
      <c r="N424" s="109"/>
      <c r="O424" s="358"/>
      <c r="P424" s="359" t="s">
        <v>655</v>
      </c>
      <c r="Q424" s="360"/>
      <c r="R424" s="364"/>
      <c r="S424" s="361"/>
      <c r="T424" s="392"/>
      <c r="U424" s="36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4"/>
      <c r="BE424" s="12"/>
      <c r="BF424" s="12"/>
      <c r="BG424" s="12" t="str">
        <f>IFERROR(__xludf.DUMMYFUNCTION("IFERROR(INDEX(QUERY(IMPORTRANGE(""1T7HG8KEs-Ob7f3M5atEVN9Yn7IeORGp0QGvggB62ELw"",""Maestro!A:I""),""SELECT Col8 WHERE Col3 = '""&amp;BD424&amp;""'"", 0), 1, 1),""NO ENCONTRADO"")"),"")</f>
        <v/>
      </c>
      <c r="BH424" s="12" t="str">
        <f>IFERROR(__xludf.DUMMYFUNCTION("IFERROR(INDEX(QUERY(IMPORTRANGE(""1T7HG8KEs-Ob7f3M5atEVN9Yn7IeORGp0QGvggB62ELw"",""Maestro!A:I""),""SELECT Col7 WHERE Col3 = '""&amp;BD424&amp;""'"", 0), 1, 1),""NO ENCONTRADO"")"),"")</f>
        <v/>
      </c>
      <c r="BI424" s="16">
        <f t="shared" si="15"/>
        <v>0</v>
      </c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4"/>
      <c r="BW424" s="14"/>
      <c r="BX424" s="14"/>
      <c r="BY424" s="14"/>
      <c r="BZ424" s="14"/>
      <c r="CA424" s="14"/>
      <c r="CB424" s="14"/>
      <c r="CC424" s="14"/>
      <c r="CD424" s="14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</row>
    <row r="425">
      <c r="A425" s="295" t="s">
        <v>593</v>
      </c>
      <c r="B425" s="296" t="s">
        <v>465</v>
      </c>
      <c r="C425" s="296" t="s">
        <v>48</v>
      </c>
      <c r="D425" s="297" t="str">
        <f t="shared" si="1"/>
        <v>ZEST-8-7</v>
      </c>
      <c r="E425" s="72"/>
      <c r="F425" s="77"/>
      <c r="G425" s="74"/>
      <c r="H425" s="138"/>
      <c r="I425" s="76"/>
      <c r="J425" s="138"/>
      <c r="K425" s="32" t="str">
        <f t="shared" si="2"/>
        <v>DISPONIBLE</v>
      </c>
      <c r="L425" s="33">
        <f t="shared" si="14"/>
        <v>424</v>
      </c>
      <c r="M425" s="33" t="s">
        <v>748</v>
      </c>
      <c r="N425" s="122"/>
      <c r="O425" s="353"/>
      <c r="P425" s="354" t="s">
        <v>656</v>
      </c>
      <c r="Q425" s="355"/>
      <c r="R425" s="363"/>
      <c r="S425" s="356"/>
      <c r="T425" s="390"/>
      <c r="U425" s="357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4"/>
      <c r="BE425" s="12"/>
      <c r="BF425" s="12"/>
      <c r="BG425" s="12" t="str">
        <f>IFERROR(__xludf.DUMMYFUNCTION("IFERROR(INDEX(QUERY(IMPORTRANGE(""1T7HG8KEs-Ob7f3M5atEVN9Yn7IeORGp0QGvggB62ELw"",""Maestro!A:I""),""SELECT Col8 WHERE Col3 = '""&amp;BD425&amp;""'"", 0), 1, 1),""NO ENCONTRADO"")"),"")</f>
        <v/>
      </c>
      <c r="BH425" s="12" t="str">
        <f>IFERROR(__xludf.DUMMYFUNCTION("IFERROR(INDEX(QUERY(IMPORTRANGE(""1T7HG8KEs-Ob7f3M5atEVN9Yn7IeORGp0QGvggB62ELw"",""Maestro!A:I""),""SELECT Col7 WHERE Col3 = '""&amp;BD425&amp;""'"", 0), 1, 1),""NO ENCONTRADO"")"),"")</f>
        <v/>
      </c>
      <c r="BI425" s="16">
        <f t="shared" si="15"/>
        <v>0</v>
      </c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4"/>
      <c r="BW425" s="14"/>
      <c r="BX425" s="14"/>
      <c r="BY425" s="14"/>
      <c r="BZ425" s="14"/>
      <c r="CA425" s="14"/>
      <c r="CB425" s="14"/>
      <c r="CC425" s="14"/>
      <c r="CD425" s="14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</row>
    <row r="426">
      <c r="A426" s="295" t="s">
        <v>593</v>
      </c>
      <c r="B426" s="296" t="s">
        <v>511</v>
      </c>
      <c r="C426" s="296" t="s">
        <v>18</v>
      </c>
      <c r="D426" s="297" t="str">
        <f t="shared" si="1"/>
        <v>ZEST-9-1</v>
      </c>
      <c r="E426" s="72"/>
      <c r="F426" s="77"/>
      <c r="G426" s="74"/>
      <c r="H426" s="138"/>
      <c r="I426" s="76"/>
      <c r="J426" s="138"/>
      <c r="K426" s="27" t="str">
        <f t="shared" si="2"/>
        <v>DISPONIBLE</v>
      </c>
      <c r="L426" s="28">
        <f t="shared" si="14"/>
        <v>425</v>
      </c>
      <c r="M426" s="28" t="s">
        <v>748</v>
      </c>
      <c r="N426" s="109"/>
      <c r="O426" s="358"/>
      <c r="P426" s="359" t="s">
        <v>657</v>
      </c>
      <c r="Q426" s="360"/>
      <c r="R426" s="364"/>
      <c r="S426" s="361"/>
      <c r="T426" s="392"/>
      <c r="U426" s="36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4"/>
      <c r="BE426" s="12"/>
      <c r="BF426" s="12"/>
      <c r="BG426" s="12" t="str">
        <f>IFERROR(__xludf.DUMMYFUNCTION("IFERROR(INDEX(QUERY(IMPORTRANGE(""1T7HG8KEs-Ob7f3M5atEVN9Yn7IeORGp0QGvggB62ELw"",""Maestro!A:I""),""SELECT Col8 WHERE Col3 = '""&amp;BD426&amp;""'"", 0), 1, 1),""NO ENCONTRADO"")"),"")</f>
        <v/>
      </c>
      <c r="BH426" s="12" t="str">
        <f>IFERROR(__xludf.DUMMYFUNCTION("IFERROR(INDEX(QUERY(IMPORTRANGE(""1T7HG8KEs-Ob7f3M5atEVN9Yn7IeORGp0QGvggB62ELw"",""Maestro!A:I""),""SELECT Col7 WHERE Col3 = '""&amp;BD426&amp;""'"", 0), 1, 1),""NO ENCONTRADO"")"),"")</f>
        <v/>
      </c>
      <c r="BI426" s="16">
        <f t="shared" si="15"/>
        <v>0</v>
      </c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4"/>
      <c r="BW426" s="14"/>
      <c r="BX426" s="14"/>
      <c r="BY426" s="14"/>
      <c r="BZ426" s="14"/>
      <c r="CA426" s="14"/>
      <c r="CB426" s="14"/>
      <c r="CC426" s="14"/>
      <c r="CD426" s="14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</row>
    <row r="427">
      <c r="A427" s="295" t="s">
        <v>593</v>
      </c>
      <c r="B427" s="296" t="s">
        <v>511</v>
      </c>
      <c r="C427" s="296" t="s">
        <v>32</v>
      </c>
      <c r="D427" s="297" t="str">
        <f t="shared" si="1"/>
        <v>ZEST-9-2</v>
      </c>
      <c r="E427" s="72"/>
      <c r="F427" s="77"/>
      <c r="G427" s="74"/>
      <c r="H427" s="138"/>
      <c r="I427" s="76"/>
      <c r="J427" s="138"/>
      <c r="K427" s="32" t="str">
        <f t="shared" si="2"/>
        <v>DISPONIBLE</v>
      </c>
      <c r="L427" s="33">
        <f t="shared" si="14"/>
        <v>426</v>
      </c>
      <c r="M427" s="33" t="s">
        <v>748</v>
      </c>
      <c r="N427" s="122"/>
      <c r="O427" s="353"/>
      <c r="P427" s="354" t="s">
        <v>658</v>
      </c>
      <c r="Q427" s="355"/>
      <c r="R427" s="363"/>
      <c r="S427" s="356"/>
      <c r="T427" s="390"/>
      <c r="U427" s="357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4"/>
      <c r="BE427" s="12"/>
      <c r="BF427" s="12"/>
      <c r="BG427" s="12" t="str">
        <f>IFERROR(__xludf.DUMMYFUNCTION("IFERROR(INDEX(QUERY(IMPORTRANGE(""1T7HG8KEs-Ob7f3M5atEVN9Yn7IeORGp0QGvggB62ELw"",""Maestro!A:I""),""SELECT Col8 WHERE Col3 = '""&amp;BD427&amp;""'"", 0), 1, 1),""NO ENCONTRADO"")"),"")</f>
        <v/>
      </c>
      <c r="BH427" s="12" t="str">
        <f>IFERROR(__xludf.DUMMYFUNCTION("IFERROR(INDEX(QUERY(IMPORTRANGE(""1T7HG8KEs-Ob7f3M5atEVN9Yn7IeORGp0QGvggB62ELw"",""Maestro!A:I""),""SELECT Col7 WHERE Col3 = '""&amp;BD427&amp;""'"", 0), 1, 1),""NO ENCONTRADO"")"),"")</f>
        <v/>
      </c>
      <c r="BI427" s="16">
        <f t="shared" si="15"/>
        <v>0</v>
      </c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4"/>
      <c r="BW427" s="14"/>
      <c r="BX427" s="14"/>
      <c r="BY427" s="14"/>
      <c r="BZ427" s="14"/>
      <c r="CA427" s="14"/>
      <c r="CB427" s="14"/>
      <c r="CC427" s="14"/>
      <c r="CD427" s="14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</row>
    <row r="428">
      <c r="A428" s="295" t="s">
        <v>593</v>
      </c>
      <c r="B428" s="296" t="s">
        <v>511</v>
      </c>
      <c r="C428" s="296" t="s">
        <v>44</v>
      </c>
      <c r="D428" s="297" t="str">
        <f t="shared" si="1"/>
        <v>ZEST-9-3</v>
      </c>
      <c r="E428" s="72"/>
      <c r="F428" s="77"/>
      <c r="G428" s="74"/>
      <c r="H428" s="138"/>
      <c r="I428" s="76"/>
      <c r="J428" s="138"/>
      <c r="K428" s="27" t="str">
        <f t="shared" si="2"/>
        <v>DISPONIBLE</v>
      </c>
      <c r="L428" s="28">
        <f t="shared" si="14"/>
        <v>427</v>
      </c>
      <c r="M428" s="28" t="s">
        <v>748</v>
      </c>
      <c r="N428" s="109"/>
      <c r="O428" s="358"/>
      <c r="P428" s="359" t="s">
        <v>659</v>
      </c>
      <c r="Q428" s="360"/>
      <c r="R428" s="364"/>
      <c r="S428" s="361"/>
      <c r="T428" s="392"/>
      <c r="U428" s="36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4"/>
      <c r="BE428" s="12"/>
      <c r="BF428" s="12"/>
      <c r="BG428" s="12" t="str">
        <f>IFERROR(__xludf.DUMMYFUNCTION("IFERROR(INDEX(QUERY(IMPORTRANGE(""1T7HG8KEs-Ob7f3M5atEVN9Yn7IeORGp0QGvggB62ELw"",""Maestro!A:I""),""SELECT Col8 WHERE Col3 = '""&amp;BD428&amp;""'"", 0), 1, 1),""NO ENCONTRADO"")"),"")</f>
        <v/>
      </c>
      <c r="BH428" s="12" t="str">
        <f>IFERROR(__xludf.DUMMYFUNCTION("IFERROR(INDEX(QUERY(IMPORTRANGE(""1T7HG8KEs-Ob7f3M5atEVN9Yn7IeORGp0QGvggB62ELw"",""Maestro!A:I""),""SELECT Col7 WHERE Col3 = '""&amp;BD428&amp;""'"", 0), 1, 1),""NO ENCONTRADO"")"),"")</f>
        <v/>
      </c>
      <c r="BI428" s="16">
        <f t="shared" si="15"/>
        <v>0</v>
      </c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4"/>
      <c r="BW428" s="14"/>
      <c r="BX428" s="14"/>
      <c r="BY428" s="14"/>
      <c r="BZ428" s="14"/>
      <c r="CA428" s="14"/>
      <c r="CB428" s="14"/>
      <c r="CC428" s="14"/>
      <c r="CD428" s="14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</row>
    <row r="429">
      <c r="A429" s="295" t="s">
        <v>593</v>
      </c>
      <c r="B429" s="296" t="s">
        <v>511</v>
      </c>
      <c r="C429" s="296" t="s">
        <v>53</v>
      </c>
      <c r="D429" s="297" t="str">
        <f t="shared" si="1"/>
        <v>ZEST-9-4</v>
      </c>
      <c r="E429" s="72"/>
      <c r="F429" s="77"/>
      <c r="G429" s="74"/>
      <c r="H429" s="138"/>
      <c r="I429" s="76"/>
      <c r="J429" s="138"/>
      <c r="K429" s="32" t="str">
        <f t="shared" si="2"/>
        <v>DISPONIBLE</v>
      </c>
      <c r="L429" s="33">
        <f t="shared" si="14"/>
        <v>428</v>
      </c>
      <c r="M429" s="33" t="s">
        <v>748</v>
      </c>
      <c r="N429" s="122"/>
      <c r="O429" s="353"/>
      <c r="P429" s="354" t="s">
        <v>660</v>
      </c>
      <c r="Q429" s="355"/>
      <c r="R429" s="363"/>
      <c r="S429" s="356"/>
      <c r="T429" s="390"/>
      <c r="U429" s="357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4"/>
      <c r="BE429" s="12"/>
      <c r="BF429" s="12"/>
      <c r="BG429" s="12" t="str">
        <f>IFERROR(__xludf.DUMMYFUNCTION("IFERROR(INDEX(QUERY(IMPORTRANGE(""1T7HG8KEs-Ob7f3M5atEVN9Yn7IeORGp0QGvggB62ELw"",""Maestro!A:I""),""SELECT Col8 WHERE Col3 = '""&amp;BD429&amp;""'"", 0), 1, 1),""NO ENCONTRADO"")"),"")</f>
        <v/>
      </c>
      <c r="BH429" s="12" t="str">
        <f>IFERROR(__xludf.DUMMYFUNCTION("IFERROR(INDEX(QUERY(IMPORTRANGE(""1T7HG8KEs-Ob7f3M5atEVN9Yn7IeORGp0QGvggB62ELw"",""Maestro!A:I""),""SELECT Col7 WHERE Col3 = '""&amp;BD429&amp;""'"", 0), 1, 1),""NO ENCONTRADO"")"),"")</f>
        <v/>
      </c>
      <c r="BI429" s="16">
        <f t="shared" si="15"/>
        <v>0</v>
      </c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4"/>
      <c r="BW429" s="14"/>
      <c r="BX429" s="14"/>
      <c r="BY429" s="14"/>
      <c r="BZ429" s="14"/>
      <c r="CA429" s="14"/>
      <c r="CB429" s="14"/>
      <c r="CC429" s="14"/>
      <c r="CD429" s="14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</row>
    <row r="430">
      <c r="A430" s="295" t="s">
        <v>593</v>
      </c>
      <c r="B430" s="296" t="s">
        <v>511</v>
      </c>
      <c r="C430" s="296" t="s">
        <v>25</v>
      </c>
      <c r="D430" s="297" t="str">
        <f t="shared" si="1"/>
        <v>ZEST-9-5</v>
      </c>
      <c r="E430" s="72"/>
      <c r="F430" s="77"/>
      <c r="G430" s="74"/>
      <c r="H430" s="138"/>
      <c r="I430" s="76"/>
      <c r="J430" s="138"/>
      <c r="K430" s="27" t="str">
        <f t="shared" si="2"/>
        <v>DISPONIBLE</v>
      </c>
      <c r="L430" s="28">
        <f t="shared" si="14"/>
        <v>429</v>
      </c>
      <c r="M430" s="28" t="s">
        <v>748</v>
      </c>
      <c r="N430" s="109"/>
      <c r="O430" s="358"/>
      <c r="P430" s="359" t="s">
        <v>661</v>
      </c>
      <c r="Q430" s="360"/>
      <c r="R430" s="364"/>
      <c r="S430" s="361"/>
      <c r="T430" s="392"/>
      <c r="U430" s="36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4"/>
      <c r="BE430" s="12"/>
      <c r="BF430" s="12"/>
      <c r="BG430" s="12" t="str">
        <f>IFERROR(__xludf.DUMMYFUNCTION("IFERROR(INDEX(QUERY(IMPORTRANGE(""1T7HG8KEs-Ob7f3M5atEVN9Yn7IeORGp0QGvggB62ELw"",""Maestro!A:I""),""SELECT Col8 WHERE Col3 = '""&amp;BD430&amp;""'"", 0), 1, 1),""NO ENCONTRADO"")"),"")</f>
        <v/>
      </c>
      <c r="BH430" s="12" t="str">
        <f>IFERROR(__xludf.DUMMYFUNCTION("IFERROR(INDEX(QUERY(IMPORTRANGE(""1T7HG8KEs-Ob7f3M5atEVN9Yn7IeORGp0QGvggB62ELw"",""Maestro!A:I""),""SELECT Col7 WHERE Col3 = '""&amp;BD430&amp;""'"", 0), 1, 1),""NO ENCONTRADO"")"),"")</f>
        <v/>
      </c>
      <c r="BI430" s="16">
        <f t="shared" si="15"/>
        <v>0</v>
      </c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4"/>
      <c r="BW430" s="14"/>
      <c r="BX430" s="14"/>
      <c r="BY430" s="14"/>
      <c r="BZ430" s="14"/>
      <c r="CA430" s="14"/>
      <c r="CB430" s="14"/>
      <c r="CC430" s="14"/>
      <c r="CD430" s="14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</row>
    <row r="431">
      <c r="A431" s="295" t="s">
        <v>593</v>
      </c>
      <c r="B431" s="296" t="s">
        <v>511</v>
      </c>
      <c r="C431" s="296" t="s">
        <v>36</v>
      </c>
      <c r="D431" s="297" t="str">
        <f t="shared" si="1"/>
        <v>ZEST-9-6</v>
      </c>
      <c r="E431" s="72"/>
      <c r="F431" s="77"/>
      <c r="G431" s="74"/>
      <c r="H431" s="138"/>
      <c r="I431" s="76"/>
      <c r="J431" s="138"/>
      <c r="K431" s="32" t="str">
        <f t="shared" si="2"/>
        <v>DISPONIBLE</v>
      </c>
      <c r="L431" s="33">
        <f t="shared" si="14"/>
        <v>430</v>
      </c>
      <c r="M431" s="33" t="s">
        <v>748</v>
      </c>
      <c r="N431" s="122"/>
      <c r="O431" s="353"/>
      <c r="P431" s="354" t="s">
        <v>662</v>
      </c>
      <c r="Q431" s="355"/>
      <c r="R431" s="363"/>
      <c r="S431" s="356"/>
      <c r="T431" s="390"/>
      <c r="U431" s="357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4"/>
      <c r="BE431" s="12"/>
      <c r="BF431" s="12"/>
      <c r="BG431" s="12" t="str">
        <f>IFERROR(__xludf.DUMMYFUNCTION("IFERROR(INDEX(QUERY(IMPORTRANGE(""1T7HG8KEs-Ob7f3M5atEVN9Yn7IeORGp0QGvggB62ELw"",""Maestro!A:I""),""SELECT Col8 WHERE Col3 = '""&amp;BD431&amp;""'"", 0), 1, 1),""NO ENCONTRADO"")"),"")</f>
        <v/>
      </c>
      <c r="BH431" s="12" t="str">
        <f>IFERROR(__xludf.DUMMYFUNCTION("IFERROR(INDEX(QUERY(IMPORTRANGE(""1T7HG8KEs-Ob7f3M5atEVN9Yn7IeORGp0QGvggB62ELw"",""Maestro!A:I""),""SELECT Col7 WHERE Col3 = '""&amp;BD431&amp;""'"", 0), 1, 1),""NO ENCONTRADO"")"),"")</f>
        <v/>
      </c>
      <c r="BI431" s="16">
        <f t="shared" si="15"/>
        <v>0</v>
      </c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4"/>
      <c r="BW431" s="14"/>
      <c r="BX431" s="14"/>
      <c r="BY431" s="14"/>
      <c r="BZ431" s="14"/>
      <c r="CA431" s="14"/>
      <c r="CB431" s="14"/>
      <c r="CC431" s="14"/>
      <c r="CD431" s="14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</row>
    <row r="432">
      <c r="A432" s="295" t="s">
        <v>593</v>
      </c>
      <c r="B432" s="296" t="s">
        <v>511</v>
      </c>
      <c r="C432" s="296" t="s">
        <v>48</v>
      </c>
      <c r="D432" s="297" t="str">
        <f t="shared" si="1"/>
        <v>ZEST-9-7</v>
      </c>
      <c r="E432" s="72"/>
      <c r="F432" s="77"/>
      <c r="G432" s="74"/>
      <c r="H432" s="138"/>
      <c r="I432" s="76"/>
      <c r="J432" s="138"/>
      <c r="K432" s="27" t="str">
        <f t="shared" si="2"/>
        <v>DISPONIBLE</v>
      </c>
      <c r="L432" s="28">
        <f t="shared" si="14"/>
        <v>431</v>
      </c>
      <c r="M432" s="28" t="s">
        <v>748</v>
      </c>
      <c r="N432" s="109"/>
      <c r="O432" s="358"/>
      <c r="P432" s="359" t="s">
        <v>663</v>
      </c>
      <c r="Q432" s="360"/>
      <c r="R432" s="364"/>
      <c r="S432" s="361"/>
      <c r="T432" s="392"/>
      <c r="U432" s="36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4"/>
      <c r="BE432" s="12"/>
      <c r="BF432" s="12"/>
      <c r="BG432" s="12" t="str">
        <f>IFERROR(__xludf.DUMMYFUNCTION("IFERROR(INDEX(QUERY(IMPORTRANGE(""1T7HG8KEs-Ob7f3M5atEVN9Yn7IeORGp0QGvggB62ELw"",""Maestro!A:I""),""SELECT Col8 WHERE Col3 = '""&amp;BD432&amp;""'"", 0), 1, 1),""NO ENCONTRADO"")"),"")</f>
        <v/>
      </c>
      <c r="BH432" s="12" t="str">
        <f>IFERROR(__xludf.DUMMYFUNCTION("IFERROR(INDEX(QUERY(IMPORTRANGE(""1T7HG8KEs-Ob7f3M5atEVN9Yn7IeORGp0QGvggB62ELw"",""Maestro!A:I""),""SELECT Col7 WHERE Col3 = '""&amp;BD432&amp;""'"", 0), 1, 1),""NO ENCONTRADO"")"),"")</f>
        <v/>
      </c>
      <c r="BI432" s="16">
        <f t="shared" si="15"/>
        <v>0</v>
      </c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4"/>
      <c r="BW432" s="14"/>
      <c r="BX432" s="14"/>
      <c r="BY432" s="14"/>
      <c r="BZ432" s="14"/>
      <c r="CA432" s="14"/>
      <c r="CB432" s="14"/>
      <c r="CC432" s="14"/>
      <c r="CD432" s="14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</row>
    <row r="433">
      <c r="A433" s="295" t="s">
        <v>593</v>
      </c>
      <c r="B433" s="296" t="s">
        <v>296</v>
      </c>
      <c r="C433" s="296" t="s">
        <v>18</v>
      </c>
      <c r="D433" s="297" t="str">
        <f t="shared" si="1"/>
        <v>ZEST-10-1</v>
      </c>
      <c r="E433" s="72"/>
      <c r="F433" s="77"/>
      <c r="G433" s="74"/>
      <c r="H433" s="138"/>
      <c r="I433" s="76"/>
      <c r="J433" s="138"/>
      <c r="K433" s="32" t="str">
        <f t="shared" si="2"/>
        <v>DISPONIBLE</v>
      </c>
      <c r="L433" s="33">
        <f t="shared" si="14"/>
        <v>432</v>
      </c>
      <c r="M433" s="33" t="s">
        <v>748</v>
      </c>
      <c r="N433" s="122"/>
      <c r="O433" s="353"/>
      <c r="P433" s="354" t="s">
        <v>596</v>
      </c>
      <c r="Q433" s="355"/>
      <c r="R433" s="363"/>
      <c r="S433" s="356"/>
      <c r="T433" s="390"/>
      <c r="U433" s="357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4"/>
      <c r="BE433" s="12"/>
      <c r="BF433" s="12"/>
      <c r="BG433" s="12" t="str">
        <f>IFERROR(__xludf.DUMMYFUNCTION("IFERROR(INDEX(QUERY(IMPORTRANGE(""1T7HG8KEs-Ob7f3M5atEVN9Yn7IeORGp0QGvggB62ELw"",""Maestro!A:I""),""SELECT Col8 WHERE Col3 = '""&amp;BD433&amp;""'"", 0), 1, 1),""NO ENCONTRADO"")"),"")</f>
        <v/>
      </c>
      <c r="BH433" s="12" t="str">
        <f>IFERROR(__xludf.DUMMYFUNCTION("IFERROR(INDEX(QUERY(IMPORTRANGE(""1T7HG8KEs-Ob7f3M5atEVN9Yn7IeORGp0QGvggB62ELw"",""Maestro!A:I""),""SELECT Col7 WHERE Col3 = '""&amp;BD433&amp;""'"", 0), 1, 1),""NO ENCONTRADO"")"),"")</f>
        <v/>
      </c>
      <c r="BI433" s="16">
        <f t="shared" si="15"/>
        <v>0</v>
      </c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4"/>
      <c r="BW433" s="14"/>
      <c r="BX433" s="14"/>
      <c r="BY433" s="14"/>
      <c r="BZ433" s="14"/>
      <c r="CA433" s="14"/>
      <c r="CB433" s="14"/>
      <c r="CC433" s="14"/>
      <c r="CD433" s="14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</row>
    <row r="434">
      <c r="A434" s="295" t="s">
        <v>593</v>
      </c>
      <c r="B434" s="296" t="s">
        <v>296</v>
      </c>
      <c r="C434" s="296" t="s">
        <v>32</v>
      </c>
      <c r="D434" s="297" t="str">
        <f t="shared" si="1"/>
        <v>ZEST-10-2</v>
      </c>
      <c r="E434" s="72"/>
      <c r="F434" s="77"/>
      <c r="G434" s="74"/>
      <c r="H434" s="138"/>
      <c r="I434" s="76"/>
      <c r="J434" s="138"/>
      <c r="K434" s="27" t="str">
        <f t="shared" si="2"/>
        <v>DISPONIBLE</v>
      </c>
      <c r="L434" s="28">
        <f t="shared" si="14"/>
        <v>433</v>
      </c>
      <c r="M434" s="28" t="s">
        <v>748</v>
      </c>
      <c r="N434" s="109"/>
      <c r="O434" s="358"/>
      <c r="P434" s="359" t="s">
        <v>597</v>
      </c>
      <c r="Q434" s="360"/>
      <c r="R434" s="364"/>
      <c r="S434" s="361"/>
      <c r="T434" s="392"/>
      <c r="U434" s="36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4"/>
      <c r="BE434" s="12"/>
      <c r="BF434" s="12"/>
      <c r="BG434" s="12" t="str">
        <f>IFERROR(__xludf.DUMMYFUNCTION("IFERROR(INDEX(QUERY(IMPORTRANGE(""1T7HG8KEs-Ob7f3M5atEVN9Yn7IeORGp0QGvggB62ELw"",""Maestro!A:I""),""SELECT Col8 WHERE Col3 = '""&amp;BD434&amp;""'"", 0), 1, 1),""NO ENCONTRADO"")"),"")</f>
        <v/>
      </c>
      <c r="BH434" s="12" t="str">
        <f>IFERROR(__xludf.DUMMYFUNCTION("IFERROR(INDEX(QUERY(IMPORTRANGE(""1T7HG8KEs-Ob7f3M5atEVN9Yn7IeORGp0QGvggB62ELw"",""Maestro!A:I""),""SELECT Col7 WHERE Col3 = '""&amp;BD434&amp;""'"", 0), 1, 1),""NO ENCONTRADO"")"),"")</f>
        <v/>
      </c>
      <c r="BI434" s="16">
        <f t="shared" si="15"/>
        <v>0</v>
      </c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4"/>
      <c r="BW434" s="14"/>
      <c r="BX434" s="14"/>
      <c r="BY434" s="14"/>
      <c r="BZ434" s="14"/>
      <c r="CA434" s="14"/>
      <c r="CB434" s="14"/>
      <c r="CC434" s="14"/>
      <c r="CD434" s="14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</row>
    <row r="435">
      <c r="A435" s="295" t="s">
        <v>593</v>
      </c>
      <c r="B435" s="296" t="s">
        <v>296</v>
      </c>
      <c r="C435" s="296" t="s">
        <v>44</v>
      </c>
      <c r="D435" s="297" t="str">
        <f t="shared" si="1"/>
        <v>ZEST-10-3</v>
      </c>
      <c r="E435" s="72"/>
      <c r="F435" s="77"/>
      <c r="G435" s="74"/>
      <c r="H435" s="138"/>
      <c r="I435" s="76"/>
      <c r="J435" s="138"/>
      <c r="K435" s="32" t="str">
        <f t="shared" si="2"/>
        <v>DISPONIBLE</v>
      </c>
      <c r="L435" s="33">
        <f t="shared" si="14"/>
        <v>434</v>
      </c>
      <c r="M435" s="33" t="s">
        <v>748</v>
      </c>
      <c r="N435" s="122"/>
      <c r="O435" s="353"/>
      <c r="P435" s="354" t="s">
        <v>598</v>
      </c>
      <c r="Q435" s="355"/>
      <c r="R435" s="363"/>
      <c r="S435" s="356"/>
      <c r="T435" s="390"/>
      <c r="U435" s="357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4"/>
      <c r="BE435" s="12"/>
      <c r="BF435" s="12"/>
      <c r="BG435" s="12" t="str">
        <f>IFERROR(__xludf.DUMMYFUNCTION("IFERROR(INDEX(QUERY(IMPORTRANGE(""1T7HG8KEs-Ob7f3M5atEVN9Yn7IeORGp0QGvggB62ELw"",""Maestro!A:I""),""SELECT Col8 WHERE Col3 = '""&amp;BD435&amp;""'"", 0), 1, 1),""NO ENCONTRADO"")"),"")</f>
        <v/>
      </c>
      <c r="BH435" s="12" t="str">
        <f>IFERROR(__xludf.DUMMYFUNCTION("IFERROR(INDEX(QUERY(IMPORTRANGE(""1T7HG8KEs-Ob7f3M5atEVN9Yn7IeORGp0QGvggB62ELw"",""Maestro!A:I""),""SELECT Col7 WHERE Col3 = '""&amp;BD435&amp;""'"", 0), 1, 1),""NO ENCONTRADO"")"),"")</f>
        <v/>
      </c>
      <c r="BI435" s="16">
        <f t="shared" si="15"/>
        <v>0</v>
      </c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4"/>
      <c r="BW435" s="14"/>
      <c r="BX435" s="14"/>
      <c r="BY435" s="14"/>
      <c r="BZ435" s="14"/>
      <c r="CA435" s="14"/>
      <c r="CB435" s="14"/>
      <c r="CC435" s="14"/>
      <c r="CD435" s="14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</row>
    <row r="436">
      <c r="A436" s="295" t="s">
        <v>593</v>
      </c>
      <c r="B436" s="296" t="s">
        <v>296</v>
      </c>
      <c r="C436" s="296" t="s">
        <v>53</v>
      </c>
      <c r="D436" s="297" t="str">
        <f t="shared" si="1"/>
        <v>ZEST-10-4</v>
      </c>
      <c r="E436" s="72"/>
      <c r="F436" s="77"/>
      <c r="G436" s="74"/>
      <c r="H436" s="138"/>
      <c r="I436" s="76"/>
      <c r="J436" s="138"/>
      <c r="K436" s="27" t="str">
        <f t="shared" si="2"/>
        <v>DISPONIBLE</v>
      </c>
      <c r="L436" s="28">
        <f t="shared" si="14"/>
        <v>435</v>
      </c>
      <c r="M436" s="28" t="s">
        <v>748</v>
      </c>
      <c r="N436" s="109"/>
      <c r="O436" s="358"/>
      <c r="P436" s="359" t="s">
        <v>599</v>
      </c>
      <c r="Q436" s="360"/>
      <c r="R436" s="364"/>
      <c r="S436" s="361"/>
      <c r="T436" s="392"/>
      <c r="U436" s="36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4"/>
      <c r="BE436" s="12"/>
      <c r="BF436" s="12"/>
      <c r="BG436" s="12" t="str">
        <f>IFERROR(__xludf.DUMMYFUNCTION("IFERROR(INDEX(QUERY(IMPORTRANGE(""1T7HG8KEs-Ob7f3M5atEVN9Yn7IeORGp0QGvggB62ELw"",""Maestro!A:I""),""SELECT Col8 WHERE Col3 = '""&amp;BD436&amp;""'"", 0), 1, 1),""NO ENCONTRADO"")"),"")</f>
        <v/>
      </c>
      <c r="BH436" s="12" t="str">
        <f>IFERROR(__xludf.DUMMYFUNCTION("IFERROR(INDEX(QUERY(IMPORTRANGE(""1T7HG8KEs-Ob7f3M5atEVN9Yn7IeORGp0QGvggB62ELw"",""Maestro!A:I""),""SELECT Col7 WHERE Col3 = '""&amp;BD436&amp;""'"", 0), 1, 1),""NO ENCONTRADO"")"),"")</f>
        <v/>
      </c>
      <c r="BI436" s="16">
        <f t="shared" si="15"/>
        <v>0</v>
      </c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4"/>
      <c r="BW436" s="14"/>
      <c r="BX436" s="14"/>
      <c r="BY436" s="14"/>
      <c r="BZ436" s="14"/>
      <c r="CA436" s="14"/>
      <c r="CB436" s="14"/>
      <c r="CC436" s="14"/>
      <c r="CD436" s="14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</row>
    <row r="437">
      <c r="A437" s="295" t="s">
        <v>593</v>
      </c>
      <c r="B437" s="296" t="s">
        <v>296</v>
      </c>
      <c r="C437" s="296" t="s">
        <v>25</v>
      </c>
      <c r="D437" s="297" t="str">
        <f t="shared" si="1"/>
        <v>ZEST-10-5</v>
      </c>
      <c r="E437" s="72"/>
      <c r="F437" s="77"/>
      <c r="G437" s="74"/>
      <c r="H437" s="138"/>
      <c r="I437" s="76"/>
      <c r="J437" s="138"/>
      <c r="K437" s="32" t="str">
        <f t="shared" si="2"/>
        <v>DISPONIBLE</v>
      </c>
      <c r="L437" s="33">
        <f t="shared" si="14"/>
        <v>436</v>
      </c>
      <c r="M437" s="33" t="s">
        <v>748</v>
      </c>
      <c r="N437" s="122"/>
      <c r="O437" s="353"/>
      <c r="P437" s="354" t="s">
        <v>601</v>
      </c>
      <c r="Q437" s="355"/>
      <c r="R437" s="363"/>
      <c r="S437" s="356"/>
      <c r="T437" s="390"/>
      <c r="U437" s="357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4"/>
      <c r="BE437" s="12"/>
      <c r="BF437" s="12"/>
      <c r="BG437" s="12" t="str">
        <f>IFERROR(__xludf.DUMMYFUNCTION("IFERROR(INDEX(QUERY(IMPORTRANGE(""1T7HG8KEs-Ob7f3M5atEVN9Yn7IeORGp0QGvggB62ELw"",""Maestro!A:I""),""SELECT Col8 WHERE Col3 = '""&amp;BD437&amp;""'"", 0), 1, 1),""NO ENCONTRADO"")"),"")</f>
        <v/>
      </c>
      <c r="BH437" s="12" t="str">
        <f>IFERROR(__xludf.DUMMYFUNCTION("IFERROR(INDEX(QUERY(IMPORTRANGE(""1T7HG8KEs-Ob7f3M5atEVN9Yn7IeORGp0QGvggB62ELw"",""Maestro!A:I""),""SELECT Col7 WHERE Col3 = '""&amp;BD437&amp;""'"", 0), 1, 1),""NO ENCONTRADO"")"),"")</f>
        <v/>
      </c>
      <c r="BI437" s="16">
        <f t="shared" si="15"/>
        <v>0</v>
      </c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4"/>
      <c r="BW437" s="14"/>
      <c r="BX437" s="14"/>
      <c r="BY437" s="14"/>
      <c r="BZ437" s="14"/>
      <c r="CA437" s="14"/>
      <c r="CB437" s="14"/>
      <c r="CC437" s="14"/>
      <c r="CD437" s="14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</row>
    <row r="438">
      <c r="A438" s="295" t="s">
        <v>593</v>
      </c>
      <c r="B438" s="296" t="s">
        <v>296</v>
      </c>
      <c r="C438" s="296" t="s">
        <v>36</v>
      </c>
      <c r="D438" s="297" t="str">
        <f t="shared" si="1"/>
        <v>ZEST-10-6</v>
      </c>
      <c r="E438" s="72"/>
      <c r="F438" s="77"/>
      <c r="G438" s="74"/>
      <c r="H438" s="138"/>
      <c r="I438" s="76"/>
      <c r="J438" s="138"/>
      <c r="K438" s="27" t="str">
        <f t="shared" si="2"/>
        <v>DISPONIBLE</v>
      </c>
      <c r="L438" s="28">
        <f t="shared" si="14"/>
        <v>437</v>
      </c>
      <c r="M438" s="28" t="s">
        <v>748</v>
      </c>
      <c r="N438" s="109"/>
      <c r="O438" s="358"/>
      <c r="P438" s="359" t="s">
        <v>602</v>
      </c>
      <c r="Q438" s="360"/>
      <c r="R438" s="364"/>
      <c r="S438" s="361"/>
      <c r="T438" s="392"/>
      <c r="U438" s="36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4"/>
      <c r="BE438" s="12"/>
      <c r="BF438" s="12"/>
      <c r="BG438" s="12" t="str">
        <f>IFERROR(__xludf.DUMMYFUNCTION("IFERROR(INDEX(QUERY(IMPORTRANGE(""1T7HG8KEs-Ob7f3M5atEVN9Yn7IeORGp0QGvggB62ELw"",""Maestro!A:I""),""SELECT Col8 WHERE Col3 = '""&amp;BD438&amp;""'"", 0), 1, 1),""NO ENCONTRADO"")"),"")</f>
        <v/>
      </c>
      <c r="BH438" s="12" t="str">
        <f>IFERROR(__xludf.DUMMYFUNCTION("IFERROR(INDEX(QUERY(IMPORTRANGE(""1T7HG8KEs-Ob7f3M5atEVN9Yn7IeORGp0QGvggB62ELw"",""Maestro!A:I""),""SELECT Col7 WHERE Col3 = '""&amp;BD438&amp;""'"", 0), 1, 1),""NO ENCONTRADO"")"),"")</f>
        <v/>
      </c>
      <c r="BI438" s="16">
        <f t="shared" si="15"/>
        <v>0</v>
      </c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4"/>
      <c r="BW438" s="14"/>
      <c r="BX438" s="14"/>
      <c r="BY438" s="14"/>
      <c r="BZ438" s="14"/>
      <c r="CA438" s="14"/>
      <c r="CB438" s="14"/>
      <c r="CC438" s="14"/>
      <c r="CD438" s="14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</row>
    <row r="439">
      <c r="A439" s="298" t="s">
        <v>593</v>
      </c>
      <c r="B439" s="299" t="s">
        <v>296</v>
      </c>
      <c r="C439" s="299" t="s">
        <v>48</v>
      </c>
      <c r="D439" s="300" t="str">
        <f t="shared" si="1"/>
        <v>ZEST-10-7</v>
      </c>
      <c r="E439" s="234"/>
      <c r="F439" s="235"/>
      <c r="G439" s="236"/>
      <c r="H439" s="237"/>
      <c r="I439" s="272"/>
      <c r="J439" s="237"/>
      <c r="K439" s="328" t="str">
        <f t="shared" si="2"/>
        <v>DISPONIBLE</v>
      </c>
      <c r="L439" s="155">
        <f t="shared" si="14"/>
        <v>438</v>
      </c>
      <c r="M439" s="155" t="s">
        <v>748</v>
      </c>
      <c r="N439" s="327"/>
      <c r="O439" s="397"/>
      <c r="P439" s="398" t="s">
        <v>603</v>
      </c>
      <c r="Q439" s="399"/>
      <c r="R439" s="400"/>
      <c r="S439" s="401"/>
      <c r="T439" s="402"/>
      <c r="U439" s="403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4"/>
      <c r="BE439" s="12"/>
      <c r="BF439" s="12"/>
      <c r="BG439" s="12" t="str">
        <f>IFERROR(__xludf.DUMMYFUNCTION("IFERROR(INDEX(QUERY(IMPORTRANGE(""1T7HG8KEs-Ob7f3M5atEVN9Yn7IeORGp0QGvggB62ELw"",""Maestro!A:I""),""SELECT Col8 WHERE Col3 = '""&amp;BD439&amp;""'"", 0), 1, 1),""NO ENCONTRADO"")"),"")</f>
        <v/>
      </c>
      <c r="BH439" s="12" t="str">
        <f>IFERROR(__xludf.DUMMYFUNCTION("IFERROR(INDEX(QUERY(IMPORTRANGE(""1T7HG8KEs-Ob7f3M5atEVN9Yn7IeORGp0QGvggB62ELw"",""Maestro!A:I""),""SELECT Col7 WHERE Col3 = '""&amp;BD439&amp;""'"", 0), 1, 1),""NO ENCONTRADO"")"),"")</f>
        <v/>
      </c>
      <c r="BI439" s="16">
        <f t="shared" si="15"/>
        <v>0</v>
      </c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4"/>
      <c r="BW439" s="14"/>
      <c r="BX439" s="14"/>
      <c r="BY439" s="14"/>
      <c r="BZ439" s="14"/>
      <c r="CA439" s="14"/>
      <c r="CB439" s="14"/>
      <c r="CC439" s="14"/>
      <c r="CD439" s="14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</row>
    <row r="440">
      <c r="A440" s="12"/>
      <c r="B440" s="14"/>
      <c r="C440" s="14"/>
      <c r="D440" s="14"/>
      <c r="E440" s="12"/>
      <c r="F440" s="307"/>
      <c r="G440" s="307"/>
      <c r="H440" s="12"/>
      <c r="I440" s="30"/>
      <c r="J440" s="12"/>
      <c r="K440" s="12"/>
      <c r="L440" s="12"/>
      <c r="M440" s="12"/>
      <c r="N440" s="12"/>
      <c r="O440" s="308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4"/>
      <c r="BE440" s="12"/>
      <c r="BF440" s="12"/>
      <c r="BG440" s="12" t="str">
        <f>IFERROR(__xludf.DUMMYFUNCTION("IFERROR(INDEX(QUERY(IMPORTRANGE(""1T7HG8KEs-Ob7f3M5atEVN9Yn7IeORGp0QGvggB62ELw"",""Maestro!A:I""),""SELECT Col8 WHERE Col3 = '""&amp;BD440&amp;""'"", 0), 1, 1),""NO ENCONTRADO"")"),"")</f>
        <v/>
      </c>
      <c r="BH440" s="12" t="str">
        <f>IFERROR(__xludf.DUMMYFUNCTION("IFERROR(INDEX(QUERY(IMPORTRANGE(""1T7HG8KEs-Ob7f3M5atEVN9Yn7IeORGp0QGvggB62ELw"",""Maestro!A:I""),""SELECT Col7 WHERE Col3 = '""&amp;BD440&amp;""'"", 0), 1, 1),""NO ENCONTRADO"")"),"")</f>
        <v/>
      </c>
      <c r="BI440" s="16">
        <f t="shared" si="15"/>
        <v>0</v>
      </c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4"/>
      <c r="BW440" s="14"/>
      <c r="BX440" s="14"/>
      <c r="BY440" s="14"/>
      <c r="BZ440" s="14"/>
      <c r="CA440" s="14"/>
      <c r="CB440" s="14"/>
      <c r="CC440" s="14"/>
      <c r="CD440" s="14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</row>
    <row r="441">
      <c r="A441" s="12"/>
      <c r="B441" s="14"/>
      <c r="C441" s="14"/>
      <c r="D441" s="14"/>
      <c r="E441" s="12"/>
      <c r="F441" s="307"/>
      <c r="G441" s="307"/>
      <c r="H441" s="12"/>
      <c r="I441" s="30"/>
      <c r="J441" s="12"/>
      <c r="K441" s="12"/>
      <c r="L441" s="12"/>
      <c r="M441" s="12"/>
      <c r="N441" s="12"/>
      <c r="O441" s="308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4"/>
      <c r="BE441" s="12"/>
      <c r="BF441" s="12"/>
      <c r="BG441" s="12" t="str">
        <f>IFERROR(__xludf.DUMMYFUNCTION("IFERROR(INDEX(QUERY(IMPORTRANGE(""1T7HG8KEs-Ob7f3M5atEVN9Yn7IeORGp0QGvggB62ELw"",""Maestro!A:I""),""SELECT Col8 WHERE Col3 = '""&amp;BD441&amp;""'"", 0), 1, 1),""NO ENCONTRADO"")"),"")</f>
        <v/>
      </c>
      <c r="BH441" s="12" t="str">
        <f>IFERROR(__xludf.DUMMYFUNCTION("IFERROR(INDEX(QUERY(IMPORTRANGE(""1T7HG8KEs-Ob7f3M5atEVN9Yn7IeORGp0QGvggB62ELw"",""Maestro!A:I""),""SELECT Col7 WHERE Col3 = '""&amp;BD441&amp;""'"", 0), 1, 1),""NO ENCONTRADO"")"),"")</f>
        <v/>
      </c>
      <c r="BI441" s="16">
        <f t="shared" si="15"/>
        <v>0</v>
      </c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4"/>
      <c r="BW441" s="14"/>
      <c r="BX441" s="14"/>
      <c r="BY441" s="14"/>
      <c r="BZ441" s="14"/>
      <c r="CA441" s="14"/>
      <c r="CB441" s="14"/>
      <c r="CC441" s="14"/>
      <c r="CD441" s="14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</row>
    <row r="442">
      <c r="A442" s="12"/>
      <c r="B442" s="14"/>
      <c r="C442" s="14"/>
      <c r="D442" s="14"/>
      <c r="E442" s="12"/>
      <c r="F442" s="307"/>
      <c r="G442" s="307"/>
      <c r="H442" s="12"/>
      <c r="I442" s="30"/>
      <c r="J442" s="12"/>
      <c r="K442" s="12"/>
      <c r="L442" s="12"/>
      <c r="M442" s="12"/>
      <c r="N442" s="12"/>
      <c r="O442" s="308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4"/>
      <c r="BE442" s="12"/>
      <c r="BF442" s="12"/>
      <c r="BG442" s="12" t="str">
        <f>IFERROR(__xludf.DUMMYFUNCTION("IFERROR(INDEX(QUERY(IMPORTRANGE(""1T7HG8KEs-Ob7f3M5atEVN9Yn7IeORGp0QGvggB62ELw"",""Maestro!A:I""),""SELECT Col8 WHERE Col3 = '""&amp;BD442&amp;""'"", 0), 1, 1),""NO ENCONTRADO"")"),"")</f>
        <v/>
      </c>
      <c r="BH442" s="12" t="str">
        <f>IFERROR(__xludf.DUMMYFUNCTION("IFERROR(INDEX(QUERY(IMPORTRANGE(""1T7HG8KEs-Ob7f3M5atEVN9Yn7IeORGp0QGvggB62ELw"",""Maestro!A:I""),""SELECT Col7 WHERE Col3 = '""&amp;BD442&amp;""'"", 0), 1, 1),""NO ENCONTRADO"")"),"")</f>
        <v/>
      </c>
      <c r="BI442" s="16">
        <f t="shared" si="15"/>
        <v>0</v>
      </c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4"/>
      <c r="BW442" s="14"/>
      <c r="BX442" s="14"/>
      <c r="BY442" s="14"/>
      <c r="BZ442" s="14"/>
      <c r="CA442" s="14"/>
      <c r="CB442" s="14"/>
      <c r="CC442" s="14"/>
      <c r="CD442" s="14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</row>
    <row r="443">
      <c r="A443" s="12"/>
      <c r="B443" s="14"/>
      <c r="C443" s="14"/>
      <c r="D443" s="14"/>
      <c r="E443" s="12"/>
      <c r="F443" s="307"/>
      <c r="G443" s="307"/>
      <c r="H443" s="12"/>
      <c r="I443" s="30"/>
      <c r="J443" s="12"/>
      <c r="K443" s="12"/>
      <c r="L443" s="12"/>
      <c r="M443" s="12"/>
      <c r="N443" s="12"/>
      <c r="O443" s="308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4"/>
      <c r="BE443" s="12"/>
      <c r="BF443" s="12"/>
      <c r="BG443" s="12" t="str">
        <f>IFERROR(__xludf.DUMMYFUNCTION("IFERROR(INDEX(QUERY(IMPORTRANGE(""1T7HG8KEs-Ob7f3M5atEVN9Yn7IeORGp0QGvggB62ELw"",""Maestro!A:I""),""SELECT Col8 WHERE Col3 = '""&amp;BD443&amp;""'"", 0), 1, 1),""NO ENCONTRADO"")"),"")</f>
        <v/>
      </c>
      <c r="BH443" s="12" t="str">
        <f>IFERROR(__xludf.DUMMYFUNCTION("IFERROR(INDEX(QUERY(IMPORTRANGE(""1T7HG8KEs-Ob7f3M5atEVN9Yn7IeORGp0QGvggB62ELw"",""Maestro!A:I""),""SELECT Col7 WHERE Col3 = '""&amp;BD443&amp;""'"", 0), 1, 1),""NO ENCONTRADO"")"),"")</f>
        <v/>
      </c>
      <c r="BI443" s="16">
        <f t="shared" si="15"/>
        <v>0</v>
      </c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4"/>
      <c r="BW443" s="14"/>
      <c r="BX443" s="14"/>
      <c r="BY443" s="14"/>
      <c r="BZ443" s="14"/>
      <c r="CA443" s="14"/>
      <c r="CB443" s="14"/>
      <c r="CC443" s="14"/>
      <c r="CD443" s="14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</row>
    <row r="444">
      <c r="A444" s="12"/>
      <c r="B444" s="14"/>
      <c r="C444" s="14"/>
      <c r="D444" s="14"/>
      <c r="E444" s="12"/>
      <c r="F444" s="307"/>
      <c r="G444" s="307"/>
      <c r="H444" s="12"/>
      <c r="I444" s="30"/>
      <c r="J444" s="12"/>
      <c r="K444" s="12"/>
      <c r="L444" s="12"/>
      <c r="M444" s="12"/>
      <c r="N444" s="12"/>
      <c r="O444" s="308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4"/>
      <c r="BE444" s="12"/>
      <c r="BF444" s="12"/>
      <c r="BG444" s="12" t="str">
        <f>IFERROR(__xludf.DUMMYFUNCTION("IFERROR(INDEX(QUERY(IMPORTRANGE(""1T7HG8KEs-Ob7f3M5atEVN9Yn7IeORGp0QGvggB62ELw"",""Maestro!A:I""),""SELECT Col8 WHERE Col3 = '""&amp;BD444&amp;""'"", 0), 1, 1),""NO ENCONTRADO"")"),"")</f>
        <v/>
      </c>
      <c r="BH444" s="12" t="str">
        <f>IFERROR(__xludf.DUMMYFUNCTION("IFERROR(INDEX(QUERY(IMPORTRANGE(""1T7HG8KEs-Ob7f3M5atEVN9Yn7IeORGp0QGvggB62ELw"",""Maestro!A:I""),""SELECT Col7 WHERE Col3 = '""&amp;BD444&amp;""'"", 0), 1, 1),""NO ENCONTRADO"")"),"")</f>
        <v/>
      </c>
      <c r="BI444" s="16">
        <f t="shared" si="15"/>
        <v>0</v>
      </c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4"/>
      <c r="BW444" s="14"/>
      <c r="BX444" s="14"/>
      <c r="BY444" s="14"/>
      <c r="BZ444" s="14"/>
      <c r="CA444" s="14"/>
      <c r="CB444" s="14"/>
      <c r="CC444" s="14"/>
      <c r="CD444" s="14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</row>
    <row r="445">
      <c r="A445" s="12"/>
      <c r="B445" s="14"/>
      <c r="C445" s="14"/>
      <c r="D445" s="14"/>
      <c r="E445" s="12"/>
      <c r="F445" s="307"/>
      <c r="G445" s="307"/>
      <c r="H445" s="12"/>
      <c r="I445" s="30"/>
      <c r="J445" s="12"/>
      <c r="K445" s="12"/>
      <c r="L445" s="12"/>
      <c r="M445" s="12"/>
      <c r="N445" s="12"/>
      <c r="O445" s="308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4"/>
      <c r="BE445" s="12"/>
      <c r="BF445" s="12"/>
      <c r="BG445" s="12" t="str">
        <f>IFERROR(__xludf.DUMMYFUNCTION("IFERROR(INDEX(QUERY(IMPORTRANGE(""1T7HG8KEs-Ob7f3M5atEVN9Yn7IeORGp0QGvggB62ELw"",""Maestro!A:I""),""SELECT Col8 WHERE Col3 = '""&amp;BD445&amp;""'"", 0), 1, 1),""NO ENCONTRADO"")"),"")</f>
        <v/>
      </c>
      <c r="BH445" s="12" t="str">
        <f>IFERROR(__xludf.DUMMYFUNCTION("IFERROR(INDEX(QUERY(IMPORTRANGE(""1T7HG8KEs-Ob7f3M5atEVN9Yn7IeORGp0QGvggB62ELw"",""Maestro!A:I""),""SELECT Col7 WHERE Col3 = '""&amp;BD445&amp;""'"", 0), 1, 1),""NO ENCONTRADO"")"),"")</f>
        <v/>
      </c>
      <c r="BI445" s="16">
        <f t="shared" si="15"/>
        <v>0</v>
      </c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4"/>
      <c r="BW445" s="14"/>
      <c r="BX445" s="14"/>
      <c r="BY445" s="14"/>
      <c r="BZ445" s="14"/>
      <c r="CA445" s="14"/>
      <c r="CB445" s="14"/>
      <c r="CC445" s="14"/>
      <c r="CD445" s="14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</row>
    <row r="446">
      <c r="A446" s="12"/>
      <c r="B446" s="14"/>
      <c r="C446" s="14"/>
      <c r="D446" s="14"/>
      <c r="E446" s="12"/>
      <c r="F446" s="307"/>
      <c r="G446" s="307"/>
      <c r="H446" s="12"/>
      <c r="I446" s="30"/>
      <c r="J446" s="12"/>
      <c r="K446" s="12"/>
      <c r="L446" s="12"/>
      <c r="M446" s="12"/>
      <c r="N446" s="12"/>
      <c r="O446" s="308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4"/>
      <c r="BE446" s="12"/>
      <c r="BF446" s="12"/>
      <c r="BG446" s="12" t="str">
        <f>IFERROR(__xludf.DUMMYFUNCTION("IFERROR(INDEX(QUERY(IMPORTRANGE(""1T7HG8KEs-Ob7f3M5atEVN9Yn7IeORGp0QGvggB62ELw"",""Maestro!A:I""),""SELECT Col8 WHERE Col3 = '""&amp;BD446&amp;""'"", 0), 1, 1),""NO ENCONTRADO"")"),"")</f>
        <v/>
      </c>
      <c r="BH446" s="12" t="str">
        <f>IFERROR(__xludf.DUMMYFUNCTION("IFERROR(INDEX(QUERY(IMPORTRANGE(""1T7HG8KEs-Ob7f3M5atEVN9Yn7IeORGp0QGvggB62ELw"",""Maestro!A:I""),""SELECT Col7 WHERE Col3 = '""&amp;BD446&amp;""'"", 0), 1, 1),""NO ENCONTRADO"")"),"")</f>
        <v/>
      </c>
      <c r="BI446" s="16">
        <f t="shared" si="15"/>
        <v>0</v>
      </c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4"/>
      <c r="BW446" s="14"/>
      <c r="BX446" s="14"/>
      <c r="BY446" s="14"/>
      <c r="BZ446" s="14"/>
      <c r="CA446" s="14"/>
      <c r="CB446" s="14"/>
      <c r="CC446" s="14"/>
      <c r="CD446" s="14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</row>
    <row r="447">
      <c r="A447" s="12"/>
      <c r="B447" s="14"/>
      <c r="C447" s="14"/>
      <c r="D447" s="14"/>
      <c r="E447" s="12"/>
      <c r="F447" s="307"/>
      <c r="G447" s="307"/>
      <c r="H447" s="12"/>
      <c r="I447" s="30"/>
      <c r="J447" s="12"/>
      <c r="K447" s="12"/>
      <c r="L447" s="12"/>
      <c r="M447" s="12"/>
      <c r="N447" s="12"/>
      <c r="O447" s="308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4"/>
      <c r="BE447" s="12"/>
      <c r="BF447" s="12"/>
      <c r="BG447" s="12" t="str">
        <f>IFERROR(__xludf.DUMMYFUNCTION("IFERROR(INDEX(QUERY(IMPORTRANGE(""1T7HG8KEs-Ob7f3M5atEVN9Yn7IeORGp0QGvggB62ELw"",""Maestro!A:I""),""SELECT Col8 WHERE Col3 = '""&amp;BD447&amp;""'"", 0), 1, 1),""NO ENCONTRADO"")"),"")</f>
        <v/>
      </c>
      <c r="BH447" s="12" t="str">
        <f>IFERROR(__xludf.DUMMYFUNCTION("IFERROR(INDEX(QUERY(IMPORTRANGE(""1T7HG8KEs-Ob7f3M5atEVN9Yn7IeORGp0QGvggB62ELw"",""Maestro!A:I""),""SELECT Col7 WHERE Col3 = '""&amp;BD447&amp;""'"", 0), 1, 1),""NO ENCONTRADO"")"),"")</f>
        <v/>
      </c>
      <c r="BI447" s="16">
        <f t="shared" si="15"/>
        <v>0</v>
      </c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4"/>
      <c r="BW447" s="14"/>
      <c r="BX447" s="14"/>
      <c r="BY447" s="14"/>
      <c r="BZ447" s="14"/>
      <c r="CA447" s="14"/>
      <c r="CB447" s="14"/>
      <c r="CC447" s="14"/>
      <c r="CD447" s="14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</row>
    <row r="448">
      <c r="A448" s="12"/>
      <c r="B448" s="14"/>
      <c r="C448" s="14"/>
      <c r="D448" s="14"/>
      <c r="E448" s="12"/>
      <c r="F448" s="307"/>
      <c r="G448" s="307"/>
      <c r="H448" s="12"/>
      <c r="I448" s="30"/>
      <c r="J448" s="12"/>
      <c r="K448" s="12"/>
      <c r="L448" s="12"/>
      <c r="M448" s="12"/>
      <c r="N448" s="12"/>
      <c r="O448" s="308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4"/>
      <c r="BE448" s="12"/>
      <c r="BF448" s="12"/>
      <c r="BG448" s="12" t="str">
        <f>IFERROR(__xludf.DUMMYFUNCTION("IFERROR(INDEX(QUERY(IMPORTRANGE(""1T7HG8KEs-Ob7f3M5atEVN9Yn7IeORGp0QGvggB62ELw"",""Maestro!A:I""),""SELECT Col8 WHERE Col3 = '""&amp;BD448&amp;""'"", 0), 1, 1),""NO ENCONTRADO"")"),"")</f>
        <v/>
      </c>
      <c r="BH448" s="12" t="str">
        <f>IFERROR(__xludf.DUMMYFUNCTION("IFERROR(INDEX(QUERY(IMPORTRANGE(""1T7HG8KEs-Ob7f3M5atEVN9Yn7IeORGp0QGvggB62ELw"",""Maestro!A:I""),""SELECT Col7 WHERE Col3 = '""&amp;BD448&amp;""'"", 0), 1, 1),""NO ENCONTRADO"")"),"")</f>
        <v/>
      </c>
      <c r="BI448" s="16">
        <f t="shared" si="15"/>
        <v>0</v>
      </c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4"/>
      <c r="BW448" s="14"/>
      <c r="BX448" s="14"/>
      <c r="BY448" s="14"/>
      <c r="BZ448" s="14"/>
      <c r="CA448" s="14"/>
      <c r="CB448" s="14"/>
      <c r="CC448" s="14"/>
      <c r="CD448" s="14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</row>
    <row r="449">
      <c r="A449" s="12"/>
      <c r="B449" s="14"/>
      <c r="C449" s="14"/>
      <c r="D449" s="14"/>
      <c r="E449" s="12"/>
      <c r="F449" s="307"/>
      <c r="G449" s="307"/>
      <c r="H449" s="12"/>
      <c r="I449" s="30"/>
      <c r="J449" s="12"/>
      <c r="K449" s="12"/>
      <c r="L449" s="12"/>
      <c r="M449" s="12"/>
      <c r="N449" s="12"/>
      <c r="O449" s="308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4"/>
      <c r="BE449" s="12"/>
      <c r="BF449" s="12"/>
      <c r="BG449" s="12" t="str">
        <f>IFERROR(__xludf.DUMMYFUNCTION("IFERROR(INDEX(QUERY(IMPORTRANGE(""1T7HG8KEs-Ob7f3M5atEVN9Yn7IeORGp0QGvggB62ELw"",""Maestro!A:I""),""SELECT Col8 WHERE Col3 = '""&amp;BD449&amp;""'"", 0), 1, 1),""NO ENCONTRADO"")"),"")</f>
        <v/>
      </c>
      <c r="BH449" s="12" t="str">
        <f>IFERROR(__xludf.DUMMYFUNCTION("IFERROR(INDEX(QUERY(IMPORTRANGE(""1T7HG8KEs-Ob7f3M5atEVN9Yn7IeORGp0QGvggB62ELw"",""Maestro!A:I""),""SELECT Col7 WHERE Col3 = '""&amp;BD449&amp;""'"", 0), 1, 1),""NO ENCONTRADO"")"),"")</f>
        <v/>
      </c>
      <c r="BI449" s="16">
        <f t="shared" si="15"/>
        <v>0</v>
      </c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4"/>
      <c r="BW449" s="14"/>
      <c r="BX449" s="14"/>
      <c r="BY449" s="14"/>
      <c r="BZ449" s="14"/>
      <c r="CA449" s="14"/>
      <c r="CB449" s="14"/>
      <c r="CC449" s="14"/>
      <c r="CD449" s="14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</row>
    <row r="450">
      <c r="A450" s="12"/>
      <c r="B450" s="14"/>
      <c r="C450" s="14"/>
      <c r="D450" s="14"/>
      <c r="E450" s="12"/>
      <c r="F450" s="307"/>
      <c r="G450" s="307"/>
      <c r="H450" s="12"/>
      <c r="I450" s="30"/>
      <c r="J450" s="12"/>
      <c r="K450" s="12"/>
      <c r="L450" s="12"/>
      <c r="M450" s="12"/>
      <c r="N450" s="12"/>
      <c r="O450" s="308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4"/>
      <c r="BE450" s="12"/>
      <c r="BF450" s="12"/>
      <c r="BG450" s="12" t="str">
        <f>IFERROR(__xludf.DUMMYFUNCTION("IFERROR(INDEX(QUERY(IMPORTRANGE(""1T7HG8KEs-Ob7f3M5atEVN9Yn7IeORGp0QGvggB62ELw"",""Maestro!A:I""),""SELECT Col8 WHERE Col3 = '""&amp;BD450&amp;""'"", 0), 1, 1),""NO ENCONTRADO"")"),"")</f>
        <v/>
      </c>
      <c r="BH450" s="12" t="str">
        <f>IFERROR(__xludf.DUMMYFUNCTION("IFERROR(INDEX(QUERY(IMPORTRANGE(""1T7HG8KEs-Ob7f3M5atEVN9Yn7IeORGp0QGvggB62ELw"",""Maestro!A:I""),""SELECT Col7 WHERE Col3 = '""&amp;BD450&amp;""'"", 0), 1, 1),""NO ENCONTRADO"")"),"")</f>
        <v/>
      </c>
      <c r="BI450" s="16">
        <f t="shared" si="15"/>
        <v>0</v>
      </c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4"/>
      <c r="BW450" s="14"/>
      <c r="BX450" s="14"/>
      <c r="BY450" s="14"/>
      <c r="BZ450" s="14"/>
      <c r="CA450" s="14"/>
      <c r="CB450" s="14"/>
      <c r="CC450" s="14"/>
      <c r="CD450" s="14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</row>
    <row r="451">
      <c r="A451" s="12"/>
      <c r="B451" s="14"/>
      <c r="C451" s="14"/>
      <c r="D451" s="14"/>
      <c r="E451" s="12"/>
      <c r="F451" s="307"/>
      <c r="G451" s="307"/>
      <c r="H451" s="12"/>
      <c r="I451" s="30"/>
      <c r="J451" s="12"/>
      <c r="K451" s="12"/>
      <c r="L451" s="12"/>
      <c r="M451" s="12"/>
      <c r="N451" s="12"/>
      <c r="O451" s="308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4"/>
      <c r="BE451" s="12"/>
      <c r="BF451" s="12"/>
      <c r="BG451" s="12" t="str">
        <f>IFERROR(__xludf.DUMMYFUNCTION("IFERROR(INDEX(QUERY(IMPORTRANGE(""1T7HG8KEs-Ob7f3M5atEVN9Yn7IeORGp0QGvggB62ELw"",""Maestro!A:I""),""SELECT Col8 WHERE Col3 = '""&amp;BD451&amp;""'"", 0), 1, 1),""NO ENCONTRADO"")"),"")</f>
        <v/>
      </c>
      <c r="BH451" s="12" t="str">
        <f>IFERROR(__xludf.DUMMYFUNCTION("IFERROR(INDEX(QUERY(IMPORTRANGE(""1T7HG8KEs-Ob7f3M5atEVN9Yn7IeORGp0QGvggB62ELw"",""Maestro!A:I""),""SELECT Col7 WHERE Col3 = '""&amp;BD451&amp;""'"", 0), 1, 1),""NO ENCONTRADO"")"),"")</f>
        <v/>
      </c>
      <c r="BI451" s="16">
        <f t="shared" si="15"/>
        <v>0</v>
      </c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4"/>
      <c r="BW451" s="14"/>
      <c r="BX451" s="14"/>
      <c r="BY451" s="14"/>
      <c r="BZ451" s="14"/>
      <c r="CA451" s="14"/>
      <c r="CB451" s="14"/>
      <c r="CC451" s="14"/>
      <c r="CD451" s="14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</row>
    <row r="452">
      <c r="A452" s="12"/>
      <c r="B452" s="14"/>
      <c r="C452" s="14"/>
      <c r="D452" s="14"/>
      <c r="E452" s="12"/>
      <c r="F452" s="307"/>
      <c r="G452" s="307"/>
      <c r="H452" s="12"/>
      <c r="I452" s="30"/>
      <c r="J452" s="12"/>
      <c r="K452" s="12"/>
      <c r="L452" s="12"/>
      <c r="M452" s="12"/>
      <c r="N452" s="12"/>
      <c r="O452" s="308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4"/>
      <c r="BE452" s="12"/>
      <c r="BF452" s="12"/>
      <c r="BG452" s="12" t="str">
        <f>IFERROR(__xludf.DUMMYFUNCTION("IFERROR(INDEX(QUERY(IMPORTRANGE(""1T7HG8KEs-Ob7f3M5atEVN9Yn7IeORGp0QGvggB62ELw"",""Maestro!A:I""),""SELECT Col8 WHERE Col3 = '""&amp;BD452&amp;""'"", 0), 1, 1),""NO ENCONTRADO"")"),"")</f>
        <v/>
      </c>
      <c r="BH452" s="12" t="str">
        <f>IFERROR(__xludf.DUMMYFUNCTION("IFERROR(INDEX(QUERY(IMPORTRANGE(""1T7HG8KEs-Ob7f3M5atEVN9Yn7IeORGp0QGvggB62ELw"",""Maestro!A:I""),""SELECT Col7 WHERE Col3 = '""&amp;BD452&amp;""'"", 0), 1, 1),""NO ENCONTRADO"")"),"")</f>
        <v/>
      </c>
      <c r="BI452" s="16">
        <f t="shared" si="15"/>
        <v>0</v>
      </c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4"/>
      <c r="BW452" s="14"/>
      <c r="BX452" s="14"/>
      <c r="BY452" s="14"/>
      <c r="BZ452" s="14"/>
      <c r="CA452" s="14"/>
      <c r="CB452" s="14"/>
      <c r="CC452" s="14"/>
      <c r="CD452" s="14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</row>
    <row r="453">
      <c r="A453" s="12"/>
      <c r="B453" s="14"/>
      <c r="C453" s="14"/>
      <c r="D453" s="14"/>
      <c r="E453" s="12"/>
      <c r="F453" s="307"/>
      <c r="G453" s="307"/>
      <c r="H453" s="12"/>
      <c r="I453" s="30"/>
      <c r="J453" s="12"/>
      <c r="K453" s="12"/>
      <c r="L453" s="12"/>
      <c r="M453" s="12"/>
      <c r="N453" s="12"/>
      <c r="O453" s="308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4"/>
      <c r="BE453" s="12"/>
      <c r="BF453" s="12"/>
      <c r="BG453" s="12" t="str">
        <f>IFERROR(__xludf.DUMMYFUNCTION("IFERROR(INDEX(QUERY(IMPORTRANGE(""1T7HG8KEs-Ob7f3M5atEVN9Yn7IeORGp0QGvggB62ELw"",""Maestro!A:I""),""SELECT Col8 WHERE Col3 = '""&amp;BD453&amp;""'"", 0), 1, 1),""NO ENCONTRADO"")"),"")</f>
        <v/>
      </c>
      <c r="BH453" s="12" t="str">
        <f>IFERROR(__xludf.DUMMYFUNCTION("IFERROR(INDEX(QUERY(IMPORTRANGE(""1T7HG8KEs-Ob7f3M5atEVN9Yn7IeORGp0QGvggB62ELw"",""Maestro!A:I""),""SELECT Col7 WHERE Col3 = '""&amp;BD453&amp;""'"", 0), 1, 1),""NO ENCONTRADO"")"),"")</f>
        <v/>
      </c>
      <c r="BI453" s="16">
        <f t="shared" si="15"/>
        <v>0</v>
      </c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4"/>
      <c r="BW453" s="14"/>
      <c r="BX453" s="14"/>
      <c r="BY453" s="14"/>
      <c r="BZ453" s="14"/>
      <c r="CA453" s="14"/>
      <c r="CB453" s="14"/>
      <c r="CC453" s="14"/>
      <c r="CD453" s="14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</row>
    <row r="454">
      <c r="A454" s="12"/>
      <c r="B454" s="14"/>
      <c r="C454" s="14"/>
      <c r="D454" s="14"/>
      <c r="E454" s="12"/>
      <c r="F454" s="307"/>
      <c r="G454" s="307"/>
      <c r="H454" s="12"/>
      <c r="I454" s="30"/>
      <c r="J454" s="12"/>
      <c r="K454" s="12"/>
      <c r="L454" s="12"/>
      <c r="M454" s="12"/>
      <c r="N454" s="12"/>
      <c r="O454" s="308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4"/>
      <c r="BE454" s="12"/>
      <c r="BF454" s="12"/>
      <c r="BG454" s="12" t="str">
        <f>IFERROR(__xludf.DUMMYFUNCTION("IFERROR(INDEX(QUERY(IMPORTRANGE(""1T7HG8KEs-Ob7f3M5atEVN9Yn7IeORGp0QGvggB62ELw"",""Maestro!A:I""),""SELECT Col8 WHERE Col3 = '""&amp;BD454&amp;""'"", 0), 1, 1),""NO ENCONTRADO"")"),"")</f>
        <v/>
      </c>
      <c r="BH454" s="12" t="str">
        <f>IFERROR(__xludf.DUMMYFUNCTION("IFERROR(INDEX(QUERY(IMPORTRANGE(""1T7HG8KEs-Ob7f3M5atEVN9Yn7IeORGp0QGvggB62ELw"",""Maestro!A:I""),""SELECT Col7 WHERE Col3 = '""&amp;BD454&amp;""'"", 0), 1, 1),""NO ENCONTRADO"")"),"")</f>
        <v/>
      </c>
      <c r="BI454" s="16">
        <f t="shared" si="15"/>
        <v>0</v>
      </c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4"/>
      <c r="BW454" s="14"/>
      <c r="BX454" s="14"/>
      <c r="BY454" s="14"/>
      <c r="BZ454" s="14"/>
      <c r="CA454" s="14"/>
      <c r="CB454" s="14"/>
      <c r="CC454" s="14"/>
      <c r="CD454" s="14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</row>
    <row r="455">
      <c r="A455" s="12"/>
      <c r="B455" s="14"/>
      <c r="C455" s="14"/>
      <c r="D455" s="14"/>
      <c r="E455" s="12"/>
      <c r="F455" s="307"/>
      <c r="G455" s="307"/>
      <c r="H455" s="12"/>
      <c r="I455" s="30"/>
      <c r="J455" s="12"/>
      <c r="K455" s="12"/>
      <c r="L455" s="12"/>
      <c r="M455" s="12"/>
      <c r="N455" s="12"/>
      <c r="O455" s="308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4"/>
      <c r="BE455" s="12"/>
      <c r="BF455" s="12"/>
      <c r="BG455" s="12" t="str">
        <f>IFERROR(__xludf.DUMMYFUNCTION("IFERROR(INDEX(QUERY(IMPORTRANGE(""1T7HG8KEs-Ob7f3M5atEVN9Yn7IeORGp0QGvggB62ELw"",""Maestro!A:I""),""SELECT Col8 WHERE Col3 = '""&amp;BD455&amp;""'"", 0), 1, 1),""NO ENCONTRADO"")"),"")</f>
        <v/>
      </c>
      <c r="BH455" s="12" t="str">
        <f>IFERROR(__xludf.DUMMYFUNCTION("IFERROR(INDEX(QUERY(IMPORTRANGE(""1T7HG8KEs-Ob7f3M5atEVN9Yn7IeORGp0QGvggB62ELw"",""Maestro!A:I""),""SELECT Col7 WHERE Col3 = '""&amp;BD455&amp;""'"", 0), 1, 1),""NO ENCONTRADO"")"),"")</f>
        <v/>
      </c>
      <c r="BI455" s="16">
        <f t="shared" si="15"/>
        <v>0</v>
      </c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4"/>
      <c r="BW455" s="14"/>
      <c r="BX455" s="14"/>
      <c r="BY455" s="14"/>
      <c r="BZ455" s="14"/>
      <c r="CA455" s="14"/>
      <c r="CB455" s="14"/>
      <c r="CC455" s="14"/>
      <c r="CD455" s="14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</row>
    <row r="456">
      <c r="A456" s="12"/>
      <c r="B456" s="14"/>
      <c r="C456" s="14"/>
      <c r="D456" s="14"/>
      <c r="E456" s="12"/>
      <c r="F456" s="307"/>
      <c r="G456" s="307"/>
      <c r="H456" s="12"/>
      <c r="I456" s="30"/>
      <c r="J456" s="12"/>
      <c r="K456" s="12"/>
      <c r="L456" s="12"/>
      <c r="M456" s="12"/>
      <c r="N456" s="12"/>
      <c r="O456" s="308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4"/>
      <c r="BE456" s="12"/>
      <c r="BF456" s="12"/>
      <c r="BG456" s="12" t="str">
        <f>IFERROR(__xludf.DUMMYFUNCTION("IFERROR(INDEX(QUERY(IMPORTRANGE(""1T7HG8KEs-Ob7f3M5atEVN9Yn7IeORGp0QGvggB62ELw"",""Maestro!A:I""),""SELECT Col8 WHERE Col3 = '""&amp;BD456&amp;""'"", 0), 1, 1),""NO ENCONTRADO"")"),"")</f>
        <v/>
      </c>
      <c r="BH456" s="12" t="str">
        <f>IFERROR(__xludf.DUMMYFUNCTION("IFERROR(INDEX(QUERY(IMPORTRANGE(""1T7HG8KEs-Ob7f3M5atEVN9Yn7IeORGp0QGvggB62ELw"",""Maestro!A:I""),""SELECT Col7 WHERE Col3 = '""&amp;BD456&amp;""'"", 0), 1, 1),""NO ENCONTRADO"")"),"")</f>
        <v/>
      </c>
      <c r="BI456" s="16">
        <f t="shared" si="15"/>
        <v>0</v>
      </c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4"/>
      <c r="BW456" s="14"/>
      <c r="BX456" s="14"/>
      <c r="BY456" s="14"/>
      <c r="BZ456" s="14"/>
      <c r="CA456" s="14"/>
      <c r="CB456" s="14"/>
      <c r="CC456" s="14"/>
      <c r="CD456" s="14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</row>
    <row r="457">
      <c r="A457" s="12"/>
      <c r="B457" s="14"/>
      <c r="C457" s="14"/>
      <c r="D457" s="14"/>
      <c r="E457" s="12"/>
      <c r="F457" s="307"/>
      <c r="G457" s="307"/>
      <c r="H457" s="12"/>
      <c r="I457" s="30"/>
      <c r="J457" s="12"/>
      <c r="K457" s="12"/>
      <c r="L457" s="12"/>
      <c r="M457" s="12"/>
      <c r="N457" s="12"/>
      <c r="O457" s="308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4"/>
      <c r="BE457" s="12"/>
      <c r="BF457" s="12"/>
      <c r="BG457" s="12" t="str">
        <f>IFERROR(__xludf.DUMMYFUNCTION("IFERROR(INDEX(QUERY(IMPORTRANGE(""1T7HG8KEs-Ob7f3M5atEVN9Yn7IeORGp0QGvggB62ELw"",""Maestro!A:I""),""SELECT Col8 WHERE Col3 = '""&amp;BD457&amp;""'"", 0), 1, 1),""NO ENCONTRADO"")"),"")</f>
        <v/>
      </c>
      <c r="BH457" s="12" t="str">
        <f>IFERROR(__xludf.DUMMYFUNCTION("IFERROR(INDEX(QUERY(IMPORTRANGE(""1T7HG8KEs-Ob7f3M5atEVN9Yn7IeORGp0QGvggB62ELw"",""Maestro!A:I""),""SELECT Col7 WHERE Col3 = '""&amp;BD457&amp;""'"", 0), 1, 1),""NO ENCONTRADO"")"),"")</f>
        <v/>
      </c>
      <c r="BI457" s="16">
        <f t="shared" si="15"/>
        <v>0</v>
      </c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4"/>
      <c r="BW457" s="14"/>
      <c r="BX457" s="14"/>
      <c r="BY457" s="14"/>
      <c r="BZ457" s="14"/>
      <c r="CA457" s="14"/>
      <c r="CB457" s="14"/>
      <c r="CC457" s="14"/>
      <c r="CD457" s="14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</row>
    <row r="458">
      <c r="A458" s="12"/>
      <c r="B458" s="14"/>
      <c r="C458" s="14"/>
      <c r="D458" s="14"/>
      <c r="E458" s="12"/>
      <c r="F458" s="307"/>
      <c r="G458" s="307"/>
      <c r="H458" s="12"/>
      <c r="I458" s="30"/>
      <c r="J458" s="12"/>
      <c r="K458" s="12"/>
      <c r="L458" s="12"/>
      <c r="M458" s="12"/>
      <c r="N458" s="12"/>
      <c r="O458" s="308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4"/>
      <c r="BE458" s="12"/>
      <c r="BF458" s="12"/>
      <c r="BG458" s="12" t="str">
        <f>IFERROR(__xludf.DUMMYFUNCTION("IFERROR(INDEX(QUERY(IMPORTRANGE(""1T7HG8KEs-Ob7f3M5atEVN9Yn7IeORGp0QGvggB62ELw"",""Maestro!A:I""),""SELECT Col8 WHERE Col3 = '""&amp;BD458&amp;""'"", 0), 1, 1),""NO ENCONTRADO"")"),"")</f>
        <v/>
      </c>
      <c r="BH458" s="12" t="str">
        <f>IFERROR(__xludf.DUMMYFUNCTION("IFERROR(INDEX(QUERY(IMPORTRANGE(""1T7HG8KEs-Ob7f3M5atEVN9Yn7IeORGp0QGvggB62ELw"",""Maestro!A:I""),""SELECT Col7 WHERE Col3 = '""&amp;BD458&amp;""'"", 0), 1, 1),""NO ENCONTRADO"")"),"")</f>
        <v/>
      </c>
      <c r="BI458" s="16">
        <f t="shared" si="15"/>
        <v>0</v>
      </c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4"/>
      <c r="BW458" s="14"/>
      <c r="BX458" s="14"/>
      <c r="BY458" s="14"/>
      <c r="BZ458" s="14"/>
      <c r="CA458" s="14"/>
      <c r="CB458" s="14"/>
      <c r="CC458" s="14"/>
      <c r="CD458" s="14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</row>
    <row r="459">
      <c r="A459" s="12"/>
      <c r="B459" s="14"/>
      <c r="C459" s="14"/>
      <c r="D459" s="14"/>
      <c r="E459" s="12"/>
      <c r="F459" s="307"/>
      <c r="G459" s="307"/>
      <c r="H459" s="12"/>
      <c r="I459" s="30"/>
      <c r="J459" s="12"/>
      <c r="K459" s="12"/>
      <c r="L459" s="12"/>
      <c r="M459" s="12"/>
      <c r="N459" s="12"/>
      <c r="O459" s="308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4"/>
      <c r="BE459" s="12"/>
      <c r="BF459" s="12"/>
      <c r="BG459" s="12" t="str">
        <f>IFERROR(__xludf.DUMMYFUNCTION("IFERROR(INDEX(QUERY(IMPORTRANGE(""1T7HG8KEs-Ob7f3M5atEVN9Yn7IeORGp0QGvggB62ELw"",""Maestro!A:I""),""SELECT Col8 WHERE Col3 = '""&amp;BD459&amp;""'"", 0), 1, 1),""NO ENCONTRADO"")"),"")</f>
        <v/>
      </c>
      <c r="BH459" s="12" t="str">
        <f>IFERROR(__xludf.DUMMYFUNCTION("IFERROR(INDEX(QUERY(IMPORTRANGE(""1T7HG8KEs-Ob7f3M5atEVN9Yn7IeORGp0QGvggB62ELw"",""Maestro!A:I""),""SELECT Col7 WHERE Col3 = '""&amp;BD459&amp;""'"", 0), 1, 1),""NO ENCONTRADO"")"),"")</f>
        <v/>
      </c>
      <c r="BI459" s="16">
        <f t="shared" si="15"/>
        <v>0</v>
      </c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4"/>
      <c r="BW459" s="14"/>
      <c r="BX459" s="14"/>
      <c r="BY459" s="14"/>
      <c r="BZ459" s="14"/>
      <c r="CA459" s="14"/>
      <c r="CB459" s="14"/>
      <c r="CC459" s="14"/>
      <c r="CD459" s="14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</row>
    <row r="460">
      <c r="A460" s="12"/>
      <c r="B460" s="14"/>
      <c r="C460" s="14"/>
      <c r="D460" s="14"/>
      <c r="E460" s="12"/>
      <c r="F460" s="307"/>
      <c r="G460" s="307"/>
      <c r="H460" s="12"/>
      <c r="I460" s="30"/>
      <c r="J460" s="12"/>
      <c r="K460" s="12"/>
      <c r="L460" s="12"/>
      <c r="M460" s="12"/>
      <c r="N460" s="12"/>
      <c r="O460" s="308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4"/>
      <c r="BE460" s="12"/>
      <c r="BF460" s="12"/>
      <c r="BG460" s="12" t="str">
        <f>IFERROR(__xludf.DUMMYFUNCTION("IFERROR(INDEX(QUERY(IMPORTRANGE(""1T7HG8KEs-Ob7f3M5atEVN9Yn7IeORGp0QGvggB62ELw"",""Maestro!A:I""),""SELECT Col8 WHERE Col3 = '""&amp;BD460&amp;""'"", 0), 1, 1),""NO ENCONTRADO"")"),"")</f>
        <v/>
      </c>
      <c r="BH460" s="12" t="str">
        <f>IFERROR(__xludf.DUMMYFUNCTION("IFERROR(INDEX(QUERY(IMPORTRANGE(""1T7HG8KEs-Ob7f3M5atEVN9Yn7IeORGp0QGvggB62ELw"",""Maestro!A:I""),""SELECT Col7 WHERE Col3 = '""&amp;BD460&amp;""'"", 0), 1, 1),""NO ENCONTRADO"")"),"")</f>
        <v/>
      </c>
      <c r="BI460" s="16">
        <f t="shared" si="15"/>
        <v>0</v>
      </c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4"/>
      <c r="BW460" s="14"/>
      <c r="BX460" s="14"/>
      <c r="BY460" s="14"/>
      <c r="BZ460" s="14"/>
      <c r="CA460" s="14"/>
      <c r="CB460" s="14"/>
      <c r="CC460" s="14"/>
      <c r="CD460" s="14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</row>
    <row r="461">
      <c r="A461" s="12"/>
      <c r="B461" s="14"/>
      <c r="C461" s="14"/>
      <c r="D461" s="14"/>
      <c r="E461" s="12"/>
      <c r="F461" s="307"/>
      <c r="G461" s="307"/>
      <c r="H461" s="12"/>
      <c r="I461" s="30"/>
      <c r="J461" s="12"/>
      <c r="K461" s="12"/>
      <c r="L461" s="12"/>
      <c r="M461" s="12"/>
      <c r="N461" s="12"/>
      <c r="O461" s="308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4"/>
      <c r="BE461" s="12"/>
      <c r="BF461" s="12"/>
      <c r="BG461" s="12" t="str">
        <f>IFERROR(__xludf.DUMMYFUNCTION("IFERROR(INDEX(QUERY(IMPORTRANGE(""1T7HG8KEs-Ob7f3M5atEVN9Yn7IeORGp0QGvggB62ELw"",""Maestro!A:I""),""SELECT Col8 WHERE Col3 = '""&amp;BD461&amp;""'"", 0), 1, 1),""NO ENCONTRADO"")"),"")</f>
        <v/>
      </c>
      <c r="BH461" s="12" t="str">
        <f>IFERROR(__xludf.DUMMYFUNCTION("IFERROR(INDEX(QUERY(IMPORTRANGE(""1T7HG8KEs-Ob7f3M5atEVN9Yn7IeORGp0QGvggB62ELw"",""Maestro!A:I""),""SELECT Col7 WHERE Col3 = '""&amp;BD461&amp;""'"", 0), 1, 1),""NO ENCONTRADO"")"),"")</f>
        <v/>
      </c>
      <c r="BI461" s="16">
        <f t="shared" si="15"/>
        <v>0</v>
      </c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4"/>
      <c r="BW461" s="14"/>
      <c r="BX461" s="14"/>
      <c r="BY461" s="14"/>
      <c r="BZ461" s="14"/>
      <c r="CA461" s="14"/>
      <c r="CB461" s="14"/>
      <c r="CC461" s="14"/>
      <c r="CD461" s="14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</row>
    <row r="462">
      <c r="A462" s="12"/>
      <c r="B462" s="14"/>
      <c r="C462" s="14"/>
      <c r="D462" s="14"/>
      <c r="E462" s="12"/>
      <c r="F462" s="307"/>
      <c r="G462" s="307"/>
      <c r="H462" s="12"/>
      <c r="I462" s="30"/>
      <c r="J462" s="12"/>
      <c r="K462" s="12"/>
      <c r="L462" s="12"/>
      <c r="M462" s="12"/>
      <c r="N462" s="12"/>
      <c r="O462" s="308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4"/>
      <c r="BE462" s="12"/>
      <c r="BF462" s="12"/>
      <c r="BG462" s="12" t="str">
        <f>IFERROR(__xludf.DUMMYFUNCTION("IFERROR(INDEX(QUERY(IMPORTRANGE(""1T7HG8KEs-Ob7f3M5atEVN9Yn7IeORGp0QGvggB62ELw"",""Maestro!A:I""),""SELECT Col8 WHERE Col3 = '""&amp;BD462&amp;""'"", 0), 1, 1),""NO ENCONTRADO"")"),"")</f>
        <v/>
      </c>
      <c r="BH462" s="12" t="str">
        <f>IFERROR(__xludf.DUMMYFUNCTION("IFERROR(INDEX(QUERY(IMPORTRANGE(""1T7HG8KEs-Ob7f3M5atEVN9Yn7IeORGp0QGvggB62ELw"",""Maestro!A:I""),""SELECT Col7 WHERE Col3 = '""&amp;BD462&amp;""'"", 0), 1, 1),""NO ENCONTRADO"")"),"")</f>
        <v/>
      </c>
      <c r="BI462" s="16">
        <f t="shared" si="15"/>
        <v>0</v>
      </c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4"/>
      <c r="BW462" s="14"/>
      <c r="BX462" s="14"/>
      <c r="BY462" s="14"/>
      <c r="BZ462" s="14"/>
      <c r="CA462" s="14"/>
      <c r="CB462" s="14"/>
      <c r="CC462" s="14"/>
      <c r="CD462" s="14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</row>
    <row r="463">
      <c r="A463" s="12"/>
      <c r="B463" s="14"/>
      <c r="C463" s="14"/>
      <c r="D463" s="14"/>
      <c r="E463" s="12"/>
      <c r="F463" s="307"/>
      <c r="G463" s="307"/>
      <c r="H463" s="12"/>
      <c r="I463" s="30"/>
      <c r="J463" s="12"/>
      <c r="K463" s="12"/>
      <c r="L463" s="12"/>
      <c r="M463" s="12"/>
      <c r="N463" s="12"/>
      <c r="O463" s="308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4"/>
      <c r="BE463" s="12"/>
      <c r="BF463" s="12"/>
      <c r="BG463" s="12" t="str">
        <f>IFERROR(__xludf.DUMMYFUNCTION("IFERROR(INDEX(QUERY(IMPORTRANGE(""1T7HG8KEs-Ob7f3M5atEVN9Yn7IeORGp0QGvggB62ELw"",""Maestro!A:I""),""SELECT Col8 WHERE Col3 = '""&amp;BD463&amp;""'"", 0), 1, 1),""NO ENCONTRADO"")"),"")</f>
        <v/>
      </c>
      <c r="BH463" s="12" t="str">
        <f>IFERROR(__xludf.DUMMYFUNCTION("IFERROR(INDEX(QUERY(IMPORTRANGE(""1T7HG8KEs-Ob7f3M5atEVN9Yn7IeORGp0QGvggB62ELw"",""Maestro!A:I""),""SELECT Col7 WHERE Col3 = '""&amp;BD463&amp;""'"", 0), 1, 1),""NO ENCONTRADO"")"),"")</f>
        <v/>
      </c>
      <c r="BI463" s="16">
        <f t="shared" si="15"/>
        <v>0</v>
      </c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4"/>
      <c r="BW463" s="14"/>
      <c r="BX463" s="14"/>
      <c r="BY463" s="14"/>
      <c r="BZ463" s="14"/>
      <c r="CA463" s="14"/>
      <c r="CB463" s="14"/>
      <c r="CC463" s="14"/>
      <c r="CD463" s="14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</row>
    <row r="464">
      <c r="A464" s="12"/>
      <c r="B464" s="14"/>
      <c r="C464" s="14"/>
      <c r="D464" s="14"/>
      <c r="E464" s="12"/>
      <c r="F464" s="307"/>
      <c r="G464" s="307"/>
      <c r="H464" s="12"/>
      <c r="I464" s="30"/>
      <c r="J464" s="12"/>
      <c r="K464" s="12"/>
      <c r="L464" s="12"/>
      <c r="M464" s="12"/>
      <c r="N464" s="12"/>
      <c r="O464" s="308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4"/>
      <c r="BE464" s="12"/>
      <c r="BF464" s="12"/>
      <c r="BG464" s="12" t="str">
        <f>IFERROR(__xludf.DUMMYFUNCTION("IFERROR(INDEX(QUERY(IMPORTRANGE(""1T7HG8KEs-Ob7f3M5atEVN9Yn7IeORGp0QGvggB62ELw"",""Maestro!A:I""),""SELECT Col8 WHERE Col3 = '""&amp;BD464&amp;""'"", 0), 1, 1),""NO ENCONTRADO"")"),"")</f>
        <v/>
      </c>
      <c r="BH464" s="12" t="str">
        <f>IFERROR(__xludf.DUMMYFUNCTION("IFERROR(INDEX(QUERY(IMPORTRANGE(""1T7HG8KEs-Ob7f3M5atEVN9Yn7IeORGp0QGvggB62ELw"",""Maestro!A:I""),""SELECT Col7 WHERE Col3 = '""&amp;BD464&amp;""'"", 0), 1, 1),""NO ENCONTRADO"")"),"")</f>
        <v/>
      </c>
      <c r="BI464" s="16">
        <f t="shared" si="15"/>
        <v>0</v>
      </c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4"/>
      <c r="BW464" s="14"/>
      <c r="BX464" s="14"/>
      <c r="BY464" s="14"/>
      <c r="BZ464" s="14"/>
      <c r="CA464" s="14"/>
      <c r="CB464" s="14"/>
      <c r="CC464" s="14"/>
      <c r="CD464" s="14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</row>
    <row r="465">
      <c r="A465" s="12"/>
      <c r="B465" s="14"/>
      <c r="C465" s="14"/>
      <c r="D465" s="14"/>
      <c r="E465" s="12"/>
      <c r="F465" s="307"/>
      <c r="G465" s="307"/>
      <c r="H465" s="12"/>
      <c r="I465" s="30"/>
      <c r="J465" s="12"/>
      <c r="K465" s="12"/>
      <c r="L465" s="12"/>
      <c r="M465" s="12"/>
      <c r="N465" s="12"/>
      <c r="O465" s="308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4"/>
      <c r="BE465" s="12"/>
      <c r="BF465" s="12"/>
      <c r="BG465" s="12" t="str">
        <f>IFERROR(__xludf.DUMMYFUNCTION("IFERROR(INDEX(QUERY(IMPORTRANGE(""1T7HG8KEs-Ob7f3M5atEVN9Yn7IeORGp0QGvggB62ELw"",""Maestro!A:I""),""SELECT Col8 WHERE Col3 = '""&amp;BD465&amp;""'"", 0), 1, 1),""NO ENCONTRADO"")"),"")</f>
        <v/>
      </c>
      <c r="BH465" s="12" t="str">
        <f>IFERROR(__xludf.DUMMYFUNCTION("IFERROR(INDEX(QUERY(IMPORTRANGE(""1T7HG8KEs-Ob7f3M5atEVN9Yn7IeORGp0QGvggB62ELw"",""Maestro!A:I""),""SELECT Col7 WHERE Col3 = '""&amp;BD465&amp;""'"", 0), 1, 1),""NO ENCONTRADO"")"),"")</f>
        <v/>
      </c>
      <c r="BI465" s="16">
        <f t="shared" si="15"/>
        <v>0</v>
      </c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4"/>
      <c r="BW465" s="14"/>
      <c r="BX465" s="14"/>
      <c r="BY465" s="14"/>
      <c r="BZ465" s="14"/>
      <c r="CA465" s="14"/>
      <c r="CB465" s="14"/>
      <c r="CC465" s="14"/>
      <c r="CD465" s="14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</row>
    <row r="466">
      <c r="A466" s="12"/>
      <c r="B466" s="14"/>
      <c r="C466" s="14"/>
      <c r="D466" s="14"/>
      <c r="E466" s="12"/>
      <c r="F466" s="307"/>
      <c r="G466" s="307"/>
      <c r="H466" s="12"/>
      <c r="I466" s="30"/>
      <c r="J466" s="12"/>
      <c r="K466" s="12"/>
      <c r="L466" s="12"/>
      <c r="M466" s="12"/>
      <c r="N466" s="12"/>
      <c r="O466" s="308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4"/>
      <c r="BE466" s="12"/>
      <c r="BF466" s="12"/>
      <c r="BG466" s="12" t="str">
        <f>IFERROR(__xludf.DUMMYFUNCTION("IFERROR(INDEX(QUERY(IMPORTRANGE(""1T7HG8KEs-Ob7f3M5atEVN9Yn7IeORGp0QGvggB62ELw"",""Maestro!A:I""),""SELECT Col8 WHERE Col3 = '""&amp;BD466&amp;""'"", 0), 1, 1),""NO ENCONTRADO"")"),"")</f>
        <v/>
      </c>
      <c r="BH466" s="12" t="str">
        <f>IFERROR(__xludf.DUMMYFUNCTION("IFERROR(INDEX(QUERY(IMPORTRANGE(""1T7HG8KEs-Ob7f3M5atEVN9Yn7IeORGp0QGvggB62ELw"",""Maestro!A:I""),""SELECT Col7 WHERE Col3 = '""&amp;BD466&amp;""'"", 0), 1, 1),""NO ENCONTRADO"")"),"")</f>
        <v/>
      </c>
      <c r="BI466" s="16">
        <f t="shared" si="15"/>
        <v>0</v>
      </c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4"/>
      <c r="BW466" s="14"/>
      <c r="BX466" s="14"/>
      <c r="BY466" s="14"/>
      <c r="BZ466" s="14"/>
      <c r="CA466" s="14"/>
      <c r="CB466" s="14"/>
      <c r="CC466" s="14"/>
      <c r="CD466" s="14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</row>
    <row r="467">
      <c r="A467" s="12"/>
      <c r="B467" s="14"/>
      <c r="C467" s="14"/>
      <c r="D467" s="14"/>
      <c r="E467" s="12"/>
      <c r="F467" s="307"/>
      <c r="G467" s="307"/>
      <c r="H467" s="12"/>
      <c r="I467" s="30"/>
      <c r="J467" s="12"/>
      <c r="K467" s="12"/>
      <c r="L467" s="12"/>
      <c r="M467" s="12"/>
      <c r="N467" s="12"/>
      <c r="O467" s="308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4"/>
      <c r="BE467" s="12"/>
      <c r="BF467" s="12"/>
      <c r="BG467" s="12" t="str">
        <f>IFERROR(__xludf.DUMMYFUNCTION("IFERROR(INDEX(QUERY(IMPORTRANGE(""1T7HG8KEs-Ob7f3M5atEVN9Yn7IeORGp0QGvggB62ELw"",""Maestro!A:I""),""SELECT Col8 WHERE Col3 = '""&amp;BD467&amp;""'"", 0), 1, 1),""NO ENCONTRADO"")"),"")</f>
        <v/>
      </c>
      <c r="BH467" s="12" t="str">
        <f>IFERROR(__xludf.DUMMYFUNCTION("IFERROR(INDEX(QUERY(IMPORTRANGE(""1T7HG8KEs-Ob7f3M5atEVN9Yn7IeORGp0QGvggB62ELw"",""Maestro!A:I""),""SELECT Col7 WHERE Col3 = '""&amp;BD467&amp;""'"", 0), 1, 1),""NO ENCONTRADO"")"),"")</f>
        <v/>
      </c>
      <c r="BI467" s="16">
        <f t="shared" si="15"/>
        <v>0</v>
      </c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4"/>
      <c r="BW467" s="14"/>
      <c r="BX467" s="14"/>
      <c r="BY467" s="14"/>
      <c r="BZ467" s="14"/>
      <c r="CA467" s="14"/>
      <c r="CB467" s="14"/>
      <c r="CC467" s="14"/>
      <c r="CD467" s="14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</row>
    <row r="468">
      <c r="A468" s="12"/>
      <c r="B468" s="14"/>
      <c r="C468" s="14"/>
      <c r="D468" s="14"/>
      <c r="E468" s="12"/>
      <c r="F468" s="307"/>
      <c r="G468" s="307"/>
      <c r="H468" s="12"/>
      <c r="I468" s="30"/>
      <c r="J468" s="12"/>
      <c r="K468" s="12"/>
      <c r="L468" s="12"/>
      <c r="M468" s="12"/>
      <c r="N468" s="12"/>
      <c r="O468" s="308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4"/>
      <c r="BE468" s="12"/>
      <c r="BF468" s="12"/>
      <c r="BG468" s="12" t="str">
        <f>IFERROR(__xludf.DUMMYFUNCTION("IFERROR(INDEX(QUERY(IMPORTRANGE(""1T7HG8KEs-Ob7f3M5atEVN9Yn7IeORGp0QGvggB62ELw"",""Maestro!A:I""),""SELECT Col8 WHERE Col3 = '""&amp;BD468&amp;""'"", 0), 1, 1),""NO ENCONTRADO"")"),"")</f>
        <v/>
      </c>
      <c r="BH468" s="12" t="str">
        <f>IFERROR(__xludf.DUMMYFUNCTION("IFERROR(INDEX(QUERY(IMPORTRANGE(""1T7HG8KEs-Ob7f3M5atEVN9Yn7IeORGp0QGvggB62ELw"",""Maestro!A:I""),""SELECT Col7 WHERE Col3 = '""&amp;BD468&amp;""'"", 0), 1, 1),""NO ENCONTRADO"")"),"")</f>
        <v/>
      </c>
      <c r="BI468" s="16">
        <f t="shared" si="15"/>
        <v>0</v>
      </c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4"/>
      <c r="BW468" s="14"/>
      <c r="BX468" s="14"/>
      <c r="BY468" s="14"/>
      <c r="BZ468" s="14"/>
      <c r="CA468" s="14"/>
      <c r="CB468" s="14"/>
      <c r="CC468" s="14"/>
      <c r="CD468" s="14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</row>
    <row r="469">
      <c r="A469" s="12"/>
      <c r="B469" s="14"/>
      <c r="C469" s="14"/>
      <c r="D469" s="14"/>
      <c r="E469" s="12"/>
      <c r="F469" s="307"/>
      <c r="G469" s="307"/>
      <c r="H469" s="12"/>
      <c r="I469" s="30"/>
      <c r="J469" s="12"/>
      <c r="K469" s="12"/>
      <c r="L469" s="12"/>
      <c r="M469" s="12"/>
      <c r="N469" s="12"/>
      <c r="O469" s="308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4"/>
      <c r="BE469" s="12"/>
      <c r="BF469" s="12"/>
      <c r="BG469" s="12" t="str">
        <f>IFERROR(__xludf.DUMMYFUNCTION("IFERROR(INDEX(QUERY(IMPORTRANGE(""1T7HG8KEs-Ob7f3M5atEVN9Yn7IeORGp0QGvggB62ELw"",""Maestro!A:I""),""SELECT Col8 WHERE Col3 = '""&amp;BD469&amp;""'"", 0), 1, 1),""NO ENCONTRADO"")"),"")</f>
        <v/>
      </c>
      <c r="BH469" s="12" t="str">
        <f>IFERROR(__xludf.DUMMYFUNCTION("IFERROR(INDEX(QUERY(IMPORTRANGE(""1T7HG8KEs-Ob7f3M5atEVN9Yn7IeORGp0QGvggB62ELw"",""Maestro!A:I""),""SELECT Col7 WHERE Col3 = '""&amp;BD469&amp;""'"", 0), 1, 1),""NO ENCONTRADO"")"),"")</f>
        <v/>
      </c>
      <c r="BI469" s="16">
        <f t="shared" si="15"/>
        <v>0</v>
      </c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4"/>
      <c r="BW469" s="14"/>
      <c r="BX469" s="14"/>
      <c r="BY469" s="14"/>
      <c r="BZ469" s="14"/>
      <c r="CA469" s="14"/>
      <c r="CB469" s="14"/>
      <c r="CC469" s="14"/>
      <c r="CD469" s="14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</row>
    <row r="470">
      <c r="A470" s="12"/>
      <c r="B470" s="14"/>
      <c r="C470" s="14"/>
      <c r="D470" s="14"/>
      <c r="E470" s="12"/>
      <c r="F470" s="307"/>
      <c r="G470" s="307"/>
      <c r="H470" s="12"/>
      <c r="I470" s="30"/>
      <c r="J470" s="12"/>
      <c r="K470" s="12"/>
      <c r="L470" s="12"/>
      <c r="M470" s="12"/>
      <c r="N470" s="12"/>
      <c r="O470" s="308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4"/>
      <c r="BE470" s="12"/>
      <c r="BF470" s="12"/>
      <c r="BG470" s="12" t="str">
        <f>IFERROR(__xludf.DUMMYFUNCTION("IFERROR(INDEX(QUERY(IMPORTRANGE(""1T7HG8KEs-Ob7f3M5atEVN9Yn7IeORGp0QGvggB62ELw"",""Maestro!A:I""),""SELECT Col8 WHERE Col3 = '""&amp;BD470&amp;""'"", 0), 1, 1),""NO ENCONTRADO"")"),"")</f>
        <v/>
      </c>
      <c r="BH470" s="12" t="str">
        <f>IFERROR(__xludf.DUMMYFUNCTION("IFERROR(INDEX(QUERY(IMPORTRANGE(""1T7HG8KEs-Ob7f3M5atEVN9Yn7IeORGp0QGvggB62ELw"",""Maestro!A:I""),""SELECT Col7 WHERE Col3 = '""&amp;BD470&amp;""'"", 0), 1, 1),""NO ENCONTRADO"")"),"")</f>
        <v/>
      </c>
      <c r="BI470" s="16">
        <f t="shared" si="15"/>
        <v>0</v>
      </c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4"/>
      <c r="BW470" s="14"/>
      <c r="BX470" s="14"/>
      <c r="BY470" s="14"/>
      <c r="BZ470" s="14"/>
      <c r="CA470" s="14"/>
      <c r="CB470" s="14"/>
      <c r="CC470" s="14"/>
      <c r="CD470" s="14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</row>
    <row r="471">
      <c r="A471" s="12"/>
      <c r="B471" s="14"/>
      <c r="C471" s="14"/>
      <c r="D471" s="14"/>
      <c r="E471" s="12"/>
      <c r="F471" s="307"/>
      <c r="G471" s="307"/>
      <c r="H471" s="12"/>
      <c r="I471" s="30"/>
      <c r="J471" s="12"/>
      <c r="K471" s="12"/>
      <c r="L471" s="12"/>
      <c r="M471" s="12"/>
      <c r="N471" s="12"/>
      <c r="O471" s="308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4"/>
      <c r="BE471" s="12"/>
      <c r="BF471" s="12"/>
      <c r="BG471" s="12" t="str">
        <f>IFERROR(__xludf.DUMMYFUNCTION("IFERROR(INDEX(QUERY(IMPORTRANGE(""1T7HG8KEs-Ob7f3M5atEVN9Yn7IeORGp0QGvggB62ELw"",""Maestro!A:I""),""SELECT Col8 WHERE Col3 = '""&amp;BD471&amp;""'"", 0), 1, 1),""NO ENCONTRADO"")"),"")</f>
        <v/>
      </c>
      <c r="BH471" s="12" t="str">
        <f>IFERROR(__xludf.DUMMYFUNCTION("IFERROR(INDEX(QUERY(IMPORTRANGE(""1T7HG8KEs-Ob7f3M5atEVN9Yn7IeORGp0QGvggB62ELw"",""Maestro!A:I""),""SELECT Col7 WHERE Col3 = '""&amp;BD471&amp;""'"", 0), 1, 1),""NO ENCONTRADO"")"),"")</f>
        <v/>
      </c>
      <c r="BI471" s="16">
        <f t="shared" si="15"/>
        <v>0</v>
      </c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4"/>
      <c r="BW471" s="14"/>
      <c r="BX471" s="14"/>
      <c r="BY471" s="14"/>
      <c r="BZ471" s="14"/>
      <c r="CA471" s="14"/>
      <c r="CB471" s="14"/>
      <c r="CC471" s="14"/>
      <c r="CD471" s="14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</row>
    <row r="472">
      <c r="A472" s="12"/>
      <c r="B472" s="14"/>
      <c r="C472" s="14"/>
      <c r="D472" s="14"/>
      <c r="E472" s="12"/>
      <c r="F472" s="307"/>
      <c r="G472" s="307"/>
      <c r="H472" s="12"/>
      <c r="I472" s="30"/>
      <c r="J472" s="12"/>
      <c r="K472" s="12"/>
      <c r="L472" s="12"/>
      <c r="M472" s="12"/>
      <c r="N472" s="12"/>
      <c r="O472" s="308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4"/>
      <c r="BE472" s="12"/>
      <c r="BF472" s="12"/>
      <c r="BG472" s="12" t="str">
        <f>IFERROR(__xludf.DUMMYFUNCTION("IFERROR(INDEX(QUERY(IMPORTRANGE(""1T7HG8KEs-Ob7f3M5atEVN9Yn7IeORGp0QGvggB62ELw"",""Maestro!A:I""),""SELECT Col8 WHERE Col3 = '""&amp;BD472&amp;""'"", 0), 1, 1),""NO ENCONTRADO"")"),"")</f>
        <v/>
      </c>
      <c r="BH472" s="12" t="str">
        <f>IFERROR(__xludf.DUMMYFUNCTION("IFERROR(INDEX(QUERY(IMPORTRANGE(""1T7HG8KEs-Ob7f3M5atEVN9Yn7IeORGp0QGvggB62ELw"",""Maestro!A:I""),""SELECT Col7 WHERE Col3 = '""&amp;BD472&amp;""'"", 0), 1, 1),""NO ENCONTRADO"")"),"")</f>
        <v/>
      </c>
      <c r="BI472" s="16">
        <f t="shared" si="15"/>
        <v>0</v>
      </c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4"/>
      <c r="BW472" s="14"/>
      <c r="BX472" s="14"/>
      <c r="BY472" s="14"/>
      <c r="BZ472" s="14"/>
      <c r="CA472" s="14"/>
      <c r="CB472" s="14"/>
      <c r="CC472" s="14"/>
      <c r="CD472" s="14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</row>
    <row r="473">
      <c r="A473" s="12"/>
      <c r="B473" s="14"/>
      <c r="C473" s="14"/>
      <c r="D473" s="14"/>
      <c r="E473" s="12"/>
      <c r="F473" s="307"/>
      <c r="G473" s="307"/>
      <c r="H473" s="12"/>
      <c r="I473" s="30"/>
      <c r="J473" s="12"/>
      <c r="K473" s="12"/>
      <c r="L473" s="12"/>
      <c r="M473" s="12"/>
      <c r="N473" s="12"/>
      <c r="O473" s="308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4"/>
      <c r="BE473" s="12"/>
      <c r="BF473" s="12"/>
      <c r="BG473" s="12" t="str">
        <f>IFERROR(__xludf.DUMMYFUNCTION("IFERROR(INDEX(QUERY(IMPORTRANGE(""1T7HG8KEs-Ob7f3M5atEVN9Yn7IeORGp0QGvggB62ELw"",""Maestro!A:I""),""SELECT Col8 WHERE Col3 = '""&amp;BD473&amp;""'"", 0), 1, 1),""NO ENCONTRADO"")"),"")</f>
        <v/>
      </c>
      <c r="BH473" s="12" t="str">
        <f>IFERROR(__xludf.DUMMYFUNCTION("IFERROR(INDEX(QUERY(IMPORTRANGE(""1T7HG8KEs-Ob7f3M5atEVN9Yn7IeORGp0QGvggB62ELw"",""Maestro!A:I""),""SELECT Col7 WHERE Col3 = '""&amp;BD473&amp;""'"", 0), 1, 1),""NO ENCONTRADO"")"),"")</f>
        <v/>
      </c>
      <c r="BI473" s="16">
        <f t="shared" si="15"/>
        <v>0</v>
      </c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4"/>
      <c r="BW473" s="14"/>
      <c r="BX473" s="14"/>
      <c r="BY473" s="14"/>
      <c r="BZ473" s="14"/>
      <c r="CA473" s="14"/>
      <c r="CB473" s="14"/>
      <c r="CC473" s="14"/>
      <c r="CD473" s="14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</row>
    <row r="474">
      <c r="A474" s="12"/>
      <c r="B474" s="14"/>
      <c r="C474" s="14"/>
      <c r="D474" s="14"/>
      <c r="E474" s="12"/>
      <c r="F474" s="307"/>
      <c r="G474" s="307"/>
      <c r="H474" s="12"/>
      <c r="I474" s="30"/>
      <c r="J474" s="12"/>
      <c r="K474" s="12"/>
      <c r="L474" s="12"/>
      <c r="M474" s="12"/>
      <c r="N474" s="12"/>
      <c r="O474" s="308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4"/>
      <c r="BE474" s="12"/>
      <c r="BF474" s="12"/>
      <c r="BG474" s="12" t="str">
        <f>IFERROR(__xludf.DUMMYFUNCTION("IFERROR(INDEX(QUERY(IMPORTRANGE(""1T7HG8KEs-Ob7f3M5atEVN9Yn7IeORGp0QGvggB62ELw"",""Maestro!A:I""),""SELECT Col8 WHERE Col3 = '""&amp;BD474&amp;""'"", 0), 1, 1),""NO ENCONTRADO"")"),"")</f>
        <v/>
      </c>
      <c r="BH474" s="12" t="str">
        <f>IFERROR(__xludf.DUMMYFUNCTION("IFERROR(INDEX(QUERY(IMPORTRANGE(""1T7HG8KEs-Ob7f3M5atEVN9Yn7IeORGp0QGvggB62ELw"",""Maestro!A:I""),""SELECT Col7 WHERE Col3 = '""&amp;BD474&amp;""'"", 0), 1, 1),""NO ENCONTRADO"")"),"")</f>
        <v/>
      </c>
      <c r="BI474" s="16">
        <f t="shared" si="15"/>
        <v>0</v>
      </c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4"/>
      <c r="BW474" s="14"/>
      <c r="BX474" s="14"/>
      <c r="BY474" s="14"/>
      <c r="BZ474" s="14"/>
      <c r="CA474" s="14"/>
      <c r="CB474" s="14"/>
      <c r="CC474" s="14"/>
      <c r="CD474" s="14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</row>
    <row r="475">
      <c r="A475" s="12"/>
      <c r="B475" s="14"/>
      <c r="C475" s="14"/>
      <c r="D475" s="14"/>
      <c r="E475" s="12"/>
      <c r="F475" s="307"/>
      <c r="G475" s="307"/>
      <c r="H475" s="12"/>
      <c r="I475" s="30"/>
      <c r="J475" s="12"/>
      <c r="K475" s="12"/>
      <c r="L475" s="12"/>
      <c r="M475" s="12"/>
      <c r="N475" s="12"/>
      <c r="O475" s="308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4"/>
      <c r="BE475" s="12"/>
      <c r="BF475" s="12"/>
      <c r="BG475" s="12" t="str">
        <f>IFERROR(__xludf.DUMMYFUNCTION("IFERROR(INDEX(QUERY(IMPORTRANGE(""1T7HG8KEs-Ob7f3M5atEVN9Yn7IeORGp0QGvggB62ELw"",""Maestro!A:I""),""SELECT Col8 WHERE Col3 = '""&amp;BD475&amp;""'"", 0), 1, 1),""NO ENCONTRADO"")"),"")</f>
        <v/>
      </c>
      <c r="BH475" s="12" t="str">
        <f>IFERROR(__xludf.DUMMYFUNCTION("IFERROR(INDEX(QUERY(IMPORTRANGE(""1T7HG8KEs-Ob7f3M5atEVN9Yn7IeORGp0QGvggB62ELw"",""Maestro!A:I""),""SELECT Col7 WHERE Col3 = '""&amp;BD475&amp;""'"", 0), 1, 1),""NO ENCONTRADO"")"),"")</f>
        <v/>
      </c>
      <c r="BI475" s="16">
        <f t="shared" si="15"/>
        <v>0</v>
      </c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4"/>
      <c r="BW475" s="14"/>
      <c r="BX475" s="14"/>
      <c r="BY475" s="14"/>
      <c r="BZ475" s="14"/>
      <c r="CA475" s="14"/>
      <c r="CB475" s="14"/>
      <c r="CC475" s="14"/>
      <c r="CD475" s="14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</row>
    <row r="476">
      <c r="A476" s="12"/>
      <c r="B476" s="14"/>
      <c r="C476" s="14"/>
      <c r="D476" s="14"/>
      <c r="E476" s="12"/>
      <c r="F476" s="307"/>
      <c r="G476" s="307"/>
      <c r="H476" s="12"/>
      <c r="I476" s="30"/>
      <c r="J476" s="12"/>
      <c r="K476" s="12"/>
      <c r="L476" s="12"/>
      <c r="M476" s="12"/>
      <c r="N476" s="12"/>
      <c r="O476" s="308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4"/>
      <c r="BE476" s="12"/>
      <c r="BF476" s="12"/>
      <c r="BG476" s="12" t="str">
        <f>IFERROR(__xludf.DUMMYFUNCTION("IFERROR(INDEX(QUERY(IMPORTRANGE(""1T7HG8KEs-Ob7f3M5atEVN9Yn7IeORGp0QGvggB62ELw"",""Maestro!A:I""),""SELECT Col8 WHERE Col3 = '""&amp;BD476&amp;""'"", 0), 1, 1),""NO ENCONTRADO"")"),"")</f>
        <v/>
      </c>
      <c r="BH476" s="12" t="str">
        <f>IFERROR(__xludf.DUMMYFUNCTION("IFERROR(INDEX(QUERY(IMPORTRANGE(""1T7HG8KEs-Ob7f3M5atEVN9Yn7IeORGp0QGvggB62ELw"",""Maestro!A:I""),""SELECT Col7 WHERE Col3 = '""&amp;BD476&amp;""'"", 0), 1, 1),""NO ENCONTRADO"")"),"")</f>
        <v/>
      </c>
      <c r="BI476" s="16">
        <f t="shared" si="15"/>
        <v>0</v>
      </c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4"/>
      <c r="BW476" s="14"/>
      <c r="BX476" s="14"/>
      <c r="BY476" s="14"/>
      <c r="BZ476" s="14"/>
      <c r="CA476" s="14"/>
      <c r="CB476" s="14"/>
      <c r="CC476" s="14"/>
      <c r="CD476" s="14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</row>
    <row r="477">
      <c r="A477" s="12"/>
      <c r="B477" s="14"/>
      <c r="C477" s="14"/>
      <c r="D477" s="14"/>
      <c r="E477" s="12"/>
      <c r="F477" s="307"/>
      <c r="G477" s="307"/>
      <c r="H477" s="12"/>
      <c r="I477" s="30"/>
      <c r="J477" s="12"/>
      <c r="K477" s="12"/>
      <c r="L477" s="12"/>
      <c r="M477" s="12"/>
      <c r="N477" s="12"/>
      <c r="O477" s="308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4"/>
      <c r="BE477" s="12"/>
      <c r="BF477" s="12"/>
      <c r="BG477" s="12" t="str">
        <f>IFERROR(__xludf.DUMMYFUNCTION("IFERROR(INDEX(QUERY(IMPORTRANGE(""1T7HG8KEs-Ob7f3M5atEVN9Yn7IeORGp0QGvggB62ELw"",""Maestro!A:I""),""SELECT Col8 WHERE Col3 = '""&amp;BD477&amp;""'"", 0), 1, 1),""NO ENCONTRADO"")"),"")</f>
        <v/>
      </c>
      <c r="BH477" s="12" t="str">
        <f>IFERROR(__xludf.DUMMYFUNCTION("IFERROR(INDEX(QUERY(IMPORTRANGE(""1T7HG8KEs-Ob7f3M5atEVN9Yn7IeORGp0QGvggB62ELw"",""Maestro!A:I""),""SELECT Col7 WHERE Col3 = '""&amp;BD477&amp;""'"", 0), 1, 1),""NO ENCONTRADO"")"),"")</f>
        <v/>
      </c>
      <c r="BI477" s="16">
        <f t="shared" si="15"/>
        <v>0</v>
      </c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4"/>
      <c r="BW477" s="14"/>
      <c r="BX477" s="14"/>
      <c r="BY477" s="14"/>
      <c r="BZ477" s="14"/>
      <c r="CA477" s="14"/>
      <c r="CB477" s="14"/>
      <c r="CC477" s="14"/>
      <c r="CD477" s="14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</row>
    <row r="478">
      <c r="A478" s="12"/>
      <c r="B478" s="14"/>
      <c r="C478" s="14"/>
      <c r="D478" s="14"/>
      <c r="E478" s="12"/>
      <c r="F478" s="307"/>
      <c r="G478" s="307"/>
      <c r="H478" s="12"/>
      <c r="I478" s="30"/>
      <c r="J478" s="12"/>
      <c r="K478" s="12"/>
      <c r="L478" s="12"/>
      <c r="M478" s="12"/>
      <c r="N478" s="12"/>
      <c r="O478" s="308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4"/>
      <c r="BE478" s="12"/>
      <c r="BF478" s="12"/>
      <c r="BG478" s="12" t="str">
        <f>IFERROR(__xludf.DUMMYFUNCTION("IFERROR(INDEX(QUERY(IMPORTRANGE(""1T7HG8KEs-Ob7f3M5atEVN9Yn7IeORGp0QGvggB62ELw"",""Maestro!A:I""),""SELECT Col8 WHERE Col3 = '""&amp;BD478&amp;""'"", 0), 1, 1),""NO ENCONTRADO"")"),"")</f>
        <v/>
      </c>
      <c r="BH478" s="12" t="str">
        <f>IFERROR(__xludf.DUMMYFUNCTION("IFERROR(INDEX(QUERY(IMPORTRANGE(""1T7HG8KEs-Ob7f3M5atEVN9Yn7IeORGp0QGvggB62ELw"",""Maestro!A:I""),""SELECT Col7 WHERE Col3 = '""&amp;BD478&amp;""'"", 0), 1, 1),""NO ENCONTRADO"")"),"")</f>
        <v/>
      </c>
      <c r="BI478" s="16">
        <f t="shared" si="15"/>
        <v>0</v>
      </c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4"/>
      <c r="BW478" s="14"/>
      <c r="BX478" s="14"/>
      <c r="BY478" s="14"/>
      <c r="BZ478" s="14"/>
      <c r="CA478" s="14"/>
      <c r="CB478" s="14"/>
      <c r="CC478" s="14"/>
      <c r="CD478" s="14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</row>
    <row r="479">
      <c r="A479" s="12"/>
      <c r="B479" s="14"/>
      <c r="C479" s="14"/>
      <c r="D479" s="14"/>
      <c r="E479" s="12"/>
      <c r="F479" s="307"/>
      <c r="G479" s="307"/>
      <c r="H479" s="12"/>
      <c r="I479" s="30"/>
      <c r="J479" s="12"/>
      <c r="K479" s="12"/>
      <c r="L479" s="12"/>
      <c r="M479" s="12"/>
      <c r="N479" s="12"/>
      <c r="O479" s="308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4"/>
      <c r="BE479" s="12"/>
      <c r="BF479" s="12"/>
      <c r="BG479" s="12" t="str">
        <f>IFERROR(__xludf.DUMMYFUNCTION("IFERROR(INDEX(QUERY(IMPORTRANGE(""1T7HG8KEs-Ob7f3M5atEVN9Yn7IeORGp0QGvggB62ELw"",""Maestro!A:I""),""SELECT Col8 WHERE Col3 = '""&amp;BD479&amp;""'"", 0), 1, 1),""NO ENCONTRADO"")"),"")</f>
        <v/>
      </c>
      <c r="BH479" s="12" t="str">
        <f>IFERROR(__xludf.DUMMYFUNCTION("IFERROR(INDEX(QUERY(IMPORTRANGE(""1T7HG8KEs-Ob7f3M5atEVN9Yn7IeORGp0QGvggB62ELw"",""Maestro!A:I""),""SELECT Col7 WHERE Col3 = '""&amp;BD479&amp;""'"", 0), 1, 1),""NO ENCONTRADO"")"),"")</f>
        <v/>
      </c>
      <c r="BI479" s="16">
        <f t="shared" si="15"/>
        <v>0</v>
      </c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4"/>
      <c r="BW479" s="14"/>
      <c r="BX479" s="14"/>
      <c r="BY479" s="14"/>
      <c r="BZ479" s="14"/>
      <c r="CA479" s="14"/>
      <c r="CB479" s="14"/>
      <c r="CC479" s="14"/>
      <c r="CD479" s="14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</row>
    <row r="480">
      <c r="A480" s="12"/>
      <c r="B480" s="14"/>
      <c r="C480" s="14"/>
      <c r="D480" s="14"/>
      <c r="E480" s="12"/>
      <c r="F480" s="307"/>
      <c r="G480" s="307"/>
      <c r="H480" s="12"/>
      <c r="I480" s="30"/>
      <c r="J480" s="12"/>
      <c r="K480" s="12"/>
      <c r="L480" s="12"/>
      <c r="M480" s="12"/>
      <c r="N480" s="12"/>
      <c r="O480" s="308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4"/>
      <c r="BE480" s="12"/>
      <c r="BF480" s="12"/>
      <c r="BG480" s="12" t="str">
        <f>IFERROR(__xludf.DUMMYFUNCTION("IFERROR(INDEX(QUERY(IMPORTRANGE(""1T7HG8KEs-Ob7f3M5atEVN9Yn7IeORGp0QGvggB62ELw"",""Maestro!A:I""),""SELECT Col8 WHERE Col3 = '""&amp;BD480&amp;""'"", 0), 1, 1),""NO ENCONTRADO"")"),"")</f>
        <v/>
      </c>
      <c r="BH480" s="12" t="str">
        <f>IFERROR(__xludf.DUMMYFUNCTION("IFERROR(INDEX(QUERY(IMPORTRANGE(""1T7HG8KEs-Ob7f3M5atEVN9Yn7IeORGp0QGvggB62ELw"",""Maestro!A:I""),""SELECT Col7 WHERE Col3 = '""&amp;BD480&amp;""'"", 0), 1, 1),""NO ENCONTRADO"")"),"")</f>
        <v/>
      </c>
      <c r="BI480" s="16">
        <f t="shared" si="15"/>
        <v>0</v>
      </c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4"/>
      <c r="BW480" s="14"/>
      <c r="BX480" s="14"/>
      <c r="BY480" s="14"/>
      <c r="BZ480" s="14"/>
      <c r="CA480" s="14"/>
      <c r="CB480" s="14"/>
      <c r="CC480" s="14"/>
      <c r="CD480" s="14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</row>
    <row r="481">
      <c r="A481" s="12"/>
      <c r="B481" s="14"/>
      <c r="C481" s="14"/>
      <c r="D481" s="14"/>
      <c r="E481" s="12"/>
      <c r="F481" s="307"/>
      <c r="G481" s="307"/>
      <c r="H481" s="12"/>
      <c r="I481" s="30"/>
      <c r="J481" s="12"/>
      <c r="K481" s="12"/>
      <c r="L481" s="12"/>
      <c r="M481" s="12"/>
      <c r="N481" s="12"/>
      <c r="O481" s="308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4"/>
      <c r="BE481" s="12"/>
      <c r="BF481" s="12"/>
      <c r="BG481" s="12" t="str">
        <f>IFERROR(__xludf.DUMMYFUNCTION("IFERROR(INDEX(QUERY(IMPORTRANGE(""1T7HG8KEs-Ob7f3M5atEVN9Yn7IeORGp0QGvggB62ELw"",""Maestro!A:I""),""SELECT Col8 WHERE Col3 = '""&amp;BD481&amp;""'"", 0), 1, 1),""NO ENCONTRADO"")"),"")</f>
        <v/>
      </c>
      <c r="BH481" s="12" t="str">
        <f>IFERROR(__xludf.DUMMYFUNCTION("IFERROR(INDEX(QUERY(IMPORTRANGE(""1T7HG8KEs-Ob7f3M5atEVN9Yn7IeORGp0QGvggB62ELw"",""Maestro!A:I""),""SELECT Col7 WHERE Col3 = '""&amp;BD481&amp;""'"", 0), 1, 1),""NO ENCONTRADO"")"),"")</f>
        <v/>
      </c>
      <c r="BI481" s="16">
        <f t="shared" si="15"/>
        <v>0</v>
      </c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4"/>
      <c r="BW481" s="14"/>
      <c r="BX481" s="14"/>
      <c r="BY481" s="14"/>
      <c r="BZ481" s="14"/>
      <c r="CA481" s="14"/>
      <c r="CB481" s="14"/>
      <c r="CC481" s="14"/>
      <c r="CD481" s="14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</row>
    <row r="482">
      <c r="A482" s="12"/>
      <c r="B482" s="14"/>
      <c r="C482" s="14"/>
      <c r="D482" s="14"/>
      <c r="E482" s="12"/>
      <c r="F482" s="307"/>
      <c r="G482" s="307"/>
      <c r="H482" s="12"/>
      <c r="I482" s="30"/>
      <c r="J482" s="12"/>
      <c r="K482" s="12"/>
      <c r="L482" s="12"/>
      <c r="M482" s="12"/>
      <c r="N482" s="12"/>
      <c r="O482" s="308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4"/>
      <c r="BE482" s="12"/>
      <c r="BF482" s="12"/>
      <c r="BG482" s="12" t="str">
        <f>IFERROR(__xludf.DUMMYFUNCTION("IFERROR(INDEX(QUERY(IMPORTRANGE(""1T7HG8KEs-Ob7f3M5atEVN9Yn7IeORGp0QGvggB62ELw"",""Maestro!A:I""),""SELECT Col8 WHERE Col3 = '""&amp;BD482&amp;""'"", 0), 1, 1),""NO ENCONTRADO"")"),"")</f>
        <v/>
      </c>
      <c r="BH482" s="12" t="str">
        <f>IFERROR(__xludf.DUMMYFUNCTION("IFERROR(INDEX(QUERY(IMPORTRANGE(""1T7HG8KEs-Ob7f3M5atEVN9Yn7IeORGp0QGvggB62ELw"",""Maestro!A:I""),""SELECT Col7 WHERE Col3 = '""&amp;BD482&amp;""'"", 0), 1, 1),""NO ENCONTRADO"")"),"")</f>
        <v/>
      </c>
      <c r="BI482" s="16">
        <f t="shared" si="15"/>
        <v>0</v>
      </c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4"/>
      <c r="BW482" s="14"/>
      <c r="BX482" s="14"/>
      <c r="BY482" s="14"/>
      <c r="BZ482" s="14"/>
      <c r="CA482" s="14"/>
      <c r="CB482" s="14"/>
      <c r="CC482" s="14"/>
      <c r="CD482" s="14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</row>
    <row r="483">
      <c r="A483" s="12"/>
      <c r="B483" s="14"/>
      <c r="C483" s="14"/>
      <c r="D483" s="14"/>
      <c r="E483" s="12"/>
      <c r="F483" s="307"/>
      <c r="G483" s="307"/>
      <c r="H483" s="12"/>
      <c r="I483" s="30"/>
      <c r="J483" s="12"/>
      <c r="K483" s="12"/>
      <c r="L483" s="12"/>
      <c r="M483" s="12"/>
      <c r="N483" s="12"/>
      <c r="O483" s="308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4"/>
      <c r="BE483" s="12"/>
      <c r="BF483" s="12"/>
      <c r="BG483" s="12" t="str">
        <f>IFERROR(__xludf.DUMMYFUNCTION("IFERROR(INDEX(QUERY(IMPORTRANGE(""1T7HG8KEs-Ob7f3M5atEVN9Yn7IeORGp0QGvggB62ELw"",""Maestro!A:I""),""SELECT Col8 WHERE Col3 = '""&amp;BD483&amp;""'"", 0), 1, 1),""NO ENCONTRADO"")"),"")</f>
        <v/>
      </c>
      <c r="BH483" s="12" t="str">
        <f>IFERROR(__xludf.DUMMYFUNCTION("IFERROR(INDEX(QUERY(IMPORTRANGE(""1T7HG8KEs-Ob7f3M5atEVN9Yn7IeORGp0QGvggB62ELw"",""Maestro!A:I""),""SELECT Col7 WHERE Col3 = '""&amp;BD483&amp;""'"", 0), 1, 1),""NO ENCONTRADO"")"),"")</f>
        <v/>
      </c>
      <c r="BI483" s="16">
        <f t="shared" si="15"/>
        <v>0</v>
      </c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4"/>
      <c r="BW483" s="14"/>
      <c r="BX483" s="14"/>
      <c r="BY483" s="14"/>
      <c r="BZ483" s="14"/>
      <c r="CA483" s="14"/>
      <c r="CB483" s="14"/>
      <c r="CC483" s="14"/>
      <c r="CD483" s="14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</row>
    <row r="484">
      <c r="A484" s="12"/>
      <c r="B484" s="14"/>
      <c r="C484" s="14"/>
      <c r="D484" s="14"/>
      <c r="E484" s="12"/>
      <c r="F484" s="307"/>
      <c r="G484" s="307"/>
      <c r="H484" s="12"/>
      <c r="I484" s="30"/>
      <c r="J484" s="12"/>
      <c r="K484" s="12"/>
      <c r="L484" s="12"/>
      <c r="M484" s="12"/>
      <c r="N484" s="12"/>
      <c r="O484" s="308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4"/>
      <c r="BE484" s="12"/>
      <c r="BF484" s="12"/>
      <c r="BG484" s="12" t="str">
        <f>IFERROR(__xludf.DUMMYFUNCTION("IFERROR(INDEX(QUERY(IMPORTRANGE(""1T7HG8KEs-Ob7f3M5atEVN9Yn7IeORGp0QGvggB62ELw"",""Maestro!A:I""),""SELECT Col8 WHERE Col3 = '""&amp;BD484&amp;""'"", 0), 1, 1),""NO ENCONTRADO"")"),"")</f>
        <v/>
      </c>
      <c r="BH484" s="12" t="str">
        <f>IFERROR(__xludf.DUMMYFUNCTION("IFERROR(INDEX(QUERY(IMPORTRANGE(""1T7HG8KEs-Ob7f3M5atEVN9Yn7IeORGp0QGvggB62ELw"",""Maestro!A:I""),""SELECT Col7 WHERE Col3 = '""&amp;BD484&amp;""'"", 0), 1, 1),""NO ENCONTRADO"")"),"")</f>
        <v/>
      </c>
      <c r="BI484" s="16">
        <f t="shared" si="15"/>
        <v>0</v>
      </c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4"/>
      <c r="BW484" s="14"/>
      <c r="BX484" s="14"/>
      <c r="BY484" s="14"/>
      <c r="BZ484" s="14"/>
      <c r="CA484" s="14"/>
      <c r="CB484" s="14"/>
      <c r="CC484" s="14"/>
      <c r="CD484" s="14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</row>
    <row r="485">
      <c r="A485" s="12"/>
      <c r="B485" s="14"/>
      <c r="C485" s="14"/>
      <c r="D485" s="14"/>
      <c r="E485" s="12"/>
      <c r="F485" s="307"/>
      <c r="G485" s="307"/>
      <c r="H485" s="12"/>
      <c r="I485" s="30"/>
      <c r="J485" s="12"/>
      <c r="K485" s="12"/>
      <c r="L485" s="12"/>
      <c r="M485" s="12"/>
      <c r="N485" s="12"/>
      <c r="O485" s="308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4"/>
      <c r="BE485" s="12"/>
      <c r="BF485" s="12"/>
      <c r="BG485" s="12" t="str">
        <f>IFERROR(__xludf.DUMMYFUNCTION("IFERROR(INDEX(QUERY(IMPORTRANGE(""1T7HG8KEs-Ob7f3M5atEVN9Yn7IeORGp0QGvggB62ELw"",""Maestro!A:I""),""SELECT Col8 WHERE Col3 = '""&amp;BD485&amp;""'"", 0), 1, 1),""NO ENCONTRADO"")"),"")</f>
        <v/>
      </c>
      <c r="BH485" s="12" t="str">
        <f>IFERROR(__xludf.DUMMYFUNCTION("IFERROR(INDEX(QUERY(IMPORTRANGE(""1T7HG8KEs-Ob7f3M5atEVN9Yn7IeORGp0QGvggB62ELw"",""Maestro!A:I""),""SELECT Col7 WHERE Col3 = '""&amp;BD485&amp;""'"", 0), 1, 1),""NO ENCONTRADO"")"),"")</f>
        <v/>
      </c>
      <c r="BI485" s="16">
        <f t="shared" si="15"/>
        <v>0</v>
      </c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4"/>
      <c r="BW485" s="14"/>
      <c r="BX485" s="14"/>
      <c r="BY485" s="14"/>
      <c r="BZ485" s="14"/>
      <c r="CA485" s="14"/>
      <c r="CB485" s="14"/>
      <c r="CC485" s="14"/>
      <c r="CD485" s="14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</row>
    <row r="486">
      <c r="A486" s="12"/>
      <c r="B486" s="14"/>
      <c r="C486" s="14"/>
      <c r="D486" s="14"/>
      <c r="E486" s="12"/>
      <c r="F486" s="307"/>
      <c r="G486" s="307"/>
      <c r="H486" s="12"/>
      <c r="I486" s="30"/>
      <c r="J486" s="12"/>
      <c r="K486" s="12"/>
      <c r="L486" s="12"/>
      <c r="M486" s="12"/>
      <c r="N486" s="12"/>
      <c r="O486" s="308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4"/>
      <c r="BE486" s="12"/>
      <c r="BF486" s="12"/>
      <c r="BG486" s="12" t="str">
        <f>IFERROR(__xludf.DUMMYFUNCTION("IFERROR(INDEX(QUERY(IMPORTRANGE(""1T7HG8KEs-Ob7f3M5atEVN9Yn7IeORGp0QGvggB62ELw"",""Maestro!A:I""),""SELECT Col8 WHERE Col3 = '""&amp;BD486&amp;""'"", 0), 1, 1),""NO ENCONTRADO"")"),"")</f>
        <v/>
      </c>
      <c r="BH486" s="12" t="str">
        <f>IFERROR(__xludf.DUMMYFUNCTION("IFERROR(INDEX(QUERY(IMPORTRANGE(""1T7HG8KEs-Ob7f3M5atEVN9Yn7IeORGp0QGvggB62ELw"",""Maestro!A:I""),""SELECT Col7 WHERE Col3 = '""&amp;BD486&amp;""'"", 0), 1, 1),""NO ENCONTRADO"")"),"")</f>
        <v/>
      </c>
      <c r="BI486" s="16">
        <f t="shared" si="15"/>
        <v>0</v>
      </c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4"/>
      <c r="BW486" s="14"/>
      <c r="BX486" s="14"/>
      <c r="BY486" s="14"/>
      <c r="BZ486" s="14"/>
      <c r="CA486" s="14"/>
      <c r="CB486" s="14"/>
      <c r="CC486" s="14"/>
      <c r="CD486" s="14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</row>
    <row r="487">
      <c r="A487" s="12"/>
      <c r="B487" s="14"/>
      <c r="C487" s="14"/>
      <c r="D487" s="14"/>
      <c r="E487" s="12"/>
      <c r="F487" s="307"/>
      <c r="G487" s="307"/>
      <c r="H487" s="12"/>
      <c r="I487" s="30"/>
      <c r="J487" s="12"/>
      <c r="K487" s="12"/>
      <c r="L487" s="12"/>
      <c r="M487" s="12"/>
      <c r="N487" s="12"/>
      <c r="O487" s="308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4"/>
      <c r="BE487" s="12"/>
      <c r="BF487" s="12"/>
      <c r="BG487" s="12" t="str">
        <f>IFERROR(__xludf.DUMMYFUNCTION("IFERROR(INDEX(QUERY(IMPORTRANGE(""1T7HG8KEs-Ob7f3M5atEVN9Yn7IeORGp0QGvggB62ELw"",""Maestro!A:I""),""SELECT Col8 WHERE Col3 = '""&amp;BD487&amp;""'"", 0), 1, 1),""NO ENCONTRADO"")"),"")</f>
        <v/>
      </c>
      <c r="BH487" s="12" t="str">
        <f>IFERROR(__xludf.DUMMYFUNCTION("IFERROR(INDEX(QUERY(IMPORTRANGE(""1T7HG8KEs-Ob7f3M5atEVN9Yn7IeORGp0QGvggB62ELw"",""Maestro!A:I""),""SELECT Col7 WHERE Col3 = '""&amp;BD487&amp;""'"", 0), 1, 1),""NO ENCONTRADO"")"),"")</f>
        <v/>
      </c>
      <c r="BI487" s="16">
        <f t="shared" si="15"/>
        <v>0</v>
      </c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4"/>
      <c r="BW487" s="14"/>
      <c r="BX487" s="14"/>
      <c r="BY487" s="14"/>
      <c r="BZ487" s="14"/>
      <c r="CA487" s="14"/>
      <c r="CB487" s="14"/>
      <c r="CC487" s="14"/>
      <c r="CD487" s="14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</row>
    <row r="488">
      <c r="A488" s="12"/>
      <c r="B488" s="14"/>
      <c r="C488" s="14"/>
      <c r="D488" s="14"/>
      <c r="E488" s="12"/>
      <c r="F488" s="307"/>
      <c r="G488" s="307"/>
      <c r="H488" s="12"/>
      <c r="I488" s="30"/>
      <c r="J488" s="12"/>
      <c r="K488" s="12"/>
      <c r="L488" s="12"/>
      <c r="M488" s="12"/>
      <c r="N488" s="12"/>
      <c r="O488" s="308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4"/>
      <c r="BE488" s="12"/>
      <c r="BF488" s="12"/>
      <c r="BG488" s="12" t="str">
        <f>IFERROR(__xludf.DUMMYFUNCTION("IFERROR(INDEX(QUERY(IMPORTRANGE(""1T7HG8KEs-Ob7f3M5atEVN9Yn7IeORGp0QGvggB62ELw"",""Maestro!A:I""),""SELECT Col8 WHERE Col3 = '""&amp;BD488&amp;""'"", 0), 1, 1),""NO ENCONTRADO"")"),"")</f>
        <v/>
      </c>
      <c r="BH488" s="12" t="str">
        <f>IFERROR(__xludf.DUMMYFUNCTION("IFERROR(INDEX(QUERY(IMPORTRANGE(""1T7HG8KEs-Ob7f3M5atEVN9Yn7IeORGp0QGvggB62ELw"",""Maestro!A:I""),""SELECT Col7 WHERE Col3 = '""&amp;BD488&amp;""'"", 0), 1, 1),""NO ENCONTRADO"")"),"")</f>
        <v/>
      </c>
      <c r="BI488" s="16">
        <f t="shared" si="15"/>
        <v>0</v>
      </c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4"/>
      <c r="BW488" s="14"/>
      <c r="BX488" s="14"/>
      <c r="BY488" s="14"/>
      <c r="BZ488" s="14"/>
      <c r="CA488" s="14"/>
      <c r="CB488" s="14"/>
      <c r="CC488" s="14"/>
      <c r="CD488" s="14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</row>
    <row r="489">
      <c r="A489" s="12"/>
      <c r="B489" s="14"/>
      <c r="C489" s="14"/>
      <c r="D489" s="14"/>
      <c r="E489" s="12"/>
      <c r="F489" s="307"/>
      <c r="G489" s="307"/>
      <c r="H489" s="12"/>
      <c r="I489" s="30"/>
      <c r="J489" s="12"/>
      <c r="K489" s="12"/>
      <c r="L489" s="12"/>
      <c r="M489" s="12"/>
      <c r="N489" s="12"/>
      <c r="O489" s="308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4"/>
      <c r="BE489" s="12"/>
      <c r="BF489" s="12"/>
      <c r="BG489" s="12" t="str">
        <f>IFERROR(__xludf.DUMMYFUNCTION("IFERROR(INDEX(QUERY(IMPORTRANGE(""1T7HG8KEs-Ob7f3M5atEVN9Yn7IeORGp0QGvggB62ELw"",""Maestro!A:I""),""SELECT Col8 WHERE Col3 = '""&amp;BD489&amp;""'"", 0), 1, 1),""NO ENCONTRADO"")"),"")</f>
        <v/>
      </c>
      <c r="BH489" s="12" t="str">
        <f>IFERROR(__xludf.DUMMYFUNCTION("IFERROR(INDEX(QUERY(IMPORTRANGE(""1T7HG8KEs-Ob7f3M5atEVN9Yn7IeORGp0QGvggB62ELw"",""Maestro!A:I""),""SELECT Col7 WHERE Col3 = '""&amp;BD489&amp;""'"", 0), 1, 1),""NO ENCONTRADO"")"),"")</f>
        <v/>
      </c>
      <c r="BI489" s="16">
        <f t="shared" si="15"/>
        <v>0</v>
      </c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4"/>
      <c r="BW489" s="14"/>
      <c r="BX489" s="14"/>
      <c r="BY489" s="14"/>
      <c r="BZ489" s="14"/>
      <c r="CA489" s="14"/>
      <c r="CB489" s="14"/>
      <c r="CC489" s="14"/>
      <c r="CD489" s="14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</row>
    <row r="490">
      <c r="A490" s="12"/>
      <c r="B490" s="14"/>
      <c r="C490" s="14"/>
      <c r="D490" s="14"/>
      <c r="E490" s="12"/>
      <c r="F490" s="307"/>
      <c r="G490" s="307"/>
      <c r="H490" s="12"/>
      <c r="I490" s="30"/>
      <c r="J490" s="12"/>
      <c r="K490" s="12"/>
      <c r="L490" s="12"/>
      <c r="M490" s="12"/>
      <c r="N490" s="12"/>
      <c r="O490" s="308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4"/>
      <c r="BE490" s="12"/>
      <c r="BF490" s="12"/>
      <c r="BG490" s="12" t="str">
        <f>IFERROR(__xludf.DUMMYFUNCTION("IFERROR(INDEX(QUERY(IMPORTRANGE(""1T7HG8KEs-Ob7f3M5atEVN9Yn7IeORGp0QGvggB62ELw"",""Maestro!A:I""),""SELECT Col8 WHERE Col3 = '""&amp;BD490&amp;""'"", 0), 1, 1),""NO ENCONTRADO"")"),"")</f>
        <v/>
      </c>
      <c r="BH490" s="12" t="str">
        <f>IFERROR(__xludf.DUMMYFUNCTION("IFERROR(INDEX(QUERY(IMPORTRANGE(""1T7HG8KEs-Ob7f3M5atEVN9Yn7IeORGp0QGvggB62ELw"",""Maestro!A:I""),""SELECT Col7 WHERE Col3 = '""&amp;BD490&amp;""'"", 0), 1, 1),""NO ENCONTRADO"")"),"")</f>
        <v/>
      </c>
      <c r="BI490" s="16">
        <f t="shared" si="15"/>
        <v>0</v>
      </c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4"/>
      <c r="BW490" s="14"/>
      <c r="BX490" s="14"/>
      <c r="BY490" s="14"/>
      <c r="BZ490" s="14"/>
      <c r="CA490" s="14"/>
      <c r="CB490" s="14"/>
      <c r="CC490" s="14"/>
      <c r="CD490" s="14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</row>
    <row r="491">
      <c r="A491" s="12"/>
      <c r="B491" s="14"/>
      <c r="C491" s="14"/>
      <c r="D491" s="14"/>
      <c r="E491" s="12"/>
      <c r="F491" s="307"/>
      <c r="G491" s="307"/>
      <c r="H491" s="12"/>
      <c r="I491" s="30"/>
      <c r="J491" s="12"/>
      <c r="K491" s="12"/>
      <c r="L491" s="12"/>
      <c r="M491" s="12"/>
      <c r="N491" s="12"/>
      <c r="O491" s="308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4"/>
      <c r="BE491" s="12"/>
      <c r="BF491" s="12"/>
      <c r="BG491" s="12" t="str">
        <f>IFERROR(__xludf.DUMMYFUNCTION("IFERROR(INDEX(QUERY(IMPORTRANGE(""1T7HG8KEs-Ob7f3M5atEVN9Yn7IeORGp0QGvggB62ELw"",""Maestro!A:I""),""SELECT Col8 WHERE Col3 = '""&amp;BD491&amp;""'"", 0), 1, 1),""NO ENCONTRADO"")"),"")</f>
        <v/>
      </c>
      <c r="BH491" s="12" t="str">
        <f>IFERROR(__xludf.DUMMYFUNCTION("IFERROR(INDEX(QUERY(IMPORTRANGE(""1T7HG8KEs-Ob7f3M5atEVN9Yn7IeORGp0QGvggB62ELw"",""Maestro!A:I""),""SELECT Col7 WHERE Col3 = '""&amp;BD491&amp;""'"", 0), 1, 1),""NO ENCONTRADO"")"),"")</f>
        <v/>
      </c>
      <c r="BI491" s="16">
        <f t="shared" si="15"/>
        <v>0</v>
      </c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4"/>
      <c r="BW491" s="14"/>
      <c r="BX491" s="14"/>
      <c r="BY491" s="14"/>
      <c r="BZ491" s="14"/>
      <c r="CA491" s="14"/>
      <c r="CB491" s="14"/>
      <c r="CC491" s="14"/>
      <c r="CD491" s="14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</row>
    <row r="492">
      <c r="A492" s="12"/>
      <c r="B492" s="14"/>
      <c r="C492" s="14"/>
      <c r="D492" s="14"/>
      <c r="E492" s="12"/>
      <c r="F492" s="307"/>
      <c r="G492" s="307"/>
      <c r="H492" s="12"/>
      <c r="I492" s="30"/>
      <c r="J492" s="12"/>
      <c r="K492" s="12"/>
      <c r="L492" s="12"/>
      <c r="M492" s="12"/>
      <c r="N492" s="12"/>
      <c r="O492" s="308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4"/>
      <c r="BE492" s="12"/>
      <c r="BF492" s="12"/>
      <c r="BG492" s="12" t="str">
        <f>IFERROR(__xludf.DUMMYFUNCTION("IFERROR(INDEX(QUERY(IMPORTRANGE(""1T7HG8KEs-Ob7f3M5atEVN9Yn7IeORGp0QGvggB62ELw"",""Maestro!A:I""),""SELECT Col8 WHERE Col3 = '""&amp;BD492&amp;""'"", 0), 1, 1),""NO ENCONTRADO"")"),"")</f>
        <v/>
      </c>
      <c r="BH492" s="12" t="str">
        <f>IFERROR(__xludf.DUMMYFUNCTION("IFERROR(INDEX(QUERY(IMPORTRANGE(""1T7HG8KEs-Ob7f3M5atEVN9Yn7IeORGp0QGvggB62ELw"",""Maestro!A:I""),""SELECT Col7 WHERE Col3 = '""&amp;BD492&amp;""'"", 0), 1, 1),""NO ENCONTRADO"")"),"")</f>
        <v/>
      </c>
      <c r="BI492" s="16">
        <f t="shared" si="15"/>
        <v>0</v>
      </c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4"/>
      <c r="BW492" s="14"/>
      <c r="BX492" s="14"/>
      <c r="BY492" s="14"/>
      <c r="BZ492" s="14"/>
      <c r="CA492" s="14"/>
      <c r="CB492" s="14"/>
      <c r="CC492" s="14"/>
      <c r="CD492" s="14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</row>
    <row r="493">
      <c r="A493" s="12"/>
      <c r="B493" s="14"/>
      <c r="C493" s="14"/>
      <c r="D493" s="14"/>
      <c r="E493" s="12"/>
      <c r="F493" s="307"/>
      <c r="G493" s="307"/>
      <c r="H493" s="12"/>
      <c r="I493" s="30"/>
      <c r="J493" s="12"/>
      <c r="K493" s="12"/>
      <c r="L493" s="12"/>
      <c r="M493" s="12"/>
      <c r="N493" s="12"/>
      <c r="O493" s="308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4"/>
      <c r="BE493" s="12"/>
      <c r="BF493" s="12"/>
      <c r="BG493" s="12" t="str">
        <f>IFERROR(__xludf.DUMMYFUNCTION("IFERROR(INDEX(QUERY(IMPORTRANGE(""1T7HG8KEs-Ob7f3M5atEVN9Yn7IeORGp0QGvggB62ELw"",""Maestro!A:I""),""SELECT Col8 WHERE Col3 = '""&amp;BD493&amp;""'"", 0), 1, 1),""NO ENCONTRADO"")"),"")</f>
        <v/>
      </c>
      <c r="BH493" s="12" t="str">
        <f>IFERROR(__xludf.DUMMYFUNCTION("IFERROR(INDEX(QUERY(IMPORTRANGE(""1T7HG8KEs-Ob7f3M5atEVN9Yn7IeORGp0QGvggB62ELw"",""Maestro!A:I""),""SELECT Col7 WHERE Col3 = '""&amp;BD493&amp;""'"", 0), 1, 1),""NO ENCONTRADO"")"),"")</f>
        <v/>
      </c>
      <c r="BI493" s="16">
        <f t="shared" si="15"/>
        <v>0</v>
      </c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4"/>
      <c r="BW493" s="14"/>
      <c r="BX493" s="14"/>
      <c r="BY493" s="14"/>
      <c r="BZ493" s="14"/>
      <c r="CA493" s="14"/>
      <c r="CB493" s="14"/>
      <c r="CC493" s="14"/>
      <c r="CD493" s="14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</row>
    <row r="494">
      <c r="A494" s="12"/>
      <c r="B494" s="14"/>
      <c r="C494" s="14"/>
      <c r="D494" s="14"/>
      <c r="E494" s="12"/>
      <c r="F494" s="307"/>
      <c r="G494" s="307"/>
      <c r="H494" s="12"/>
      <c r="I494" s="30"/>
      <c r="J494" s="12"/>
      <c r="K494" s="12"/>
      <c r="L494" s="12"/>
      <c r="M494" s="12"/>
      <c r="N494" s="12"/>
      <c r="O494" s="308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4"/>
      <c r="BE494" s="12"/>
      <c r="BF494" s="12"/>
      <c r="BG494" s="12" t="str">
        <f>IFERROR(__xludf.DUMMYFUNCTION("IFERROR(INDEX(QUERY(IMPORTRANGE(""1T7HG8KEs-Ob7f3M5atEVN9Yn7IeORGp0QGvggB62ELw"",""Maestro!A:I""),""SELECT Col8 WHERE Col3 = '""&amp;BD494&amp;""'"", 0), 1, 1),""NO ENCONTRADO"")"),"")</f>
        <v/>
      </c>
      <c r="BH494" s="12" t="str">
        <f>IFERROR(__xludf.DUMMYFUNCTION("IFERROR(INDEX(QUERY(IMPORTRANGE(""1T7HG8KEs-Ob7f3M5atEVN9Yn7IeORGp0QGvggB62ELw"",""Maestro!A:I""),""SELECT Col7 WHERE Col3 = '""&amp;BD494&amp;""'"", 0), 1, 1),""NO ENCONTRADO"")"),"")</f>
        <v/>
      </c>
      <c r="BI494" s="16">
        <f t="shared" si="15"/>
        <v>0</v>
      </c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4"/>
      <c r="BW494" s="14"/>
      <c r="BX494" s="14"/>
      <c r="BY494" s="14"/>
      <c r="BZ494" s="14"/>
      <c r="CA494" s="14"/>
      <c r="CB494" s="14"/>
      <c r="CC494" s="14"/>
      <c r="CD494" s="14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</row>
    <row r="495">
      <c r="A495" s="12"/>
      <c r="B495" s="14"/>
      <c r="C495" s="14"/>
      <c r="D495" s="14"/>
      <c r="E495" s="12"/>
      <c r="F495" s="307"/>
      <c r="G495" s="307"/>
      <c r="H495" s="12"/>
      <c r="I495" s="30"/>
      <c r="J495" s="12"/>
      <c r="K495" s="12"/>
      <c r="L495" s="12"/>
      <c r="M495" s="12"/>
      <c r="N495" s="12"/>
      <c r="O495" s="308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4"/>
      <c r="BE495" s="12"/>
      <c r="BF495" s="12"/>
      <c r="BG495" s="12" t="str">
        <f>IFERROR(__xludf.DUMMYFUNCTION("IFERROR(INDEX(QUERY(IMPORTRANGE(""1T7HG8KEs-Ob7f3M5atEVN9Yn7IeORGp0QGvggB62ELw"",""Maestro!A:I""),""SELECT Col8 WHERE Col3 = '""&amp;BD495&amp;""'"", 0), 1, 1),""NO ENCONTRADO"")"),"")</f>
        <v/>
      </c>
      <c r="BH495" s="12" t="str">
        <f>IFERROR(__xludf.DUMMYFUNCTION("IFERROR(INDEX(QUERY(IMPORTRANGE(""1T7HG8KEs-Ob7f3M5atEVN9Yn7IeORGp0QGvggB62ELw"",""Maestro!A:I""),""SELECT Col7 WHERE Col3 = '""&amp;BD495&amp;""'"", 0), 1, 1),""NO ENCONTRADO"")"),"")</f>
        <v/>
      </c>
      <c r="BI495" s="16">
        <f t="shared" si="15"/>
        <v>0</v>
      </c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4"/>
      <c r="BW495" s="14"/>
      <c r="BX495" s="14"/>
      <c r="BY495" s="14"/>
      <c r="BZ495" s="14"/>
      <c r="CA495" s="14"/>
      <c r="CB495" s="14"/>
      <c r="CC495" s="14"/>
      <c r="CD495" s="14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</row>
    <row r="496">
      <c r="A496" s="12"/>
      <c r="B496" s="14"/>
      <c r="C496" s="14"/>
      <c r="D496" s="14"/>
      <c r="E496" s="12"/>
      <c r="F496" s="307"/>
      <c r="G496" s="307"/>
      <c r="H496" s="12"/>
      <c r="I496" s="30"/>
      <c r="J496" s="12"/>
      <c r="K496" s="12"/>
      <c r="L496" s="12"/>
      <c r="M496" s="12"/>
      <c r="N496" s="12"/>
      <c r="O496" s="308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4"/>
      <c r="BE496" s="12"/>
      <c r="BF496" s="12"/>
      <c r="BG496" s="12" t="str">
        <f>IFERROR(__xludf.DUMMYFUNCTION("IFERROR(INDEX(QUERY(IMPORTRANGE(""1T7HG8KEs-Ob7f3M5atEVN9Yn7IeORGp0QGvggB62ELw"",""Maestro!A:I""),""SELECT Col8 WHERE Col3 = '""&amp;BD496&amp;""'"", 0), 1, 1),""NO ENCONTRADO"")"),"")</f>
        <v/>
      </c>
      <c r="BH496" s="12" t="str">
        <f>IFERROR(__xludf.DUMMYFUNCTION("IFERROR(INDEX(QUERY(IMPORTRANGE(""1T7HG8KEs-Ob7f3M5atEVN9Yn7IeORGp0QGvggB62ELw"",""Maestro!A:I""),""SELECT Col7 WHERE Col3 = '""&amp;BD496&amp;""'"", 0), 1, 1),""NO ENCONTRADO"")"),"")</f>
        <v/>
      </c>
      <c r="BI496" s="16">
        <f t="shared" si="15"/>
        <v>0</v>
      </c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4"/>
      <c r="BW496" s="14"/>
      <c r="BX496" s="14"/>
      <c r="BY496" s="14"/>
      <c r="BZ496" s="14"/>
      <c r="CA496" s="14"/>
      <c r="CB496" s="14"/>
      <c r="CC496" s="14"/>
      <c r="CD496" s="14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</row>
    <row r="497">
      <c r="A497" s="12"/>
      <c r="B497" s="14"/>
      <c r="C497" s="14"/>
      <c r="D497" s="14"/>
      <c r="E497" s="12"/>
      <c r="F497" s="307"/>
      <c r="G497" s="307"/>
      <c r="H497" s="12"/>
      <c r="I497" s="30"/>
      <c r="J497" s="12"/>
      <c r="K497" s="12"/>
      <c r="L497" s="12"/>
      <c r="M497" s="12"/>
      <c r="N497" s="12"/>
      <c r="O497" s="308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4"/>
      <c r="BE497" s="12"/>
      <c r="BF497" s="12"/>
      <c r="BG497" s="12" t="str">
        <f>IFERROR(__xludf.DUMMYFUNCTION("IFERROR(INDEX(QUERY(IMPORTRANGE(""1T7HG8KEs-Ob7f3M5atEVN9Yn7IeORGp0QGvggB62ELw"",""Maestro!A:I""),""SELECT Col8 WHERE Col3 = '""&amp;BD497&amp;""'"", 0), 1, 1),""NO ENCONTRADO"")"),"")</f>
        <v/>
      </c>
      <c r="BH497" s="12" t="str">
        <f>IFERROR(__xludf.DUMMYFUNCTION("IFERROR(INDEX(QUERY(IMPORTRANGE(""1T7HG8KEs-Ob7f3M5atEVN9Yn7IeORGp0QGvggB62ELw"",""Maestro!A:I""),""SELECT Col7 WHERE Col3 = '""&amp;BD497&amp;""'"", 0), 1, 1),""NO ENCONTRADO"")"),"")</f>
        <v/>
      </c>
      <c r="BI497" s="16">
        <f t="shared" si="15"/>
        <v>0</v>
      </c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4"/>
      <c r="BW497" s="14"/>
      <c r="BX497" s="14"/>
      <c r="BY497" s="14"/>
      <c r="BZ497" s="14"/>
      <c r="CA497" s="14"/>
      <c r="CB497" s="14"/>
      <c r="CC497" s="14"/>
      <c r="CD497" s="14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</row>
    <row r="498">
      <c r="A498" s="12"/>
      <c r="B498" s="14"/>
      <c r="C498" s="14"/>
      <c r="D498" s="14"/>
      <c r="E498" s="12"/>
      <c r="F498" s="307"/>
      <c r="G498" s="307"/>
      <c r="H498" s="12"/>
      <c r="I498" s="30"/>
      <c r="J498" s="12"/>
      <c r="K498" s="12"/>
      <c r="L498" s="12"/>
      <c r="M498" s="12"/>
      <c r="N498" s="12"/>
      <c r="O498" s="308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4"/>
      <c r="BE498" s="12"/>
      <c r="BF498" s="12"/>
      <c r="BG498" s="12" t="str">
        <f>IFERROR(__xludf.DUMMYFUNCTION("IFERROR(INDEX(QUERY(IMPORTRANGE(""1T7HG8KEs-Ob7f3M5atEVN9Yn7IeORGp0QGvggB62ELw"",""Maestro!A:I""),""SELECT Col8 WHERE Col3 = '""&amp;BD498&amp;""'"", 0), 1, 1),""NO ENCONTRADO"")"),"")</f>
        <v/>
      </c>
      <c r="BH498" s="12" t="str">
        <f>IFERROR(__xludf.DUMMYFUNCTION("IFERROR(INDEX(QUERY(IMPORTRANGE(""1T7HG8KEs-Ob7f3M5atEVN9Yn7IeORGp0QGvggB62ELw"",""Maestro!A:I""),""SELECT Col7 WHERE Col3 = '""&amp;BD498&amp;""'"", 0), 1, 1),""NO ENCONTRADO"")"),"")</f>
        <v/>
      </c>
      <c r="BI498" s="16">
        <f t="shared" si="15"/>
        <v>0</v>
      </c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4"/>
      <c r="BW498" s="14"/>
      <c r="BX498" s="14"/>
      <c r="BY498" s="14"/>
      <c r="BZ498" s="14"/>
      <c r="CA498" s="14"/>
      <c r="CB498" s="14"/>
      <c r="CC498" s="14"/>
      <c r="CD498" s="14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</row>
    <row r="499">
      <c r="A499" s="12"/>
      <c r="B499" s="14"/>
      <c r="C499" s="14"/>
      <c r="D499" s="14"/>
      <c r="E499" s="12"/>
      <c r="F499" s="307"/>
      <c r="G499" s="307"/>
      <c r="H499" s="12"/>
      <c r="I499" s="30"/>
      <c r="J499" s="12"/>
      <c r="K499" s="12"/>
      <c r="L499" s="12"/>
      <c r="M499" s="12"/>
      <c r="N499" s="12"/>
      <c r="O499" s="308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4"/>
      <c r="BE499" s="12"/>
      <c r="BF499" s="12"/>
      <c r="BG499" s="12" t="str">
        <f>IFERROR(__xludf.DUMMYFUNCTION("IFERROR(INDEX(QUERY(IMPORTRANGE(""1T7HG8KEs-Ob7f3M5atEVN9Yn7IeORGp0QGvggB62ELw"",""Maestro!A:I""),""SELECT Col8 WHERE Col3 = '""&amp;BD499&amp;""'"", 0), 1, 1),""NO ENCONTRADO"")"),"")</f>
        <v/>
      </c>
      <c r="BH499" s="12" t="str">
        <f>IFERROR(__xludf.DUMMYFUNCTION("IFERROR(INDEX(QUERY(IMPORTRANGE(""1T7HG8KEs-Ob7f3M5atEVN9Yn7IeORGp0QGvggB62ELw"",""Maestro!A:I""),""SELECT Col7 WHERE Col3 = '""&amp;BD499&amp;""'"", 0), 1, 1),""NO ENCONTRADO"")"),"")</f>
        <v/>
      </c>
      <c r="BI499" s="16">
        <f t="shared" si="15"/>
        <v>0</v>
      </c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4"/>
      <c r="BW499" s="14"/>
      <c r="BX499" s="14"/>
      <c r="BY499" s="14"/>
      <c r="BZ499" s="14"/>
      <c r="CA499" s="14"/>
      <c r="CB499" s="14"/>
      <c r="CC499" s="14"/>
      <c r="CD499" s="14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</row>
    <row r="500">
      <c r="A500" s="12"/>
      <c r="B500" s="14"/>
      <c r="C500" s="14"/>
      <c r="D500" s="14"/>
      <c r="E500" s="12"/>
      <c r="F500" s="307"/>
      <c r="G500" s="307"/>
      <c r="H500" s="12"/>
      <c r="I500" s="30"/>
      <c r="J500" s="12"/>
      <c r="K500" s="12"/>
      <c r="L500" s="12"/>
      <c r="M500" s="12"/>
      <c r="N500" s="12"/>
      <c r="O500" s="308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4"/>
      <c r="BE500" s="12"/>
      <c r="BF500" s="12"/>
      <c r="BG500" s="12" t="str">
        <f>IFERROR(__xludf.DUMMYFUNCTION("IFERROR(INDEX(QUERY(IMPORTRANGE(""1T7HG8KEs-Ob7f3M5atEVN9Yn7IeORGp0QGvggB62ELw"",""Maestro!A:I""),""SELECT Col8 WHERE Col3 = '""&amp;BD500&amp;""'"", 0), 1, 1),""NO ENCONTRADO"")"),"")</f>
        <v/>
      </c>
      <c r="BH500" s="12" t="str">
        <f>IFERROR(__xludf.DUMMYFUNCTION("IFERROR(INDEX(QUERY(IMPORTRANGE(""1T7HG8KEs-Ob7f3M5atEVN9Yn7IeORGp0QGvggB62ELw"",""Maestro!A:I""),""SELECT Col7 WHERE Col3 = '""&amp;BD500&amp;""'"", 0), 1, 1),""NO ENCONTRADO"")"),"")</f>
        <v/>
      </c>
      <c r="BI500" s="16">
        <f t="shared" si="15"/>
        <v>0</v>
      </c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4"/>
      <c r="BW500" s="14"/>
      <c r="BX500" s="14"/>
      <c r="BY500" s="14"/>
      <c r="BZ500" s="14"/>
      <c r="CA500" s="14"/>
      <c r="CB500" s="14"/>
      <c r="CC500" s="14"/>
      <c r="CD500" s="14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</row>
    <row r="501">
      <c r="A501" s="12"/>
      <c r="B501" s="14"/>
      <c r="C501" s="14"/>
      <c r="D501" s="14"/>
      <c r="E501" s="12"/>
      <c r="F501" s="307"/>
      <c r="G501" s="307"/>
      <c r="H501" s="12"/>
      <c r="I501" s="30"/>
      <c r="J501" s="12"/>
      <c r="K501" s="12"/>
      <c r="L501" s="12"/>
      <c r="M501" s="12"/>
      <c r="N501" s="12"/>
      <c r="O501" s="308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4"/>
      <c r="BE501" s="12"/>
      <c r="BF501" s="12"/>
      <c r="BG501" s="12" t="str">
        <f>IFERROR(__xludf.DUMMYFUNCTION("IFERROR(INDEX(QUERY(IMPORTRANGE(""1T7HG8KEs-Ob7f3M5atEVN9Yn7IeORGp0QGvggB62ELw"",""Maestro!A:I""),""SELECT Col8 WHERE Col3 = '""&amp;BD501&amp;""'"", 0), 1, 1),""NO ENCONTRADO"")"),"")</f>
        <v/>
      </c>
      <c r="BH501" s="12" t="str">
        <f>IFERROR(__xludf.DUMMYFUNCTION("IFERROR(INDEX(QUERY(IMPORTRANGE(""1T7HG8KEs-Ob7f3M5atEVN9Yn7IeORGp0QGvggB62ELw"",""Maestro!A:I""),""SELECT Col7 WHERE Col3 = '""&amp;BD501&amp;""'"", 0), 1, 1),""NO ENCONTRADO"")"),"")</f>
        <v/>
      </c>
      <c r="BI501" s="16">
        <f t="shared" si="15"/>
        <v>0</v>
      </c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4"/>
      <c r="BW501" s="14"/>
      <c r="BX501" s="14"/>
      <c r="BY501" s="14"/>
      <c r="BZ501" s="14"/>
      <c r="CA501" s="14"/>
      <c r="CB501" s="14"/>
      <c r="CC501" s="14"/>
      <c r="CD501" s="14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</row>
    <row r="502">
      <c r="A502" s="12"/>
      <c r="B502" s="14"/>
      <c r="C502" s="14"/>
      <c r="D502" s="14"/>
      <c r="E502" s="12"/>
      <c r="F502" s="307"/>
      <c r="G502" s="307"/>
      <c r="H502" s="12"/>
      <c r="I502" s="30"/>
      <c r="J502" s="12"/>
      <c r="K502" s="12"/>
      <c r="L502" s="12"/>
      <c r="M502" s="12"/>
      <c r="N502" s="12"/>
      <c r="O502" s="308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4"/>
      <c r="BE502" s="12"/>
      <c r="BF502" s="12"/>
      <c r="BG502" s="12" t="str">
        <f>IFERROR(__xludf.DUMMYFUNCTION("IFERROR(INDEX(QUERY(IMPORTRANGE(""1T7HG8KEs-Ob7f3M5atEVN9Yn7IeORGp0QGvggB62ELw"",""Maestro!A:I""),""SELECT Col8 WHERE Col3 = '""&amp;BD502&amp;""'"", 0), 1, 1),""NO ENCONTRADO"")"),"")</f>
        <v/>
      </c>
      <c r="BH502" s="12" t="str">
        <f>IFERROR(__xludf.DUMMYFUNCTION("IFERROR(INDEX(QUERY(IMPORTRANGE(""1T7HG8KEs-Ob7f3M5atEVN9Yn7IeORGp0QGvggB62ELw"",""Maestro!A:I""),""SELECT Col7 WHERE Col3 = '""&amp;BD502&amp;""'"", 0), 1, 1),""NO ENCONTRADO"")"),"")</f>
        <v/>
      </c>
      <c r="BI502" s="16">
        <f t="shared" si="15"/>
        <v>0</v>
      </c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4"/>
      <c r="BW502" s="14"/>
      <c r="BX502" s="14"/>
      <c r="BY502" s="14"/>
      <c r="BZ502" s="14"/>
      <c r="CA502" s="14"/>
      <c r="CB502" s="14"/>
      <c r="CC502" s="14"/>
      <c r="CD502" s="14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</row>
    <row r="503">
      <c r="A503" s="12"/>
      <c r="B503" s="14"/>
      <c r="C503" s="14"/>
      <c r="D503" s="14"/>
      <c r="E503" s="12"/>
      <c r="F503" s="307"/>
      <c r="G503" s="307"/>
      <c r="H503" s="12"/>
      <c r="I503" s="30"/>
      <c r="J503" s="12"/>
      <c r="K503" s="12"/>
      <c r="L503" s="12"/>
      <c r="M503" s="12"/>
      <c r="N503" s="12"/>
      <c r="O503" s="308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4"/>
      <c r="BE503" s="12"/>
      <c r="BF503" s="12"/>
      <c r="BG503" s="12" t="str">
        <f>IFERROR(__xludf.DUMMYFUNCTION("IFERROR(INDEX(QUERY(IMPORTRANGE(""1T7HG8KEs-Ob7f3M5atEVN9Yn7IeORGp0QGvggB62ELw"",""Maestro!A:I""),""SELECT Col8 WHERE Col3 = '""&amp;BD503&amp;""'"", 0), 1, 1),""NO ENCONTRADO"")"),"")</f>
        <v/>
      </c>
      <c r="BH503" s="12" t="str">
        <f>IFERROR(__xludf.DUMMYFUNCTION("IFERROR(INDEX(QUERY(IMPORTRANGE(""1T7HG8KEs-Ob7f3M5atEVN9Yn7IeORGp0QGvggB62ELw"",""Maestro!A:I""),""SELECT Col7 WHERE Col3 = '""&amp;BD503&amp;""'"", 0), 1, 1),""NO ENCONTRADO"")"),"")</f>
        <v/>
      </c>
      <c r="BI503" s="16">
        <f t="shared" si="15"/>
        <v>0</v>
      </c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4"/>
      <c r="BW503" s="14"/>
      <c r="BX503" s="14"/>
      <c r="BY503" s="14"/>
      <c r="BZ503" s="14"/>
      <c r="CA503" s="14"/>
      <c r="CB503" s="14"/>
      <c r="CC503" s="14"/>
      <c r="CD503" s="14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</row>
    <row r="504">
      <c r="A504" s="12"/>
      <c r="B504" s="14"/>
      <c r="C504" s="14"/>
      <c r="D504" s="14"/>
      <c r="E504" s="12"/>
      <c r="F504" s="307"/>
      <c r="G504" s="307"/>
      <c r="H504" s="12"/>
      <c r="I504" s="30"/>
      <c r="J504" s="12"/>
      <c r="K504" s="12"/>
      <c r="L504" s="12"/>
      <c r="M504" s="12"/>
      <c r="N504" s="12"/>
      <c r="O504" s="308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4"/>
      <c r="BE504" s="12"/>
      <c r="BF504" s="12"/>
      <c r="BG504" s="12" t="str">
        <f>IFERROR(__xludf.DUMMYFUNCTION("IFERROR(INDEX(QUERY(IMPORTRANGE(""1T7HG8KEs-Ob7f3M5atEVN9Yn7IeORGp0QGvggB62ELw"",""Maestro!A:I""),""SELECT Col8 WHERE Col3 = '""&amp;BD504&amp;""'"", 0), 1, 1),""NO ENCONTRADO"")"),"")</f>
        <v/>
      </c>
      <c r="BH504" s="12" t="str">
        <f>IFERROR(__xludf.DUMMYFUNCTION("IFERROR(INDEX(QUERY(IMPORTRANGE(""1T7HG8KEs-Ob7f3M5atEVN9Yn7IeORGp0QGvggB62ELw"",""Maestro!A:I""),""SELECT Col7 WHERE Col3 = '""&amp;BD504&amp;""'"", 0), 1, 1),""NO ENCONTRADO"")"),"")</f>
        <v/>
      </c>
      <c r="BI504" s="16">
        <f t="shared" si="15"/>
        <v>0</v>
      </c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4"/>
      <c r="BW504" s="14"/>
      <c r="BX504" s="14"/>
      <c r="BY504" s="14"/>
      <c r="BZ504" s="14"/>
      <c r="CA504" s="14"/>
      <c r="CB504" s="14"/>
      <c r="CC504" s="14"/>
      <c r="CD504" s="14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</row>
    <row r="505">
      <c r="A505" s="12"/>
      <c r="B505" s="14"/>
      <c r="C505" s="14"/>
      <c r="D505" s="14"/>
      <c r="E505" s="12"/>
      <c r="F505" s="307"/>
      <c r="G505" s="307"/>
      <c r="H505" s="12"/>
      <c r="I505" s="30"/>
      <c r="J505" s="12"/>
      <c r="K505" s="12"/>
      <c r="L505" s="12"/>
      <c r="M505" s="12"/>
      <c r="N505" s="12"/>
      <c r="O505" s="308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4"/>
      <c r="BE505" s="12"/>
      <c r="BF505" s="12"/>
      <c r="BG505" s="12" t="str">
        <f>IFERROR(__xludf.DUMMYFUNCTION("IFERROR(INDEX(QUERY(IMPORTRANGE(""1T7HG8KEs-Ob7f3M5atEVN9Yn7IeORGp0QGvggB62ELw"",""Maestro!A:I""),""SELECT Col8 WHERE Col3 = '""&amp;BD505&amp;""'"", 0), 1, 1),""NO ENCONTRADO"")"),"")</f>
        <v/>
      </c>
      <c r="BH505" s="12" t="str">
        <f>IFERROR(__xludf.DUMMYFUNCTION("IFERROR(INDEX(QUERY(IMPORTRANGE(""1T7HG8KEs-Ob7f3M5atEVN9Yn7IeORGp0QGvggB62ELw"",""Maestro!A:I""),""SELECT Col7 WHERE Col3 = '""&amp;BD505&amp;""'"", 0), 1, 1),""NO ENCONTRADO"")"),"")</f>
        <v/>
      </c>
      <c r="BI505" s="16">
        <f t="shared" si="15"/>
        <v>0</v>
      </c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4"/>
      <c r="BW505" s="14"/>
      <c r="BX505" s="14"/>
      <c r="BY505" s="14"/>
      <c r="BZ505" s="14"/>
      <c r="CA505" s="14"/>
      <c r="CB505" s="14"/>
      <c r="CC505" s="14"/>
      <c r="CD505" s="14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</row>
    <row r="506">
      <c r="A506" s="12"/>
      <c r="B506" s="14"/>
      <c r="C506" s="14"/>
      <c r="D506" s="14"/>
      <c r="E506" s="12"/>
      <c r="F506" s="307"/>
      <c r="G506" s="307"/>
      <c r="H506" s="12"/>
      <c r="I506" s="30"/>
      <c r="J506" s="12"/>
      <c r="K506" s="12"/>
      <c r="L506" s="12"/>
      <c r="M506" s="12"/>
      <c r="N506" s="12"/>
      <c r="O506" s="308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4"/>
      <c r="BE506" s="12"/>
      <c r="BF506" s="12"/>
      <c r="BG506" s="12" t="str">
        <f>IFERROR(__xludf.DUMMYFUNCTION("IFERROR(INDEX(QUERY(IMPORTRANGE(""1T7HG8KEs-Ob7f3M5atEVN9Yn7IeORGp0QGvggB62ELw"",""Maestro!A:I""),""SELECT Col8 WHERE Col3 = '""&amp;BD506&amp;""'"", 0), 1, 1),""NO ENCONTRADO"")"),"")</f>
        <v/>
      </c>
      <c r="BH506" s="12" t="str">
        <f>IFERROR(__xludf.DUMMYFUNCTION("IFERROR(INDEX(QUERY(IMPORTRANGE(""1T7HG8KEs-Ob7f3M5atEVN9Yn7IeORGp0QGvggB62ELw"",""Maestro!A:I""),""SELECT Col7 WHERE Col3 = '""&amp;BD506&amp;""'"", 0), 1, 1),""NO ENCONTRADO"")"),"")</f>
        <v/>
      </c>
      <c r="BI506" s="16">
        <f t="shared" si="15"/>
        <v>0</v>
      </c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4"/>
      <c r="BW506" s="14"/>
      <c r="BX506" s="14"/>
      <c r="BY506" s="14"/>
      <c r="BZ506" s="14"/>
      <c r="CA506" s="14"/>
      <c r="CB506" s="14"/>
      <c r="CC506" s="14"/>
      <c r="CD506" s="14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</row>
    <row r="507">
      <c r="A507" s="12"/>
      <c r="B507" s="14"/>
      <c r="C507" s="14"/>
      <c r="D507" s="14"/>
      <c r="E507" s="12"/>
      <c r="F507" s="307"/>
      <c r="G507" s="307"/>
      <c r="H507" s="12"/>
      <c r="I507" s="30"/>
      <c r="J507" s="12"/>
      <c r="K507" s="12"/>
      <c r="L507" s="12"/>
      <c r="M507" s="12"/>
      <c r="N507" s="12"/>
      <c r="O507" s="308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4"/>
      <c r="BE507" s="12"/>
      <c r="BF507" s="12"/>
      <c r="BG507" s="12" t="str">
        <f>IFERROR(__xludf.DUMMYFUNCTION("IFERROR(INDEX(QUERY(IMPORTRANGE(""1T7HG8KEs-Ob7f3M5atEVN9Yn7IeORGp0QGvggB62ELw"",""Maestro!A:I""),""SELECT Col8 WHERE Col3 = '""&amp;BD507&amp;""'"", 0), 1, 1),""NO ENCONTRADO"")"),"")</f>
        <v/>
      </c>
      <c r="BH507" s="12" t="str">
        <f>IFERROR(__xludf.DUMMYFUNCTION("IFERROR(INDEX(QUERY(IMPORTRANGE(""1T7HG8KEs-Ob7f3M5atEVN9Yn7IeORGp0QGvggB62ELw"",""Maestro!A:I""),""SELECT Col7 WHERE Col3 = '""&amp;BD507&amp;""'"", 0), 1, 1),""NO ENCONTRADO"")"),"")</f>
        <v/>
      </c>
      <c r="BI507" s="16">
        <f t="shared" si="15"/>
        <v>0</v>
      </c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4"/>
      <c r="BW507" s="14"/>
      <c r="BX507" s="14"/>
      <c r="BY507" s="14"/>
      <c r="BZ507" s="14"/>
      <c r="CA507" s="14"/>
      <c r="CB507" s="14"/>
      <c r="CC507" s="14"/>
      <c r="CD507" s="14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</row>
    <row r="508">
      <c r="A508" s="12"/>
      <c r="B508" s="14"/>
      <c r="C508" s="14"/>
      <c r="D508" s="14"/>
      <c r="E508" s="12"/>
      <c r="F508" s="307"/>
      <c r="G508" s="307"/>
      <c r="H508" s="12"/>
      <c r="I508" s="30"/>
      <c r="J508" s="12"/>
      <c r="K508" s="12"/>
      <c r="L508" s="12"/>
      <c r="M508" s="12"/>
      <c r="N508" s="12"/>
      <c r="O508" s="308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4"/>
      <c r="BE508" s="12"/>
      <c r="BF508" s="12"/>
      <c r="BG508" s="12" t="str">
        <f>IFERROR(__xludf.DUMMYFUNCTION("IFERROR(INDEX(QUERY(IMPORTRANGE(""1T7HG8KEs-Ob7f3M5atEVN9Yn7IeORGp0QGvggB62ELw"",""Maestro!A:I""),""SELECT Col8 WHERE Col3 = '""&amp;BD508&amp;""'"", 0), 1, 1),""NO ENCONTRADO"")"),"")</f>
        <v/>
      </c>
      <c r="BH508" s="12" t="str">
        <f>IFERROR(__xludf.DUMMYFUNCTION("IFERROR(INDEX(QUERY(IMPORTRANGE(""1T7HG8KEs-Ob7f3M5atEVN9Yn7IeORGp0QGvggB62ELw"",""Maestro!A:I""),""SELECT Col7 WHERE Col3 = '""&amp;BD508&amp;""'"", 0), 1, 1),""NO ENCONTRADO"")"),"")</f>
        <v/>
      </c>
      <c r="BI508" s="16">
        <f t="shared" si="15"/>
        <v>0</v>
      </c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4"/>
      <c r="BW508" s="14"/>
      <c r="BX508" s="14"/>
      <c r="BY508" s="14"/>
      <c r="BZ508" s="14"/>
      <c r="CA508" s="14"/>
      <c r="CB508" s="14"/>
      <c r="CC508" s="14"/>
      <c r="CD508" s="14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</row>
    <row r="509">
      <c r="A509" s="12"/>
      <c r="B509" s="14"/>
      <c r="C509" s="14"/>
      <c r="D509" s="14"/>
      <c r="E509" s="12"/>
      <c r="F509" s="307"/>
      <c r="G509" s="307"/>
      <c r="H509" s="12"/>
      <c r="I509" s="30"/>
      <c r="J509" s="12"/>
      <c r="K509" s="12"/>
      <c r="L509" s="12"/>
      <c r="M509" s="12"/>
      <c r="N509" s="12"/>
      <c r="O509" s="308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4"/>
      <c r="BE509" s="12"/>
      <c r="BF509" s="12"/>
      <c r="BG509" s="12" t="str">
        <f>IFERROR(__xludf.DUMMYFUNCTION("IFERROR(INDEX(QUERY(IMPORTRANGE(""1T7HG8KEs-Ob7f3M5atEVN9Yn7IeORGp0QGvggB62ELw"",""Maestro!A:I""),""SELECT Col8 WHERE Col3 = '""&amp;BD509&amp;""'"", 0), 1, 1),""NO ENCONTRADO"")"),"")</f>
        <v/>
      </c>
      <c r="BH509" s="12" t="str">
        <f>IFERROR(__xludf.DUMMYFUNCTION("IFERROR(INDEX(QUERY(IMPORTRANGE(""1T7HG8KEs-Ob7f3M5atEVN9Yn7IeORGp0QGvggB62ELw"",""Maestro!A:I""),""SELECT Col7 WHERE Col3 = '""&amp;BD509&amp;""'"", 0), 1, 1),""NO ENCONTRADO"")"),"")</f>
        <v/>
      </c>
      <c r="BI509" s="16">
        <f t="shared" si="15"/>
        <v>0</v>
      </c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4"/>
      <c r="BW509" s="14"/>
      <c r="BX509" s="14"/>
      <c r="BY509" s="14"/>
      <c r="BZ509" s="14"/>
      <c r="CA509" s="14"/>
      <c r="CB509" s="14"/>
      <c r="CC509" s="14"/>
      <c r="CD509" s="14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</row>
    <row r="510">
      <c r="A510" s="12"/>
      <c r="B510" s="14"/>
      <c r="C510" s="14"/>
      <c r="D510" s="14"/>
      <c r="E510" s="12"/>
      <c r="F510" s="307"/>
      <c r="G510" s="307"/>
      <c r="H510" s="12"/>
      <c r="I510" s="30"/>
      <c r="J510" s="12"/>
      <c r="K510" s="12"/>
      <c r="L510" s="12"/>
      <c r="M510" s="12"/>
      <c r="N510" s="12"/>
      <c r="O510" s="308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4"/>
      <c r="BE510" s="12"/>
      <c r="BF510" s="12"/>
      <c r="BG510" s="12" t="str">
        <f>IFERROR(__xludf.DUMMYFUNCTION("IFERROR(INDEX(QUERY(IMPORTRANGE(""1T7HG8KEs-Ob7f3M5atEVN9Yn7IeORGp0QGvggB62ELw"",""Maestro!A:I""),""SELECT Col8 WHERE Col3 = '""&amp;BD510&amp;""'"", 0), 1, 1),""NO ENCONTRADO"")"),"")</f>
        <v/>
      </c>
      <c r="BH510" s="12" t="str">
        <f>IFERROR(__xludf.DUMMYFUNCTION("IFERROR(INDEX(QUERY(IMPORTRANGE(""1T7HG8KEs-Ob7f3M5atEVN9Yn7IeORGp0QGvggB62ELw"",""Maestro!A:I""),""SELECT Col7 WHERE Col3 = '""&amp;BD510&amp;""'"", 0), 1, 1),""NO ENCONTRADO"")"),"")</f>
        <v/>
      </c>
      <c r="BI510" s="16">
        <f t="shared" si="15"/>
        <v>0</v>
      </c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4"/>
      <c r="BW510" s="14"/>
      <c r="BX510" s="14"/>
      <c r="BY510" s="14"/>
      <c r="BZ510" s="14"/>
      <c r="CA510" s="14"/>
      <c r="CB510" s="14"/>
      <c r="CC510" s="14"/>
      <c r="CD510" s="14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</row>
    <row r="511">
      <c r="A511" s="12"/>
      <c r="B511" s="14"/>
      <c r="C511" s="14"/>
      <c r="D511" s="14"/>
      <c r="E511" s="12"/>
      <c r="F511" s="307"/>
      <c r="G511" s="307"/>
      <c r="H511" s="12"/>
      <c r="I511" s="30"/>
      <c r="J511" s="12"/>
      <c r="K511" s="12"/>
      <c r="L511" s="12"/>
      <c r="M511" s="12"/>
      <c r="N511" s="12"/>
      <c r="O511" s="308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4"/>
      <c r="BE511" s="12"/>
      <c r="BF511" s="12"/>
      <c r="BG511" s="12" t="str">
        <f>IFERROR(__xludf.DUMMYFUNCTION("IFERROR(INDEX(QUERY(IMPORTRANGE(""1T7HG8KEs-Ob7f3M5atEVN9Yn7IeORGp0QGvggB62ELw"",""Maestro!A:I""),""SELECT Col8 WHERE Col3 = '""&amp;BD511&amp;""'"", 0), 1, 1),""NO ENCONTRADO"")"),"")</f>
        <v/>
      </c>
      <c r="BH511" s="12" t="str">
        <f>IFERROR(__xludf.DUMMYFUNCTION("IFERROR(INDEX(QUERY(IMPORTRANGE(""1T7HG8KEs-Ob7f3M5atEVN9Yn7IeORGp0QGvggB62ELw"",""Maestro!A:I""),""SELECT Col7 WHERE Col3 = '""&amp;BD511&amp;""'"", 0), 1, 1),""NO ENCONTRADO"")"),"")</f>
        <v/>
      </c>
      <c r="BI511" s="16">
        <f t="shared" si="15"/>
        <v>0</v>
      </c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4"/>
      <c r="BW511" s="14"/>
      <c r="BX511" s="14"/>
      <c r="BY511" s="14"/>
      <c r="BZ511" s="14"/>
      <c r="CA511" s="14"/>
      <c r="CB511" s="14"/>
      <c r="CC511" s="14"/>
      <c r="CD511" s="14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</row>
    <row r="512">
      <c r="A512" s="12"/>
      <c r="B512" s="14"/>
      <c r="C512" s="14"/>
      <c r="D512" s="14"/>
      <c r="E512" s="12"/>
      <c r="F512" s="307"/>
      <c r="G512" s="307"/>
      <c r="H512" s="12"/>
      <c r="I512" s="30"/>
      <c r="J512" s="12"/>
      <c r="K512" s="12"/>
      <c r="L512" s="12"/>
      <c r="M512" s="12"/>
      <c r="N512" s="12"/>
      <c r="O512" s="308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4"/>
      <c r="BE512" s="12"/>
      <c r="BF512" s="12"/>
      <c r="BG512" s="12" t="str">
        <f>IFERROR(__xludf.DUMMYFUNCTION("IFERROR(INDEX(QUERY(IMPORTRANGE(""1T7HG8KEs-Ob7f3M5atEVN9Yn7IeORGp0QGvggB62ELw"",""Maestro!A:I""),""SELECT Col8 WHERE Col3 = '""&amp;BD512&amp;""'"", 0), 1, 1),""NO ENCONTRADO"")"),"")</f>
        <v/>
      </c>
      <c r="BH512" s="12" t="str">
        <f>IFERROR(__xludf.DUMMYFUNCTION("IFERROR(INDEX(QUERY(IMPORTRANGE(""1T7HG8KEs-Ob7f3M5atEVN9Yn7IeORGp0QGvggB62ELw"",""Maestro!A:I""),""SELECT Col7 WHERE Col3 = '""&amp;BD512&amp;""'"", 0), 1, 1),""NO ENCONTRADO"")"),"")</f>
        <v/>
      </c>
      <c r="BI512" s="16">
        <f t="shared" si="15"/>
        <v>0</v>
      </c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4"/>
      <c r="BW512" s="14"/>
      <c r="BX512" s="14"/>
      <c r="BY512" s="14"/>
      <c r="BZ512" s="14"/>
      <c r="CA512" s="14"/>
      <c r="CB512" s="14"/>
      <c r="CC512" s="14"/>
      <c r="CD512" s="14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</row>
    <row r="513">
      <c r="A513" s="12"/>
      <c r="B513" s="14"/>
      <c r="C513" s="14"/>
      <c r="D513" s="14"/>
      <c r="E513" s="12"/>
      <c r="F513" s="307"/>
      <c r="G513" s="307"/>
      <c r="H513" s="12"/>
      <c r="I513" s="30"/>
      <c r="J513" s="12"/>
      <c r="K513" s="12"/>
      <c r="L513" s="12"/>
      <c r="M513" s="12"/>
      <c r="N513" s="12"/>
      <c r="O513" s="308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4"/>
      <c r="BE513" s="12"/>
      <c r="BF513" s="12"/>
      <c r="BG513" s="12" t="str">
        <f>IFERROR(__xludf.DUMMYFUNCTION("IFERROR(INDEX(QUERY(IMPORTRANGE(""1T7HG8KEs-Ob7f3M5atEVN9Yn7IeORGp0QGvggB62ELw"",""Maestro!A:I""),""SELECT Col8 WHERE Col3 = '""&amp;BD513&amp;""'"", 0), 1, 1),""NO ENCONTRADO"")"),"")</f>
        <v/>
      </c>
      <c r="BH513" s="12" t="str">
        <f>IFERROR(__xludf.DUMMYFUNCTION("IFERROR(INDEX(QUERY(IMPORTRANGE(""1T7HG8KEs-Ob7f3M5atEVN9Yn7IeORGp0QGvggB62ELw"",""Maestro!A:I""),""SELECT Col7 WHERE Col3 = '""&amp;BD513&amp;""'"", 0), 1, 1),""NO ENCONTRADO"")"),"")</f>
        <v/>
      </c>
      <c r="BI513" s="16">
        <f t="shared" si="15"/>
        <v>0</v>
      </c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4"/>
      <c r="BW513" s="14"/>
      <c r="BX513" s="14"/>
      <c r="BY513" s="14"/>
      <c r="BZ513" s="14"/>
      <c r="CA513" s="14"/>
      <c r="CB513" s="14"/>
      <c r="CC513" s="14"/>
      <c r="CD513" s="14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</row>
    <row r="514">
      <c r="A514" s="12"/>
      <c r="B514" s="14"/>
      <c r="C514" s="14"/>
      <c r="D514" s="14"/>
      <c r="E514" s="12"/>
      <c r="F514" s="307"/>
      <c r="G514" s="307"/>
      <c r="H514" s="12"/>
      <c r="I514" s="30"/>
      <c r="J514" s="12"/>
      <c r="K514" s="12"/>
      <c r="L514" s="12"/>
      <c r="M514" s="12"/>
      <c r="N514" s="12"/>
      <c r="O514" s="308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4"/>
      <c r="BE514" s="12"/>
      <c r="BF514" s="12"/>
      <c r="BG514" s="12" t="str">
        <f>IFERROR(__xludf.DUMMYFUNCTION("IFERROR(INDEX(QUERY(IMPORTRANGE(""1T7HG8KEs-Ob7f3M5atEVN9Yn7IeORGp0QGvggB62ELw"",""Maestro!A:I""),""SELECT Col8 WHERE Col3 = '""&amp;BD514&amp;""'"", 0), 1, 1),""NO ENCONTRADO"")"),"")</f>
        <v/>
      </c>
      <c r="BH514" s="12" t="str">
        <f>IFERROR(__xludf.DUMMYFUNCTION("IFERROR(INDEX(QUERY(IMPORTRANGE(""1T7HG8KEs-Ob7f3M5atEVN9Yn7IeORGp0QGvggB62ELw"",""Maestro!A:I""),""SELECT Col7 WHERE Col3 = '""&amp;BD514&amp;""'"", 0), 1, 1),""NO ENCONTRADO"")"),"")</f>
        <v/>
      </c>
      <c r="BI514" s="16">
        <f t="shared" si="15"/>
        <v>0</v>
      </c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4"/>
      <c r="BW514" s="14"/>
      <c r="BX514" s="14"/>
      <c r="BY514" s="14"/>
      <c r="BZ514" s="14"/>
      <c r="CA514" s="14"/>
      <c r="CB514" s="14"/>
      <c r="CC514" s="14"/>
      <c r="CD514" s="14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</row>
    <row r="515">
      <c r="A515" s="12"/>
      <c r="B515" s="14"/>
      <c r="C515" s="14"/>
      <c r="D515" s="14"/>
      <c r="E515" s="12"/>
      <c r="F515" s="307"/>
      <c r="G515" s="307"/>
      <c r="H515" s="12"/>
      <c r="I515" s="30"/>
      <c r="J515" s="12"/>
      <c r="K515" s="12"/>
      <c r="L515" s="12"/>
      <c r="M515" s="12"/>
      <c r="N515" s="12"/>
      <c r="O515" s="308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4"/>
      <c r="BE515" s="12"/>
      <c r="BF515" s="12"/>
      <c r="BG515" s="12" t="str">
        <f>IFERROR(__xludf.DUMMYFUNCTION("IFERROR(INDEX(QUERY(IMPORTRANGE(""1T7HG8KEs-Ob7f3M5atEVN9Yn7IeORGp0QGvggB62ELw"",""Maestro!A:I""),""SELECT Col8 WHERE Col3 = '""&amp;BD515&amp;""'"", 0), 1, 1),""NO ENCONTRADO"")"),"")</f>
        <v/>
      </c>
      <c r="BH515" s="12" t="str">
        <f>IFERROR(__xludf.DUMMYFUNCTION("IFERROR(INDEX(QUERY(IMPORTRANGE(""1T7HG8KEs-Ob7f3M5atEVN9Yn7IeORGp0QGvggB62ELw"",""Maestro!A:I""),""SELECT Col7 WHERE Col3 = '""&amp;BD515&amp;""'"", 0), 1, 1),""NO ENCONTRADO"")"),"")</f>
        <v/>
      </c>
      <c r="BI515" s="16">
        <f t="shared" si="15"/>
        <v>0</v>
      </c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4"/>
      <c r="BW515" s="14"/>
      <c r="BX515" s="14"/>
      <c r="BY515" s="14"/>
      <c r="BZ515" s="14"/>
      <c r="CA515" s="14"/>
      <c r="CB515" s="14"/>
      <c r="CC515" s="14"/>
      <c r="CD515" s="14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</row>
    <row r="516">
      <c r="A516" s="12"/>
      <c r="B516" s="14"/>
      <c r="C516" s="14"/>
      <c r="D516" s="14"/>
      <c r="E516" s="12"/>
      <c r="F516" s="307"/>
      <c r="G516" s="307"/>
      <c r="H516" s="12"/>
      <c r="I516" s="30"/>
      <c r="J516" s="12"/>
      <c r="K516" s="12"/>
      <c r="L516" s="12"/>
      <c r="M516" s="12"/>
      <c r="N516" s="12"/>
      <c r="O516" s="308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4"/>
      <c r="BE516" s="12"/>
      <c r="BF516" s="12"/>
      <c r="BG516" s="12" t="str">
        <f>IFERROR(__xludf.DUMMYFUNCTION("IFERROR(INDEX(QUERY(IMPORTRANGE(""1T7HG8KEs-Ob7f3M5atEVN9Yn7IeORGp0QGvggB62ELw"",""Maestro!A:I""),""SELECT Col8 WHERE Col3 = '""&amp;BD516&amp;""'"", 0), 1, 1),""NO ENCONTRADO"")"),"")</f>
        <v/>
      </c>
      <c r="BH516" s="12" t="str">
        <f>IFERROR(__xludf.DUMMYFUNCTION("IFERROR(INDEX(QUERY(IMPORTRANGE(""1T7HG8KEs-Ob7f3M5atEVN9Yn7IeORGp0QGvggB62ELw"",""Maestro!A:I""),""SELECT Col7 WHERE Col3 = '""&amp;BD516&amp;""'"", 0), 1, 1),""NO ENCONTRADO"")"),"")</f>
        <v/>
      </c>
      <c r="BI516" s="16">
        <f t="shared" si="15"/>
        <v>0</v>
      </c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4"/>
      <c r="BW516" s="14"/>
      <c r="BX516" s="14"/>
      <c r="BY516" s="14"/>
      <c r="BZ516" s="14"/>
      <c r="CA516" s="14"/>
      <c r="CB516" s="14"/>
      <c r="CC516" s="14"/>
      <c r="CD516" s="14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</row>
    <row r="517">
      <c r="A517" s="12"/>
      <c r="B517" s="14"/>
      <c r="C517" s="14"/>
      <c r="D517" s="14"/>
      <c r="E517" s="12"/>
      <c r="F517" s="307"/>
      <c r="G517" s="307"/>
      <c r="H517" s="12"/>
      <c r="I517" s="30"/>
      <c r="J517" s="12"/>
      <c r="K517" s="12"/>
      <c r="L517" s="12"/>
      <c r="M517" s="12"/>
      <c r="N517" s="12"/>
      <c r="O517" s="308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4"/>
      <c r="BE517" s="12"/>
      <c r="BF517" s="12"/>
      <c r="BG517" s="12" t="str">
        <f>IFERROR(__xludf.DUMMYFUNCTION("IFERROR(INDEX(QUERY(IMPORTRANGE(""1T7HG8KEs-Ob7f3M5atEVN9Yn7IeORGp0QGvggB62ELw"",""Maestro!A:I""),""SELECT Col8 WHERE Col3 = '""&amp;BD517&amp;""'"", 0), 1, 1),""NO ENCONTRADO"")"),"")</f>
        <v/>
      </c>
      <c r="BH517" s="12" t="str">
        <f>IFERROR(__xludf.DUMMYFUNCTION("IFERROR(INDEX(QUERY(IMPORTRANGE(""1T7HG8KEs-Ob7f3M5atEVN9Yn7IeORGp0QGvggB62ELw"",""Maestro!A:I""),""SELECT Col7 WHERE Col3 = '""&amp;BD517&amp;""'"", 0), 1, 1),""NO ENCONTRADO"")"),"")</f>
        <v/>
      </c>
      <c r="BI517" s="16">
        <f t="shared" si="15"/>
        <v>0</v>
      </c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4"/>
      <c r="BW517" s="14"/>
      <c r="BX517" s="14"/>
      <c r="BY517" s="14"/>
      <c r="BZ517" s="14"/>
      <c r="CA517" s="14"/>
      <c r="CB517" s="14"/>
      <c r="CC517" s="14"/>
      <c r="CD517" s="14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</row>
    <row r="518">
      <c r="A518" s="12"/>
      <c r="B518" s="14"/>
      <c r="C518" s="14"/>
      <c r="D518" s="14"/>
      <c r="E518" s="12"/>
      <c r="F518" s="307"/>
      <c r="G518" s="307"/>
      <c r="H518" s="12"/>
      <c r="I518" s="30"/>
      <c r="J518" s="12"/>
      <c r="K518" s="12"/>
      <c r="L518" s="12"/>
      <c r="M518" s="12"/>
      <c r="N518" s="12"/>
      <c r="O518" s="308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4"/>
      <c r="BE518" s="12"/>
      <c r="BF518" s="12"/>
      <c r="BG518" s="12" t="str">
        <f>IFERROR(__xludf.DUMMYFUNCTION("IFERROR(INDEX(QUERY(IMPORTRANGE(""1T7HG8KEs-Ob7f3M5atEVN9Yn7IeORGp0QGvggB62ELw"",""Maestro!A:I""),""SELECT Col8 WHERE Col3 = '""&amp;BD518&amp;""'"", 0), 1, 1),""NO ENCONTRADO"")"),"")</f>
        <v/>
      </c>
      <c r="BH518" s="12" t="str">
        <f>IFERROR(__xludf.DUMMYFUNCTION("IFERROR(INDEX(QUERY(IMPORTRANGE(""1T7HG8KEs-Ob7f3M5atEVN9Yn7IeORGp0QGvggB62ELw"",""Maestro!A:I""),""SELECT Col7 WHERE Col3 = '""&amp;BD518&amp;""'"", 0), 1, 1),""NO ENCONTRADO"")"),"")</f>
        <v/>
      </c>
      <c r="BI518" s="16">
        <f t="shared" si="15"/>
        <v>0</v>
      </c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4"/>
      <c r="BW518" s="14"/>
      <c r="BX518" s="14"/>
      <c r="BY518" s="14"/>
      <c r="BZ518" s="14"/>
      <c r="CA518" s="14"/>
      <c r="CB518" s="14"/>
      <c r="CC518" s="14"/>
      <c r="CD518" s="14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</row>
    <row r="519">
      <c r="A519" s="12"/>
      <c r="B519" s="14"/>
      <c r="C519" s="14"/>
      <c r="D519" s="14"/>
      <c r="E519" s="12"/>
      <c r="F519" s="307"/>
      <c r="G519" s="307"/>
      <c r="H519" s="12"/>
      <c r="I519" s="30"/>
      <c r="J519" s="12"/>
      <c r="K519" s="12"/>
      <c r="L519" s="12"/>
      <c r="M519" s="12"/>
      <c r="N519" s="12"/>
      <c r="O519" s="308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4"/>
      <c r="BE519" s="12"/>
      <c r="BF519" s="12"/>
      <c r="BG519" s="12" t="str">
        <f>IFERROR(__xludf.DUMMYFUNCTION("IFERROR(INDEX(QUERY(IMPORTRANGE(""1T7HG8KEs-Ob7f3M5atEVN9Yn7IeORGp0QGvggB62ELw"",""Maestro!A:I""),""SELECT Col8 WHERE Col3 = '""&amp;BD519&amp;""'"", 0), 1, 1),""NO ENCONTRADO"")"),"")</f>
        <v/>
      </c>
      <c r="BH519" s="12" t="str">
        <f>IFERROR(__xludf.DUMMYFUNCTION("IFERROR(INDEX(QUERY(IMPORTRANGE(""1T7HG8KEs-Ob7f3M5atEVN9Yn7IeORGp0QGvggB62ELw"",""Maestro!A:I""),""SELECT Col7 WHERE Col3 = '""&amp;BD519&amp;""'"", 0), 1, 1),""NO ENCONTRADO"")"),"")</f>
        <v/>
      </c>
      <c r="BI519" s="16">
        <f t="shared" si="15"/>
        <v>0</v>
      </c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4"/>
      <c r="BW519" s="14"/>
      <c r="BX519" s="14"/>
      <c r="BY519" s="14"/>
      <c r="BZ519" s="14"/>
      <c r="CA519" s="14"/>
      <c r="CB519" s="14"/>
      <c r="CC519" s="14"/>
      <c r="CD519" s="14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</row>
    <row r="520">
      <c r="A520" s="12"/>
      <c r="B520" s="14"/>
      <c r="C520" s="14"/>
      <c r="D520" s="14"/>
      <c r="E520" s="12"/>
      <c r="F520" s="307"/>
      <c r="G520" s="307"/>
      <c r="H520" s="12"/>
      <c r="I520" s="30"/>
      <c r="J520" s="12"/>
      <c r="K520" s="12"/>
      <c r="L520" s="12"/>
      <c r="M520" s="12"/>
      <c r="N520" s="12"/>
      <c r="O520" s="308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4"/>
      <c r="BE520" s="12"/>
      <c r="BF520" s="12"/>
      <c r="BG520" s="12" t="str">
        <f>IFERROR(__xludf.DUMMYFUNCTION("IFERROR(INDEX(QUERY(IMPORTRANGE(""1T7HG8KEs-Ob7f3M5atEVN9Yn7IeORGp0QGvggB62ELw"",""Maestro!A:I""),""SELECT Col8 WHERE Col3 = '""&amp;BD520&amp;""'"", 0), 1, 1),""NO ENCONTRADO"")"),"")</f>
        <v/>
      </c>
      <c r="BH520" s="12" t="str">
        <f>IFERROR(__xludf.DUMMYFUNCTION("IFERROR(INDEX(QUERY(IMPORTRANGE(""1T7HG8KEs-Ob7f3M5atEVN9Yn7IeORGp0QGvggB62ELw"",""Maestro!A:I""),""SELECT Col7 WHERE Col3 = '""&amp;BD520&amp;""'"", 0), 1, 1),""NO ENCONTRADO"")"),"")</f>
        <v/>
      </c>
      <c r="BI520" s="16">
        <f t="shared" si="15"/>
        <v>0</v>
      </c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4"/>
      <c r="BW520" s="14"/>
      <c r="BX520" s="14"/>
      <c r="BY520" s="14"/>
      <c r="BZ520" s="14"/>
      <c r="CA520" s="14"/>
      <c r="CB520" s="14"/>
      <c r="CC520" s="14"/>
      <c r="CD520" s="14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</row>
    <row r="521">
      <c r="A521" s="12"/>
      <c r="B521" s="14"/>
      <c r="C521" s="14"/>
      <c r="D521" s="14"/>
      <c r="E521" s="12"/>
      <c r="F521" s="307"/>
      <c r="G521" s="307"/>
      <c r="H521" s="12"/>
      <c r="I521" s="30"/>
      <c r="J521" s="12"/>
      <c r="K521" s="12"/>
      <c r="L521" s="12"/>
      <c r="M521" s="12"/>
      <c r="N521" s="12"/>
      <c r="O521" s="308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4"/>
      <c r="BE521" s="12"/>
      <c r="BF521" s="12"/>
      <c r="BG521" s="12" t="str">
        <f>IFERROR(__xludf.DUMMYFUNCTION("IFERROR(INDEX(QUERY(IMPORTRANGE(""1T7HG8KEs-Ob7f3M5atEVN9Yn7IeORGp0QGvggB62ELw"",""Maestro!A:I""),""SELECT Col8 WHERE Col3 = '""&amp;BD521&amp;""'"", 0), 1, 1),""NO ENCONTRADO"")"),"")</f>
        <v/>
      </c>
      <c r="BH521" s="12" t="str">
        <f>IFERROR(__xludf.DUMMYFUNCTION("IFERROR(INDEX(QUERY(IMPORTRANGE(""1T7HG8KEs-Ob7f3M5atEVN9Yn7IeORGp0QGvggB62ELw"",""Maestro!A:I""),""SELECT Col7 WHERE Col3 = '""&amp;BD521&amp;""'"", 0), 1, 1),""NO ENCONTRADO"")"),"")</f>
        <v/>
      </c>
      <c r="BI521" s="16">
        <f t="shared" si="15"/>
        <v>0</v>
      </c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4"/>
      <c r="BW521" s="14"/>
      <c r="BX521" s="14"/>
      <c r="BY521" s="14"/>
      <c r="BZ521" s="14"/>
      <c r="CA521" s="14"/>
      <c r="CB521" s="14"/>
      <c r="CC521" s="14"/>
      <c r="CD521" s="14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</row>
    <row r="522">
      <c r="A522" s="12"/>
      <c r="B522" s="14"/>
      <c r="C522" s="14"/>
      <c r="D522" s="14"/>
      <c r="E522" s="12"/>
      <c r="F522" s="307"/>
      <c r="G522" s="307"/>
      <c r="H522" s="12"/>
      <c r="I522" s="30"/>
      <c r="J522" s="12"/>
      <c r="K522" s="12"/>
      <c r="L522" s="12"/>
      <c r="M522" s="12"/>
      <c r="N522" s="12"/>
      <c r="O522" s="308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4"/>
      <c r="BE522" s="12"/>
      <c r="BF522" s="12"/>
      <c r="BG522" s="12" t="str">
        <f>IFERROR(__xludf.DUMMYFUNCTION("IFERROR(INDEX(QUERY(IMPORTRANGE(""1T7HG8KEs-Ob7f3M5atEVN9Yn7IeORGp0QGvggB62ELw"",""Maestro!A:I""),""SELECT Col8 WHERE Col3 = '""&amp;BD522&amp;""'"", 0), 1, 1),""NO ENCONTRADO"")"),"")</f>
        <v/>
      </c>
      <c r="BH522" s="12" t="str">
        <f>IFERROR(__xludf.DUMMYFUNCTION("IFERROR(INDEX(QUERY(IMPORTRANGE(""1T7HG8KEs-Ob7f3M5atEVN9Yn7IeORGp0QGvggB62ELw"",""Maestro!A:I""),""SELECT Col7 WHERE Col3 = '""&amp;BD522&amp;""'"", 0), 1, 1),""NO ENCONTRADO"")"),"")</f>
        <v/>
      </c>
      <c r="BI522" s="16">
        <f t="shared" si="15"/>
        <v>0</v>
      </c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4"/>
      <c r="BW522" s="14"/>
      <c r="BX522" s="14"/>
      <c r="BY522" s="14"/>
      <c r="BZ522" s="14"/>
      <c r="CA522" s="14"/>
      <c r="CB522" s="14"/>
      <c r="CC522" s="14"/>
      <c r="CD522" s="14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</row>
    <row r="523">
      <c r="A523" s="12"/>
      <c r="B523" s="14"/>
      <c r="C523" s="14"/>
      <c r="D523" s="14"/>
      <c r="E523" s="12"/>
      <c r="F523" s="307"/>
      <c r="G523" s="307"/>
      <c r="H523" s="12"/>
      <c r="I523" s="30"/>
      <c r="J523" s="12"/>
      <c r="K523" s="12"/>
      <c r="L523" s="12"/>
      <c r="M523" s="12"/>
      <c r="N523" s="12"/>
      <c r="O523" s="308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4"/>
      <c r="BE523" s="12"/>
      <c r="BF523" s="12"/>
      <c r="BG523" s="12" t="str">
        <f>IFERROR(__xludf.DUMMYFUNCTION("IFERROR(INDEX(QUERY(IMPORTRANGE(""1T7HG8KEs-Ob7f3M5atEVN9Yn7IeORGp0QGvggB62ELw"",""Maestro!A:I""),""SELECT Col8 WHERE Col3 = '""&amp;BD523&amp;""'"", 0), 1, 1),""NO ENCONTRADO"")"),"")</f>
        <v/>
      </c>
      <c r="BH523" s="12" t="str">
        <f>IFERROR(__xludf.DUMMYFUNCTION("IFERROR(INDEX(QUERY(IMPORTRANGE(""1T7HG8KEs-Ob7f3M5atEVN9Yn7IeORGp0QGvggB62ELw"",""Maestro!A:I""),""SELECT Col7 WHERE Col3 = '""&amp;BD523&amp;""'"", 0), 1, 1),""NO ENCONTRADO"")"),"")</f>
        <v/>
      </c>
      <c r="BI523" s="16">
        <f t="shared" si="15"/>
        <v>0</v>
      </c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4"/>
      <c r="BW523" s="14"/>
      <c r="BX523" s="14"/>
      <c r="BY523" s="14"/>
      <c r="BZ523" s="14"/>
      <c r="CA523" s="14"/>
      <c r="CB523" s="14"/>
      <c r="CC523" s="14"/>
      <c r="CD523" s="14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</row>
    <row r="524">
      <c r="A524" s="12"/>
      <c r="B524" s="14"/>
      <c r="C524" s="14"/>
      <c r="D524" s="14"/>
      <c r="E524" s="12"/>
      <c r="F524" s="307"/>
      <c r="G524" s="307"/>
      <c r="H524" s="12"/>
      <c r="I524" s="30"/>
      <c r="J524" s="12"/>
      <c r="K524" s="12"/>
      <c r="L524" s="12"/>
      <c r="M524" s="12"/>
      <c r="N524" s="12"/>
      <c r="O524" s="308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4"/>
      <c r="BE524" s="12"/>
      <c r="BF524" s="12"/>
      <c r="BG524" s="12" t="str">
        <f>IFERROR(__xludf.DUMMYFUNCTION("IFERROR(INDEX(QUERY(IMPORTRANGE(""1T7HG8KEs-Ob7f3M5atEVN9Yn7IeORGp0QGvggB62ELw"",""Maestro!A:I""),""SELECT Col8 WHERE Col3 = '""&amp;BD524&amp;""'"", 0), 1, 1),""NO ENCONTRADO"")"),"")</f>
        <v/>
      </c>
      <c r="BH524" s="12" t="str">
        <f>IFERROR(__xludf.DUMMYFUNCTION("IFERROR(INDEX(QUERY(IMPORTRANGE(""1T7HG8KEs-Ob7f3M5atEVN9Yn7IeORGp0QGvggB62ELw"",""Maestro!A:I""),""SELECT Col7 WHERE Col3 = '""&amp;BD524&amp;""'"", 0), 1, 1),""NO ENCONTRADO"")"),"")</f>
        <v/>
      </c>
      <c r="BI524" s="16">
        <f t="shared" si="15"/>
        <v>0</v>
      </c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4"/>
      <c r="BW524" s="14"/>
      <c r="BX524" s="14"/>
      <c r="BY524" s="14"/>
      <c r="BZ524" s="14"/>
      <c r="CA524" s="14"/>
      <c r="CB524" s="14"/>
      <c r="CC524" s="14"/>
      <c r="CD524" s="14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</row>
    <row r="525">
      <c r="A525" s="12"/>
      <c r="B525" s="14"/>
      <c r="C525" s="14"/>
      <c r="D525" s="14"/>
      <c r="E525" s="12"/>
      <c r="F525" s="307"/>
      <c r="G525" s="307"/>
      <c r="H525" s="12"/>
      <c r="I525" s="30"/>
      <c r="J525" s="12"/>
      <c r="K525" s="12"/>
      <c r="L525" s="12"/>
      <c r="M525" s="12"/>
      <c r="N525" s="12"/>
      <c r="O525" s="308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4"/>
      <c r="BE525" s="12"/>
      <c r="BF525" s="12"/>
      <c r="BG525" s="12" t="str">
        <f>IFERROR(__xludf.DUMMYFUNCTION("IFERROR(INDEX(QUERY(IMPORTRANGE(""1T7HG8KEs-Ob7f3M5atEVN9Yn7IeORGp0QGvggB62ELw"",""Maestro!A:I""),""SELECT Col8 WHERE Col3 = '""&amp;BD525&amp;""'"", 0), 1, 1),""NO ENCONTRADO"")"),"")</f>
        <v/>
      </c>
      <c r="BH525" s="12" t="str">
        <f>IFERROR(__xludf.DUMMYFUNCTION("IFERROR(INDEX(QUERY(IMPORTRANGE(""1T7HG8KEs-Ob7f3M5atEVN9Yn7IeORGp0QGvggB62ELw"",""Maestro!A:I""),""SELECT Col7 WHERE Col3 = '""&amp;BD525&amp;""'"", 0), 1, 1),""NO ENCONTRADO"")"),"")</f>
        <v/>
      </c>
      <c r="BI525" s="16">
        <f t="shared" si="15"/>
        <v>0</v>
      </c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4"/>
      <c r="BW525" s="14"/>
      <c r="BX525" s="14"/>
      <c r="BY525" s="14"/>
      <c r="BZ525" s="14"/>
      <c r="CA525" s="14"/>
      <c r="CB525" s="14"/>
      <c r="CC525" s="14"/>
      <c r="CD525" s="14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</row>
    <row r="526">
      <c r="A526" s="12"/>
      <c r="B526" s="14"/>
      <c r="C526" s="14"/>
      <c r="D526" s="14"/>
      <c r="E526" s="12"/>
      <c r="F526" s="307"/>
      <c r="G526" s="307"/>
      <c r="H526" s="12"/>
      <c r="I526" s="30"/>
      <c r="J526" s="12"/>
      <c r="K526" s="12"/>
      <c r="L526" s="12"/>
      <c r="M526" s="12"/>
      <c r="N526" s="12"/>
      <c r="O526" s="308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4"/>
      <c r="BE526" s="12"/>
      <c r="BF526" s="12"/>
      <c r="BG526" s="12" t="str">
        <f>IFERROR(__xludf.DUMMYFUNCTION("IFERROR(INDEX(QUERY(IMPORTRANGE(""1T7HG8KEs-Ob7f3M5atEVN9Yn7IeORGp0QGvggB62ELw"",""Maestro!A:I""),""SELECT Col8 WHERE Col3 = '""&amp;BD526&amp;""'"", 0), 1, 1),""NO ENCONTRADO"")"),"")</f>
        <v/>
      </c>
      <c r="BH526" s="12" t="str">
        <f>IFERROR(__xludf.DUMMYFUNCTION("IFERROR(INDEX(QUERY(IMPORTRANGE(""1T7HG8KEs-Ob7f3M5atEVN9Yn7IeORGp0QGvggB62ELw"",""Maestro!A:I""),""SELECT Col7 WHERE Col3 = '""&amp;BD526&amp;""'"", 0), 1, 1),""NO ENCONTRADO"")"),"")</f>
        <v/>
      </c>
      <c r="BI526" s="16">
        <f t="shared" si="15"/>
        <v>0</v>
      </c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4"/>
      <c r="BW526" s="14"/>
      <c r="BX526" s="14"/>
      <c r="BY526" s="14"/>
      <c r="BZ526" s="14"/>
      <c r="CA526" s="14"/>
      <c r="CB526" s="14"/>
      <c r="CC526" s="14"/>
      <c r="CD526" s="14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</row>
    <row r="527">
      <c r="A527" s="12"/>
      <c r="B527" s="14"/>
      <c r="C527" s="14"/>
      <c r="D527" s="14"/>
      <c r="E527" s="12"/>
      <c r="F527" s="307"/>
      <c r="G527" s="307"/>
      <c r="H527" s="12"/>
      <c r="I527" s="30"/>
      <c r="J527" s="12"/>
      <c r="K527" s="12"/>
      <c r="L527" s="12"/>
      <c r="M527" s="12"/>
      <c r="N527" s="12"/>
      <c r="O527" s="308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4"/>
      <c r="BE527" s="12"/>
      <c r="BF527" s="12"/>
      <c r="BG527" s="12" t="str">
        <f>IFERROR(__xludf.DUMMYFUNCTION("IFERROR(INDEX(QUERY(IMPORTRANGE(""1T7HG8KEs-Ob7f3M5atEVN9Yn7IeORGp0QGvggB62ELw"",""Maestro!A:I""),""SELECT Col8 WHERE Col3 = '""&amp;BD527&amp;""'"", 0), 1, 1),""NO ENCONTRADO"")"),"")</f>
        <v/>
      </c>
      <c r="BH527" s="12" t="str">
        <f>IFERROR(__xludf.DUMMYFUNCTION("IFERROR(INDEX(QUERY(IMPORTRANGE(""1T7HG8KEs-Ob7f3M5atEVN9Yn7IeORGp0QGvggB62ELw"",""Maestro!A:I""),""SELECT Col7 WHERE Col3 = '""&amp;BD527&amp;""'"", 0), 1, 1),""NO ENCONTRADO"")"),"")</f>
        <v/>
      </c>
      <c r="BI527" s="16">
        <f t="shared" si="15"/>
        <v>0</v>
      </c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4"/>
      <c r="BW527" s="14"/>
      <c r="BX527" s="14"/>
      <c r="BY527" s="14"/>
      <c r="BZ527" s="14"/>
      <c r="CA527" s="14"/>
      <c r="CB527" s="14"/>
      <c r="CC527" s="14"/>
      <c r="CD527" s="14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</row>
    <row r="528">
      <c r="A528" s="12"/>
      <c r="B528" s="14"/>
      <c r="C528" s="14"/>
      <c r="D528" s="14"/>
      <c r="E528" s="12"/>
      <c r="F528" s="307"/>
      <c r="G528" s="307"/>
      <c r="H528" s="12"/>
      <c r="I528" s="30"/>
      <c r="J528" s="12"/>
      <c r="K528" s="12"/>
      <c r="L528" s="12"/>
      <c r="M528" s="12"/>
      <c r="N528" s="12"/>
      <c r="O528" s="308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4"/>
      <c r="BE528" s="12"/>
      <c r="BF528" s="12"/>
      <c r="BG528" s="12" t="str">
        <f>IFERROR(__xludf.DUMMYFUNCTION("IFERROR(INDEX(QUERY(IMPORTRANGE(""1T7HG8KEs-Ob7f3M5atEVN9Yn7IeORGp0QGvggB62ELw"",""Maestro!A:I""),""SELECT Col8 WHERE Col3 = '""&amp;BD528&amp;""'"", 0), 1, 1),""NO ENCONTRADO"")"),"")</f>
        <v/>
      </c>
      <c r="BH528" s="12" t="str">
        <f>IFERROR(__xludf.DUMMYFUNCTION("IFERROR(INDEX(QUERY(IMPORTRANGE(""1T7HG8KEs-Ob7f3M5atEVN9Yn7IeORGp0QGvggB62ELw"",""Maestro!A:I""),""SELECT Col7 WHERE Col3 = '""&amp;BD528&amp;""'"", 0), 1, 1),""NO ENCONTRADO"")"),"")</f>
        <v/>
      </c>
      <c r="BI528" s="16">
        <f t="shared" si="15"/>
        <v>0</v>
      </c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4"/>
      <c r="BW528" s="14"/>
      <c r="BX528" s="14"/>
      <c r="BY528" s="14"/>
      <c r="BZ528" s="14"/>
      <c r="CA528" s="14"/>
      <c r="CB528" s="14"/>
      <c r="CC528" s="14"/>
      <c r="CD528" s="14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</row>
    <row r="529">
      <c r="A529" s="12"/>
      <c r="B529" s="14"/>
      <c r="C529" s="14"/>
      <c r="D529" s="14"/>
      <c r="E529" s="12"/>
      <c r="F529" s="307"/>
      <c r="G529" s="307"/>
      <c r="H529" s="12"/>
      <c r="I529" s="30"/>
      <c r="J529" s="12"/>
      <c r="K529" s="12"/>
      <c r="L529" s="12"/>
      <c r="M529" s="12"/>
      <c r="N529" s="12"/>
      <c r="O529" s="308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4"/>
      <c r="BE529" s="12"/>
      <c r="BF529" s="12"/>
      <c r="BG529" s="12" t="str">
        <f>IFERROR(__xludf.DUMMYFUNCTION("IFERROR(INDEX(QUERY(IMPORTRANGE(""1T7HG8KEs-Ob7f3M5atEVN9Yn7IeORGp0QGvggB62ELw"",""Maestro!A:I""),""SELECT Col8 WHERE Col3 = '""&amp;BD529&amp;""'"", 0), 1, 1),""NO ENCONTRADO"")"),"")</f>
        <v/>
      </c>
      <c r="BH529" s="12" t="str">
        <f>IFERROR(__xludf.DUMMYFUNCTION("IFERROR(INDEX(QUERY(IMPORTRANGE(""1T7HG8KEs-Ob7f3M5atEVN9Yn7IeORGp0QGvggB62ELw"",""Maestro!A:I""),""SELECT Col7 WHERE Col3 = '""&amp;BD529&amp;""'"", 0), 1, 1),""NO ENCONTRADO"")"),"")</f>
        <v/>
      </c>
      <c r="BI529" s="16">
        <f t="shared" si="15"/>
        <v>0</v>
      </c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4"/>
      <c r="BW529" s="14"/>
      <c r="BX529" s="14"/>
      <c r="BY529" s="14"/>
      <c r="BZ529" s="14"/>
      <c r="CA529" s="14"/>
      <c r="CB529" s="14"/>
      <c r="CC529" s="14"/>
      <c r="CD529" s="14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</row>
    <row r="530">
      <c r="A530" s="12"/>
      <c r="B530" s="14"/>
      <c r="C530" s="14"/>
      <c r="D530" s="14"/>
      <c r="E530" s="12"/>
      <c r="F530" s="307"/>
      <c r="G530" s="307"/>
      <c r="H530" s="12"/>
      <c r="I530" s="30"/>
      <c r="J530" s="12"/>
      <c r="K530" s="12"/>
      <c r="L530" s="12"/>
      <c r="M530" s="12"/>
      <c r="N530" s="12"/>
      <c r="O530" s="308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4"/>
      <c r="BE530" s="12"/>
      <c r="BF530" s="12"/>
      <c r="BG530" s="12" t="str">
        <f>IFERROR(__xludf.DUMMYFUNCTION("IFERROR(INDEX(QUERY(IMPORTRANGE(""1T7HG8KEs-Ob7f3M5atEVN9Yn7IeORGp0QGvggB62ELw"",""Maestro!A:I""),""SELECT Col8 WHERE Col3 = '""&amp;BD530&amp;""'"", 0), 1, 1),""NO ENCONTRADO"")"),"")</f>
        <v/>
      </c>
      <c r="BH530" s="12" t="str">
        <f>IFERROR(__xludf.DUMMYFUNCTION("IFERROR(INDEX(QUERY(IMPORTRANGE(""1T7HG8KEs-Ob7f3M5atEVN9Yn7IeORGp0QGvggB62ELw"",""Maestro!A:I""),""SELECT Col7 WHERE Col3 = '""&amp;BD530&amp;""'"", 0), 1, 1),""NO ENCONTRADO"")"),"")</f>
        <v/>
      </c>
      <c r="BI530" s="16">
        <f t="shared" si="15"/>
        <v>0</v>
      </c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4"/>
      <c r="BW530" s="14"/>
      <c r="BX530" s="14"/>
      <c r="BY530" s="14"/>
      <c r="BZ530" s="14"/>
      <c r="CA530" s="14"/>
      <c r="CB530" s="14"/>
      <c r="CC530" s="14"/>
      <c r="CD530" s="14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</row>
    <row r="531">
      <c r="A531" s="12"/>
      <c r="B531" s="14"/>
      <c r="C531" s="14"/>
      <c r="D531" s="14"/>
      <c r="E531" s="12"/>
      <c r="F531" s="307"/>
      <c r="G531" s="307"/>
      <c r="H531" s="12"/>
      <c r="I531" s="30"/>
      <c r="J531" s="12"/>
      <c r="K531" s="12"/>
      <c r="L531" s="12"/>
      <c r="M531" s="12"/>
      <c r="N531" s="12"/>
      <c r="O531" s="308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4"/>
      <c r="BE531" s="12"/>
      <c r="BF531" s="12"/>
      <c r="BG531" s="12" t="str">
        <f>IFERROR(__xludf.DUMMYFUNCTION("IFERROR(INDEX(QUERY(IMPORTRANGE(""1T7HG8KEs-Ob7f3M5atEVN9Yn7IeORGp0QGvggB62ELw"",""Maestro!A:I""),""SELECT Col8 WHERE Col3 = '""&amp;BD531&amp;""'"", 0), 1, 1),""NO ENCONTRADO"")"),"")</f>
        <v/>
      </c>
      <c r="BH531" s="12" t="str">
        <f>IFERROR(__xludf.DUMMYFUNCTION("IFERROR(INDEX(QUERY(IMPORTRANGE(""1T7HG8KEs-Ob7f3M5atEVN9Yn7IeORGp0QGvggB62ELw"",""Maestro!A:I""),""SELECT Col7 WHERE Col3 = '""&amp;BD531&amp;""'"", 0), 1, 1),""NO ENCONTRADO"")"),"")</f>
        <v/>
      </c>
      <c r="BI531" s="16">
        <f t="shared" si="15"/>
        <v>0</v>
      </c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4"/>
      <c r="BW531" s="14"/>
      <c r="BX531" s="14"/>
      <c r="BY531" s="14"/>
      <c r="BZ531" s="14"/>
      <c r="CA531" s="14"/>
      <c r="CB531" s="14"/>
      <c r="CC531" s="14"/>
      <c r="CD531" s="14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</row>
    <row r="532">
      <c r="A532" s="12"/>
      <c r="B532" s="14"/>
      <c r="C532" s="14"/>
      <c r="D532" s="14"/>
      <c r="E532" s="12"/>
      <c r="F532" s="307"/>
      <c r="G532" s="307"/>
      <c r="H532" s="12"/>
      <c r="I532" s="30"/>
      <c r="J532" s="12"/>
      <c r="K532" s="12"/>
      <c r="L532" s="12"/>
      <c r="M532" s="12"/>
      <c r="N532" s="12"/>
      <c r="O532" s="308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4"/>
      <c r="BE532" s="12"/>
      <c r="BF532" s="12"/>
      <c r="BG532" s="12" t="str">
        <f>IFERROR(__xludf.DUMMYFUNCTION("IFERROR(INDEX(QUERY(IMPORTRANGE(""1T7HG8KEs-Ob7f3M5atEVN9Yn7IeORGp0QGvggB62ELw"",""Maestro!A:I""),""SELECT Col8 WHERE Col3 = '""&amp;BD532&amp;""'"", 0), 1, 1),""NO ENCONTRADO"")"),"")</f>
        <v/>
      </c>
      <c r="BH532" s="12" t="str">
        <f>IFERROR(__xludf.DUMMYFUNCTION("IFERROR(INDEX(QUERY(IMPORTRANGE(""1T7HG8KEs-Ob7f3M5atEVN9Yn7IeORGp0QGvggB62ELw"",""Maestro!A:I""),""SELECT Col7 WHERE Col3 = '""&amp;BD532&amp;""'"", 0), 1, 1),""NO ENCONTRADO"")"),"")</f>
        <v/>
      </c>
      <c r="BI532" s="16">
        <f t="shared" si="15"/>
        <v>0</v>
      </c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4"/>
      <c r="BW532" s="14"/>
      <c r="BX532" s="14"/>
      <c r="BY532" s="14"/>
      <c r="BZ532" s="14"/>
      <c r="CA532" s="14"/>
      <c r="CB532" s="14"/>
      <c r="CC532" s="14"/>
      <c r="CD532" s="14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</row>
    <row r="533">
      <c r="A533" s="12"/>
      <c r="B533" s="14"/>
      <c r="C533" s="14"/>
      <c r="D533" s="14"/>
      <c r="E533" s="12"/>
      <c r="F533" s="307"/>
      <c r="G533" s="307"/>
      <c r="H533" s="12"/>
      <c r="I533" s="30"/>
      <c r="J533" s="12"/>
      <c r="K533" s="12"/>
      <c r="L533" s="12"/>
      <c r="M533" s="12"/>
      <c r="N533" s="12"/>
      <c r="O533" s="308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4"/>
      <c r="BE533" s="12"/>
      <c r="BF533" s="12"/>
      <c r="BG533" s="12" t="str">
        <f>IFERROR(__xludf.DUMMYFUNCTION("IFERROR(INDEX(QUERY(IMPORTRANGE(""1T7HG8KEs-Ob7f3M5atEVN9Yn7IeORGp0QGvggB62ELw"",""Maestro!A:I""),""SELECT Col8 WHERE Col3 = '""&amp;BD533&amp;""'"", 0), 1, 1),""NO ENCONTRADO"")"),"")</f>
        <v/>
      </c>
      <c r="BH533" s="12" t="str">
        <f>IFERROR(__xludf.DUMMYFUNCTION("IFERROR(INDEX(QUERY(IMPORTRANGE(""1T7HG8KEs-Ob7f3M5atEVN9Yn7IeORGp0QGvggB62ELw"",""Maestro!A:I""),""SELECT Col7 WHERE Col3 = '""&amp;BD533&amp;""'"", 0), 1, 1),""NO ENCONTRADO"")"),"")</f>
        <v/>
      </c>
      <c r="BI533" s="16">
        <f t="shared" si="15"/>
        <v>0</v>
      </c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4"/>
      <c r="BW533" s="14"/>
      <c r="BX533" s="14"/>
      <c r="BY533" s="14"/>
      <c r="BZ533" s="14"/>
      <c r="CA533" s="14"/>
      <c r="CB533" s="14"/>
      <c r="CC533" s="14"/>
      <c r="CD533" s="14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</row>
    <row r="534">
      <c r="A534" s="12"/>
      <c r="B534" s="14"/>
      <c r="C534" s="14"/>
      <c r="D534" s="14"/>
      <c r="E534" s="12"/>
      <c r="F534" s="307"/>
      <c r="G534" s="307"/>
      <c r="H534" s="12"/>
      <c r="I534" s="30"/>
      <c r="J534" s="12"/>
      <c r="K534" s="12"/>
      <c r="L534" s="12"/>
      <c r="M534" s="12"/>
      <c r="N534" s="12"/>
      <c r="O534" s="308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4"/>
      <c r="BE534" s="12"/>
      <c r="BF534" s="12"/>
      <c r="BG534" s="12" t="str">
        <f>IFERROR(__xludf.DUMMYFUNCTION("IFERROR(INDEX(QUERY(IMPORTRANGE(""1T7HG8KEs-Ob7f3M5atEVN9Yn7IeORGp0QGvggB62ELw"",""Maestro!A:I""),""SELECT Col8 WHERE Col3 = '""&amp;BD534&amp;""'"", 0), 1, 1),""NO ENCONTRADO"")"),"")</f>
        <v/>
      </c>
      <c r="BH534" s="12" t="str">
        <f>IFERROR(__xludf.DUMMYFUNCTION("IFERROR(INDEX(QUERY(IMPORTRANGE(""1T7HG8KEs-Ob7f3M5atEVN9Yn7IeORGp0QGvggB62ELw"",""Maestro!A:I""),""SELECT Col7 WHERE Col3 = '""&amp;BD534&amp;""'"", 0), 1, 1),""NO ENCONTRADO"")"),"")</f>
        <v/>
      </c>
      <c r="BI534" s="16">
        <f t="shared" si="15"/>
        <v>0</v>
      </c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4"/>
      <c r="BW534" s="14"/>
      <c r="BX534" s="14"/>
      <c r="BY534" s="14"/>
      <c r="BZ534" s="14"/>
      <c r="CA534" s="14"/>
      <c r="CB534" s="14"/>
      <c r="CC534" s="14"/>
      <c r="CD534" s="14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</row>
    <row r="535">
      <c r="A535" s="12"/>
      <c r="B535" s="14"/>
      <c r="C535" s="14"/>
      <c r="D535" s="14"/>
      <c r="E535" s="12"/>
      <c r="F535" s="307"/>
      <c r="G535" s="307"/>
      <c r="H535" s="12"/>
      <c r="I535" s="30"/>
      <c r="J535" s="12"/>
      <c r="K535" s="12"/>
      <c r="L535" s="12"/>
      <c r="M535" s="12"/>
      <c r="N535" s="12"/>
      <c r="O535" s="308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4"/>
      <c r="BE535" s="12"/>
      <c r="BF535" s="12"/>
      <c r="BG535" s="12" t="str">
        <f>IFERROR(__xludf.DUMMYFUNCTION("IFERROR(INDEX(QUERY(IMPORTRANGE(""1T7HG8KEs-Ob7f3M5atEVN9Yn7IeORGp0QGvggB62ELw"",""Maestro!A:I""),""SELECT Col8 WHERE Col3 = '""&amp;BD535&amp;""'"", 0), 1, 1),""NO ENCONTRADO"")"),"")</f>
        <v/>
      </c>
      <c r="BH535" s="12" t="str">
        <f>IFERROR(__xludf.DUMMYFUNCTION("IFERROR(INDEX(QUERY(IMPORTRANGE(""1T7HG8KEs-Ob7f3M5atEVN9Yn7IeORGp0QGvggB62ELw"",""Maestro!A:I""),""SELECT Col7 WHERE Col3 = '""&amp;BD535&amp;""'"", 0), 1, 1),""NO ENCONTRADO"")"),"")</f>
        <v/>
      </c>
      <c r="BI535" s="16">
        <f t="shared" si="15"/>
        <v>0</v>
      </c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4"/>
      <c r="BW535" s="14"/>
      <c r="BX535" s="14"/>
      <c r="BY535" s="14"/>
      <c r="BZ535" s="14"/>
      <c r="CA535" s="14"/>
      <c r="CB535" s="14"/>
      <c r="CC535" s="14"/>
      <c r="CD535" s="14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</row>
    <row r="536">
      <c r="A536" s="12"/>
      <c r="B536" s="14"/>
      <c r="C536" s="14"/>
      <c r="D536" s="14"/>
      <c r="E536" s="12"/>
      <c r="F536" s="307"/>
      <c r="G536" s="307"/>
      <c r="H536" s="12"/>
      <c r="I536" s="30"/>
      <c r="J536" s="12"/>
      <c r="K536" s="12"/>
      <c r="L536" s="12"/>
      <c r="M536" s="12"/>
      <c r="N536" s="12"/>
      <c r="O536" s="308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4"/>
      <c r="BE536" s="12"/>
      <c r="BF536" s="12"/>
      <c r="BG536" s="12" t="str">
        <f>IFERROR(__xludf.DUMMYFUNCTION("IFERROR(INDEX(QUERY(IMPORTRANGE(""1T7HG8KEs-Ob7f3M5atEVN9Yn7IeORGp0QGvggB62ELw"",""Maestro!A:I""),""SELECT Col8 WHERE Col3 = '""&amp;BD536&amp;""'"", 0), 1, 1),""NO ENCONTRADO"")"),"")</f>
        <v/>
      </c>
      <c r="BH536" s="12" t="str">
        <f>IFERROR(__xludf.DUMMYFUNCTION("IFERROR(INDEX(QUERY(IMPORTRANGE(""1T7HG8KEs-Ob7f3M5atEVN9Yn7IeORGp0QGvggB62ELw"",""Maestro!A:I""),""SELECT Col7 WHERE Col3 = '""&amp;BD536&amp;""'"", 0), 1, 1),""NO ENCONTRADO"")"),"")</f>
        <v/>
      </c>
      <c r="BI536" s="16">
        <f t="shared" si="15"/>
        <v>0</v>
      </c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4"/>
      <c r="BW536" s="14"/>
      <c r="BX536" s="14"/>
      <c r="BY536" s="14"/>
      <c r="BZ536" s="14"/>
      <c r="CA536" s="14"/>
      <c r="CB536" s="14"/>
      <c r="CC536" s="14"/>
      <c r="CD536" s="14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</row>
    <row r="537">
      <c r="A537" s="12"/>
      <c r="B537" s="14"/>
      <c r="C537" s="14"/>
      <c r="D537" s="14"/>
      <c r="E537" s="12"/>
      <c r="F537" s="307"/>
      <c r="G537" s="307"/>
      <c r="H537" s="12"/>
      <c r="I537" s="30"/>
      <c r="J537" s="12"/>
      <c r="K537" s="12"/>
      <c r="L537" s="12"/>
      <c r="M537" s="12"/>
      <c r="N537" s="12"/>
      <c r="O537" s="308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4"/>
      <c r="BE537" s="12"/>
      <c r="BF537" s="12"/>
      <c r="BG537" s="12" t="str">
        <f>IFERROR(__xludf.DUMMYFUNCTION("IFERROR(INDEX(QUERY(IMPORTRANGE(""1T7HG8KEs-Ob7f3M5atEVN9Yn7IeORGp0QGvggB62ELw"",""Maestro!A:I""),""SELECT Col8 WHERE Col3 = '""&amp;BD537&amp;""'"", 0), 1, 1),""NO ENCONTRADO"")"),"")</f>
        <v/>
      </c>
      <c r="BH537" s="12" t="str">
        <f>IFERROR(__xludf.DUMMYFUNCTION("IFERROR(INDEX(QUERY(IMPORTRANGE(""1T7HG8KEs-Ob7f3M5atEVN9Yn7IeORGp0QGvggB62ELw"",""Maestro!A:I""),""SELECT Col7 WHERE Col3 = '""&amp;BD537&amp;""'"", 0), 1, 1),""NO ENCONTRADO"")"),"")</f>
        <v/>
      </c>
      <c r="BI537" s="16">
        <f t="shared" si="15"/>
        <v>0</v>
      </c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4"/>
      <c r="BW537" s="14"/>
      <c r="BX537" s="14"/>
      <c r="BY537" s="14"/>
      <c r="BZ537" s="14"/>
      <c r="CA537" s="14"/>
      <c r="CB537" s="14"/>
      <c r="CC537" s="14"/>
      <c r="CD537" s="14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</row>
    <row r="538">
      <c r="A538" s="12"/>
      <c r="B538" s="14"/>
      <c r="C538" s="14"/>
      <c r="D538" s="14"/>
      <c r="E538" s="12"/>
      <c r="F538" s="307"/>
      <c r="G538" s="307"/>
      <c r="H538" s="12"/>
      <c r="I538" s="30"/>
      <c r="J538" s="12"/>
      <c r="K538" s="12"/>
      <c r="L538" s="12"/>
      <c r="M538" s="12"/>
      <c r="N538" s="12"/>
      <c r="O538" s="308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4"/>
      <c r="BE538" s="12"/>
      <c r="BF538" s="12"/>
      <c r="BG538" s="12" t="str">
        <f>IFERROR(__xludf.DUMMYFUNCTION("IFERROR(INDEX(QUERY(IMPORTRANGE(""1T7HG8KEs-Ob7f3M5atEVN9Yn7IeORGp0QGvggB62ELw"",""Maestro!A:I""),""SELECT Col8 WHERE Col3 = '""&amp;BD538&amp;""'"", 0), 1, 1),""NO ENCONTRADO"")"),"")</f>
        <v/>
      </c>
      <c r="BH538" s="12" t="str">
        <f>IFERROR(__xludf.DUMMYFUNCTION("IFERROR(INDEX(QUERY(IMPORTRANGE(""1T7HG8KEs-Ob7f3M5atEVN9Yn7IeORGp0QGvggB62ELw"",""Maestro!A:I""),""SELECT Col7 WHERE Col3 = '""&amp;BD538&amp;""'"", 0), 1, 1),""NO ENCONTRADO"")"),"")</f>
        <v/>
      </c>
      <c r="BI538" s="16">
        <f t="shared" si="15"/>
        <v>0</v>
      </c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4"/>
      <c r="BW538" s="14"/>
      <c r="BX538" s="14"/>
      <c r="BY538" s="14"/>
      <c r="BZ538" s="14"/>
      <c r="CA538" s="14"/>
      <c r="CB538" s="14"/>
      <c r="CC538" s="14"/>
      <c r="CD538" s="14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</row>
    <row r="539">
      <c r="A539" s="12"/>
      <c r="B539" s="14"/>
      <c r="C539" s="14"/>
      <c r="D539" s="14"/>
      <c r="E539" s="12"/>
      <c r="F539" s="307"/>
      <c r="G539" s="307"/>
      <c r="H539" s="12"/>
      <c r="I539" s="30"/>
      <c r="J539" s="12"/>
      <c r="K539" s="12"/>
      <c r="L539" s="12"/>
      <c r="M539" s="12"/>
      <c r="N539" s="12"/>
      <c r="O539" s="308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4"/>
      <c r="BE539" s="12"/>
      <c r="BF539" s="12"/>
      <c r="BG539" s="12" t="str">
        <f>IFERROR(__xludf.DUMMYFUNCTION("IFERROR(INDEX(QUERY(IMPORTRANGE(""1T7HG8KEs-Ob7f3M5atEVN9Yn7IeORGp0QGvggB62ELw"",""Maestro!A:I""),""SELECT Col8 WHERE Col3 = '""&amp;BD539&amp;""'"", 0), 1, 1),""NO ENCONTRADO"")"),"")</f>
        <v/>
      </c>
      <c r="BH539" s="12" t="str">
        <f>IFERROR(__xludf.DUMMYFUNCTION("IFERROR(INDEX(QUERY(IMPORTRANGE(""1T7HG8KEs-Ob7f3M5atEVN9Yn7IeORGp0QGvggB62ELw"",""Maestro!A:I""),""SELECT Col7 WHERE Col3 = '""&amp;BD539&amp;""'"", 0), 1, 1),""NO ENCONTRADO"")"),"")</f>
        <v/>
      </c>
      <c r="BI539" s="16">
        <f t="shared" si="15"/>
        <v>0</v>
      </c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4"/>
      <c r="BW539" s="14"/>
      <c r="BX539" s="14"/>
      <c r="BY539" s="14"/>
      <c r="BZ539" s="14"/>
      <c r="CA539" s="14"/>
      <c r="CB539" s="14"/>
      <c r="CC539" s="14"/>
      <c r="CD539" s="14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</row>
    <row r="540">
      <c r="A540" s="12"/>
      <c r="B540" s="14"/>
      <c r="C540" s="14"/>
      <c r="D540" s="14"/>
      <c r="E540" s="12"/>
      <c r="F540" s="307"/>
      <c r="G540" s="307"/>
      <c r="H540" s="12"/>
      <c r="I540" s="30"/>
      <c r="J540" s="12"/>
      <c r="K540" s="12"/>
      <c r="L540" s="12"/>
      <c r="M540" s="12"/>
      <c r="N540" s="12"/>
      <c r="O540" s="308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4"/>
      <c r="BE540" s="12"/>
      <c r="BF540" s="12"/>
      <c r="BG540" s="12" t="str">
        <f>IFERROR(__xludf.DUMMYFUNCTION("IFERROR(INDEX(QUERY(IMPORTRANGE(""1T7HG8KEs-Ob7f3M5atEVN9Yn7IeORGp0QGvggB62ELw"",""Maestro!A:I""),""SELECT Col8 WHERE Col3 = '""&amp;BD540&amp;""'"", 0), 1, 1),""NO ENCONTRADO"")"),"")</f>
        <v/>
      </c>
      <c r="BH540" s="12" t="str">
        <f>IFERROR(__xludf.DUMMYFUNCTION("IFERROR(INDEX(QUERY(IMPORTRANGE(""1T7HG8KEs-Ob7f3M5atEVN9Yn7IeORGp0QGvggB62ELw"",""Maestro!A:I""),""SELECT Col7 WHERE Col3 = '""&amp;BD540&amp;""'"", 0), 1, 1),""NO ENCONTRADO"")"),"")</f>
        <v/>
      </c>
      <c r="BI540" s="16">
        <f t="shared" si="15"/>
        <v>0</v>
      </c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4"/>
      <c r="BW540" s="14"/>
      <c r="BX540" s="14"/>
      <c r="BY540" s="14"/>
      <c r="BZ540" s="14"/>
      <c r="CA540" s="14"/>
      <c r="CB540" s="14"/>
      <c r="CC540" s="14"/>
      <c r="CD540" s="14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</row>
    <row r="541">
      <c r="A541" s="12"/>
      <c r="B541" s="14"/>
      <c r="C541" s="14"/>
      <c r="D541" s="14"/>
      <c r="E541" s="12"/>
      <c r="F541" s="307"/>
      <c r="G541" s="307"/>
      <c r="H541" s="12"/>
      <c r="I541" s="30"/>
      <c r="J541" s="12"/>
      <c r="K541" s="12"/>
      <c r="L541" s="12"/>
      <c r="M541" s="12"/>
      <c r="N541" s="12"/>
      <c r="O541" s="308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4"/>
      <c r="BE541" s="12"/>
      <c r="BF541" s="12"/>
      <c r="BG541" s="12" t="str">
        <f>IFERROR(__xludf.DUMMYFUNCTION("IFERROR(INDEX(QUERY(IMPORTRANGE(""1T7HG8KEs-Ob7f3M5atEVN9Yn7IeORGp0QGvggB62ELw"",""Maestro!A:I""),""SELECT Col8 WHERE Col3 = '""&amp;BD541&amp;""'"", 0), 1, 1),""NO ENCONTRADO"")"),"")</f>
        <v/>
      </c>
      <c r="BH541" s="12" t="str">
        <f>IFERROR(__xludf.DUMMYFUNCTION("IFERROR(INDEX(QUERY(IMPORTRANGE(""1T7HG8KEs-Ob7f3M5atEVN9Yn7IeORGp0QGvggB62ELw"",""Maestro!A:I""),""SELECT Col7 WHERE Col3 = '""&amp;BD541&amp;""'"", 0), 1, 1),""NO ENCONTRADO"")"),"")</f>
        <v/>
      </c>
      <c r="BI541" s="16">
        <f t="shared" si="15"/>
        <v>0</v>
      </c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4"/>
      <c r="BW541" s="14"/>
      <c r="BX541" s="14"/>
      <c r="BY541" s="14"/>
      <c r="BZ541" s="14"/>
      <c r="CA541" s="14"/>
      <c r="CB541" s="14"/>
      <c r="CC541" s="14"/>
      <c r="CD541" s="14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</row>
    <row r="542">
      <c r="A542" s="12"/>
      <c r="B542" s="14"/>
      <c r="C542" s="14"/>
      <c r="D542" s="14"/>
      <c r="E542" s="12"/>
      <c r="F542" s="307"/>
      <c r="G542" s="307"/>
      <c r="H542" s="12"/>
      <c r="I542" s="30"/>
      <c r="J542" s="12"/>
      <c r="K542" s="12"/>
      <c r="L542" s="12"/>
      <c r="M542" s="12"/>
      <c r="N542" s="12"/>
      <c r="O542" s="308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4"/>
      <c r="BE542" s="12"/>
      <c r="BF542" s="12"/>
      <c r="BG542" s="12" t="str">
        <f>IFERROR(__xludf.DUMMYFUNCTION("IFERROR(INDEX(QUERY(IMPORTRANGE(""1T7HG8KEs-Ob7f3M5atEVN9Yn7IeORGp0QGvggB62ELw"",""Maestro!A:I""),""SELECT Col8 WHERE Col3 = '""&amp;BD542&amp;""'"", 0), 1, 1),""NO ENCONTRADO"")"),"")</f>
        <v/>
      </c>
      <c r="BH542" s="12" t="str">
        <f>IFERROR(__xludf.DUMMYFUNCTION("IFERROR(INDEX(QUERY(IMPORTRANGE(""1T7HG8KEs-Ob7f3M5atEVN9Yn7IeORGp0QGvggB62ELw"",""Maestro!A:I""),""SELECT Col7 WHERE Col3 = '""&amp;BD542&amp;""'"", 0), 1, 1),""NO ENCONTRADO"")"),"")</f>
        <v/>
      </c>
      <c r="BI542" s="16">
        <f t="shared" si="15"/>
        <v>0</v>
      </c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4"/>
      <c r="BW542" s="14"/>
      <c r="BX542" s="14"/>
      <c r="BY542" s="14"/>
      <c r="BZ542" s="14"/>
      <c r="CA542" s="14"/>
      <c r="CB542" s="14"/>
      <c r="CC542" s="14"/>
      <c r="CD542" s="14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</row>
    <row r="543">
      <c r="A543" s="12"/>
      <c r="B543" s="14"/>
      <c r="C543" s="14"/>
      <c r="D543" s="14"/>
      <c r="E543" s="12"/>
      <c r="F543" s="307"/>
      <c r="G543" s="307"/>
      <c r="H543" s="12"/>
      <c r="I543" s="30"/>
      <c r="J543" s="12"/>
      <c r="K543" s="12"/>
      <c r="L543" s="12"/>
      <c r="M543" s="12"/>
      <c r="N543" s="12"/>
      <c r="O543" s="308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4"/>
      <c r="BE543" s="12"/>
      <c r="BF543" s="12"/>
      <c r="BG543" s="12" t="str">
        <f>IFERROR(__xludf.DUMMYFUNCTION("IFERROR(INDEX(QUERY(IMPORTRANGE(""1T7HG8KEs-Ob7f3M5atEVN9Yn7IeORGp0QGvggB62ELw"",""Maestro!A:I""),""SELECT Col8 WHERE Col3 = '""&amp;BD543&amp;""'"", 0), 1, 1),""NO ENCONTRADO"")"),"")</f>
        <v/>
      </c>
      <c r="BH543" s="12" t="str">
        <f>IFERROR(__xludf.DUMMYFUNCTION("IFERROR(INDEX(QUERY(IMPORTRANGE(""1T7HG8KEs-Ob7f3M5atEVN9Yn7IeORGp0QGvggB62ELw"",""Maestro!A:I""),""SELECT Col7 WHERE Col3 = '""&amp;BD543&amp;""'"", 0), 1, 1),""NO ENCONTRADO"")"),"")</f>
        <v/>
      </c>
      <c r="BI543" s="16">
        <f t="shared" si="15"/>
        <v>0</v>
      </c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4"/>
      <c r="BW543" s="14"/>
      <c r="BX543" s="14"/>
      <c r="BY543" s="14"/>
      <c r="BZ543" s="14"/>
      <c r="CA543" s="14"/>
      <c r="CB543" s="14"/>
      <c r="CC543" s="14"/>
      <c r="CD543" s="14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</row>
    <row r="544">
      <c r="A544" s="12"/>
      <c r="B544" s="14"/>
      <c r="C544" s="14"/>
      <c r="D544" s="14"/>
      <c r="E544" s="12"/>
      <c r="F544" s="307"/>
      <c r="G544" s="307"/>
      <c r="H544" s="12"/>
      <c r="I544" s="30"/>
      <c r="J544" s="12"/>
      <c r="K544" s="12"/>
      <c r="L544" s="12"/>
      <c r="M544" s="12"/>
      <c r="N544" s="12"/>
      <c r="O544" s="308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4"/>
      <c r="BE544" s="12"/>
      <c r="BF544" s="12"/>
      <c r="BG544" s="12" t="str">
        <f>IFERROR(__xludf.DUMMYFUNCTION("IFERROR(INDEX(QUERY(IMPORTRANGE(""1T7HG8KEs-Ob7f3M5atEVN9Yn7IeORGp0QGvggB62ELw"",""Maestro!A:I""),""SELECT Col8 WHERE Col3 = '""&amp;BD544&amp;""'"", 0), 1, 1),""NO ENCONTRADO"")"),"")</f>
        <v/>
      </c>
      <c r="BH544" s="12" t="str">
        <f>IFERROR(__xludf.DUMMYFUNCTION("IFERROR(INDEX(QUERY(IMPORTRANGE(""1T7HG8KEs-Ob7f3M5atEVN9Yn7IeORGp0QGvggB62ELw"",""Maestro!A:I""),""SELECT Col7 WHERE Col3 = '""&amp;BD544&amp;""'"", 0), 1, 1),""NO ENCONTRADO"")"),"")</f>
        <v/>
      </c>
      <c r="BI544" s="16">
        <f t="shared" si="15"/>
        <v>0</v>
      </c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4"/>
      <c r="BW544" s="14"/>
      <c r="BX544" s="14"/>
      <c r="BY544" s="14"/>
      <c r="BZ544" s="14"/>
      <c r="CA544" s="14"/>
      <c r="CB544" s="14"/>
      <c r="CC544" s="14"/>
      <c r="CD544" s="14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</row>
    <row r="545">
      <c r="A545" s="12"/>
      <c r="B545" s="14"/>
      <c r="C545" s="14"/>
      <c r="D545" s="14"/>
      <c r="E545" s="12"/>
      <c r="F545" s="307"/>
      <c r="G545" s="307"/>
      <c r="H545" s="12"/>
      <c r="I545" s="30"/>
      <c r="J545" s="12"/>
      <c r="K545" s="12"/>
      <c r="L545" s="12"/>
      <c r="M545" s="12"/>
      <c r="N545" s="12"/>
      <c r="O545" s="308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4"/>
      <c r="BE545" s="12"/>
      <c r="BF545" s="12"/>
      <c r="BG545" s="12" t="str">
        <f>IFERROR(__xludf.DUMMYFUNCTION("IFERROR(INDEX(QUERY(IMPORTRANGE(""1T7HG8KEs-Ob7f3M5atEVN9Yn7IeORGp0QGvggB62ELw"",""Maestro!A:I""),""SELECT Col8 WHERE Col3 = '""&amp;BD545&amp;""'"", 0), 1, 1),""NO ENCONTRADO"")"),"")</f>
        <v/>
      </c>
      <c r="BH545" s="12" t="str">
        <f>IFERROR(__xludf.DUMMYFUNCTION("IFERROR(INDEX(QUERY(IMPORTRANGE(""1T7HG8KEs-Ob7f3M5atEVN9Yn7IeORGp0QGvggB62ELw"",""Maestro!A:I""),""SELECT Col7 WHERE Col3 = '""&amp;BD545&amp;""'"", 0), 1, 1),""NO ENCONTRADO"")"),"")</f>
        <v/>
      </c>
      <c r="BI545" s="16">
        <f t="shared" si="15"/>
        <v>0</v>
      </c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4"/>
      <c r="BW545" s="14"/>
      <c r="BX545" s="14"/>
      <c r="BY545" s="14"/>
      <c r="BZ545" s="14"/>
      <c r="CA545" s="14"/>
      <c r="CB545" s="14"/>
      <c r="CC545" s="14"/>
      <c r="CD545" s="14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</row>
    <row r="546">
      <c r="A546" s="12"/>
      <c r="B546" s="14"/>
      <c r="C546" s="14"/>
      <c r="D546" s="14"/>
      <c r="E546" s="12"/>
      <c r="F546" s="307"/>
      <c r="G546" s="307"/>
      <c r="H546" s="12"/>
      <c r="I546" s="30"/>
      <c r="J546" s="12"/>
      <c r="K546" s="12"/>
      <c r="L546" s="12"/>
      <c r="M546" s="12"/>
      <c r="N546" s="12"/>
      <c r="O546" s="308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4"/>
      <c r="BE546" s="12"/>
      <c r="BF546" s="12"/>
      <c r="BG546" s="12" t="str">
        <f>IFERROR(__xludf.DUMMYFUNCTION("IFERROR(INDEX(QUERY(IMPORTRANGE(""1T7HG8KEs-Ob7f3M5atEVN9Yn7IeORGp0QGvggB62ELw"",""Maestro!A:I""),""SELECT Col8 WHERE Col3 = '""&amp;BD546&amp;""'"", 0), 1, 1),""NO ENCONTRADO"")"),"")</f>
        <v/>
      </c>
      <c r="BH546" s="12" t="str">
        <f>IFERROR(__xludf.DUMMYFUNCTION("IFERROR(INDEX(QUERY(IMPORTRANGE(""1T7HG8KEs-Ob7f3M5atEVN9Yn7IeORGp0QGvggB62ELw"",""Maestro!A:I""),""SELECT Col7 WHERE Col3 = '""&amp;BD546&amp;""'"", 0), 1, 1),""NO ENCONTRADO"")"),"")</f>
        <v/>
      </c>
      <c r="BI546" s="16">
        <f t="shared" si="15"/>
        <v>0</v>
      </c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4"/>
      <c r="BW546" s="14"/>
      <c r="BX546" s="14"/>
      <c r="BY546" s="14"/>
      <c r="BZ546" s="14"/>
      <c r="CA546" s="14"/>
      <c r="CB546" s="14"/>
      <c r="CC546" s="14"/>
      <c r="CD546" s="14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</row>
    <row r="547">
      <c r="A547" s="12"/>
      <c r="B547" s="14"/>
      <c r="C547" s="14"/>
      <c r="D547" s="14"/>
      <c r="E547" s="12"/>
      <c r="F547" s="307"/>
      <c r="G547" s="307"/>
      <c r="H547" s="12"/>
      <c r="I547" s="30"/>
      <c r="J547" s="12"/>
      <c r="K547" s="12"/>
      <c r="L547" s="12"/>
      <c r="M547" s="12"/>
      <c r="N547" s="12"/>
      <c r="O547" s="308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4"/>
      <c r="BE547" s="12"/>
      <c r="BF547" s="12"/>
      <c r="BG547" s="12" t="str">
        <f>IFERROR(__xludf.DUMMYFUNCTION("IFERROR(INDEX(QUERY(IMPORTRANGE(""1T7HG8KEs-Ob7f3M5atEVN9Yn7IeORGp0QGvggB62ELw"",""Maestro!A:I""),""SELECT Col8 WHERE Col3 = '""&amp;BD547&amp;""'"", 0), 1, 1),""NO ENCONTRADO"")"),"")</f>
        <v/>
      </c>
      <c r="BH547" s="12" t="str">
        <f>IFERROR(__xludf.DUMMYFUNCTION("IFERROR(INDEX(QUERY(IMPORTRANGE(""1T7HG8KEs-Ob7f3M5atEVN9Yn7IeORGp0QGvggB62ELw"",""Maestro!A:I""),""SELECT Col7 WHERE Col3 = '""&amp;BD547&amp;""'"", 0), 1, 1),""NO ENCONTRADO"")"),"")</f>
        <v/>
      </c>
      <c r="BI547" s="16">
        <f t="shared" si="15"/>
        <v>0</v>
      </c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4"/>
      <c r="BW547" s="14"/>
      <c r="BX547" s="14"/>
      <c r="BY547" s="14"/>
      <c r="BZ547" s="14"/>
      <c r="CA547" s="14"/>
      <c r="CB547" s="14"/>
      <c r="CC547" s="14"/>
      <c r="CD547" s="14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</row>
    <row r="548">
      <c r="A548" s="12"/>
      <c r="B548" s="14"/>
      <c r="C548" s="14"/>
      <c r="D548" s="14"/>
      <c r="E548" s="12"/>
      <c r="F548" s="307"/>
      <c r="G548" s="307"/>
      <c r="H548" s="12"/>
      <c r="I548" s="30"/>
      <c r="J548" s="12"/>
      <c r="K548" s="12"/>
      <c r="L548" s="12"/>
      <c r="M548" s="12"/>
      <c r="N548" s="12"/>
      <c r="O548" s="308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4"/>
      <c r="BE548" s="12"/>
      <c r="BF548" s="12"/>
      <c r="BG548" s="12" t="str">
        <f>IFERROR(__xludf.DUMMYFUNCTION("IFERROR(INDEX(QUERY(IMPORTRANGE(""1T7HG8KEs-Ob7f3M5atEVN9Yn7IeORGp0QGvggB62ELw"",""Maestro!A:I""),""SELECT Col8 WHERE Col3 = '""&amp;BD548&amp;""'"", 0), 1, 1),""NO ENCONTRADO"")"),"")</f>
        <v/>
      </c>
      <c r="BH548" s="12" t="str">
        <f>IFERROR(__xludf.DUMMYFUNCTION("IFERROR(INDEX(QUERY(IMPORTRANGE(""1T7HG8KEs-Ob7f3M5atEVN9Yn7IeORGp0QGvggB62ELw"",""Maestro!A:I""),""SELECT Col7 WHERE Col3 = '""&amp;BD548&amp;""'"", 0), 1, 1),""NO ENCONTRADO"")"),"")</f>
        <v/>
      </c>
      <c r="BI548" s="16">
        <f t="shared" si="15"/>
        <v>0</v>
      </c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4"/>
      <c r="BW548" s="14"/>
      <c r="BX548" s="14"/>
      <c r="BY548" s="14"/>
      <c r="BZ548" s="14"/>
      <c r="CA548" s="14"/>
      <c r="CB548" s="14"/>
      <c r="CC548" s="14"/>
      <c r="CD548" s="14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</row>
    <row r="549">
      <c r="A549" s="12"/>
      <c r="B549" s="14"/>
      <c r="C549" s="14"/>
      <c r="D549" s="14"/>
      <c r="E549" s="12"/>
      <c r="F549" s="307"/>
      <c r="G549" s="307"/>
      <c r="H549" s="12"/>
      <c r="I549" s="30"/>
      <c r="J549" s="12"/>
      <c r="K549" s="12"/>
      <c r="L549" s="12"/>
      <c r="M549" s="12"/>
      <c r="N549" s="12"/>
      <c r="O549" s="308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4"/>
      <c r="BE549" s="12"/>
      <c r="BF549" s="12"/>
      <c r="BG549" s="12" t="str">
        <f>IFERROR(__xludf.DUMMYFUNCTION("IFERROR(INDEX(QUERY(IMPORTRANGE(""1T7HG8KEs-Ob7f3M5atEVN9Yn7IeORGp0QGvggB62ELw"",""Maestro!A:I""),""SELECT Col8 WHERE Col3 = '""&amp;BD549&amp;""'"", 0), 1, 1),""NO ENCONTRADO"")"),"")</f>
        <v/>
      </c>
      <c r="BH549" s="12" t="str">
        <f>IFERROR(__xludf.DUMMYFUNCTION("IFERROR(INDEX(QUERY(IMPORTRANGE(""1T7HG8KEs-Ob7f3M5atEVN9Yn7IeORGp0QGvggB62ELw"",""Maestro!A:I""),""SELECT Col7 WHERE Col3 = '""&amp;BD549&amp;""'"", 0), 1, 1),""NO ENCONTRADO"")"),"")</f>
        <v/>
      </c>
      <c r="BI549" s="16">
        <f t="shared" si="15"/>
        <v>0</v>
      </c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4"/>
      <c r="BW549" s="14"/>
      <c r="BX549" s="14"/>
      <c r="BY549" s="14"/>
      <c r="BZ549" s="14"/>
      <c r="CA549" s="14"/>
      <c r="CB549" s="14"/>
      <c r="CC549" s="14"/>
      <c r="CD549" s="14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</row>
    <row r="550">
      <c r="A550" s="12"/>
      <c r="B550" s="14"/>
      <c r="C550" s="14"/>
      <c r="D550" s="14"/>
      <c r="E550" s="12"/>
      <c r="F550" s="307"/>
      <c r="G550" s="307"/>
      <c r="H550" s="12"/>
      <c r="I550" s="30"/>
      <c r="J550" s="12"/>
      <c r="K550" s="12"/>
      <c r="L550" s="12"/>
      <c r="M550" s="12"/>
      <c r="N550" s="12"/>
      <c r="O550" s="308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4"/>
      <c r="BE550" s="12"/>
      <c r="BF550" s="12"/>
      <c r="BG550" s="12" t="str">
        <f>IFERROR(__xludf.DUMMYFUNCTION("IFERROR(INDEX(QUERY(IMPORTRANGE(""1T7HG8KEs-Ob7f3M5atEVN9Yn7IeORGp0QGvggB62ELw"",""Maestro!A:I""),""SELECT Col8 WHERE Col3 = '""&amp;BD550&amp;""'"", 0), 1, 1),""NO ENCONTRADO"")"),"")</f>
        <v/>
      </c>
      <c r="BH550" s="12" t="str">
        <f>IFERROR(__xludf.DUMMYFUNCTION("IFERROR(INDEX(QUERY(IMPORTRANGE(""1T7HG8KEs-Ob7f3M5atEVN9Yn7IeORGp0QGvggB62ELw"",""Maestro!A:I""),""SELECT Col7 WHERE Col3 = '""&amp;BD550&amp;""'"", 0), 1, 1),""NO ENCONTRADO"")"),"")</f>
        <v/>
      </c>
      <c r="BI550" s="16">
        <f t="shared" si="15"/>
        <v>0</v>
      </c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4"/>
      <c r="BW550" s="14"/>
      <c r="BX550" s="14"/>
      <c r="BY550" s="14"/>
      <c r="BZ550" s="14"/>
      <c r="CA550" s="14"/>
      <c r="CB550" s="14"/>
      <c r="CC550" s="14"/>
      <c r="CD550" s="14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</row>
    <row r="551">
      <c r="A551" s="12"/>
      <c r="B551" s="14"/>
      <c r="C551" s="14"/>
      <c r="D551" s="14"/>
      <c r="E551" s="12"/>
      <c r="F551" s="307"/>
      <c r="G551" s="307"/>
      <c r="H551" s="12"/>
      <c r="I551" s="30"/>
      <c r="J551" s="12"/>
      <c r="K551" s="12"/>
      <c r="L551" s="12"/>
      <c r="M551" s="12"/>
      <c r="N551" s="12"/>
      <c r="O551" s="308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4"/>
      <c r="BE551" s="12"/>
      <c r="BF551" s="12"/>
      <c r="BG551" s="12" t="str">
        <f>IFERROR(__xludf.DUMMYFUNCTION("IFERROR(INDEX(QUERY(IMPORTRANGE(""1T7HG8KEs-Ob7f3M5atEVN9Yn7IeORGp0QGvggB62ELw"",""Maestro!A:I""),""SELECT Col8 WHERE Col3 = '""&amp;BD551&amp;""'"", 0), 1, 1),""NO ENCONTRADO"")"),"")</f>
        <v/>
      </c>
      <c r="BH551" s="12" t="str">
        <f>IFERROR(__xludf.DUMMYFUNCTION("IFERROR(INDEX(QUERY(IMPORTRANGE(""1T7HG8KEs-Ob7f3M5atEVN9Yn7IeORGp0QGvggB62ELw"",""Maestro!A:I""),""SELECT Col7 WHERE Col3 = '""&amp;BD551&amp;""'"", 0), 1, 1),""NO ENCONTRADO"")"),"")</f>
        <v/>
      </c>
      <c r="BI551" s="16">
        <f t="shared" si="15"/>
        <v>0</v>
      </c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4"/>
      <c r="BW551" s="14"/>
      <c r="BX551" s="14"/>
      <c r="BY551" s="14"/>
      <c r="BZ551" s="14"/>
      <c r="CA551" s="14"/>
      <c r="CB551" s="14"/>
      <c r="CC551" s="14"/>
      <c r="CD551" s="14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</row>
    <row r="552">
      <c r="A552" s="12"/>
      <c r="B552" s="14"/>
      <c r="C552" s="14"/>
      <c r="D552" s="14"/>
      <c r="E552" s="12"/>
      <c r="F552" s="307"/>
      <c r="G552" s="307"/>
      <c r="H552" s="12"/>
      <c r="I552" s="30"/>
      <c r="J552" s="12"/>
      <c r="K552" s="12"/>
      <c r="L552" s="12"/>
      <c r="M552" s="12"/>
      <c r="N552" s="12"/>
      <c r="O552" s="308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4"/>
      <c r="BE552" s="12"/>
      <c r="BF552" s="12"/>
      <c r="BG552" s="12" t="str">
        <f>IFERROR(__xludf.DUMMYFUNCTION("IFERROR(INDEX(QUERY(IMPORTRANGE(""1T7HG8KEs-Ob7f3M5atEVN9Yn7IeORGp0QGvggB62ELw"",""Maestro!A:I""),""SELECT Col8 WHERE Col3 = '""&amp;BD552&amp;""'"", 0), 1, 1),""NO ENCONTRADO"")"),"")</f>
        <v/>
      </c>
      <c r="BH552" s="12" t="str">
        <f>IFERROR(__xludf.DUMMYFUNCTION("IFERROR(INDEX(QUERY(IMPORTRANGE(""1T7HG8KEs-Ob7f3M5atEVN9Yn7IeORGp0QGvggB62ELw"",""Maestro!A:I""),""SELECT Col7 WHERE Col3 = '""&amp;BD552&amp;""'"", 0), 1, 1),""NO ENCONTRADO"")"),"")</f>
        <v/>
      </c>
      <c r="BI552" s="16">
        <f t="shared" si="15"/>
        <v>0</v>
      </c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4"/>
      <c r="BW552" s="14"/>
      <c r="BX552" s="14"/>
      <c r="BY552" s="14"/>
      <c r="BZ552" s="14"/>
      <c r="CA552" s="14"/>
      <c r="CB552" s="14"/>
      <c r="CC552" s="14"/>
      <c r="CD552" s="14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</row>
    <row r="553">
      <c r="A553" s="12"/>
      <c r="B553" s="14"/>
      <c r="C553" s="14"/>
      <c r="D553" s="14"/>
      <c r="E553" s="12"/>
      <c r="F553" s="307"/>
      <c r="G553" s="307"/>
      <c r="H553" s="12"/>
      <c r="I553" s="30"/>
      <c r="J553" s="12"/>
      <c r="K553" s="12"/>
      <c r="L553" s="12"/>
      <c r="M553" s="12"/>
      <c r="N553" s="12"/>
      <c r="O553" s="308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4"/>
      <c r="BE553" s="12"/>
      <c r="BF553" s="12"/>
      <c r="BG553" s="12" t="str">
        <f>IFERROR(__xludf.DUMMYFUNCTION("IFERROR(INDEX(QUERY(IMPORTRANGE(""1T7HG8KEs-Ob7f3M5atEVN9Yn7IeORGp0QGvggB62ELw"",""Maestro!A:I""),""SELECT Col8 WHERE Col3 = '""&amp;BD553&amp;""'"", 0), 1, 1),""NO ENCONTRADO"")"),"")</f>
        <v/>
      </c>
      <c r="BH553" s="12" t="str">
        <f>IFERROR(__xludf.DUMMYFUNCTION("IFERROR(INDEX(QUERY(IMPORTRANGE(""1T7HG8KEs-Ob7f3M5atEVN9Yn7IeORGp0QGvggB62ELw"",""Maestro!A:I""),""SELECT Col7 WHERE Col3 = '""&amp;BD553&amp;""'"", 0), 1, 1),""NO ENCONTRADO"")"),"")</f>
        <v/>
      </c>
      <c r="BI553" s="16">
        <f t="shared" si="15"/>
        <v>0</v>
      </c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4"/>
      <c r="BW553" s="14"/>
      <c r="BX553" s="14"/>
      <c r="BY553" s="14"/>
      <c r="BZ553" s="14"/>
      <c r="CA553" s="14"/>
      <c r="CB553" s="14"/>
      <c r="CC553" s="14"/>
      <c r="CD553" s="14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</row>
    <row r="554">
      <c r="A554" s="12"/>
      <c r="B554" s="14"/>
      <c r="C554" s="14"/>
      <c r="D554" s="14"/>
      <c r="E554" s="12"/>
      <c r="F554" s="307"/>
      <c r="G554" s="307"/>
      <c r="H554" s="12"/>
      <c r="I554" s="30"/>
      <c r="J554" s="12"/>
      <c r="K554" s="12"/>
      <c r="L554" s="12"/>
      <c r="M554" s="12"/>
      <c r="N554" s="12"/>
      <c r="O554" s="308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4"/>
      <c r="BE554" s="12"/>
      <c r="BF554" s="12"/>
      <c r="BG554" s="12" t="str">
        <f>IFERROR(__xludf.DUMMYFUNCTION("IFERROR(INDEX(QUERY(IMPORTRANGE(""1T7HG8KEs-Ob7f3M5atEVN9Yn7IeORGp0QGvggB62ELw"",""Maestro!A:I""),""SELECT Col8 WHERE Col3 = '""&amp;BD554&amp;""'"", 0), 1, 1),""NO ENCONTRADO"")"),"")</f>
        <v/>
      </c>
      <c r="BH554" s="12" t="str">
        <f>IFERROR(__xludf.DUMMYFUNCTION("IFERROR(INDEX(QUERY(IMPORTRANGE(""1T7HG8KEs-Ob7f3M5atEVN9Yn7IeORGp0QGvggB62ELw"",""Maestro!A:I""),""SELECT Col7 WHERE Col3 = '""&amp;BD554&amp;""'"", 0), 1, 1),""NO ENCONTRADO"")"),"")</f>
        <v/>
      </c>
      <c r="BI554" s="16">
        <f t="shared" si="15"/>
        <v>0</v>
      </c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4"/>
      <c r="BW554" s="14"/>
      <c r="BX554" s="14"/>
      <c r="BY554" s="14"/>
      <c r="BZ554" s="14"/>
      <c r="CA554" s="14"/>
      <c r="CB554" s="14"/>
      <c r="CC554" s="14"/>
      <c r="CD554" s="14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</row>
    <row r="555">
      <c r="A555" s="12"/>
      <c r="B555" s="14"/>
      <c r="C555" s="14"/>
      <c r="D555" s="14"/>
      <c r="E555" s="12"/>
      <c r="F555" s="307"/>
      <c r="G555" s="307"/>
      <c r="H555" s="12"/>
      <c r="I555" s="30"/>
      <c r="J555" s="12"/>
      <c r="K555" s="12"/>
      <c r="L555" s="12"/>
      <c r="M555" s="12"/>
      <c r="N555" s="12"/>
      <c r="O555" s="308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4"/>
      <c r="BE555" s="12"/>
      <c r="BF555" s="12"/>
      <c r="BG555" s="12" t="str">
        <f>IFERROR(__xludf.DUMMYFUNCTION("IFERROR(INDEX(QUERY(IMPORTRANGE(""1T7HG8KEs-Ob7f3M5atEVN9Yn7IeORGp0QGvggB62ELw"",""Maestro!A:I""),""SELECT Col8 WHERE Col3 = '""&amp;BD555&amp;""'"", 0), 1, 1),""NO ENCONTRADO"")"),"")</f>
        <v/>
      </c>
      <c r="BH555" s="12" t="str">
        <f>IFERROR(__xludf.DUMMYFUNCTION("IFERROR(INDEX(QUERY(IMPORTRANGE(""1T7HG8KEs-Ob7f3M5atEVN9Yn7IeORGp0QGvggB62ELw"",""Maestro!A:I""),""SELECT Col7 WHERE Col3 = '""&amp;BD555&amp;""'"", 0), 1, 1),""NO ENCONTRADO"")"),"")</f>
        <v/>
      </c>
      <c r="BI555" s="16">
        <f t="shared" si="15"/>
        <v>0</v>
      </c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4"/>
      <c r="BW555" s="14"/>
      <c r="BX555" s="14"/>
      <c r="BY555" s="14"/>
      <c r="BZ555" s="14"/>
      <c r="CA555" s="14"/>
      <c r="CB555" s="14"/>
      <c r="CC555" s="14"/>
      <c r="CD555" s="14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</row>
    <row r="556">
      <c r="A556" s="12"/>
      <c r="B556" s="14"/>
      <c r="C556" s="14"/>
      <c r="D556" s="14"/>
      <c r="E556" s="12"/>
      <c r="F556" s="307"/>
      <c r="G556" s="307"/>
      <c r="H556" s="12"/>
      <c r="I556" s="30"/>
      <c r="J556" s="12"/>
      <c r="K556" s="12"/>
      <c r="L556" s="12"/>
      <c r="M556" s="12"/>
      <c r="N556" s="12"/>
      <c r="O556" s="308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4"/>
      <c r="BE556" s="12"/>
      <c r="BF556" s="12"/>
      <c r="BG556" s="12" t="str">
        <f>IFERROR(__xludf.DUMMYFUNCTION("IFERROR(INDEX(QUERY(IMPORTRANGE(""1T7HG8KEs-Ob7f3M5atEVN9Yn7IeORGp0QGvggB62ELw"",""Maestro!A:I""),""SELECT Col8 WHERE Col3 = '""&amp;BD556&amp;""'"", 0), 1, 1),""NO ENCONTRADO"")"),"")</f>
        <v/>
      </c>
      <c r="BH556" s="12" t="str">
        <f>IFERROR(__xludf.DUMMYFUNCTION("IFERROR(INDEX(QUERY(IMPORTRANGE(""1T7HG8KEs-Ob7f3M5atEVN9Yn7IeORGp0QGvggB62ELw"",""Maestro!A:I""),""SELECT Col7 WHERE Col3 = '""&amp;BD556&amp;""'"", 0), 1, 1),""NO ENCONTRADO"")"),"")</f>
        <v/>
      </c>
      <c r="BI556" s="16">
        <f t="shared" si="15"/>
        <v>0</v>
      </c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4"/>
      <c r="BW556" s="14"/>
      <c r="BX556" s="14"/>
      <c r="BY556" s="14"/>
      <c r="BZ556" s="14"/>
      <c r="CA556" s="14"/>
      <c r="CB556" s="14"/>
      <c r="CC556" s="14"/>
      <c r="CD556" s="14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</row>
    <row r="557">
      <c r="A557" s="12"/>
      <c r="B557" s="14"/>
      <c r="C557" s="14"/>
      <c r="D557" s="14"/>
      <c r="E557" s="12"/>
      <c r="F557" s="307"/>
      <c r="G557" s="307"/>
      <c r="H557" s="12"/>
      <c r="I557" s="30"/>
      <c r="J557" s="12"/>
      <c r="K557" s="12"/>
      <c r="L557" s="12"/>
      <c r="M557" s="12"/>
      <c r="N557" s="12"/>
      <c r="O557" s="308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4"/>
      <c r="BE557" s="12"/>
      <c r="BF557" s="12"/>
      <c r="BG557" s="12" t="str">
        <f>IFERROR(__xludf.DUMMYFUNCTION("IFERROR(INDEX(QUERY(IMPORTRANGE(""1T7HG8KEs-Ob7f3M5atEVN9Yn7IeORGp0QGvggB62ELw"",""Maestro!A:I""),""SELECT Col8 WHERE Col3 = '""&amp;BD557&amp;""'"", 0), 1, 1),""NO ENCONTRADO"")"),"")</f>
        <v/>
      </c>
      <c r="BH557" s="12" t="str">
        <f>IFERROR(__xludf.DUMMYFUNCTION("IFERROR(INDEX(QUERY(IMPORTRANGE(""1T7HG8KEs-Ob7f3M5atEVN9Yn7IeORGp0QGvggB62ELw"",""Maestro!A:I""),""SELECT Col7 WHERE Col3 = '""&amp;BD557&amp;""'"", 0), 1, 1),""NO ENCONTRADO"")"),"")</f>
        <v/>
      </c>
      <c r="BI557" s="16">
        <f t="shared" si="15"/>
        <v>0</v>
      </c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4"/>
      <c r="BW557" s="14"/>
      <c r="BX557" s="14"/>
      <c r="BY557" s="14"/>
      <c r="BZ557" s="14"/>
      <c r="CA557" s="14"/>
      <c r="CB557" s="14"/>
      <c r="CC557" s="14"/>
      <c r="CD557" s="14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</row>
    <row r="558">
      <c r="A558" s="12"/>
      <c r="B558" s="14"/>
      <c r="C558" s="14"/>
      <c r="D558" s="14"/>
      <c r="E558" s="12"/>
      <c r="F558" s="307"/>
      <c r="G558" s="307"/>
      <c r="H558" s="12"/>
      <c r="I558" s="30"/>
      <c r="J558" s="12"/>
      <c r="K558" s="12"/>
      <c r="L558" s="12"/>
      <c r="M558" s="12"/>
      <c r="N558" s="12"/>
      <c r="O558" s="308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4"/>
      <c r="BE558" s="12"/>
      <c r="BF558" s="12"/>
      <c r="BG558" s="12" t="str">
        <f>IFERROR(__xludf.DUMMYFUNCTION("IFERROR(INDEX(QUERY(IMPORTRANGE(""1T7HG8KEs-Ob7f3M5atEVN9Yn7IeORGp0QGvggB62ELw"",""Maestro!A:I""),""SELECT Col8 WHERE Col3 = '""&amp;BD558&amp;""'"", 0), 1, 1),""NO ENCONTRADO"")"),"")</f>
        <v/>
      </c>
      <c r="BH558" s="12" t="str">
        <f>IFERROR(__xludf.DUMMYFUNCTION("IFERROR(INDEX(QUERY(IMPORTRANGE(""1T7HG8KEs-Ob7f3M5atEVN9Yn7IeORGp0QGvggB62ELw"",""Maestro!A:I""),""SELECT Col7 WHERE Col3 = '""&amp;BD558&amp;""'"", 0), 1, 1),""NO ENCONTRADO"")"),"")</f>
        <v/>
      </c>
      <c r="BI558" s="16">
        <f t="shared" si="15"/>
        <v>0</v>
      </c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4"/>
      <c r="BW558" s="14"/>
      <c r="BX558" s="14"/>
      <c r="BY558" s="14"/>
      <c r="BZ558" s="14"/>
      <c r="CA558" s="14"/>
      <c r="CB558" s="14"/>
      <c r="CC558" s="14"/>
      <c r="CD558" s="14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</row>
    <row r="559">
      <c r="A559" s="12"/>
      <c r="B559" s="14"/>
      <c r="C559" s="14"/>
      <c r="D559" s="14"/>
      <c r="E559" s="12"/>
      <c r="F559" s="307"/>
      <c r="G559" s="307"/>
      <c r="H559" s="12"/>
      <c r="I559" s="30"/>
      <c r="J559" s="12"/>
      <c r="K559" s="12"/>
      <c r="L559" s="12"/>
      <c r="M559" s="12"/>
      <c r="N559" s="12"/>
      <c r="O559" s="308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4"/>
      <c r="BE559" s="12"/>
      <c r="BF559" s="12"/>
      <c r="BG559" s="12" t="str">
        <f>IFERROR(__xludf.DUMMYFUNCTION("IFERROR(INDEX(QUERY(IMPORTRANGE(""1T7HG8KEs-Ob7f3M5atEVN9Yn7IeORGp0QGvggB62ELw"",""Maestro!A:I""),""SELECT Col8 WHERE Col3 = '""&amp;BD559&amp;""'"", 0), 1, 1),""NO ENCONTRADO"")"),"")</f>
        <v/>
      </c>
      <c r="BH559" s="12" t="str">
        <f>IFERROR(__xludf.DUMMYFUNCTION("IFERROR(INDEX(QUERY(IMPORTRANGE(""1T7HG8KEs-Ob7f3M5atEVN9Yn7IeORGp0QGvggB62ELw"",""Maestro!A:I""),""SELECT Col7 WHERE Col3 = '""&amp;BD559&amp;""'"", 0), 1, 1),""NO ENCONTRADO"")"),"")</f>
        <v/>
      </c>
      <c r="BI559" s="16">
        <f t="shared" si="15"/>
        <v>0</v>
      </c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4"/>
      <c r="BW559" s="14"/>
      <c r="BX559" s="14"/>
      <c r="BY559" s="14"/>
      <c r="BZ559" s="14"/>
      <c r="CA559" s="14"/>
      <c r="CB559" s="14"/>
      <c r="CC559" s="14"/>
      <c r="CD559" s="14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</row>
    <row r="560">
      <c r="A560" s="12"/>
      <c r="B560" s="14"/>
      <c r="C560" s="14"/>
      <c r="D560" s="14"/>
      <c r="E560" s="12"/>
      <c r="F560" s="307"/>
      <c r="G560" s="307"/>
      <c r="H560" s="12"/>
      <c r="I560" s="30"/>
      <c r="J560" s="12"/>
      <c r="K560" s="12"/>
      <c r="L560" s="12"/>
      <c r="M560" s="12"/>
      <c r="N560" s="12"/>
      <c r="O560" s="308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4"/>
      <c r="BE560" s="12"/>
      <c r="BF560" s="12"/>
      <c r="BG560" s="12" t="str">
        <f>IFERROR(__xludf.DUMMYFUNCTION("IFERROR(INDEX(QUERY(IMPORTRANGE(""1T7HG8KEs-Ob7f3M5atEVN9Yn7IeORGp0QGvggB62ELw"",""Maestro!A:I""),""SELECT Col8 WHERE Col3 = '""&amp;BD560&amp;""'"", 0), 1, 1),""NO ENCONTRADO"")"),"")</f>
        <v/>
      </c>
      <c r="BH560" s="12" t="str">
        <f>IFERROR(__xludf.DUMMYFUNCTION("IFERROR(INDEX(QUERY(IMPORTRANGE(""1T7HG8KEs-Ob7f3M5atEVN9Yn7IeORGp0QGvggB62ELw"",""Maestro!A:I""),""SELECT Col7 WHERE Col3 = '""&amp;BD560&amp;""'"", 0), 1, 1),""NO ENCONTRADO"")"),"")</f>
        <v/>
      </c>
      <c r="BI560" s="16">
        <f t="shared" si="15"/>
        <v>0</v>
      </c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4"/>
      <c r="BW560" s="14"/>
      <c r="BX560" s="14"/>
      <c r="BY560" s="14"/>
      <c r="BZ560" s="14"/>
      <c r="CA560" s="14"/>
      <c r="CB560" s="14"/>
      <c r="CC560" s="14"/>
      <c r="CD560" s="14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</row>
    <row r="561">
      <c r="A561" s="12"/>
      <c r="B561" s="14"/>
      <c r="C561" s="14"/>
      <c r="D561" s="14"/>
      <c r="E561" s="12"/>
      <c r="F561" s="307"/>
      <c r="G561" s="307"/>
      <c r="H561" s="12"/>
      <c r="I561" s="30"/>
      <c r="J561" s="12"/>
      <c r="K561" s="12"/>
      <c r="L561" s="12"/>
      <c r="M561" s="12"/>
      <c r="N561" s="12"/>
      <c r="O561" s="308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4"/>
      <c r="BE561" s="12"/>
      <c r="BF561" s="12"/>
      <c r="BG561" s="12" t="str">
        <f>IFERROR(__xludf.DUMMYFUNCTION("IFERROR(INDEX(QUERY(IMPORTRANGE(""1T7HG8KEs-Ob7f3M5atEVN9Yn7IeORGp0QGvggB62ELw"",""Maestro!A:I""),""SELECT Col8 WHERE Col3 = '""&amp;BD561&amp;""'"", 0), 1, 1),""NO ENCONTRADO"")"),"")</f>
        <v/>
      </c>
      <c r="BH561" s="12" t="str">
        <f>IFERROR(__xludf.DUMMYFUNCTION("IFERROR(INDEX(QUERY(IMPORTRANGE(""1T7HG8KEs-Ob7f3M5atEVN9Yn7IeORGp0QGvggB62ELw"",""Maestro!A:I""),""SELECT Col7 WHERE Col3 = '""&amp;BD561&amp;""'"", 0), 1, 1),""NO ENCONTRADO"")"),"")</f>
        <v/>
      </c>
      <c r="BI561" s="16">
        <f t="shared" si="15"/>
        <v>0</v>
      </c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4"/>
      <c r="BW561" s="14"/>
      <c r="BX561" s="14"/>
      <c r="BY561" s="14"/>
      <c r="BZ561" s="14"/>
      <c r="CA561" s="14"/>
      <c r="CB561" s="14"/>
      <c r="CC561" s="14"/>
      <c r="CD561" s="14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</row>
    <row r="562">
      <c r="A562" s="12"/>
      <c r="B562" s="14"/>
      <c r="C562" s="14"/>
      <c r="D562" s="14"/>
      <c r="E562" s="12"/>
      <c r="F562" s="307"/>
      <c r="G562" s="307"/>
      <c r="H562" s="12"/>
      <c r="I562" s="30"/>
      <c r="J562" s="12"/>
      <c r="K562" s="12"/>
      <c r="L562" s="12"/>
      <c r="M562" s="12"/>
      <c r="N562" s="12"/>
      <c r="O562" s="308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4"/>
      <c r="BE562" s="12"/>
      <c r="BF562" s="12"/>
      <c r="BG562" s="12" t="str">
        <f>IFERROR(__xludf.DUMMYFUNCTION("IFERROR(INDEX(QUERY(IMPORTRANGE(""1T7HG8KEs-Ob7f3M5atEVN9Yn7IeORGp0QGvggB62ELw"",""Maestro!A:I""),""SELECT Col8 WHERE Col3 = '""&amp;BD562&amp;""'"", 0), 1, 1),""NO ENCONTRADO"")"),"")</f>
        <v/>
      </c>
      <c r="BH562" s="12" t="str">
        <f>IFERROR(__xludf.DUMMYFUNCTION("IFERROR(INDEX(QUERY(IMPORTRANGE(""1T7HG8KEs-Ob7f3M5atEVN9Yn7IeORGp0QGvggB62ELw"",""Maestro!A:I""),""SELECT Col7 WHERE Col3 = '""&amp;BD562&amp;""'"", 0), 1, 1),""NO ENCONTRADO"")"),"")</f>
        <v/>
      </c>
      <c r="BI562" s="16">
        <f t="shared" si="15"/>
        <v>0</v>
      </c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4"/>
      <c r="BW562" s="14"/>
      <c r="BX562" s="14"/>
      <c r="BY562" s="14"/>
      <c r="BZ562" s="14"/>
      <c r="CA562" s="14"/>
      <c r="CB562" s="14"/>
      <c r="CC562" s="14"/>
      <c r="CD562" s="14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</row>
    <row r="563">
      <c r="A563" s="12"/>
      <c r="B563" s="14"/>
      <c r="C563" s="14"/>
      <c r="D563" s="14"/>
      <c r="E563" s="12"/>
      <c r="F563" s="307"/>
      <c r="G563" s="307"/>
      <c r="H563" s="12"/>
      <c r="I563" s="30"/>
      <c r="J563" s="12"/>
      <c r="K563" s="12"/>
      <c r="L563" s="12"/>
      <c r="M563" s="12"/>
      <c r="N563" s="12"/>
      <c r="O563" s="308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4"/>
      <c r="BE563" s="12"/>
      <c r="BF563" s="12"/>
      <c r="BG563" s="12" t="str">
        <f>IFERROR(__xludf.DUMMYFUNCTION("IFERROR(INDEX(QUERY(IMPORTRANGE(""1T7HG8KEs-Ob7f3M5atEVN9Yn7IeORGp0QGvggB62ELw"",""Maestro!A:I""),""SELECT Col8 WHERE Col3 = '""&amp;BD563&amp;""'"", 0), 1, 1),""NO ENCONTRADO"")"),"")</f>
        <v/>
      </c>
      <c r="BH563" s="12" t="str">
        <f>IFERROR(__xludf.DUMMYFUNCTION("IFERROR(INDEX(QUERY(IMPORTRANGE(""1T7HG8KEs-Ob7f3M5atEVN9Yn7IeORGp0QGvggB62ELw"",""Maestro!A:I""),""SELECT Col7 WHERE Col3 = '""&amp;BD563&amp;""'"", 0), 1, 1),""NO ENCONTRADO"")"),"")</f>
        <v/>
      </c>
      <c r="BI563" s="16">
        <f t="shared" si="15"/>
        <v>0</v>
      </c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4"/>
      <c r="BW563" s="14"/>
      <c r="BX563" s="14"/>
      <c r="BY563" s="14"/>
      <c r="BZ563" s="14"/>
      <c r="CA563" s="14"/>
      <c r="CB563" s="14"/>
      <c r="CC563" s="14"/>
      <c r="CD563" s="14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</row>
    <row r="564">
      <c r="A564" s="12"/>
      <c r="B564" s="14"/>
      <c r="C564" s="14"/>
      <c r="D564" s="14"/>
      <c r="E564" s="12"/>
      <c r="F564" s="307"/>
      <c r="G564" s="307"/>
      <c r="H564" s="12"/>
      <c r="I564" s="30"/>
      <c r="J564" s="12"/>
      <c r="K564" s="12"/>
      <c r="L564" s="12"/>
      <c r="M564" s="12"/>
      <c r="N564" s="12"/>
      <c r="O564" s="308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4"/>
      <c r="BE564" s="12"/>
      <c r="BF564" s="12"/>
      <c r="BG564" s="12" t="str">
        <f>IFERROR(__xludf.DUMMYFUNCTION("IFERROR(INDEX(QUERY(IMPORTRANGE(""1T7HG8KEs-Ob7f3M5atEVN9Yn7IeORGp0QGvggB62ELw"",""Maestro!A:I""),""SELECT Col8 WHERE Col3 = '""&amp;BD564&amp;""'"", 0), 1, 1),""NO ENCONTRADO"")"),"")</f>
        <v/>
      </c>
      <c r="BH564" s="12" t="str">
        <f>IFERROR(__xludf.DUMMYFUNCTION("IFERROR(INDEX(QUERY(IMPORTRANGE(""1T7HG8KEs-Ob7f3M5atEVN9Yn7IeORGp0QGvggB62ELw"",""Maestro!A:I""),""SELECT Col7 WHERE Col3 = '""&amp;BD564&amp;""'"", 0), 1, 1),""NO ENCONTRADO"")"),"")</f>
        <v/>
      </c>
      <c r="BI564" s="16">
        <f t="shared" si="15"/>
        <v>0</v>
      </c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4"/>
      <c r="BW564" s="14"/>
      <c r="BX564" s="14"/>
      <c r="BY564" s="14"/>
      <c r="BZ564" s="14"/>
      <c r="CA564" s="14"/>
      <c r="CB564" s="14"/>
      <c r="CC564" s="14"/>
      <c r="CD564" s="14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</row>
    <row r="565">
      <c r="A565" s="12"/>
      <c r="B565" s="14"/>
      <c r="C565" s="14"/>
      <c r="D565" s="14"/>
      <c r="E565" s="12"/>
      <c r="F565" s="307"/>
      <c r="G565" s="307"/>
      <c r="H565" s="12"/>
      <c r="I565" s="30"/>
      <c r="J565" s="12"/>
      <c r="K565" s="12"/>
      <c r="L565" s="12"/>
      <c r="M565" s="12"/>
      <c r="N565" s="12"/>
      <c r="O565" s="308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4"/>
      <c r="BE565" s="12"/>
      <c r="BF565" s="12"/>
      <c r="BG565" s="12" t="str">
        <f>IFERROR(__xludf.DUMMYFUNCTION("IFERROR(INDEX(QUERY(IMPORTRANGE(""1T7HG8KEs-Ob7f3M5atEVN9Yn7IeORGp0QGvggB62ELw"",""Maestro!A:I""),""SELECT Col8 WHERE Col3 = '""&amp;BD565&amp;""'"", 0), 1, 1),""NO ENCONTRADO"")"),"")</f>
        <v/>
      </c>
      <c r="BH565" s="12" t="str">
        <f>IFERROR(__xludf.DUMMYFUNCTION("IFERROR(INDEX(QUERY(IMPORTRANGE(""1T7HG8KEs-Ob7f3M5atEVN9Yn7IeORGp0QGvggB62ELw"",""Maestro!A:I""),""SELECT Col7 WHERE Col3 = '""&amp;BD565&amp;""'"", 0), 1, 1),""NO ENCONTRADO"")"),"")</f>
        <v/>
      </c>
      <c r="BI565" s="16">
        <f t="shared" si="15"/>
        <v>0</v>
      </c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4"/>
      <c r="BW565" s="14"/>
      <c r="BX565" s="14"/>
      <c r="BY565" s="14"/>
      <c r="BZ565" s="14"/>
      <c r="CA565" s="14"/>
      <c r="CB565" s="14"/>
      <c r="CC565" s="14"/>
      <c r="CD565" s="14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</row>
    <row r="566">
      <c r="A566" s="12"/>
      <c r="B566" s="14"/>
      <c r="C566" s="14"/>
      <c r="D566" s="14"/>
      <c r="E566" s="12"/>
      <c r="F566" s="307"/>
      <c r="G566" s="307"/>
      <c r="H566" s="12"/>
      <c r="I566" s="30"/>
      <c r="J566" s="12"/>
      <c r="K566" s="12"/>
      <c r="L566" s="12"/>
      <c r="M566" s="12"/>
      <c r="N566" s="12"/>
      <c r="O566" s="308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4"/>
      <c r="BE566" s="12"/>
      <c r="BF566" s="12"/>
      <c r="BG566" s="12" t="str">
        <f>IFERROR(__xludf.DUMMYFUNCTION("IFERROR(INDEX(QUERY(IMPORTRANGE(""1T7HG8KEs-Ob7f3M5atEVN9Yn7IeORGp0QGvggB62ELw"",""Maestro!A:I""),""SELECT Col8 WHERE Col3 = '""&amp;BD566&amp;""'"", 0), 1, 1),""NO ENCONTRADO"")"),"")</f>
        <v/>
      </c>
      <c r="BH566" s="12" t="str">
        <f>IFERROR(__xludf.DUMMYFUNCTION("IFERROR(INDEX(QUERY(IMPORTRANGE(""1T7HG8KEs-Ob7f3M5atEVN9Yn7IeORGp0QGvggB62ELw"",""Maestro!A:I""),""SELECT Col7 WHERE Col3 = '""&amp;BD566&amp;""'"", 0), 1, 1),""NO ENCONTRADO"")"),"")</f>
        <v/>
      </c>
      <c r="BI566" s="16">
        <f t="shared" si="15"/>
        <v>0</v>
      </c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4"/>
      <c r="BW566" s="14"/>
      <c r="BX566" s="14"/>
      <c r="BY566" s="14"/>
      <c r="BZ566" s="14"/>
      <c r="CA566" s="14"/>
      <c r="CB566" s="14"/>
      <c r="CC566" s="14"/>
      <c r="CD566" s="14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</row>
    <row r="567">
      <c r="A567" s="12"/>
      <c r="B567" s="14"/>
      <c r="C567" s="14"/>
      <c r="D567" s="14"/>
      <c r="E567" s="12"/>
      <c r="F567" s="307"/>
      <c r="G567" s="307"/>
      <c r="H567" s="12"/>
      <c r="I567" s="30"/>
      <c r="J567" s="12"/>
      <c r="K567" s="12"/>
      <c r="L567" s="12"/>
      <c r="M567" s="12"/>
      <c r="N567" s="12"/>
      <c r="O567" s="308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4"/>
      <c r="BE567" s="12"/>
      <c r="BF567" s="12"/>
      <c r="BG567" s="12" t="str">
        <f>IFERROR(__xludf.DUMMYFUNCTION("IFERROR(INDEX(QUERY(IMPORTRANGE(""1T7HG8KEs-Ob7f3M5atEVN9Yn7IeORGp0QGvggB62ELw"",""Maestro!A:I""),""SELECT Col8 WHERE Col3 = '""&amp;BD567&amp;""'"", 0), 1, 1),""NO ENCONTRADO"")"),"")</f>
        <v/>
      </c>
      <c r="BH567" s="12" t="str">
        <f>IFERROR(__xludf.DUMMYFUNCTION("IFERROR(INDEX(QUERY(IMPORTRANGE(""1T7HG8KEs-Ob7f3M5atEVN9Yn7IeORGp0QGvggB62ELw"",""Maestro!A:I""),""SELECT Col7 WHERE Col3 = '""&amp;BD567&amp;""'"", 0), 1, 1),""NO ENCONTRADO"")"),"")</f>
        <v/>
      </c>
      <c r="BI567" s="16">
        <f t="shared" si="15"/>
        <v>0</v>
      </c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4"/>
      <c r="BW567" s="14"/>
      <c r="BX567" s="14"/>
      <c r="BY567" s="14"/>
      <c r="BZ567" s="14"/>
      <c r="CA567" s="14"/>
      <c r="CB567" s="14"/>
      <c r="CC567" s="14"/>
      <c r="CD567" s="14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</row>
    <row r="568">
      <c r="A568" s="12"/>
      <c r="B568" s="14"/>
      <c r="C568" s="14"/>
      <c r="D568" s="14"/>
      <c r="E568" s="12"/>
      <c r="F568" s="307"/>
      <c r="G568" s="307"/>
      <c r="H568" s="12"/>
      <c r="I568" s="30"/>
      <c r="J568" s="12"/>
      <c r="K568" s="12"/>
      <c r="L568" s="12"/>
      <c r="M568" s="12"/>
      <c r="N568" s="12"/>
      <c r="O568" s="308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4"/>
      <c r="BE568" s="12"/>
      <c r="BF568" s="12"/>
      <c r="BG568" s="12" t="str">
        <f>IFERROR(__xludf.DUMMYFUNCTION("IFERROR(INDEX(QUERY(IMPORTRANGE(""1T7HG8KEs-Ob7f3M5atEVN9Yn7IeORGp0QGvggB62ELw"",""Maestro!A:I""),""SELECT Col8 WHERE Col3 = '""&amp;BD568&amp;""'"", 0), 1, 1),""NO ENCONTRADO"")"),"")</f>
        <v/>
      </c>
      <c r="BH568" s="12" t="str">
        <f>IFERROR(__xludf.DUMMYFUNCTION("IFERROR(INDEX(QUERY(IMPORTRANGE(""1T7HG8KEs-Ob7f3M5atEVN9Yn7IeORGp0QGvggB62ELw"",""Maestro!A:I""),""SELECT Col7 WHERE Col3 = '""&amp;BD568&amp;""'"", 0), 1, 1),""NO ENCONTRADO"")"),"")</f>
        <v/>
      </c>
      <c r="BI568" s="16">
        <f t="shared" si="15"/>
        <v>0</v>
      </c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4"/>
      <c r="BW568" s="14"/>
      <c r="BX568" s="14"/>
      <c r="BY568" s="14"/>
      <c r="BZ568" s="14"/>
      <c r="CA568" s="14"/>
      <c r="CB568" s="14"/>
      <c r="CC568" s="14"/>
      <c r="CD568" s="14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</row>
    <row r="569">
      <c r="A569" s="12"/>
      <c r="B569" s="14"/>
      <c r="C569" s="14"/>
      <c r="D569" s="14"/>
      <c r="E569" s="12"/>
      <c r="F569" s="307"/>
      <c r="G569" s="307"/>
      <c r="H569" s="12"/>
      <c r="I569" s="30"/>
      <c r="J569" s="12"/>
      <c r="K569" s="12"/>
      <c r="L569" s="12"/>
      <c r="M569" s="12"/>
      <c r="N569" s="12"/>
      <c r="O569" s="308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4"/>
      <c r="BE569" s="12"/>
      <c r="BF569" s="12"/>
      <c r="BG569" s="12" t="str">
        <f>IFERROR(__xludf.DUMMYFUNCTION("IFERROR(INDEX(QUERY(IMPORTRANGE(""1T7HG8KEs-Ob7f3M5atEVN9Yn7IeORGp0QGvggB62ELw"",""Maestro!A:I""),""SELECT Col8 WHERE Col3 = '""&amp;BD569&amp;""'"", 0), 1, 1),""NO ENCONTRADO"")"),"")</f>
        <v/>
      </c>
      <c r="BH569" s="12" t="str">
        <f>IFERROR(__xludf.DUMMYFUNCTION("IFERROR(INDEX(QUERY(IMPORTRANGE(""1T7HG8KEs-Ob7f3M5atEVN9Yn7IeORGp0QGvggB62ELw"",""Maestro!A:I""),""SELECT Col7 WHERE Col3 = '""&amp;BD569&amp;""'"", 0), 1, 1),""NO ENCONTRADO"")"),"")</f>
        <v/>
      </c>
      <c r="BI569" s="16">
        <f t="shared" si="15"/>
        <v>0</v>
      </c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4"/>
      <c r="BW569" s="14"/>
      <c r="BX569" s="14"/>
      <c r="BY569" s="14"/>
      <c r="BZ569" s="14"/>
      <c r="CA569" s="14"/>
      <c r="CB569" s="14"/>
      <c r="CC569" s="14"/>
      <c r="CD569" s="14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</row>
    <row r="570">
      <c r="A570" s="12"/>
      <c r="B570" s="14"/>
      <c r="C570" s="14"/>
      <c r="D570" s="14"/>
      <c r="E570" s="12"/>
      <c r="F570" s="307"/>
      <c r="G570" s="307"/>
      <c r="H570" s="12"/>
      <c r="I570" s="30"/>
      <c r="J570" s="12"/>
      <c r="K570" s="12"/>
      <c r="L570" s="12"/>
      <c r="M570" s="12"/>
      <c r="N570" s="12"/>
      <c r="O570" s="308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4"/>
      <c r="BE570" s="12"/>
      <c r="BF570" s="12"/>
      <c r="BG570" s="12" t="str">
        <f>IFERROR(__xludf.DUMMYFUNCTION("IFERROR(INDEX(QUERY(IMPORTRANGE(""1T7HG8KEs-Ob7f3M5atEVN9Yn7IeORGp0QGvggB62ELw"",""Maestro!A:I""),""SELECT Col8 WHERE Col3 = '""&amp;BD570&amp;""'"", 0), 1, 1),""NO ENCONTRADO"")"),"")</f>
        <v/>
      </c>
      <c r="BH570" s="12" t="str">
        <f>IFERROR(__xludf.DUMMYFUNCTION("IFERROR(INDEX(QUERY(IMPORTRANGE(""1T7HG8KEs-Ob7f3M5atEVN9Yn7IeORGp0QGvggB62ELw"",""Maestro!A:I""),""SELECT Col7 WHERE Col3 = '""&amp;BD570&amp;""'"", 0), 1, 1),""NO ENCONTRADO"")"),"")</f>
        <v/>
      </c>
      <c r="BI570" s="16">
        <f t="shared" si="15"/>
        <v>0</v>
      </c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4"/>
      <c r="BW570" s="14"/>
      <c r="BX570" s="14"/>
      <c r="BY570" s="14"/>
      <c r="BZ570" s="14"/>
      <c r="CA570" s="14"/>
      <c r="CB570" s="14"/>
      <c r="CC570" s="14"/>
      <c r="CD570" s="14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</row>
    <row r="571">
      <c r="A571" s="12"/>
      <c r="B571" s="14"/>
      <c r="C571" s="14"/>
      <c r="D571" s="14"/>
      <c r="E571" s="12"/>
      <c r="F571" s="307"/>
      <c r="G571" s="307"/>
      <c r="H571" s="12"/>
      <c r="I571" s="30"/>
      <c r="J571" s="12"/>
      <c r="K571" s="12"/>
      <c r="L571" s="12"/>
      <c r="M571" s="12"/>
      <c r="N571" s="12"/>
      <c r="O571" s="308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4"/>
      <c r="BE571" s="12"/>
      <c r="BF571" s="12"/>
      <c r="BG571" s="12" t="str">
        <f>IFERROR(__xludf.DUMMYFUNCTION("IFERROR(INDEX(QUERY(IMPORTRANGE(""1T7HG8KEs-Ob7f3M5atEVN9Yn7IeORGp0QGvggB62ELw"",""Maestro!A:I""),""SELECT Col8 WHERE Col3 = '""&amp;BD571&amp;""'"", 0), 1, 1),""NO ENCONTRADO"")"),"")</f>
        <v/>
      </c>
      <c r="BH571" s="12" t="str">
        <f>IFERROR(__xludf.DUMMYFUNCTION("IFERROR(INDEX(QUERY(IMPORTRANGE(""1T7HG8KEs-Ob7f3M5atEVN9Yn7IeORGp0QGvggB62ELw"",""Maestro!A:I""),""SELECT Col7 WHERE Col3 = '""&amp;BD571&amp;""'"", 0), 1, 1),""NO ENCONTRADO"")"),"")</f>
        <v/>
      </c>
      <c r="BI571" s="16">
        <f t="shared" si="15"/>
        <v>0</v>
      </c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4"/>
      <c r="BW571" s="14"/>
      <c r="BX571" s="14"/>
      <c r="BY571" s="14"/>
      <c r="BZ571" s="14"/>
      <c r="CA571" s="14"/>
      <c r="CB571" s="14"/>
      <c r="CC571" s="14"/>
      <c r="CD571" s="14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</row>
    <row r="572">
      <c r="A572" s="12"/>
      <c r="B572" s="14"/>
      <c r="C572" s="14"/>
      <c r="D572" s="14"/>
      <c r="E572" s="12"/>
      <c r="F572" s="307"/>
      <c r="G572" s="307"/>
      <c r="H572" s="12"/>
      <c r="I572" s="30"/>
      <c r="J572" s="12"/>
      <c r="K572" s="12"/>
      <c r="L572" s="12"/>
      <c r="M572" s="12"/>
      <c r="N572" s="12"/>
      <c r="O572" s="308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4"/>
      <c r="BE572" s="12"/>
      <c r="BF572" s="12"/>
      <c r="BG572" s="12" t="str">
        <f>IFERROR(__xludf.DUMMYFUNCTION("IFERROR(INDEX(QUERY(IMPORTRANGE(""1T7HG8KEs-Ob7f3M5atEVN9Yn7IeORGp0QGvggB62ELw"",""Maestro!A:I""),""SELECT Col8 WHERE Col3 = '""&amp;BD572&amp;""'"", 0), 1, 1),""NO ENCONTRADO"")"),"")</f>
        <v/>
      </c>
      <c r="BH572" s="12" t="str">
        <f>IFERROR(__xludf.DUMMYFUNCTION("IFERROR(INDEX(QUERY(IMPORTRANGE(""1T7HG8KEs-Ob7f3M5atEVN9Yn7IeORGp0QGvggB62ELw"",""Maestro!A:I""),""SELECT Col7 WHERE Col3 = '""&amp;BD572&amp;""'"", 0), 1, 1),""NO ENCONTRADO"")"),"")</f>
        <v/>
      </c>
      <c r="BI572" s="16">
        <f t="shared" si="15"/>
        <v>0</v>
      </c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4"/>
      <c r="BW572" s="14"/>
      <c r="BX572" s="14"/>
      <c r="BY572" s="14"/>
      <c r="BZ572" s="14"/>
      <c r="CA572" s="14"/>
      <c r="CB572" s="14"/>
      <c r="CC572" s="14"/>
      <c r="CD572" s="14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</row>
    <row r="573">
      <c r="A573" s="12"/>
      <c r="B573" s="14"/>
      <c r="C573" s="14"/>
      <c r="D573" s="14"/>
      <c r="E573" s="12"/>
      <c r="F573" s="307"/>
      <c r="G573" s="307"/>
      <c r="H573" s="12"/>
      <c r="I573" s="30"/>
      <c r="J573" s="12"/>
      <c r="K573" s="12"/>
      <c r="L573" s="12"/>
      <c r="M573" s="12"/>
      <c r="N573" s="12"/>
      <c r="O573" s="308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4"/>
      <c r="BE573" s="12"/>
      <c r="BF573" s="12"/>
      <c r="BG573" s="12" t="str">
        <f>IFERROR(__xludf.DUMMYFUNCTION("IFERROR(INDEX(QUERY(IMPORTRANGE(""1T7HG8KEs-Ob7f3M5atEVN9Yn7IeORGp0QGvggB62ELw"",""Maestro!A:I""),""SELECT Col8 WHERE Col3 = '""&amp;BD573&amp;""'"", 0), 1, 1),""NO ENCONTRADO"")"),"")</f>
        <v/>
      </c>
      <c r="BH573" s="12" t="str">
        <f>IFERROR(__xludf.DUMMYFUNCTION("IFERROR(INDEX(QUERY(IMPORTRANGE(""1T7HG8KEs-Ob7f3M5atEVN9Yn7IeORGp0QGvggB62ELw"",""Maestro!A:I""),""SELECT Col7 WHERE Col3 = '""&amp;BD573&amp;""'"", 0), 1, 1),""NO ENCONTRADO"")"),"")</f>
        <v/>
      </c>
      <c r="BI573" s="16">
        <f t="shared" si="15"/>
        <v>0</v>
      </c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4"/>
      <c r="BW573" s="14"/>
      <c r="BX573" s="14"/>
      <c r="BY573" s="14"/>
      <c r="BZ573" s="14"/>
      <c r="CA573" s="14"/>
      <c r="CB573" s="14"/>
      <c r="CC573" s="14"/>
      <c r="CD573" s="14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</row>
    <row r="574">
      <c r="A574" s="12"/>
      <c r="B574" s="14"/>
      <c r="C574" s="14"/>
      <c r="D574" s="14"/>
      <c r="E574" s="12"/>
      <c r="F574" s="307"/>
      <c r="G574" s="307"/>
      <c r="H574" s="12"/>
      <c r="I574" s="30"/>
      <c r="J574" s="12"/>
      <c r="K574" s="12"/>
      <c r="L574" s="12"/>
      <c r="M574" s="12"/>
      <c r="N574" s="12"/>
      <c r="O574" s="308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4"/>
      <c r="BE574" s="12"/>
      <c r="BF574" s="12"/>
      <c r="BG574" s="12" t="str">
        <f>IFERROR(__xludf.DUMMYFUNCTION("IFERROR(INDEX(QUERY(IMPORTRANGE(""1T7HG8KEs-Ob7f3M5atEVN9Yn7IeORGp0QGvggB62ELw"",""Maestro!A:I""),""SELECT Col8 WHERE Col3 = '""&amp;BD574&amp;""'"", 0), 1, 1),""NO ENCONTRADO"")"),"")</f>
        <v/>
      </c>
      <c r="BH574" s="12" t="str">
        <f>IFERROR(__xludf.DUMMYFUNCTION("IFERROR(INDEX(QUERY(IMPORTRANGE(""1T7HG8KEs-Ob7f3M5atEVN9Yn7IeORGp0QGvggB62ELw"",""Maestro!A:I""),""SELECT Col7 WHERE Col3 = '""&amp;BD574&amp;""'"", 0), 1, 1),""NO ENCONTRADO"")"),"")</f>
        <v/>
      </c>
      <c r="BI574" s="16">
        <f t="shared" si="15"/>
        <v>0</v>
      </c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4"/>
      <c r="BW574" s="14"/>
      <c r="BX574" s="14"/>
      <c r="BY574" s="14"/>
      <c r="BZ574" s="14"/>
      <c r="CA574" s="14"/>
      <c r="CB574" s="14"/>
      <c r="CC574" s="14"/>
      <c r="CD574" s="14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</row>
    <row r="575">
      <c r="A575" s="12"/>
      <c r="B575" s="14"/>
      <c r="C575" s="14"/>
      <c r="D575" s="14"/>
      <c r="E575" s="12"/>
      <c r="F575" s="307"/>
      <c r="G575" s="307"/>
      <c r="H575" s="12"/>
      <c r="I575" s="30"/>
      <c r="J575" s="12"/>
      <c r="K575" s="12"/>
      <c r="L575" s="12"/>
      <c r="M575" s="12"/>
      <c r="N575" s="12"/>
      <c r="O575" s="308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4"/>
      <c r="BE575" s="12"/>
      <c r="BF575" s="12"/>
      <c r="BG575" s="12" t="str">
        <f>IFERROR(__xludf.DUMMYFUNCTION("IFERROR(INDEX(QUERY(IMPORTRANGE(""1T7HG8KEs-Ob7f3M5atEVN9Yn7IeORGp0QGvggB62ELw"",""Maestro!A:I""),""SELECT Col8 WHERE Col3 = '""&amp;BD575&amp;""'"", 0), 1, 1),""NO ENCONTRADO"")"),"")</f>
        <v/>
      </c>
      <c r="BH575" s="12" t="str">
        <f>IFERROR(__xludf.DUMMYFUNCTION("IFERROR(INDEX(QUERY(IMPORTRANGE(""1T7HG8KEs-Ob7f3M5atEVN9Yn7IeORGp0QGvggB62ELw"",""Maestro!A:I""),""SELECT Col7 WHERE Col3 = '""&amp;BD575&amp;""'"", 0), 1, 1),""NO ENCONTRADO"")"),"")</f>
        <v/>
      </c>
      <c r="BI575" s="16">
        <f t="shared" si="15"/>
        <v>0</v>
      </c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4"/>
      <c r="BW575" s="14"/>
      <c r="BX575" s="14"/>
      <c r="BY575" s="14"/>
      <c r="BZ575" s="14"/>
      <c r="CA575" s="14"/>
      <c r="CB575" s="14"/>
      <c r="CC575" s="14"/>
      <c r="CD575" s="14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</row>
    <row r="576">
      <c r="A576" s="12"/>
      <c r="B576" s="14"/>
      <c r="C576" s="14"/>
      <c r="D576" s="14"/>
      <c r="E576" s="12"/>
      <c r="F576" s="307"/>
      <c r="G576" s="307"/>
      <c r="H576" s="12"/>
      <c r="I576" s="30"/>
      <c r="J576" s="12"/>
      <c r="K576" s="12"/>
      <c r="L576" s="12"/>
      <c r="M576" s="12"/>
      <c r="N576" s="12"/>
      <c r="O576" s="308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4"/>
      <c r="BE576" s="12"/>
      <c r="BF576" s="12"/>
      <c r="BG576" s="12" t="str">
        <f>IFERROR(__xludf.DUMMYFUNCTION("IFERROR(INDEX(QUERY(IMPORTRANGE(""1T7HG8KEs-Ob7f3M5atEVN9Yn7IeORGp0QGvggB62ELw"",""Maestro!A:I""),""SELECT Col8 WHERE Col3 = '""&amp;BD576&amp;""'"", 0), 1, 1),""NO ENCONTRADO"")"),"")</f>
        <v/>
      </c>
      <c r="BH576" s="12" t="str">
        <f>IFERROR(__xludf.DUMMYFUNCTION("IFERROR(INDEX(QUERY(IMPORTRANGE(""1T7HG8KEs-Ob7f3M5atEVN9Yn7IeORGp0QGvggB62ELw"",""Maestro!A:I""),""SELECT Col7 WHERE Col3 = '""&amp;BD576&amp;""'"", 0), 1, 1),""NO ENCONTRADO"")"),"")</f>
        <v/>
      </c>
      <c r="BI576" s="16">
        <f t="shared" si="15"/>
        <v>0</v>
      </c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4"/>
      <c r="BW576" s="14"/>
      <c r="BX576" s="14"/>
      <c r="BY576" s="14"/>
      <c r="BZ576" s="14"/>
      <c r="CA576" s="14"/>
      <c r="CB576" s="14"/>
      <c r="CC576" s="14"/>
      <c r="CD576" s="14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</row>
    <row r="577">
      <c r="A577" s="12"/>
      <c r="B577" s="14"/>
      <c r="C577" s="14"/>
      <c r="D577" s="14"/>
      <c r="E577" s="12"/>
      <c r="F577" s="307"/>
      <c r="G577" s="307"/>
      <c r="H577" s="12"/>
      <c r="I577" s="30"/>
      <c r="J577" s="12"/>
      <c r="K577" s="12"/>
      <c r="L577" s="12"/>
      <c r="M577" s="12"/>
      <c r="N577" s="12"/>
      <c r="O577" s="308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4"/>
      <c r="BE577" s="12"/>
      <c r="BF577" s="12"/>
      <c r="BG577" s="12" t="str">
        <f>IFERROR(__xludf.DUMMYFUNCTION("IFERROR(INDEX(QUERY(IMPORTRANGE(""1T7HG8KEs-Ob7f3M5atEVN9Yn7IeORGp0QGvggB62ELw"",""Maestro!A:I""),""SELECT Col8 WHERE Col3 = '""&amp;BD577&amp;""'"", 0), 1, 1),""NO ENCONTRADO"")"),"")</f>
        <v/>
      </c>
      <c r="BH577" s="12" t="str">
        <f>IFERROR(__xludf.DUMMYFUNCTION("IFERROR(INDEX(QUERY(IMPORTRANGE(""1T7HG8KEs-Ob7f3M5atEVN9Yn7IeORGp0QGvggB62ELw"",""Maestro!A:I""),""SELECT Col7 WHERE Col3 = '""&amp;BD577&amp;""'"", 0), 1, 1),""NO ENCONTRADO"")"),"")</f>
        <v/>
      </c>
      <c r="BI577" s="16">
        <f t="shared" si="15"/>
        <v>0</v>
      </c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4"/>
      <c r="BW577" s="14"/>
      <c r="BX577" s="14"/>
      <c r="BY577" s="14"/>
      <c r="BZ577" s="14"/>
      <c r="CA577" s="14"/>
      <c r="CB577" s="14"/>
      <c r="CC577" s="14"/>
      <c r="CD577" s="14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</row>
    <row r="578">
      <c r="A578" s="12"/>
      <c r="B578" s="14"/>
      <c r="C578" s="14"/>
      <c r="D578" s="14"/>
      <c r="E578" s="12"/>
      <c r="F578" s="307"/>
      <c r="G578" s="307"/>
      <c r="H578" s="12"/>
      <c r="I578" s="30"/>
      <c r="J578" s="12"/>
      <c r="K578" s="12"/>
      <c r="L578" s="12"/>
      <c r="M578" s="12"/>
      <c r="N578" s="12"/>
      <c r="O578" s="308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4"/>
      <c r="BE578" s="12"/>
      <c r="BF578" s="12"/>
      <c r="BG578" s="12" t="str">
        <f>IFERROR(__xludf.DUMMYFUNCTION("IFERROR(INDEX(QUERY(IMPORTRANGE(""1T7HG8KEs-Ob7f3M5atEVN9Yn7IeORGp0QGvggB62ELw"",""Maestro!A:I""),""SELECT Col8 WHERE Col3 = '""&amp;BD578&amp;""'"", 0), 1, 1),""NO ENCONTRADO"")"),"")</f>
        <v/>
      </c>
      <c r="BH578" s="12" t="str">
        <f>IFERROR(__xludf.DUMMYFUNCTION("IFERROR(INDEX(QUERY(IMPORTRANGE(""1T7HG8KEs-Ob7f3M5atEVN9Yn7IeORGp0QGvggB62ELw"",""Maestro!A:I""),""SELECT Col7 WHERE Col3 = '""&amp;BD578&amp;""'"", 0), 1, 1),""NO ENCONTRADO"")"),"")</f>
        <v/>
      </c>
      <c r="BI578" s="16">
        <f t="shared" si="15"/>
        <v>0</v>
      </c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4"/>
      <c r="BW578" s="14"/>
      <c r="BX578" s="14"/>
      <c r="BY578" s="14"/>
      <c r="BZ578" s="14"/>
      <c r="CA578" s="14"/>
      <c r="CB578" s="14"/>
      <c r="CC578" s="14"/>
      <c r="CD578" s="14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</row>
    <row r="579">
      <c r="A579" s="12"/>
      <c r="B579" s="14"/>
      <c r="C579" s="14"/>
      <c r="D579" s="14"/>
      <c r="E579" s="12"/>
      <c r="F579" s="307"/>
      <c r="G579" s="307"/>
      <c r="H579" s="12"/>
      <c r="I579" s="30"/>
      <c r="J579" s="12"/>
      <c r="K579" s="12"/>
      <c r="L579" s="12"/>
      <c r="M579" s="12"/>
      <c r="N579" s="12"/>
      <c r="O579" s="308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4"/>
      <c r="BE579" s="12"/>
      <c r="BF579" s="12"/>
      <c r="BG579" s="12" t="str">
        <f>IFERROR(__xludf.DUMMYFUNCTION("IFERROR(INDEX(QUERY(IMPORTRANGE(""1T7HG8KEs-Ob7f3M5atEVN9Yn7IeORGp0QGvggB62ELw"",""Maestro!A:I""),""SELECT Col8 WHERE Col3 = '""&amp;BD579&amp;""'"", 0), 1, 1),""NO ENCONTRADO"")"),"")</f>
        <v/>
      </c>
      <c r="BH579" s="12" t="str">
        <f>IFERROR(__xludf.DUMMYFUNCTION("IFERROR(INDEX(QUERY(IMPORTRANGE(""1T7HG8KEs-Ob7f3M5atEVN9Yn7IeORGp0QGvggB62ELw"",""Maestro!A:I""),""SELECT Col7 WHERE Col3 = '""&amp;BD579&amp;""'"", 0), 1, 1),""NO ENCONTRADO"")"),"")</f>
        <v/>
      </c>
      <c r="BI579" s="16">
        <f t="shared" si="15"/>
        <v>0</v>
      </c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4"/>
      <c r="BW579" s="14"/>
      <c r="BX579" s="14"/>
      <c r="BY579" s="14"/>
      <c r="BZ579" s="14"/>
      <c r="CA579" s="14"/>
      <c r="CB579" s="14"/>
      <c r="CC579" s="14"/>
      <c r="CD579" s="14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</row>
    <row r="580">
      <c r="A580" s="12"/>
      <c r="B580" s="14"/>
      <c r="C580" s="14"/>
      <c r="D580" s="14"/>
      <c r="E580" s="12"/>
      <c r="F580" s="307"/>
      <c r="G580" s="307"/>
      <c r="H580" s="12"/>
      <c r="I580" s="30"/>
      <c r="J580" s="12"/>
      <c r="K580" s="12"/>
      <c r="L580" s="12"/>
      <c r="M580" s="12"/>
      <c r="N580" s="12"/>
      <c r="O580" s="308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4"/>
      <c r="BE580" s="12"/>
      <c r="BF580" s="12"/>
      <c r="BG580" s="12" t="str">
        <f>IFERROR(__xludf.DUMMYFUNCTION("IFERROR(INDEX(QUERY(IMPORTRANGE(""1T7HG8KEs-Ob7f3M5atEVN9Yn7IeORGp0QGvggB62ELw"",""Maestro!A:I""),""SELECT Col8 WHERE Col3 = '""&amp;BD580&amp;""'"", 0), 1, 1),""NO ENCONTRADO"")"),"")</f>
        <v/>
      </c>
      <c r="BH580" s="12" t="str">
        <f>IFERROR(__xludf.DUMMYFUNCTION("IFERROR(INDEX(QUERY(IMPORTRANGE(""1T7HG8KEs-Ob7f3M5atEVN9Yn7IeORGp0QGvggB62ELw"",""Maestro!A:I""),""SELECT Col7 WHERE Col3 = '""&amp;BD580&amp;""'"", 0), 1, 1),""NO ENCONTRADO"")"),"")</f>
        <v/>
      </c>
      <c r="BI580" s="16">
        <f t="shared" si="15"/>
        <v>0</v>
      </c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4"/>
      <c r="BW580" s="14"/>
      <c r="BX580" s="14"/>
      <c r="BY580" s="14"/>
      <c r="BZ580" s="14"/>
      <c r="CA580" s="14"/>
      <c r="CB580" s="14"/>
      <c r="CC580" s="14"/>
      <c r="CD580" s="14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</row>
    <row r="581">
      <c r="A581" s="12"/>
      <c r="B581" s="14"/>
      <c r="C581" s="14"/>
      <c r="D581" s="14"/>
      <c r="E581" s="12"/>
      <c r="F581" s="307"/>
      <c r="G581" s="307"/>
      <c r="H581" s="12"/>
      <c r="I581" s="30"/>
      <c r="J581" s="12"/>
      <c r="K581" s="12"/>
      <c r="L581" s="12"/>
      <c r="M581" s="12"/>
      <c r="N581" s="12"/>
      <c r="O581" s="308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4"/>
      <c r="BE581" s="12"/>
      <c r="BF581" s="12"/>
      <c r="BG581" s="12" t="str">
        <f>IFERROR(__xludf.DUMMYFUNCTION("IFERROR(INDEX(QUERY(IMPORTRANGE(""1T7HG8KEs-Ob7f3M5atEVN9Yn7IeORGp0QGvggB62ELw"",""Maestro!A:I""),""SELECT Col8 WHERE Col3 = '""&amp;BD581&amp;""'"", 0), 1, 1),""NO ENCONTRADO"")"),"")</f>
        <v/>
      </c>
      <c r="BH581" s="12" t="str">
        <f>IFERROR(__xludf.DUMMYFUNCTION("IFERROR(INDEX(QUERY(IMPORTRANGE(""1T7HG8KEs-Ob7f3M5atEVN9Yn7IeORGp0QGvggB62ELw"",""Maestro!A:I""),""SELECT Col7 WHERE Col3 = '""&amp;BD581&amp;""'"", 0), 1, 1),""NO ENCONTRADO"")"),"")</f>
        <v/>
      </c>
      <c r="BI581" s="16">
        <f t="shared" si="15"/>
        <v>0</v>
      </c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4"/>
      <c r="BW581" s="14"/>
      <c r="BX581" s="14"/>
      <c r="BY581" s="14"/>
      <c r="BZ581" s="14"/>
      <c r="CA581" s="14"/>
      <c r="CB581" s="14"/>
      <c r="CC581" s="14"/>
      <c r="CD581" s="14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</row>
    <row r="582">
      <c r="A582" s="12"/>
      <c r="B582" s="14"/>
      <c r="C582" s="14"/>
      <c r="D582" s="14"/>
      <c r="E582" s="12"/>
      <c r="F582" s="307"/>
      <c r="G582" s="307"/>
      <c r="H582" s="12"/>
      <c r="I582" s="30"/>
      <c r="J582" s="12"/>
      <c r="K582" s="12"/>
      <c r="L582" s="12"/>
      <c r="M582" s="12"/>
      <c r="N582" s="12"/>
      <c r="O582" s="308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4"/>
      <c r="BE582" s="12"/>
      <c r="BF582" s="12"/>
      <c r="BG582" s="12" t="str">
        <f>IFERROR(__xludf.DUMMYFUNCTION("IFERROR(INDEX(QUERY(IMPORTRANGE(""1T7HG8KEs-Ob7f3M5atEVN9Yn7IeORGp0QGvggB62ELw"",""Maestro!A:I""),""SELECT Col8 WHERE Col3 = '""&amp;BD582&amp;""'"", 0), 1, 1),""NO ENCONTRADO"")"),"")</f>
        <v/>
      </c>
      <c r="BH582" s="12" t="str">
        <f>IFERROR(__xludf.DUMMYFUNCTION("IFERROR(INDEX(QUERY(IMPORTRANGE(""1T7HG8KEs-Ob7f3M5atEVN9Yn7IeORGp0QGvggB62ELw"",""Maestro!A:I""),""SELECT Col7 WHERE Col3 = '""&amp;BD582&amp;""'"", 0), 1, 1),""NO ENCONTRADO"")"),"")</f>
        <v/>
      </c>
      <c r="BI582" s="16">
        <f t="shared" si="15"/>
        <v>0</v>
      </c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4"/>
      <c r="BW582" s="14"/>
      <c r="BX582" s="14"/>
      <c r="BY582" s="14"/>
      <c r="BZ582" s="14"/>
      <c r="CA582" s="14"/>
      <c r="CB582" s="14"/>
      <c r="CC582" s="14"/>
      <c r="CD582" s="14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</row>
    <row r="583">
      <c r="A583" s="12"/>
      <c r="B583" s="14"/>
      <c r="C583" s="14"/>
      <c r="D583" s="14"/>
      <c r="E583" s="12"/>
      <c r="F583" s="307"/>
      <c r="G583" s="307"/>
      <c r="H583" s="12"/>
      <c r="I583" s="30"/>
      <c r="J583" s="12"/>
      <c r="K583" s="12"/>
      <c r="L583" s="12"/>
      <c r="M583" s="12"/>
      <c r="N583" s="12"/>
      <c r="O583" s="308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4"/>
      <c r="BE583" s="12"/>
      <c r="BF583" s="12"/>
      <c r="BG583" s="12" t="str">
        <f>IFERROR(__xludf.DUMMYFUNCTION("IFERROR(INDEX(QUERY(IMPORTRANGE(""1T7HG8KEs-Ob7f3M5atEVN9Yn7IeORGp0QGvggB62ELw"",""Maestro!A:I""),""SELECT Col8 WHERE Col3 = '""&amp;BD583&amp;""'"", 0), 1, 1),""NO ENCONTRADO"")"),"")</f>
        <v/>
      </c>
      <c r="BH583" s="12" t="str">
        <f>IFERROR(__xludf.DUMMYFUNCTION("IFERROR(INDEX(QUERY(IMPORTRANGE(""1T7HG8KEs-Ob7f3M5atEVN9Yn7IeORGp0QGvggB62ELw"",""Maestro!A:I""),""SELECT Col7 WHERE Col3 = '""&amp;BD583&amp;""'"", 0), 1, 1),""NO ENCONTRADO"")"),"")</f>
        <v/>
      </c>
      <c r="BI583" s="16">
        <f t="shared" si="15"/>
        <v>0</v>
      </c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4"/>
      <c r="BW583" s="14"/>
      <c r="BX583" s="14"/>
      <c r="BY583" s="14"/>
      <c r="BZ583" s="14"/>
      <c r="CA583" s="14"/>
      <c r="CB583" s="14"/>
      <c r="CC583" s="14"/>
      <c r="CD583" s="14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</row>
    <row r="584">
      <c r="A584" s="12"/>
      <c r="B584" s="14"/>
      <c r="C584" s="14"/>
      <c r="D584" s="14"/>
      <c r="E584" s="12"/>
      <c r="F584" s="307"/>
      <c r="G584" s="307"/>
      <c r="H584" s="12"/>
      <c r="I584" s="30"/>
      <c r="J584" s="12"/>
      <c r="K584" s="12"/>
      <c r="L584" s="12"/>
      <c r="M584" s="12"/>
      <c r="N584" s="12"/>
      <c r="O584" s="308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4"/>
      <c r="BE584" s="12"/>
      <c r="BF584" s="12"/>
      <c r="BG584" s="12" t="str">
        <f>IFERROR(__xludf.DUMMYFUNCTION("IFERROR(INDEX(QUERY(IMPORTRANGE(""1T7HG8KEs-Ob7f3M5atEVN9Yn7IeORGp0QGvggB62ELw"",""Maestro!A:I""),""SELECT Col8 WHERE Col3 = '""&amp;BD584&amp;""'"", 0), 1, 1),""NO ENCONTRADO"")"),"")</f>
        <v/>
      </c>
      <c r="BH584" s="12" t="str">
        <f>IFERROR(__xludf.DUMMYFUNCTION("IFERROR(INDEX(QUERY(IMPORTRANGE(""1T7HG8KEs-Ob7f3M5atEVN9Yn7IeORGp0QGvggB62ELw"",""Maestro!A:I""),""SELECT Col7 WHERE Col3 = '""&amp;BD584&amp;""'"", 0), 1, 1),""NO ENCONTRADO"")"),"")</f>
        <v/>
      </c>
      <c r="BI584" s="16">
        <f t="shared" si="15"/>
        <v>0</v>
      </c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4"/>
      <c r="BW584" s="14"/>
      <c r="BX584" s="14"/>
      <c r="BY584" s="14"/>
      <c r="BZ584" s="14"/>
      <c r="CA584" s="14"/>
      <c r="CB584" s="14"/>
      <c r="CC584" s="14"/>
      <c r="CD584" s="14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</row>
    <row r="585">
      <c r="A585" s="12"/>
      <c r="B585" s="14"/>
      <c r="C585" s="14"/>
      <c r="D585" s="14"/>
      <c r="E585" s="12"/>
      <c r="F585" s="307"/>
      <c r="G585" s="307"/>
      <c r="H585" s="12"/>
      <c r="I585" s="30"/>
      <c r="J585" s="12"/>
      <c r="K585" s="12"/>
      <c r="L585" s="12"/>
      <c r="M585" s="12"/>
      <c r="N585" s="12"/>
      <c r="O585" s="308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4"/>
      <c r="BE585" s="12"/>
      <c r="BF585" s="12"/>
      <c r="BG585" s="12" t="str">
        <f>IFERROR(__xludf.DUMMYFUNCTION("IFERROR(INDEX(QUERY(IMPORTRANGE(""1T7HG8KEs-Ob7f3M5atEVN9Yn7IeORGp0QGvggB62ELw"",""Maestro!A:I""),""SELECT Col8 WHERE Col3 = '""&amp;BD585&amp;""'"", 0), 1, 1),""NO ENCONTRADO"")"),"")</f>
        <v/>
      </c>
      <c r="BH585" s="12" t="str">
        <f>IFERROR(__xludf.DUMMYFUNCTION("IFERROR(INDEX(QUERY(IMPORTRANGE(""1T7HG8KEs-Ob7f3M5atEVN9Yn7IeORGp0QGvggB62ELw"",""Maestro!A:I""),""SELECT Col7 WHERE Col3 = '""&amp;BD585&amp;""'"", 0), 1, 1),""NO ENCONTRADO"")"),"")</f>
        <v/>
      </c>
      <c r="BI585" s="16">
        <f t="shared" si="15"/>
        <v>0</v>
      </c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4"/>
      <c r="BW585" s="14"/>
      <c r="BX585" s="14"/>
      <c r="BY585" s="14"/>
      <c r="BZ585" s="14"/>
      <c r="CA585" s="14"/>
      <c r="CB585" s="14"/>
      <c r="CC585" s="14"/>
      <c r="CD585" s="14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</row>
    <row r="586">
      <c r="A586" s="12"/>
      <c r="B586" s="14"/>
      <c r="C586" s="14"/>
      <c r="D586" s="14"/>
      <c r="E586" s="12"/>
      <c r="F586" s="307"/>
      <c r="G586" s="307"/>
      <c r="H586" s="12"/>
      <c r="I586" s="30"/>
      <c r="J586" s="12"/>
      <c r="K586" s="12"/>
      <c r="L586" s="12"/>
      <c r="M586" s="12"/>
      <c r="N586" s="12"/>
      <c r="O586" s="308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4"/>
      <c r="BE586" s="12"/>
      <c r="BF586" s="12"/>
      <c r="BG586" s="12" t="str">
        <f>IFERROR(__xludf.DUMMYFUNCTION("IFERROR(INDEX(QUERY(IMPORTRANGE(""1T7HG8KEs-Ob7f3M5atEVN9Yn7IeORGp0QGvggB62ELw"",""Maestro!A:I""),""SELECT Col8 WHERE Col3 = '""&amp;BD586&amp;""'"", 0), 1, 1),""NO ENCONTRADO"")"),"")</f>
        <v/>
      </c>
      <c r="BH586" s="12" t="str">
        <f>IFERROR(__xludf.DUMMYFUNCTION("IFERROR(INDEX(QUERY(IMPORTRANGE(""1T7HG8KEs-Ob7f3M5atEVN9Yn7IeORGp0QGvggB62ELw"",""Maestro!A:I""),""SELECT Col7 WHERE Col3 = '""&amp;BD586&amp;""'"", 0), 1, 1),""NO ENCONTRADO"")"),"")</f>
        <v/>
      </c>
      <c r="BI586" s="16">
        <f t="shared" si="15"/>
        <v>0</v>
      </c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4"/>
      <c r="BW586" s="14"/>
      <c r="BX586" s="14"/>
      <c r="BY586" s="14"/>
      <c r="BZ586" s="14"/>
      <c r="CA586" s="14"/>
      <c r="CB586" s="14"/>
      <c r="CC586" s="14"/>
      <c r="CD586" s="14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</row>
    <row r="587">
      <c r="A587" s="12"/>
      <c r="B587" s="14"/>
      <c r="C587" s="14"/>
      <c r="D587" s="14"/>
      <c r="E587" s="12"/>
      <c r="F587" s="307"/>
      <c r="G587" s="307"/>
      <c r="H587" s="12"/>
      <c r="I587" s="30"/>
      <c r="J587" s="12"/>
      <c r="K587" s="12"/>
      <c r="L587" s="12"/>
      <c r="M587" s="12"/>
      <c r="N587" s="12"/>
      <c r="O587" s="308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4"/>
      <c r="BE587" s="12"/>
      <c r="BF587" s="12"/>
      <c r="BG587" s="12" t="str">
        <f>IFERROR(__xludf.DUMMYFUNCTION("IFERROR(INDEX(QUERY(IMPORTRANGE(""1T7HG8KEs-Ob7f3M5atEVN9Yn7IeORGp0QGvggB62ELw"",""Maestro!A:I""),""SELECT Col8 WHERE Col3 = '""&amp;BD587&amp;""'"", 0), 1, 1),""NO ENCONTRADO"")"),"")</f>
        <v/>
      </c>
      <c r="BH587" s="12" t="str">
        <f>IFERROR(__xludf.DUMMYFUNCTION("IFERROR(INDEX(QUERY(IMPORTRANGE(""1T7HG8KEs-Ob7f3M5atEVN9Yn7IeORGp0QGvggB62ELw"",""Maestro!A:I""),""SELECT Col7 WHERE Col3 = '""&amp;BD587&amp;""'"", 0), 1, 1),""NO ENCONTRADO"")"),"")</f>
        <v/>
      </c>
      <c r="BI587" s="16">
        <f t="shared" si="15"/>
        <v>0</v>
      </c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4"/>
      <c r="BW587" s="14"/>
      <c r="BX587" s="14"/>
      <c r="BY587" s="14"/>
      <c r="BZ587" s="14"/>
      <c r="CA587" s="14"/>
      <c r="CB587" s="14"/>
      <c r="CC587" s="14"/>
      <c r="CD587" s="14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</row>
    <row r="588">
      <c r="A588" s="12"/>
      <c r="B588" s="14"/>
      <c r="C588" s="14"/>
      <c r="D588" s="14"/>
      <c r="E588" s="12"/>
      <c r="F588" s="307"/>
      <c r="G588" s="307"/>
      <c r="H588" s="12"/>
      <c r="I588" s="30"/>
      <c r="J588" s="12"/>
      <c r="K588" s="12"/>
      <c r="L588" s="12"/>
      <c r="M588" s="12"/>
      <c r="N588" s="12"/>
      <c r="O588" s="308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4"/>
      <c r="BE588" s="12"/>
      <c r="BF588" s="12"/>
      <c r="BG588" s="12" t="str">
        <f>IFERROR(__xludf.DUMMYFUNCTION("IFERROR(INDEX(QUERY(IMPORTRANGE(""1T7HG8KEs-Ob7f3M5atEVN9Yn7IeORGp0QGvggB62ELw"",""Maestro!A:I""),""SELECT Col8 WHERE Col3 = '""&amp;BD588&amp;""'"", 0), 1, 1),""NO ENCONTRADO"")"),"")</f>
        <v/>
      </c>
      <c r="BH588" s="12" t="str">
        <f>IFERROR(__xludf.DUMMYFUNCTION("IFERROR(INDEX(QUERY(IMPORTRANGE(""1T7HG8KEs-Ob7f3M5atEVN9Yn7IeORGp0QGvggB62ELw"",""Maestro!A:I""),""SELECT Col7 WHERE Col3 = '""&amp;BD588&amp;""'"", 0), 1, 1),""NO ENCONTRADO"")"),"")</f>
        <v/>
      </c>
      <c r="BI588" s="16">
        <f t="shared" si="15"/>
        <v>0</v>
      </c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4"/>
      <c r="BW588" s="14"/>
      <c r="BX588" s="14"/>
      <c r="BY588" s="14"/>
      <c r="BZ588" s="14"/>
      <c r="CA588" s="14"/>
      <c r="CB588" s="14"/>
      <c r="CC588" s="14"/>
      <c r="CD588" s="14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</row>
    <row r="589">
      <c r="A589" s="12"/>
      <c r="B589" s="14"/>
      <c r="C589" s="14"/>
      <c r="D589" s="14"/>
      <c r="E589" s="12"/>
      <c r="F589" s="307"/>
      <c r="G589" s="307"/>
      <c r="H589" s="12"/>
      <c r="I589" s="30"/>
      <c r="J589" s="12"/>
      <c r="K589" s="12"/>
      <c r="L589" s="12"/>
      <c r="M589" s="12"/>
      <c r="N589" s="12"/>
      <c r="O589" s="308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4"/>
      <c r="BE589" s="12"/>
      <c r="BF589" s="12"/>
      <c r="BG589" s="12" t="str">
        <f>IFERROR(__xludf.DUMMYFUNCTION("IFERROR(INDEX(QUERY(IMPORTRANGE(""1T7HG8KEs-Ob7f3M5atEVN9Yn7IeORGp0QGvggB62ELw"",""Maestro!A:I""),""SELECT Col8 WHERE Col3 = '""&amp;BD589&amp;""'"", 0), 1, 1),""NO ENCONTRADO"")"),"")</f>
        <v/>
      </c>
      <c r="BH589" s="12" t="str">
        <f>IFERROR(__xludf.DUMMYFUNCTION("IFERROR(INDEX(QUERY(IMPORTRANGE(""1T7HG8KEs-Ob7f3M5atEVN9Yn7IeORGp0QGvggB62ELw"",""Maestro!A:I""),""SELECT Col7 WHERE Col3 = '""&amp;BD589&amp;""'"", 0), 1, 1),""NO ENCONTRADO"")"),"")</f>
        <v/>
      </c>
      <c r="BI589" s="16">
        <f t="shared" si="15"/>
        <v>0</v>
      </c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4"/>
      <c r="BW589" s="14"/>
      <c r="BX589" s="14"/>
      <c r="BY589" s="14"/>
      <c r="BZ589" s="14"/>
      <c r="CA589" s="14"/>
      <c r="CB589" s="14"/>
      <c r="CC589" s="14"/>
      <c r="CD589" s="14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</row>
    <row r="590">
      <c r="A590" s="12"/>
      <c r="B590" s="14"/>
      <c r="C590" s="14"/>
      <c r="D590" s="14"/>
      <c r="E590" s="12"/>
      <c r="F590" s="307"/>
      <c r="G590" s="307"/>
      <c r="H590" s="12"/>
      <c r="I590" s="30"/>
      <c r="J590" s="12"/>
      <c r="K590" s="12"/>
      <c r="L590" s="12"/>
      <c r="M590" s="12"/>
      <c r="N590" s="12"/>
      <c r="O590" s="308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4"/>
      <c r="BE590" s="12"/>
      <c r="BF590" s="12"/>
      <c r="BG590" s="12" t="str">
        <f>IFERROR(__xludf.DUMMYFUNCTION("IFERROR(INDEX(QUERY(IMPORTRANGE(""1T7HG8KEs-Ob7f3M5atEVN9Yn7IeORGp0QGvggB62ELw"",""Maestro!A:I""),""SELECT Col8 WHERE Col3 = '""&amp;BD590&amp;""'"", 0), 1, 1),""NO ENCONTRADO"")"),"")</f>
        <v/>
      </c>
      <c r="BH590" s="12" t="str">
        <f>IFERROR(__xludf.DUMMYFUNCTION("IFERROR(INDEX(QUERY(IMPORTRANGE(""1T7HG8KEs-Ob7f3M5atEVN9Yn7IeORGp0QGvggB62ELw"",""Maestro!A:I""),""SELECT Col7 WHERE Col3 = '""&amp;BD590&amp;""'"", 0), 1, 1),""NO ENCONTRADO"")"),"")</f>
        <v/>
      </c>
      <c r="BI590" s="16">
        <f t="shared" si="15"/>
        <v>0</v>
      </c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4"/>
      <c r="BW590" s="14"/>
      <c r="BX590" s="14"/>
      <c r="BY590" s="14"/>
      <c r="BZ590" s="14"/>
      <c r="CA590" s="14"/>
      <c r="CB590" s="14"/>
      <c r="CC590" s="14"/>
      <c r="CD590" s="14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</row>
    <row r="591">
      <c r="A591" s="12"/>
      <c r="B591" s="14"/>
      <c r="C591" s="14"/>
      <c r="D591" s="14"/>
      <c r="E591" s="12"/>
      <c r="F591" s="307"/>
      <c r="G591" s="307"/>
      <c r="H591" s="12"/>
      <c r="I591" s="30"/>
      <c r="J591" s="12"/>
      <c r="K591" s="12"/>
      <c r="L591" s="12"/>
      <c r="M591" s="12"/>
      <c r="N591" s="12"/>
      <c r="O591" s="308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4"/>
      <c r="BE591" s="12"/>
      <c r="BF591" s="12"/>
      <c r="BG591" s="12" t="str">
        <f>IFERROR(__xludf.DUMMYFUNCTION("IFERROR(INDEX(QUERY(IMPORTRANGE(""1T7HG8KEs-Ob7f3M5atEVN9Yn7IeORGp0QGvggB62ELw"",""Maestro!A:I""),""SELECT Col8 WHERE Col3 = '""&amp;BD591&amp;""'"", 0), 1, 1),""NO ENCONTRADO"")"),"")</f>
        <v/>
      </c>
      <c r="BH591" s="12" t="str">
        <f>IFERROR(__xludf.DUMMYFUNCTION("IFERROR(INDEX(QUERY(IMPORTRANGE(""1T7HG8KEs-Ob7f3M5atEVN9Yn7IeORGp0QGvggB62ELw"",""Maestro!A:I""),""SELECT Col7 WHERE Col3 = '""&amp;BD591&amp;""'"", 0), 1, 1),""NO ENCONTRADO"")"),"")</f>
        <v/>
      </c>
      <c r="BI591" s="16">
        <f t="shared" si="15"/>
        <v>0</v>
      </c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4"/>
      <c r="BW591" s="14"/>
      <c r="BX591" s="14"/>
      <c r="BY591" s="14"/>
      <c r="BZ591" s="14"/>
      <c r="CA591" s="14"/>
      <c r="CB591" s="14"/>
      <c r="CC591" s="14"/>
      <c r="CD591" s="14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</row>
    <row r="592">
      <c r="A592" s="12"/>
      <c r="B592" s="14"/>
      <c r="C592" s="14"/>
      <c r="D592" s="14"/>
      <c r="E592" s="12"/>
      <c r="F592" s="307"/>
      <c r="G592" s="307"/>
      <c r="H592" s="12"/>
      <c r="I592" s="30"/>
      <c r="J592" s="12"/>
      <c r="K592" s="12"/>
      <c r="L592" s="12"/>
      <c r="M592" s="12"/>
      <c r="N592" s="12"/>
      <c r="O592" s="308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4"/>
      <c r="BE592" s="12"/>
      <c r="BF592" s="12"/>
      <c r="BG592" s="12" t="str">
        <f>IFERROR(__xludf.DUMMYFUNCTION("IFERROR(INDEX(QUERY(IMPORTRANGE(""1T7HG8KEs-Ob7f3M5atEVN9Yn7IeORGp0QGvggB62ELw"",""Maestro!A:I""),""SELECT Col8 WHERE Col3 = '""&amp;BD592&amp;""'"", 0), 1, 1),""NO ENCONTRADO"")"),"")</f>
        <v/>
      </c>
      <c r="BH592" s="12" t="str">
        <f>IFERROR(__xludf.DUMMYFUNCTION("IFERROR(INDEX(QUERY(IMPORTRANGE(""1T7HG8KEs-Ob7f3M5atEVN9Yn7IeORGp0QGvggB62ELw"",""Maestro!A:I""),""SELECT Col7 WHERE Col3 = '""&amp;BD592&amp;""'"", 0), 1, 1),""NO ENCONTRADO"")"),"")</f>
        <v/>
      </c>
      <c r="BI592" s="16">
        <f t="shared" si="15"/>
        <v>0</v>
      </c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4"/>
      <c r="BW592" s="14"/>
      <c r="BX592" s="14"/>
      <c r="BY592" s="14"/>
      <c r="BZ592" s="14"/>
      <c r="CA592" s="14"/>
      <c r="CB592" s="14"/>
      <c r="CC592" s="14"/>
      <c r="CD592" s="14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</row>
    <row r="593">
      <c r="A593" s="12"/>
      <c r="B593" s="14"/>
      <c r="C593" s="14"/>
      <c r="D593" s="14"/>
      <c r="E593" s="12"/>
      <c r="F593" s="307"/>
      <c r="G593" s="307"/>
      <c r="H593" s="12"/>
      <c r="I593" s="30"/>
      <c r="J593" s="12"/>
      <c r="K593" s="12"/>
      <c r="L593" s="12"/>
      <c r="M593" s="12"/>
      <c r="N593" s="12"/>
      <c r="O593" s="308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4"/>
      <c r="BE593" s="12"/>
      <c r="BF593" s="12"/>
      <c r="BG593" s="12" t="str">
        <f>IFERROR(__xludf.DUMMYFUNCTION("IFERROR(INDEX(QUERY(IMPORTRANGE(""1T7HG8KEs-Ob7f3M5atEVN9Yn7IeORGp0QGvggB62ELw"",""Maestro!A:I""),""SELECT Col8 WHERE Col3 = '""&amp;BD593&amp;""'"", 0), 1, 1),""NO ENCONTRADO"")"),"")</f>
        <v/>
      </c>
      <c r="BH593" s="12" t="str">
        <f>IFERROR(__xludf.DUMMYFUNCTION("IFERROR(INDEX(QUERY(IMPORTRANGE(""1T7HG8KEs-Ob7f3M5atEVN9Yn7IeORGp0QGvggB62ELw"",""Maestro!A:I""),""SELECT Col7 WHERE Col3 = '""&amp;BD593&amp;""'"", 0), 1, 1),""NO ENCONTRADO"")"),"")</f>
        <v/>
      </c>
      <c r="BI593" s="16">
        <f t="shared" si="15"/>
        <v>0</v>
      </c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4"/>
      <c r="BW593" s="14"/>
      <c r="BX593" s="14"/>
      <c r="BY593" s="14"/>
      <c r="BZ593" s="14"/>
      <c r="CA593" s="14"/>
      <c r="CB593" s="14"/>
      <c r="CC593" s="14"/>
      <c r="CD593" s="14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</row>
    <row r="594">
      <c r="A594" s="12"/>
      <c r="B594" s="14"/>
      <c r="C594" s="14"/>
      <c r="D594" s="14"/>
      <c r="E594" s="12"/>
      <c r="F594" s="307"/>
      <c r="G594" s="307"/>
      <c r="H594" s="12"/>
      <c r="I594" s="30"/>
      <c r="J594" s="12"/>
      <c r="K594" s="12"/>
      <c r="L594" s="12"/>
      <c r="M594" s="12"/>
      <c r="N594" s="12"/>
      <c r="O594" s="308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4"/>
      <c r="BE594" s="12"/>
      <c r="BF594" s="12"/>
      <c r="BG594" s="12" t="str">
        <f>IFERROR(__xludf.DUMMYFUNCTION("IFERROR(INDEX(QUERY(IMPORTRANGE(""1T7HG8KEs-Ob7f3M5atEVN9Yn7IeORGp0QGvggB62ELw"",""Maestro!A:I""),""SELECT Col8 WHERE Col3 = '""&amp;BD594&amp;""'"", 0), 1, 1),""NO ENCONTRADO"")"),"")</f>
        <v/>
      </c>
      <c r="BH594" s="12" t="str">
        <f>IFERROR(__xludf.DUMMYFUNCTION("IFERROR(INDEX(QUERY(IMPORTRANGE(""1T7HG8KEs-Ob7f3M5atEVN9Yn7IeORGp0QGvggB62ELw"",""Maestro!A:I""),""SELECT Col7 WHERE Col3 = '""&amp;BD594&amp;""'"", 0), 1, 1),""NO ENCONTRADO"")"),"")</f>
        <v/>
      </c>
      <c r="BI594" s="16">
        <f t="shared" si="15"/>
        <v>0</v>
      </c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4"/>
      <c r="BW594" s="14"/>
      <c r="BX594" s="14"/>
      <c r="BY594" s="14"/>
      <c r="BZ594" s="14"/>
      <c r="CA594" s="14"/>
      <c r="CB594" s="14"/>
      <c r="CC594" s="14"/>
      <c r="CD594" s="14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</row>
    <row r="595">
      <c r="A595" s="12"/>
      <c r="B595" s="14"/>
      <c r="C595" s="14"/>
      <c r="D595" s="14"/>
      <c r="E595" s="12"/>
      <c r="F595" s="307"/>
      <c r="G595" s="307"/>
      <c r="H595" s="12"/>
      <c r="I595" s="30"/>
      <c r="J595" s="12"/>
      <c r="K595" s="12"/>
      <c r="L595" s="12"/>
      <c r="M595" s="12"/>
      <c r="N595" s="12"/>
      <c r="O595" s="308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4"/>
      <c r="BE595" s="12"/>
      <c r="BF595" s="12"/>
      <c r="BG595" s="12" t="str">
        <f>IFERROR(__xludf.DUMMYFUNCTION("IFERROR(INDEX(QUERY(IMPORTRANGE(""1T7HG8KEs-Ob7f3M5atEVN9Yn7IeORGp0QGvggB62ELw"",""Maestro!A:I""),""SELECT Col8 WHERE Col3 = '""&amp;BD595&amp;""'"", 0), 1, 1),""NO ENCONTRADO"")"),"")</f>
        <v/>
      </c>
      <c r="BH595" s="12" t="str">
        <f>IFERROR(__xludf.DUMMYFUNCTION("IFERROR(INDEX(QUERY(IMPORTRANGE(""1T7HG8KEs-Ob7f3M5atEVN9Yn7IeORGp0QGvggB62ELw"",""Maestro!A:I""),""SELECT Col7 WHERE Col3 = '""&amp;BD595&amp;""'"", 0), 1, 1),""NO ENCONTRADO"")"),"")</f>
        <v/>
      </c>
      <c r="BI595" s="16">
        <f t="shared" si="15"/>
        <v>0</v>
      </c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4"/>
      <c r="BW595" s="14"/>
      <c r="BX595" s="14"/>
      <c r="BY595" s="14"/>
      <c r="BZ595" s="14"/>
      <c r="CA595" s="14"/>
      <c r="CB595" s="14"/>
      <c r="CC595" s="14"/>
      <c r="CD595" s="14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</row>
    <row r="596">
      <c r="A596" s="12"/>
      <c r="B596" s="14"/>
      <c r="C596" s="14"/>
      <c r="D596" s="14"/>
      <c r="E596" s="12"/>
      <c r="F596" s="307"/>
      <c r="G596" s="307"/>
      <c r="H596" s="12"/>
      <c r="I596" s="30"/>
      <c r="J596" s="12"/>
      <c r="K596" s="12"/>
      <c r="L596" s="12"/>
      <c r="M596" s="12"/>
      <c r="N596" s="12"/>
      <c r="O596" s="308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4"/>
      <c r="BE596" s="12"/>
      <c r="BF596" s="12"/>
      <c r="BG596" s="12" t="str">
        <f>IFERROR(__xludf.DUMMYFUNCTION("IFERROR(INDEX(QUERY(IMPORTRANGE(""1T7HG8KEs-Ob7f3M5atEVN9Yn7IeORGp0QGvggB62ELw"",""Maestro!A:I""),""SELECT Col8 WHERE Col3 = '""&amp;BD596&amp;""'"", 0), 1, 1),""NO ENCONTRADO"")"),"")</f>
        <v/>
      </c>
      <c r="BH596" s="12" t="str">
        <f>IFERROR(__xludf.DUMMYFUNCTION("IFERROR(INDEX(QUERY(IMPORTRANGE(""1T7HG8KEs-Ob7f3M5atEVN9Yn7IeORGp0QGvggB62ELw"",""Maestro!A:I""),""SELECT Col7 WHERE Col3 = '""&amp;BD596&amp;""'"", 0), 1, 1),""NO ENCONTRADO"")"),"")</f>
        <v/>
      </c>
      <c r="BI596" s="16">
        <f t="shared" si="15"/>
        <v>0</v>
      </c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4"/>
      <c r="BW596" s="14"/>
      <c r="BX596" s="14"/>
      <c r="BY596" s="14"/>
      <c r="BZ596" s="14"/>
      <c r="CA596" s="14"/>
      <c r="CB596" s="14"/>
      <c r="CC596" s="14"/>
      <c r="CD596" s="14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</row>
    <row r="597">
      <c r="A597" s="12"/>
      <c r="B597" s="14"/>
      <c r="C597" s="14"/>
      <c r="D597" s="14"/>
      <c r="E597" s="12"/>
      <c r="F597" s="307"/>
      <c r="G597" s="307"/>
      <c r="H597" s="12"/>
      <c r="I597" s="30"/>
      <c r="J597" s="12"/>
      <c r="K597" s="12"/>
      <c r="L597" s="12"/>
      <c r="M597" s="12"/>
      <c r="N597" s="12"/>
      <c r="O597" s="308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4"/>
      <c r="BE597" s="12"/>
      <c r="BF597" s="12"/>
      <c r="BG597" s="12" t="str">
        <f>IFERROR(__xludf.DUMMYFUNCTION("IFERROR(INDEX(QUERY(IMPORTRANGE(""1T7HG8KEs-Ob7f3M5atEVN9Yn7IeORGp0QGvggB62ELw"",""Maestro!A:I""),""SELECT Col8 WHERE Col3 = '""&amp;BD597&amp;""'"", 0), 1, 1),""NO ENCONTRADO"")"),"")</f>
        <v/>
      </c>
      <c r="BH597" s="12" t="str">
        <f>IFERROR(__xludf.DUMMYFUNCTION("IFERROR(INDEX(QUERY(IMPORTRANGE(""1T7HG8KEs-Ob7f3M5atEVN9Yn7IeORGp0QGvggB62ELw"",""Maestro!A:I""),""SELECT Col7 WHERE Col3 = '""&amp;BD597&amp;""'"", 0), 1, 1),""NO ENCONTRADO"")"),"")</f>
        <v/>
      </c>
      <c r="BI597" s="16">
        <f t="shared" si="15"/>
        <v>0</v>
      </c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4"/>
      <c r="BW597" s="14"/>
      <c r="BX597" s="14"/>
      <c r="BY597" s="14"/>
      <c r="BZ597" s="14"/>
      <c r="CA597" s="14"/>
      <c r="CB597" s="14"/>
      <c r="CC597" s="14"/>
      <c r="CD597" s="14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</row>
    <row r="598">
      <c r="A598" s="12"/>
      <c r="B598" s="14"/>
      <c r="C598" s="14"/>
      <c r="D598" s="14"/>
      <c r="E598" s="12"/>
      <c r="F598" s="307"/>
      <c r="G598" s="307"/>
      <c r="H598" s="12"/>
      <c r="I598" s="30"/>
      <c r="J598" s="12"/>
      <c r="K598" s="12"/>
      <c r="L598" s="12"/>
      <c r="M598" s="12"/>
      <c r="N598" s="12"/>
      <c r="O598" s="308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4"/>
      <c r="BE598" s="12"/>
      <c r="BF598" s="12"/>
      <c r="BG598" s="12" t="str">
        <f>IFERROR(__xludf.DUMMYFUNCTION("IFERROR(INDEX(QUERY(IMPORTRANGE(""1T7HG8KEs-Ob7f3M5atEVN9Yn7IeORGp0QGvggB62ELw"",""Maestro!A:I""),""SELECT Col8 WHERE Col3 = '""&amp;BD598&amp;""'"", 0), 1, 1),""NO ENCONTRADO"")"),"")</f>
        <v/>
      </c>
      <c r="BH598" s="12" t="str">
        <f>IFERROR(__xludf.DUMMYFUNCTION("IFERROR(INDEX(QUERY(IMPORTRANGE(""1T7HG8KEs-Ob7f3M5atEVN9Yn7IeORGp0QGvggB62ELw"",""Maestro!A:I""),""SELECT Col7 WHERE Col3 = '""&amp;BD598&amp;""'"", 0), 1, 1),""NO ENCONTRADO"")"),"")</f>
        <v/>
      </c>
      <c r="BI598" s="16">
        <f t="shared" si="15"/>
        <v>0</v>
      </c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4"/>
      <c r="BW598" s="14"/>
      <c r="BX598" s="14"/>
      <c r="BY598" s="14"/>
      <c r="BZ598" s="14"/>
      <c r="CA598" s="14"/>
      <c r="CB598" s="14"/>
      <c r="CC598" s="14"/>
      <c r="CD598" s="14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</row>
    <row r="599">
      <c r="A599" s="12"/>
      <c r="B599" s="14"/>
      <c r="C599" s="14"/>
      <c r="D599" s="14"/>
      <c r="E599" s="12"/>
      <c r="F599" s="307"/>
      <c r="G599" s="307"/>
      <c r="H599" s="12"/>
      <c r="I599" s="30"/>
      <c r="J599" s="12"/>
      <c r="K599" s="12"/>
      <c r="L599" s="12"/>
      <c r="M599" s="12"/>
      <c r="N599" s="12"/>
      <c r="O599" s="308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4"/>
      <c r="BE599" s="12"/>
      <c r="BF599" s="12"/>
      <c r="BG599" s="12" t="str">
        <f>IFERROR(__xludf.DUMMYFUNCTION("IFERROR(INDEX(QUERY(IMPORTRANGE(""1T7HG8KEs-Ob7f3M5atEVN9Yn7IeORGp0QGvggB62ELw"",""Maestro!A:I""),""SELECT Col8 WHERE Col3 = '""&amp;BD599&amp;""'"", 0), 1, 1),""NO ENCONTRADO"")"),"")</f>
        <v/>
      </c>
      <c r="BH599" s="12" t="str">
        <f>IFERROR(__xludf.DUMMYFUNCTION("IFERROR(INDEX(QUERY(IMPORTRANGE(""1T7HG8KEs-Ob7f3M5atEVN9Yn7IeORGp0QGvggB62ELw"",""Maestro!A:I""),""SELECT Col7 WHERE Col3 = '""&amp;BD599&amp;""'"", 0), 1, 1),""NO ENCONTRADO"")"),"")</f>
        <v/>
      </c>
      <c r="BI599" s="16">
        <f t="shared" si="15"/>
        <v>0</v>
      </c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4"/>
      <c r="BW599" s="14"/>
      <c r="BX599" s="14"/>
      <c r="BY599" s="14"/>
      <c r="BZ599" s="14"/>
      <c r="CA599" s="14"/>
      <c r="CB599" s="14"/>
      <c r="CC599" s="14"/>
      <c r="CD599" s="14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</row>
    <row r="600">
      <c r="A600" s="12"/>
      <c r="B600" s="14"/>
      <c r="C600" s="14"/>
      <c r="D600" s="14"/>
      <c r="E600" s="12"/>
      <c r="F600" s="307"/>
      <c r="G600" s="307"/>
      <c r="H600" s="12"/>
      <c r="I600" s="30"/>
      <c r="J600" s="12"/>
      <c r="K600" s="12"/>
      <c r="L600" s="12"/>
      <c r="M600" s="12"/>
      <c r="N600" s="12"/>
      <c r="O600" s="308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4"/>
      <c r="BE600" s="12"/>
      <c r="BF600" s="12"/>
      <c r="BG600" s="12" t="str">
        <f>IFERROR(__xludf.DUMMYFUNCTION("IFERROR(INDEX(QUERY(IMPORTRANGE(""1T7HG8KEs-Ob7f3M5atEVN9Yn7IeORGp0QGvggB62ELw"",""Maestro!A:I""),""SELECT Col8 WHERE Col3 = '""&amp;BD600&amp;""'"", 0), 1, 1),""NO ENCONTRADO"")"),"")</f>
        <v/>
      </c>
      <c r="BH600" s="12" t="str">
        <f>IFERROR(__xludf.DUMMYFUNCTION("IFERROR(INDEX(QUERY(IMPORTRANGE(""1T7HG8KEs-Ob7f3M5atEVN9Yn7IeORGp0QGvggB62ELw"",""Maestro!A:I""),""SELECT Col7 WHERE Col3 = '""&amp;BD600&amp;""'"", 0), 1, 1),""NO ENCONTRADO"")"),"")</f>
        <v/>
      </c>
      <c r="BI600" s="16">
        <f t="shared" si="15"/>
        <v>0</v>
      </c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4"/>
      <c r="BW600" s="14"/>
      <c r="BX600" s="14"/>
      <c r="BY600" s="14"/>
      <c r="BZ600" s="14"/>
      <c r="CA600" s="14"/>
      <c r="CB600" s="14"/>
      <c r="CC600" s="14"/>
      <c r="CD600" s="14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</row>
    <row r="601">
      <c r="A601" s="12"/>
      <c r="B601" s="14"/>
      <c r="C601" s="14"/>
      <c r="D601" s="14"/>
      <c r="E601" s="12"/>
      <c r="F601" s="307"/>
      <c r="G601" s="307"/>
      <c r="H601" s="12"/>
      <c r="I601" s="30"/>
      <c r="J601" s="12"/>
      <c r="K601" s="12"/>
      <c r="L601" s="12"/>
      <c r="M601" s="12"/>
      <c r="N601" s="12"/>
      <c r="O601" s="308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4"/>
      <c r="BE601" s="12"/>
      <c r="BF601" s="12"/>
      <c r="BG601" s="12" t="str">
        <f>IFERROR(__xludf.DUMMYFUNCTION("IFERROR(INDEX(QUERY(IMPORTRANGE(""1T7HG8KEs-Ob7f3M5atEVN9Yn7IeORGp0QGvggB62ELw"",""Maestro!A:I""),""SELECT Col8 WHERE Col3 = '""&amp;BD601&amp;""'"", 0), 1, 1),""NO ENCONTRADO"")"),"")</f>
        <v/>
      </c>
      <c r="BH601" s="12" t="str">
        <f>IFERROR(__xludf.DUMMYFUNCTION("IFERROR(INDEX(QUERY(IMPORTRANGE(""1T7HG8KEs-Ob7f3M5atEVN9Yn7IeORGp0QGvggB62ELw"",""Maestro!A:I""),""SELECT Col7 WHERE Col3 = '""&amp;BD601&amp;""'"", 0), 1, 1),""NO ENCONTRADO"")"),"")</f>
        <v/>
      </c>
      <c r="BI601" s="16">
        <f t="shared" si="15"/>
        <v>0</v>
      </c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4"/>
      <c r="BW601" s="14"/>
      <c r="BX601" s="14"/>
      <c r="BY601" s="14"/>
      <c r="BZ601" s="14"/>
      <c r="CA601" s="14"/>
      <c r="CB601" s="14"/>
      <c r="CC601" s="14"/>
      <c r="CD601" s="14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</row>
    <row r="602">
      <c r="A602" s="12"/>
      <c r="B602" s="14"/>
      <c r="C602" s="14"/>
      <c r="D602" s="14"/>
      <c r="E602" s="12"/>
      <c r="F602" s="307"/>
      <c r="G602" s="307"/>
      <c r="H602" s="12"/>
      <c r="I602" s="30"/>
      <c r="J602" s="12"/>
      <c r="K602" s="12"/>
      <c r="L602" s="12"/>
      <c r="M602" s="12"/>
      <c r="N602" s="12"/>
      <c r="O602" s="308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4"/>
      <c r="BE602" s="12"/>
      <c r="BF602" s="12"/>
      <c r="BG602" s="12" t="str">
        <f>IFERROR(__xludf.DUMMYFUNCTION("IFERROR(INDEX(QUERY(IMPORTRANGE(""1T7HG8KEs-Ob7f3M5atEVN9Yn7IeORGp0QGvggB62ELw"",""Maestro!A:I""),""SELECT Col8 WHERE Col3 = '""&amp;BD602&amp;""'"", 0), 1, 1),""NO ENCONTRADO"")"),"")</f>
        <v/>
      </c>
      <c r="BH602" s="12" t="str">
        <f>IFERROR(__xludf.DUMMYFUNCTION("IFERROR(INDEX(QUERY(IMPORTRANGE(""1T7HG8KEs-Ob7f3M5atEVN9Yn7IeORGp0QGvggB62ELw"",""Maestro!A:I""),""SELECT Col7 WHERE Col3 = '""&amp;BD602&amp;""'"", 0), 1, 1),""NO ENCONTRADO"")"),"")</f>
        <v/>
      </c>
      <c r="BI602" s="16">
        <f t="shared" si="15"/>
        <v>0</v>
      </c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4"/>
      <c r="BW602" s="14"/>
      <c r="BX602" s="14"/>
      <c r="BY602" s="14"/>
      <c r="BZ602" s="14"/>
      <c r="CA602" s="14"/>
      <c r="CB602" s="14"/>
      <c r="CC602" s="14"/>
      <c r="CD602" s="14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</row>
    <row r="603">
      <c r="A603" s="12"/>
      <c r="B603" s="14"/>
      <c r="C603" s="14"/>
      <c r="D603" s="14"/>
      <c r="E603" s="12"/>
      <c r="F603" s="307"/>
      <c r="G603" s="307"/>
      <c r="H603" s="12"/>
      <c r="I603" s="30"/>
      <c r="J603" s="12"/>
      <c r="K603" s="12"/>
      <c r="L603" s="12"/>
      <c r="M603" s="12"/>
      <c r="N603" s="12"/>
      <c r="O603" s="308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4"/>
      <c r="BE603" s="12"/>
      <c r="BF603" s="12"/>
      <c r="BG603" s="12" t="str">
        <f>IFERROR(__xludf.DUMMYFUNCTION("IFERROR(INDEX(QUERY(IMPORTRANGE(""1T7HG8KEs-Ob7f3M5atEVN9Yn7IeORGp0QGvggB62ELw"",""Maestro!A:I""),""SELECT Col8 WHERE Col3 = '""&amp;BD603&amp;""'"", 0), 1, 1),""NO ENCONTRADO"")"),"")</f>
        <v/>
      </c>
      <c r="BH603" s="12" t="str">
        <f>IFERROR(__xludf.DUMMYFUNCTION("IFERROR(INDEX(QUERY(IMPORTRANGE(""1T7HG8KEs-Ob7f3M5atEVN9Yn7IeORGp0QGvggB62ELw"",""Maestro!A:I""),""SELECT Col7 WHERE Col3 = '""&amp;BD603&amp;""'"", 0), 1, 1),""NO ENCONTRADO"")"),"")</f>
        <v/>
      </c>
      <c r="BI603" s="16">
        <f t="shared" si="15"/>
        <v>0</v>
      </c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4"/>
      <c r="BW603" s="14"/>
      <c r="BX603" s="14"/>
      <c r="BY603" s="14"/>
      <c r="BZ603" s="14"/>
      <c r="CA603" s="14"/>
      <c r="CB603" s="14"/>
      <c r="CC603" s="14"/>
      <c r="CD603" s="14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</row>
    <row r="604">
      <c r="A604" s="12"/>
      <c r="B604" s="14"/>
      <c r="C604" s="14"/>
      <c r="D604" s="14"/>
      <c r="E604" s="12"/>
      <c r="F604" s="307"/>
      <c r="G604" s="307"/>
      <c r="H604" s="12"/>
      <c r="I604" s="30"/>
      <c r="J604" s="12"/>
      <c r="K604" s="12"/>
      <c r="L604" s="12"/>
      <c r="M604" s="12"/>
      <c r="N604" s="12"/>
      <c r="O604" s="308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4"/>
      <c r="BE604" s="12"/>
      <c r="BF604" s="12"/>
      <c r="BG604" s="12" t="str">
        <f>IFERROR(__xludf.DUMMYFUNCTION("IFERROR(INDEX(QUERY(IMPORTRANGE(""1T7HG8KEs-Ob7f3M5atEVN9Yn7IeORGp0QGvggB62ELw"",""Maestro!A:I""),""SELECT Col8 WHERE Col3 = '""&amp;BD604&amp;""'"", 0), 1, 1),""NO ENCONTRADO"")"),"")</f>
        <v/>
      </c>
      <c r="BH604" s="12" t="str">
        <f>IFERROR(__xludf.DUMMYFUNCTION("IFERROR(INDEX(QUERY(IMPORTRANGE(""1T7HG8KEs-Ob7f3M5atEVN9Yn7IeORGp0QGvggB62ELw"",""Maestro!A:I""),""SELECT Col7 WHERE Col3 = '""&amp;BD604&amp;""'"", 0), 1, 1),""NO ENCONTRADO"")"),"")</f>
        <v/>
      </c>
      <c r="BI604" s="16">
        <f t="shared" si="15"/>
        <v>0</v>
      </c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4"/>
      <c r="BW604" s="14"/>
      <c r="BX604" s="14"/>
      <c r="BY604" s="14"/>
      <c r="BZ604" s="14"/>
      <c r="CA604" s="14"/>
      <c r="CB604" s="14"/>
      <c r="CC604" s="14"/>
      <c r="CD604" s="14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</row>
    <row r="605">
      <c r="A605" s="12"/>
      <c r="B605" s="14"/>
      <c r="C605" s="14"/>
      <c r="D605" s="14"/>
      <c r="E605" s="12"/>
      <c r="F605" s="307"/>
      <c r="G605" s="307"/>
      <c r="H605" s="12"/>
      <c r="I605" s="30"/>
      <c r="J605" s="12"/>
      <c r="K605" s="12"/>
      <c r="L605" s="12"/>
      <c r="M605" s="12"/>
      <c r="N605" s="12"/>
      <c r="O605" s="308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4"/>
      <c r="BE605" s="12"/>
      <c r="BF605" s="12"/>
      <c r="BG605" s="12" t="str">
        <f>IFERROR(__xludf.DUMMYFUNCTION("IFERROR(INDEX(QUERY(IMPORTRANGE(""1T7HG8KEs-Ob7f3M5atEVN9Yn7IeORGp0QGvggB62ELw"",""Maestro!A:I""),""SELECT Col8 WHERE Col3 = '""&amp;BD605&amp;""'"", 0), 1, 1),""NO ENCONTRADO"")"),"")</f>
        <v/>
      </c>
      <c r="BH605" s="12" t="str">
        <f>IFERROR(__xludf.DUMMYFUNCTION("IFERROR(INDEX(QUERY(IMPORTRANGE(""1T7HG8KEs-Ob7f3M5atEVN9Yn7IeORGp0QGvggB62ELw"",""Maestro!A:I""),""SELECT Col7 WHERE Col3 = '""&amp;BD605&amp;""'"", 0), 1, 1),""NO ENCONTRADO"")"),"")</f>
        <v/>
      </c>
      <c r="BI605" s="16">
        <f t="shared" si="15"/>
        <v>0</v>
      </c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4"/>
      <c r="BW605" s="14"/>
      <c r="BX605" s="14"/>
      <c r="BY605" s="14"/>
      <c r="BZ605" s="14"/>
      <c r="CA605" s="14"/>
      <c r="CB605" s="14"/>
      <c r="CC605" s="14"/>
      <c r="CD605" s="14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</row>
    <row r="606">
      <c r="A606" s="12"/>
      <c r="B606" s="14"/>
      <c r="C606" s="14"/>
      <c r="D606" s="14"/>
      <c r="E606" s="12"/>
      <c r="F606" s="307"/>
      <c r="G606" s="307"/>
      <c r="H606" s="12"/>
      <c r="I606" s="30"/>
      <c r="J606" s="12"/>
      <c r="K606" s="12"/>
      <c r="L606" s="12"/>
      <c r="M606" s="12"/>
      <c r="N606" s="12"/>
      <c r="O606" s="308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4"/>
      <c r="BE606" s="12"/>
      <c r="BF606" s="12"/>
      <c r="BG606" s="12" t="str">
        <f>IFERROR(__xludf.DUMMYFUNCTION("IFERROR(INDEX(QUERY(IMPORTRANGE(""1T7HG8KEs-Ob7f3M5atEVN9Yn7IeORGp0QGvggB62ELw"",""Maestro!A:I""),""SELECT Col8 WHERE Col3 = '""&amp;BD606&amp;""'"", 0), 1, 1),""NO ENCONTRADO"")"),"")</f>
        <v/>
      </c>
      <c r="BH606" s="12" t="str">
        <f>IFERROR(__xludf.DUMMYFUNCTION("IFERROR(INDEX(QUERY(IMPORTRANGE(""1T7HG8KEs-Ob7f3M5atEVN9Yn7IeORGp0QGvggB62ELw"",""Maestro!A:I""),""SELECT Col7 WHERE Col3 = '""&amp;BD606&amp;""'"", 0), 1, 1),""NO ENCONTRADO"")"),"")</f>
        <v/>
      </c>
      <c r="BI606" s="16">
        <f t="shared" si="15"/>
        <v>0</v>
      </c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4"/>
      <c r="BW606" s="14"/>
      <c r="BX606" s="14"/>
      <c r="BY606" s="14"/>
      <c r="BZ606" s="14"/>
      <c r="CA606" s="14"/>
      <c r="CB606" s="14"/>
      <c r="CC606" s="14"/>
      <c r="CD606" s="14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</row>
    <row r="607">
      <c r="A607" s="12"/>
      <c r="B607" s="14"/>
      <c r="C607" s="14"/>
      <c r="D607" s="14"/>
      <c r="E607" s="12"/>
      <c r="F607" s="307"/>
      <c r="G607" s="307"/>
      <c r="H607" s="12"/>
      <c r="I607" s="30"/>
      <c r="J607" s="12"/>
      <c r="K607" s="12"/>
      <c r="L607" s="12"/>
      <c r="M607" s="12"/>
      <c r="N607" s="12"/>
      <c r="O607" s="308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4"/>
      <c r="BE607" s="12"/>
      <c r="BF607" s="12"/>
      <c r="BG607" s="12" t="str">
        <f>IFERROR(__xludf.DUMMYFUNCTION("IFERROR(INDEX(QUERY(IMPORTRANGE(""1T7HG8KEs-Ob7f3M5atEVN9Yn7IeORGp0QGvggB62ELw"",""Maestro!A:I""),""SELECT Col8 WHERE Col3 = '""&amp;BD607&amp;""'"", 0), 1, 1),""NO ENCONTRADO"")"),"")</f>
        <v/>
      </c>
      <c r="BH607" s="12" t="str">
        <f>IFERROR(__xludf.DUMMYFUNCTION("IFERROR(INDEX(QUERY(IMPORTRANGE(""1T7HG8KEs-Ob7f3M5atEVN9Yn7IeORGp0QGvggB62ELw"",""Maestro!A:I""),""SELECT Col7 WHERE Col3 = '""&amp;BD607&amp;""'"", 0), 1, 1),""NO ENCONTRADO"")"),"")</f>
        <v/>
      </c>
      <c r="BI607" s="16">
        <f t="shared" si="15"/>
        <v>0</v>
      </c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4"/>
      <c r="BW607" s="14"/>
      <c r="BX607" s="14"/>
      <c r="BY607" s="14"/>
      <c r="BZ607" s="14"/>
      <c r="CA607" s="14"/>
      <c r="CB607" s="14"/>
      <c r="CC607" s="14"/>
      <c r="CD607" s="14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</row>
    <row r="608">
      <c r="A608" s="12"/>
      <c r="B608" s="14"/>
      <c r="C608" s="14"/>
      <c r="D608" s="14"/>
      <c r="E608" s="12"/>
      <c r="F608" s="307"/>
      <c r="G608" s="307"/>
      <c r="H608" s="12"/>
      <c r="I608" s="30"/>
      <c r="J608" s="12"/>
      <c r="K608" s="12"/>
      <c r="L608" s="12"/>
      <c r="M608" s="12"/>
      <c r="N608" s="12"/>
      <c r="O608" s="308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4"/>
      <c r="BE608" s="12"/>
      <c r="BF608" s="12"/>
      <c r="BG608" s="12" t="str">
        <f>IFERROR(__xludf.DUMMYFUNCTION("IFERROR(INDEX(QUERY(IMPORTRANGE(""1T7HG8KEs-Ob7f3M5atEVN9Yn7IeORGp0QGvggB62ELw"",""Maestro!A:I""),""SELECT Col8 WHERE Col3 = '""&amp;BD608&amp;""'"", 0), 1, 1),""NO ENCONTRADO"")"),"")</f>
        <v/>
      </c>
      <c r="BH608" s="12" t="str">
        <f>IFERROR(__xludf.DUMMYFUNCTION("IFERROR(INDEX(QUERY(IMPORTRANGE(""1T7HG8KEs-Ob7f3M5atEVN9Yn7IeORGp0QGvggB62ELw"",""Maestro!A:I""),""SELECT Col7 WHERE Col3 = '""&amp;BD608&amp;""'"", 0), 1, 1),""NO ENCONTRADO"")"),"")</f>
        <v/>
      </c>
      <c r="BI608" s="16">
        <f t="shared" si="15"/>
        <v>0</v>
      </c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4"/>
      <c r="BW608" s="14"/>
      <c r="BX608" s="14"/>
      <c r="BY608" s="14"/>
      <c r="BZ608" s="14"/>
      <c r="CA608" s="14"/>
      <c r="CB608" s="14"/>
      <c r="CC608" s="14"/>
      <c r="CD608" s="14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</row>
    <row r="609">
      <c r="A609" s="12"/>
      <c r="B609" s="14"/>
      <c r="C609" s="14"/>
      <c r="D609" s="14"/>
      <c r="E609" s="12"/>
      <c r="F609" s="307"/>
      <c r="G609" s="307"/>
      <c r="H609" s="12"/>
      <c r="I609" s="30"/>
      <c r="J609" s="12"/>
      <c r="K609" s="12"/>
      <c r="L609" s="12"/>
      <c r="M609" s="12"/>
      <c r="N609" s="12"/>
      <c r="O609" s="308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4"/>
      <c r="BE609" s="12"/>
      <c r="BF609" s="12"/>
      <c r="BG609" s="12" t="str">
        <f>IFERROR(__xludf.DUMMYFUNCTION("IFERROR(INDEX(QUERY(IMPORTRANGE(""1T7HG8KEs-Ob7f3M5atEVN9Yn7IeORGp0QGvggB62ELw"",""Maestro!A:I""),""SELECT Col8 WHERE Col3 = '""&amp;BD609&amp;""'"", 0), 1, 1),""NO ENCONTRADO"")"),"")</f>
        <v/>
      </c>
      <c r="BH609" s="12" t="str">
        <f>IFERROR(__xludf.DUMMYFUNCTION("IFERROR(INDEX(QUERY(IMPORTRANGE(""1T7HG8KEs-Ob7f3M5atEVN9Yn7IeORGp0QGvggB62ELw"",""Maestro!A:I""),""SELECT Col7 WHERE Col3 = '""&amp;BD609&amp;""'"", 0), 1, 1),""NO ENCONTRADO"")"),"")</f>
        <v/>
      </c>
      <c r="BI609" s="16">
        <f t="shared" si="15"/>
        <v>0</v>
      </c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4"/>
      <c r="BW609" s="14"/>
      <c r="BX609" s="14"/>
      <c r="BY609" s="14"/>
      <c r="BZ609" s="14"/>
      <c r="CA609" s="14"/>
      <c r="CB609" s="14"/>
      <c r="CC609" s="14"/>
      <c r="CD609" s="14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</row>
    <row r="610">
      <c r="A610" s="12"/>
      <c r="B610" s="14"/>
      <c r="C610" s="14"/>
      <c r="D610" s="14"/>
      <c r="E610" s="12"/>
      <c r="F610" s="307"/>
      <c r="G610" s="307"/>
      <c r="H610" s="12"/>
      <c r="I610" s="30"/>
      <c r="J610" s="12"/>
      <c r="K610" s="12"/>
      <c r="L610" s="12"/>
      <c r="M610" s="12"/>
      <c r="N610" s="12"/>
      <c r="O610" s="308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4"/>
      <c r="BE610" s="12"/>
      <c r="BF610" s="12"/>
      <c r="BG610" s="12" t="str">
        <f>IFERROR(__xludf.DUMMYFUNCTION("IFERROR(INDEX(QUERY(IMPORTRANGE(""1T7HG8KEs-Ob7f3M5atEVN9Yn7IeORGp0QGvggB62ELw"",""Maestro!A:I""),""SELECT Col8 WHERE Col3 = '""&amp;BD610&amp;""'"", 0), 1, 1),""NO ENCONTRADO"")"),"")</f>
        <v/>
      </c>
      <c r="BH610" s="12" t="str">
        <f>IFERROR(__xludf.DUMMYFUNCTION("IFERROR(INDEX(QUERY(IMPORTRANGE(""1T7HG8KEs-Ob7f3M5atEVN9Yn7IeORGp0QGvggB62ELw"",""Maestro!A:I""),""SELECT Col7 WHERE Col3 = '""&amp;BD610&amp;""'"", 0), 1, 1),""NO ENCONTRADO"")"),"")</f>
        <v/>
      </c>
      <c r="BI610" s="16">
        <f t="shared" si="15"/>
        <v>0</v>
      </c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4"/>
      <c r="BW610" s="14"/>
      <c r="BX610" s="14"/>
      <c r="BY610" s="14"/>
      <c r="BZ610" s="14"/>
      <c r="CA610" s="14"/>
      <c r="CB610" s="14"/>
      <c r="CC610" s="14"/>
      <c r="CD610" s="14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</row>
    <row r="611">
      <c r="A611" s="12"/>
      <c r="B611" s="14"/>
      <c r="C611" s="14"/>
      <c r="D611" s="14"/>
      <c r="E611" s="12"/>
      <c r="F611" s="307"/>
      <c r="G611" s="307"/>
      <c r="H611" s="12"/>
      <c r="I611" s="30"/>
      <c r="J611" s="12"/>
      <c r="K611" s="12"/>
      <c r="L611" s="12"/>
      <c r="M611" s="12"/>
      <c r="N611" s="12"/>
      <c r="O611" s="308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4"/>
      <c r="BE611" s="12"/>
      <c r="BF611" s="12"/>
      <c r="BG611" s="12" t="str">
        <f>IFERROR(__xludf.DUMMYFUNCTION("IFERROR(INDEX(QUERY(IMPORTRANGE(""1T7HG8KEs-Ob7f3M5atEVN9Yn7IeORGp0QGvggB62ELw"",""Maestro!A:I""),""SELECT Col8 WHERE Col3 = '""&amp;BD611&amp;""'"", 0), 1, 1),""NO ENCONTRADO"")"),"")</f>
        <v/>
      </c>
      <c r="BH611" s="12" t="str">
        <f>IFERROR(__xludf.DUMMYFUNCTION("IFERROR(INDEX(QUERY(IMPORTRANGE(""1T7HG8KEs-Ob7f3M5atEVN9Yn7IeORGp0QGvggB62ELw"",""Maestro!A:I""),""SELECT Col7 WHERE Col3 = '""&amp;BD611&amp;""'"", 0), 1, 1),""NO ENCONTRADO"")"),"")</f>
        <v/>
      </c>
      <c r="BI611" s="16">
        <f t="shared" si="15"/>
        <v>0</v>
      </c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4"/>
      <c r="BW611" s="14"/>
      <c r="BX611" s="14"/>
      <c r="BY611" s="14"/>
      <c r="BZ611" s="14"/>
      <c r="CA611" s="14"/>
      <c r="CB611" s="14"/>
      <c r="CC611" s="14"/>
      <c r="CD611" s="14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</row>
    <row r="612">
      <c r="A612" s="12"/>
      <c r="B612" s="14"/>
      <c r="C612" s="14"/>
      <c r="D612" s="14"/>
      <c r="E612" s="12"/>
      <c r="F612" s="307"/>
      <c r="G612" s="307"/>
      <c r="H612" s="12"/>
      <c r="I612" s="30"/>
      <c r="J612" s="12"/>
      <c r="K612" s="12"/>
      <c r="L612" s="12"/>
      <c r="M612" s="12"/>
      <c r="N612" s="12"/>
      <c r="O612" s="308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4"/>
      <c r="BE612" s="12"/>
      <c r="BF612" s="12"/>
      <c r="BG612" s="12" t="str">
        <f>IFERROR(__xludf.DUMMYFUNCTION("IFERROR(INDEX(QUERY(IMPORTRANGE(""1T7HG8KEs-Ob7f3M5atEVN9Yn7IeORGp0QGvggB62ELw"",""Maestro!A:I""),""SELECT Col8 WHERE Col3 = '""&amp;BD612&amp;""'"", 0), 1, 1),""NO ENCONTRADO"")"),"")</f>
        <v/>
      </c>
      <c r="BH612" s="12" t="str">
        <f>IFERROR(__xludf.DUMMYFUNCTION("IFERROR(INDEX(QUERY(IMPORTRANGE(""1T7HG8KEs-Ob7f3M5atEVN9Yn7IeORGp0QGvggB62ELw"",""Maestro!A:I""),""SELECT Col7 WHERE Col3 = '""&amp;BD612&amp;""'"", 0), 1, 1),""NO ENCONTRADO"")"),"")</f>
        <v/>
      </c>
      <c r="BI612" s="16">
        <f t="shared" si="15"/>
        <v>0</v>
      </c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4"/>
      <c r="BW612" s="14"/>
      <c r="BX612" s="14"/>
      <c r="BY612" s="14"/>
      <c r="BZ612" s="14"/>
      <c r="CA612" s="14"/>
      <c r="CB612" s="14"/>
      <c r="CC612" s="14"/>
      <c r="CD612" s="14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</row>
    <row r="613">
      <c r="A613" s="12"/>
      <c r="B613" s="14"/>
      <c r="C613" s="14"/>
      <c r="D613" s="14"/>
      <c r="E613" s="12"/>
      <c r="F613" s="307"/>
      <c r="G613" s="307"/>
      <c r="H613" s="12"/>
      <c r="I613" s="30"/>
      <c r="J613" s="12"/>
      <c r="K613" s="12"/>
      <c r="L613" s="12"/>
      <c r="M613" s="12"/>
      <c r="N613" s="12"/>
      <c r="O613" s="308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4"/>
      <c r="BE613" s="12"/>
      <c r="BF613" s="12"/>
      <c r="BG613" s="12" t="str">
        <f>IFERROR(__xludf.DUMMYFUNCTION("IFERROR(INDEX(QUERY(IMPORTRANGE(""1T7HG8KEs-Ob7f3M5atEVN9Yn7IeORGp0QGvggB62ELw"",""Maestro!A:I""),""SELECT Col8 WHERE Col3 = '""&amp;BD613&amp;""'"", 0), 1, 1),""NO ENCONTRADO"")"),"")</f>
        <v/>
      </c>
      <c r="BH613" s="12" t="str">
        <f>IFERROR(__xludf.DUMMYFUNCTION("IFERROR(INDEX(QUERY(IMPORTRANGE(""1T7HG8KEs-Ob7f3M5atEVN9Yn7IeORGp0QGvggB62ELw"",""Maestro!A:I""),""SELECT Col7 WHERE Col3 = '""&amp;BD613&amp;""'"", 0), 1, 1),""NO ENCONTRADO"")"),"")</f>
        <v/>
      </c>
      <c r="BI613" s="16">
        <f t="shared" si="15"/>
        <v>0</v>
      </c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4"/>
      <c r="BW613" s="14"/>
      <c r="BX613" s="14"/>
      <c r="BY613" s="14"/>
      <c r="BZ613" s="14"/>
      <c r="CA613" s="14"/>
      <c r="CB613" s="14"/>
      <c r="CC613" s="14"/>
      <c r="CD613" s="14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</row>
    <row r="614">
      <c r="A614" s="12"/>
      <c r="B614" s="14"/>
      <c r="C614" s="14"/>
      <c r="D614" s="14"/>
      <c r="E614" s="12"/>
      <c r="F614" s="307"/>
      <c r="G614" s="307"/>
      <c r="H614" s="12"/>
      <c r="I614" s="30"/>
      <c r="J614" s="12"/>
      <c r="K614" s="12"/>
      <c r="L614" s="12"/>
      <c r="M614" s="12"/>
      <c r="N614" s="12"/>
      <c r="O614" s="308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4"/>
      <c r="BE614" s="12"/>
      <c r="BF614" s="12"/>
      <c r="BG614" s="12" t="str">
        <f>IFERROR(__xludf.DUMMYFUNCTION("IFERROR(INDEX(QUERY(IMPORTRANGE(""1T7HG8KEs-Ob7f3M5atEVN9Yn7IeORGp0QGvggB62ELw"",""Maestro!A:I""),""SELECT Col8 WHERE Col3 = '""&amp;BD614&amp;""'"", 0), 1, 1),""NO ENCONTRADO"")"),"")</f>
        <v/>
      </c>
      <c r="BH614" s="12" t="str">
        <f>IFERROR(__xludf.DUMMYFUNCTION("IFERROR(INDEX(QUERY(IMPORTRANGE(""1T7HG8KEs-Ob7f3M5atEVN9Yn7IeORGp0QGvggB62ELw"",""Maestro!A:I""),""SELECT Col7 WHERE Col3 = '""&amp;BD614&amp;""'"", 0), 1, 1),""NO ENCONTRADO"")"),"")</f>
        <v/>
      </c>
      <c r="BI614" s="16">
        <f t="shared" si="15"/>
        <v>0</v>
      </c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4"/>
      <c r="BW614" s="14"/>
      <c r="BX614" s="14"/>
      <c r="BY614" s="14"/>
      <c r="BZ614" s="14"/>
      <c r="CA614" s="14"/>
      <c r="CB614" s="14"/>
      <c r="CC614" s="14"/>
      <c r="CD614" s="14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</row>
    <row r="615">
      <c r="A615" s="12"/>
      <c r="B615" s="14"/>
      <c r="C615" s="14"/>
      <c r="D615" s="14"/>
      <c r="E615" s="12"/>
      <c r="F615" s="307"/>
      <c r="G615" s="307"/>
      <c r="H615" s="12"/>
      <c r="I615" s="30"/>
      <c r="J615" s="12"/>
      <c r="K615" s="12"/>
      <c r="L615" s="12"/>
      <c r="M615" s="12"/>
      <c r="N615" s="12"/>
      <c r="O615" s="308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4"/>
      <c r="BE615" s="12"/>
      <c r="BF615" s="12"/>
      <c r="BG615" s="12" t="str">
        <f>IFERROR(__xludf.DUMMYFUNCTION("IFERROR(INDEX(QUERY(IMPORTRANGE(""1T7HG8KEs-Ob7f3M5atEVN9Yn7IeORGp0QGvggB62ELw"",""Maestro!A:I""),""SELECT Col8 WHERE Col3 = '""&amp;BD615&amp;""'"", 0), 1, 1),""NO ENCONTRADO"")"),"")</f>
        <v/>
      </c>
      <c r="BH615" s="12" t="str">
        <f>IFERROR(__xludf.DUMMYFUNCTION("IFERROR(INDEX(QUERY(IMPORTRANGE(""1T7HG8KEs-Ob7f3M5atEVN9Yn7IeORGp0QGvggB62ELw"",""Maestro!A:I""),""SELECT Col7 WHERE Col3 = '""&amp;BD615&amp;""'"", 0), 1, 1),""NO ENCONTRADO"")"),"")</f>
        <v/>
      </c>
      <c r="BI615" s="16">
        <f t="shared" si="15"/>
        <v>0</v>
      </c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4"/>
      <c r="BW615" s="14"/>
      <c r="BX615" s="14"/>
      <c r="BY615" s="14"/>
      <c r="BZ615" s="14"/>
      <c r="CA615" s="14"/>
      <c r="CB615" s="14"/>
      <c r="CC615" s="14"/>
      <c r="CD615" s="14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</row>
    <row r="616">
      <c r="A616" s="12"/>
      <c r="B616" s="14"/>
      <c r="C616" s="14"/>
      <c r="D616" s="14"/>
      <c r="E616" s="12"/>
      <c r="F616" s="307"/>
      <c r="G616" s="307"/>
      <c r="H616" s="12"/>
      <c r="I616" s="30"/>
      <c r="J616" s="12"/>
      <c r="K616" s="12"/>
      <c r="L616" s="12"/>
      <c r="M616" s="12"/>
      <c r="N616" s="12"/>
      <c r="O616" s="308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4"/>
      <c r="BE616" s="12"/>
      <c r="BF616" s="12"/>
      <c r="BG616" s="12" t="str">
        <f>IFERROR(__xludf.DUMMYFUNCTION("IFERROR(INDEX(QUERY(IMPORTRANGE(""1T7HG8KEs-Ob7f3M5atEVN9Yn7IeORGp0QGvggB62ELw"",""Maestro!A:I""),""SELECT Col8 WHERE Col3 = '""&amp;BD616&amp;""'"", 0), 1, 1),""NO ENCONTRADO"")"),"")</f>
        <v/>
      </c>
      <c r="BH616" s="12" t="str">
        <f>IFERROR(__xludf.DUMMYFUNCTION("IFERROR(INDEX(QUERY(IMPORTRANGE(""1T7HG8KEs-Ob7f3M5atEVN9Yn7IeORGp0QGvggB62ELw"",""Maestro!A:I""),""SELECT Col7 WHERE Col3 = '""&amp;BD616&amp;""'"", 0), 1, 1),""NO ENCONTRADO"")"),"")</f>
        <v/>
      </c>
      <c r="BI616" s="16">
        <f t="shared" si="15"/>
        <v>0</v>
      </c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4"/>
      <c r="BW616" s="14"/>
      <c r="BX616" s="14"/>
      <c r="BY616" s="14"/>
      <c r="BZ616" s="14"/>
      <c r="CA616" s="14"/>
      <c r="CB616" s="14"/>
      <c r="CC616" s="14"/>
      <c r="CD616" s="14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</row>
    <row r="617">
      <c r="A617" s="12"/>
      <c r="B617" s="14"/>
      <c r="C617" s="14"/>
      <c r="D617" s="14"/>
      <c r="E617" s="12"/>
      <c r="F617" s="307"/>
      <c r="G617" s="307"/>
      <c r="H617" s="12"/>
      <c r="I617" s="30"/>
      <c r="J617" s="12"/>
      <c r="K617" s="12"/>
      <c r="L617" s="12"/>
      <c r="M617" s="12"/>
      <c r="N617" s="12"/>
      <c r="O617" s="308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4"/>
      <c r="BE617" s="12"/>
      <c r="BF617" s="12"/>
      <c r="BG617" s="12" t="str">
        <f>IFERROR(__xludf.DUMMYFUNCTION("IFERROR(INDEX(QUERY(IMPORTRANGE(""1T7HG8KEs-Ob7f3M5atEVN9Yn7IeORGp0QGvggB62ELw"",""Maestro!A:I""),""SELECT Col8 WHERE Col3 = '""&amp;BD617&amp;""'"", 0), 1, 1),""NO ENCONTRADO"")"),"")</f>
        <v/>
      </c>
      <c r="BH617" s="12" t="str">
        <f>IFERROR(__xludf.DUMMYFUNCTION("IFERROR(INDEX(QUERY(IMPORTRANGE(""1T7HG8KEs-Ob7f3M5atEVN9Yn7IeORGp0QGvggB62ELw"",""Maestro!A:I""),""SELECT Col7 WHERE Col3 = '""&amp;BD617&amp;""'"", 0), 1, 1),""NO ENCONTRADO"")"),"")</f>
        <v/>
      </c>
      <c r="BI617" s="16">
        <f t="shared" si="15"/>
        <v>0</v>
      </c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4"/>
      <c r="BW617" s="14"/>
      <c r="BX617" s="14"/>
      <c r="BY617" s="14"/>
      <c r="BZ617" s="14"/>
      <c r="CA617" s="14"/>
      <c r="CB617" s="14"/>
      <c r="CC617" s="14"/>
      <c r="CD617" s="14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</row>
    <row r="618">
      <c r="A618" s="12"/>
      <c r="B618" s="14"/>
      <c r="C618" s="14"/>
      <c r="D618" s="14"/>
      <c r="E618" s="12"/>
      <c r="F618" s="307"/>
      <c r="G618" s="307"/>
      <c r="H618" s="12"/>
      <c r="I618" s="30"/>
      <c r="J618" s="12"/>
      <c r="K618" s="12"/>
      <c r="L618" s="12"/>
      <c r="M618" s="12"/>
      <c r="N618" s="12"/>
      <c r="O618" s="308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4"/>
      <c r="BE618" s="12"/>
      <c r="BF618" s="12"/>
      <c r="BG618" s="12" t="str">
        <f>IFERROR(__xludf.DUMMYFUNCTION("IFERROR(INDEX(QUERY(IMPORTRANGE(""1T7HG8KEs-Ob7f3M5atEVN9Yn7IeORGp0QGvggB62ELw"",""Maestro!A:I""),""SELECT Col8 WHERE Col3 = '""&amp;BD618&amp;""'"", 0), 1, 1),""NO ENCONTRADO"")"),"")</f>
        <v/>
      </c>
      <c r="BH618" s="12" t="str">
        <f>IFERROR(__xludf.DUMMYFUNCTION("IFERROR(INDEX(QUERY(IMPORTRANGE(""1T7HG8KEs-Ob7f3M5atEVN9Yn7IeORGp0QGvggB62ELw"",""Maestro!A:I""),""SELECT Col7 WHERE Col3 = '""&amp;BD618&amp;""'"", 0), 1, 1),""NO ENCONTRADO"")"),"")</f>
        <v/>
      </c>
      <c r="BI618" s="16">
        <f t="shared" si="15"/>
        <v>0</v>
      </c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4"/>
      <c r="BW618" s="14"/>
      <c r="BX618" s="14"/>
      <c r="BY618" s="14"/>
      <c r="BZ618" s="14"/>
      <c r="CA618" s="14"/>
      <c r="CB618" s="14"/>
      <c r="CC618" s="14"/>
      <c r="CD618" s="14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</row>
    <row r="619">
      <c r="A619" s="12"/>
      <c r="B619" s="14"/>
      <c r="C619" s="14"/>
      <c r="D619" s="14"/>
      <c r="E619" s="12"/>
      <c r="F619" s="307"/>
      <c r="G619" s="307"/>
      <c r="H619" s="12"/>
      <c r="I619" s="30"/>
      <c r="J619" s="12"/>
      <c r="K619" s="12"/>
      <c r="L619" s="12"/>
      <c r="M619" s="12"/>
      <c r="N619" s="12"/>
      <c r="O619" s="308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4"/>
      <c r="BE619" s="12"/>
      <c r="BF619" s="12"/>
      <c r="BG619" s="12" t="str">
        <f>IFERROR(__xludf.DUMMYFUNCTION("IFERROR(INDEX(QUERY(IMPORTRANGE(""1T7HG8KEs-Ob7f3M5atEVN9Yn7IeORGp0QGvggB62ELw"",""Maestro!A:I""),""SELECT Col8 WHERE Col3 = '""&amp;BD619&amp;""'"", 0), 1, 1),""NO ENCONTRADO"")"),"")</f>
        <v/>
      </c>
      <c r="BH619" s="12" t="str">
        <f>IFERROR(__xludf.DUMMYFUNCTION("IFERROR(INDEX(QUERY(IMPORTRANGE(""1T7HG8KEs-Ob7f3M5atEVN9Yn7IeORGp0QGvggB62ELw"",""Maestro!A:I""),""SELECT Col7 WHERE Col3 = '""&amp;BD619&amp;""'"", 0), 1, 1),""NO ENCONTRADO"")"),"")</f>
        <v/>
      </c>
      <c r="BI619" s="16">
        <f t="shared" si="15"/>
        <v>0</v>
      </c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4"/>
      <c r="BW619" s="14"/>
      <c r="BX619" s="14"/>
      <c r="BY619" s="14"/>
      <c r="BZ619" s="14"/>
      <c r="CA619" s="14"/>
      <c r="CB619" s="14"/>
      <c r="CC619" s="14"/>
      <c r="CD619" s="14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</row>
    <row r="620">
      <c r="A620" s="12"/>
      <c r="B620" s="14"/>
      <c r="C620" s="14"/>
      <c r="D620" s="14"/>
      <c r="E620" s="12"/>
      <c r="F620" s="307"/>
      <c r="G620" s="307"/>
      <c r="H620" s="12"/>
      <c r="I620" s="30"/>
      <c r="J620" s="12"/>
      <c r="K620" s="12"/>
      <c r="L620" s="12"/>
      <c r="M620" s="12"/>
      <c r="N620" s="12"/>
      <c r="O620" s="308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4"/>
      <c r="BE620" s="12"/>
      <c r="BF620" s="12"/>
      <c r="BG620" s="12" t="str">
        <f>IFERROR(__xludf.DUMMYFUNCTION("IFERROR(INDEX(QUERY(IMPORTRANGE(""1T7HG8KEs-Ob7f3M5atEVN9Yn7IeORGp0QGvggB62ELw"",""Maestro!A:I""),""SELECT Col8 WHERE Col3 = '""&amp;BD620&amp;""'"", 0), 1, 1),""NO ENCONTRADO"")"),"")</f>
        <v/>
      </c>
      <c r="BH620" s="12" t="str">
        <f>IFERROR(__xludf.DUMMYFUNCTION("IFERROR(INDEX(QUERY(IMPORTRANGE(""1T7HG8KEs-Ob7f3M5atEVN9Yn7IeORGp0QGvggB62ELw"",""Maestro!A:I""),""SELECT Col7 WHERE Col3 = '""&amp;BD620&amp;""'"", 0), 1, 1),""NO ENCONTRADO"")"),"")</f>
        <v/>
      </c>
      <c r="BI620" s="16">
        <f t="shared" si="15"/>
        <v>0</v>
      </c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4"/>
      <c r="BW620" s="14"/>
      <c r="BX620" s="14"/>
      <c r="BY620" s="14"/>
      <c r="BZ620" s="14"/>
      <c r="CA620" s="14"/>
      <c r="CB620" s="14"/>
      <c r="CC620" s="14"/>
      <c r="CD620" s="14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</row>
    <row r="621">
      <c r="A621" s="12"/>
      <c r="B621" s="14"/>
      <c r="C621" s="14"/>
      <c r="D621" s="14"/>
      <c r="E621" s="12"/>
      <c r="F621" s="307"/>
      <c r="G621" s="307"/>
      <c r="H621" s="12"/>
      <c r="I621" s="30"/>
      <c r="J621" s="12"/>
      <c r="K621" s="12"/>
      <c r="L621" s="12"/>
      <c r="M621" s="12"/>
      <c r="N621" s="12"/>
      <c r="O621" s="308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4"/>
      <c r="BE621" s="12"/>
      <c r="BF621" s="12"/>
      <c r="BG621" s="12" t="str">
        <f>IFERROR(__xludf.DUMMYFUNCTION("IFERROR(INDEX(QUERY(IMPORTRANGE(""1T7HG8KEs-Ob7f3M5atEVN9Yn7IeORGp0QGvggB62ELw"",""Maestro!A:I""),""SELECT Col8 WHERE Col3 = '""&amp;BD621&amp;""'"", 0), 1, 1),""NO ENCONTRADO"")"),"")</f>
        <v/>
      </c>
      <c r="BH621" s="12" t="str">
        <f>IFERROR(__xludf.DUMMYFUNCTION("IFERROR(INDEX(QUERY(IMPORTRANGE(""1T7HG8KEs-Ob7f3M5atEVN9Yn7IeORGp0QGvggB62ELw"",""Maestro!A:I""),""SELECT Col7 WHERE Col3 = '""&amp;BD621&amp;""'"", 0), 1, 1),""NO ENCONTRADO"")"),"")</f>
        <v/>
      </c>
      <c r="BI621" s="16">
        <f t="shared" si="15"/>
        <v>0</v>
      </c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4"/>
      <c r="BW621" s="14"/>
      <c r="BX621" s="14"/>
      <c r="BY621" s="14"/>
      <c r="BZ621" s="14"/>
      <c r="CA621" s="14"/>
      <c r="CB621" s="14"/>
      <c r="CC621" s="14"/>
      <c r="CD621" s="14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</row>
    <row r="622">
      <c r="A622" s="12"/>
      <c r="B622" s="14"/>
      <c r="C622" s="14"/>
      <c r="D622" s="14"/>
      <c r="E622" s="12"/>
      <c r="F622" s="307"/>
      <c r="G622" s="307"/>
      <c r="H622" s="12"/>
      <c r="I622" s="30"/>
      <c r="J622" s="12"/>
      <c r="K622" s="12"/>
      <c r="L622" s="12"/>
      <c r="M622" s="12"/>
      <c r="N622" s="12"/>
      <c r="O622" s="308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4"/>
      <c r="BE622" s="12"/>
      <c r="BF622" s="12"/>
      <c r="BG622" s="12" t="str">
        <f>IFERROR(__xludf.DUMMYFUNCTION("IFERROR(INDEX(QUERY(IMPORTRANGE(""1T7HG8KEs-Ob7f3M5atEVN9Yn7IeORGp0QGvggB62ELw"",""Maestro!A:I""),""SELECT Col8 WHERE Col3 = '""&amp;BD622&amp;""'"", 0), 1, 1),""NO ENCONTRADO"")"),"")</f>
        <v/>
      </c>
      <c r="BH622" s="12" t="str">
        <f>IFERROR(__xludf.DUMMYFUNCTION("IFERROR(INDEX(QUERY(IMPORTRANGE(""1T7HG8KEs-Ob7f3M5atEVN9Yn7IeORGp0QGvggB62ELw"",""Maestro!A:I""),""SELECT Col7 WHERE Col3 = '""&amp;BD622&amp;""'"", 0), 1, 1),""NO ENCONTRADO"")"),"")</f>
        <v/>
      </c>
      <c r="BI622" s="16">
        <f t="shared" si="15"/>
        <v>0</v>
      </c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4"/>
      <c r="BW622" s="14"/>
      <c r="BX622" s="14"/>
      <c r="BY622" s="14"/>
      <c r="BZ622" s="14"/>
      <c r="CA622" s="14"/>
      <c r="CB622" s="14"/>
      <c r="CC622" s="14"/>
      <c r="CD622" s="14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</row>
    <row r="623">
      <c r="A623" s="12"/>
      <c r="B623" s="14"/>
      <c r="C623" s="14"/>
      <c r="D623" s="14"/>
      <c r="E623" s="12"/>
      <c r="F623" s="307"/>
      <c r="G623" s="307"/>
      <c r="H623" s="12"/>
      <c r="I623" s="30"/>
      <c r="J623" s="12"/>
      <c r="K623" s="12"/>
      <c r="L623" s="12"/>
      <c r="M623" s="12"/>
      <c r="N623" s="12"/>
      <c r="O623" s="308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4"/>
      <c r="BE623" s="12"/>
      <c r="BF623" s="12"/>
      <c r="BG623" s="12" t="str">
        <f>IFERROR(__xludf.DUMMYFUNCTION("IFERROR(INDEX(QUERY(IMPORTRANGE(""1T7HG8KEs-Ob7f3M5atEVN9Yn7IeORGp0QGvggB62ELw"",""Maestro!A:I""),""SELECT Col8 WHERE Col3 = '""&amp;BD623&amp;""'"", 0), 1, 1),""NO ENCONTRADO"")"),"")</f>
        <v/>
      </c>
      <c r="BH623" s="12" t="str">
        <f>IFERROR(__xludf.DUMMYFUNCTION("IFERROR(INDEX(QUERY(IMPORTRANGE(""1T7HG8KEs-Ob7f3M5atEVN9Yn7IeORGp0QGvggB62ELw"",""Maestro!A:I""),""SELECT Col7 WHERE Col3 = '""&amp;BD623&amp;""'"", 0), 1, 1),""NO ENCONTRADO"")"),"")</f>
        <v/>
      </c>
      <c r="BI623" s="16">
        <f t="shared" si="15"/>
        <v>0</v>
      </c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4"/>
      <c r="BW623" s="14"/>
      <c r="BX623" s="14"/>
      <c r="BY623" s="14"/>
      <c r="BZ623" s="14"/>
      <c r="CA623" s="14"/>
      <c r="CB623" s="14"/>
      <c r="CC623" s="14"/>
      <c r="CD623" s="14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</row>
    <row r="624">
      <c r="A624" s="12"/>
      <c r="B624" s="14"/>
      <c r="C624" s="14"/>
      <c r="D624" s="14"/>
      <c r="E624" s="12"/>
      <c r="F624" s="307"/>
      <c r="G624" s="307"/>
      <c r="H624" s="12"/>
      <c r="I624" s="30"/>
      <c r="J624" s="12"/>
      <c r="K624" s="12"/>
      <c r="L624" s="12"/>
      <c r="M624" s="12"/>
      <c r="N624" s="12"/>
      <c r="O624" s="308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4"/>
      <c r="BE624" s="12"/>
      <c r="BF624" s="12"/>
      <c r="BG624" s="12" t="str">
        <f>IFERROR(__xludf.DUMMYFUNCTION("IFERROR(INDEX(QUERY(IMPORTRANGE(""1T7HG8KEs-Ob7f3M5atEVN9Yn7IeORGp0QGvggB62ELw"",""Maestro!A:I""),""SELECT Col8 WHERE Col3 = '""&amp;BD624&amp;""'"", 0), 1, 1),""NO ENCONTRADO"")"),"")</f>
        <v/>
      </c>
      <c r="BH624" s="12" t="str">
        <f>IFERROR(__xludf.DUMMYFUNCTION("IFERROR(INDEX(QUERY(IMPORTRANGE(""1T7HG8KEs-Ob7f3M5atEVN9Yn7IeORGp0QGvggB62ELw"",""Maestro!A:I""),""SELECT Col7 WHERE Col3 = '""&amp;BD624&amp;""'"", 0), 1, 1),""NO ENCONTRADO"")"),"")</f>
        <v/>
      </c>
      <c r="BI624" s="16">
        <f t="shared" si="15"/>
        <v>0</v>
      </c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4"/>
      <c r="BW624" s="14"/>
      <c r="BX624" s="14"/>
      <c r="BY624" s="14"/>
      <c r="BZ624" s="14"/>
      <c r="CA624" s="14"/>
      <c r="CB624" s="14"/>
      <c r="CC624" s="14"/>
      <c r="CD624" s="14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</row>
    <row r="625">
      <c r="A625" s="12"/>
      <c r="B625" s="14"/>
      <c r="C625" s="14"/>
      <c r="D625" s="14"/>
      <c r="E625" s="12"/>
      <c r="F625" s="307"/>
      <c r="G625" s="307"/>
      <c r="H625" s="12"/>
      <c r="I625" s="30"/>
      <c r="J625" s="12"/>
      <c r="K625" s="12"/>
      <c r="L625" s="12"/>
      <c r="M625" s="12"/>
      <c r="N625" s="12"/>
      <c r="O625" s="308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4"/>
      <c r="BE625" s="12"/>
      <c r="BF625" s="12"/>
      <c r="BG625" s="12" t="str">
        <f>IFERROR(__xludf.DUMMYFUNCTION("IFERROR(INDEX(QUERY(IMPORTRANGE(""1T7HG8KEs-Ob7f3M5atEVN9Yn7IeORGp0QGvggB62ELw"",""Maestro!A:I""),""SELECT Col8 WHERE Col3 = '""&amp;BD625&amp;""'"", 0), 1, 1),""NO ENCONTRADO"")"),"")</f>
        <v/>
      </c>
      <c r="BH625" s="12" t="str">
        <f>IFERROR(__xludf.DUMMYFUNCTION("IFERROR(INDEX(QUERY(IMPORTRANGE(""1T7HG8KEs-Ob7f3M5atEVN9Yn7IeORGp0QGvggB62ELw"",""Maestro!A:I""),""SELECT Col7 WHERE Col3 = '""&amp;BD625&amp;""'"", 0), 1, 1),""NO ENCONTRADO"")"),"")</f>
        <v/>
      </c>
      <c r="BI625" s="16">
        <f t="shared" si="15"/>
        <v>0</v>
      </c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4"/>
      <c r="BW625" s="14"/>
      <c r="BX625" s="14"/>
      <c r="BY625" s="14"/>
      <c r="BZ625" s="14"/>
      <c r="CA625" s="14"/>
      <c r="CB625" s="14"/>
      <c r="CC625" s="14"/>
      <c r="CD625" s="14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</row>
    <row r="626">
      <c r="A626" s="12"/>
      <c r="B626" s="14"/>
      <c r="C626" s="14"/>
      <c r="D626" s="14"/>
      <c r="E626" s="12"/>
      <c r="F626" s="307"/>
      <c r="G626" s="307"/>
      <c r="H626" s="12"/>
      <c r="I626" s="30"/>
      <c r="J626" s="12"/>
      <c r="K626" s="12"/>
      <c r="L626" s="12"/>
      <c r="M626" s="12"/>
      <c r="N626" s="12"/>
      <c r="O626" s="308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4"/>
      <c r="BE626" s="12"/>
      <c r="BF626" s="12"/>
      <c r="BG626" s="12" t="str">
        <f>IFERROR(__xludf.DUMMYFUNCTION("IFERROR(INDEX(QUERY(IMPORTRANGE(""1T7HG8KEs-Ob7f3M5atEVN9Yn7IeORGp0QGvggB62ELw"",""Maestro!A:I""),""SELECT Col8 WHERE Col3 = '""&amp;BD626&amp;""'"", 0), 1, 1),""NO ENCONTRADO"")"),"")</f>
        <v/>
      </c>
      <c r="BH626" s="12" t="str">
        <f>IFERROR(__xludf.DUMMYFUNCTION("IFERROR(INDEX(QUERY(IMPORTRANGE(""1T7HG8KEs-Ob7f3M5atEVN9Yn7IeORGp0QGvggB62ELw"",""Maestro!A:I""),""SELECT Col7 WHERE Col3 = '""&amp;BD626&amp;""'"", 0), 1, 1),""NO ENCONTRADO"")"),"")</f>
        <v/>
      </c>
      <c r="BI626" s="16">
        <f t="shared" si="15"/>
        <v>0</v>
      </c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4"/>
      <c r="BW626" s="14"/>
      <c r="BX626" s="14"/>
      <c r="BY626" s="14"/>
      <c r="BZ626" s="14"/>
      <c r="CA626" s="14"/>
      <c r="CB626" s="14"/>
      <c r="CC626" s="14"/>
      <c r="CD626" s="14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</row>
    <row r="627">
      <c r="A627" s="12"/>
      <c r="B627" s="14"/>
      <c r="C627" s="14"/>
      <c r="D627" s="14"/>
      <c r="E627" s="12"/>
      <c r="F627" s="307"/>
      <c r="G627" s="307"/>
      <c r="H627" s="12"/>
      <c r="I627" s="30"/>
      <c r="J627" s="12"/>
      <c r="K627" s="12"/>
      <c r="L627" s="12"/>
      <c r="M627" s="12"/>
      <c r="N627" s="12"/>
      <c r="O627" s="308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4"/>
      <c r="BE627" s="12"/>
      <c r="BF627" s="12"/>
      <c r="BG627" s="12" t="str">
        <f>IFERROR(__xludf.DUMMYFUNCTION("IFERROR(INDEX(QUERY(IMPORTRANGE(""1T7HG8KEs-Ob7f3M5atEVN9Yn7IeORGp0QGvggB62ELw"",""Maestro!A:I""),""SELECT Col8 WHERE Col3 = '""&amp;BD627&amp;""'"", 0), 1, 1),""NO ENCONTRADO"")"),"")</f>
        <v/>
      </c>
      <c r="BH627" s="12" t="str">
        <f>IFERROR(__xludf.DUMMYFUNCTION("IFERROR(INDEX(QUERY(IMPORTRANGE(""1T7HG8KEs-Ob7f3M5atEVN9Yn7IeORGp0QGvggB62ELw"",""Maestro!A:I""),""SELECT Col7 WHERE Col3 = '""&amp;BD627&amp;""'"", 0), 1, 1),""NO ENCONTRADO"")"),"")</f>
        <v/>
      </c>
      <c r="BI627" s="16">
        <f t="shared" si="15"/>
        <v>0</v>
      </c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4"/>
      <c r="BW627" s="14"/>
      <c r="BX627" s="14"/>
      <c r="BY627" s="14"/>
      <c r="BZ627" s="14"/>
      <c r="CA627" s="14"/>
      <c r="CB627" s="14"/>
      <c r="CC627" s="14"/>
      <c r="CD627" s="14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</row>
    <row r="628">
      <c r="A628" s="12"/>
      <c r="B628" s="14"/>
      <c r="C628" s="14"/>
      <c r="D628" s="14"/>
      <c r="E628" s="12"/>
      <c r="F628" s="307"/>
      <c r="G628" s="307"/>
      <c r="H628" s="12"/>
      <c r="I628" s="30"/>
      <c r="J628" s="12"/>
      <c r="K628" s="12"/>
      <c r="L628" s="12"/>
      <c r="M628" s="12"/>
      <c r="N628" s="12"/>
      <c r="O628" s="308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4"/>
      <c r="BE628" s="12"/>
      <c r="BF628" s="12"/>
      <c r="BG628" s="12" t="str">
        <f>IFERROR(__xludf.DUMMYFUNCTION("IFERROR(INDEX(QUERY(IMPORTRANGE(""1T7HG8KEs-Ob7f3M5atEVN9Yn7IeORGp0QGvggB62ELw"",""Maestro!A:I""),""SELECT Col8 WHERE Col3 = '""&amp;BD628&amp;""'"", 0), 1, 1),""NO ENCONTRADO"")"),"")</f>
        <v/>
      </c>
      <c r="BH628" s="12" t="str">
        <f>IFERROR(__xludf.DUMMYFUNCTION("IFERROR(INDEX(QUERY(IMPORTRANGE(""1T7HG8KEs-Ob7f3M5atEVN9Yn7IeORGp0QGvggB62ELw"",""Maestro!A:I""),""SELECT Col7 WHERE Col3 = '""&amp;BD628&amp;""'"", 0), 1, 1),""NO ENCONTRADO"")"),"")</f>
        <v/>
      </c>
      <c r="BI628" s="16">
        <f t="shared" si="15"/>
        <v>0</v>
      </c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4"/>
      <c r="BW628" s="14"/>
      <c r="BX628" s="14"/>
      <c r="BY628" s="14"/>
      <c r="BZ628" s="14"/>
      <c r="CA628" s="14"/>
      <c r="CB628" s="14"/>
      <c r="CC628" s="14"/>
      <c r="CD628" s="14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</row>
    <row r="629">
      <c r="A629" s="12"/>
      <c r="B629" s="14"/>
      <c r="C629" s="14"/>
      <c r="D629" s="14"/>
      <c r="E629" s="12"/>
      <c r="F629" s="307"/>
      <c r="G629" s="307"/>
      <c r="H629" s="12"/>
      <c r="I629" s="30"/>
      <c r="J629" s="12"/>
      <c r="K629" s="12"/>
      <c r="L629" s="12"/>
      <c r="M629" s="12"/>
      <c r="N629" s="12"/>
      <c r="O629" s="308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4"/>
      <c r="BE629" s="12"/>
      <c r="BF629" s="12"/>
      <c r="BG629" s="12" t="str">
        <f>IFERROR(__xludf.DUMMYFUNCTION("IFERROR(INDEX(QUERY(IMPORTRANGE(""1T7HG8KEs-Ob7f3M5atEVN9Yn7IeORGp0QGvggB62ELw"",""Maestro!A:I""),""SELECT Col8 WHERE Col3 = '""&amp;BD629&amp;""'"", 0), 1, 1),""NO ENCONTRADO"")"),"")</f>
        <v/>
      </c>
      <c r="BH629" s="12" t="str">
        <f>IFERROR(__xludf.DUMMYFUNCTION("IFERROR(INDEX(QUERY(IMPORTRANGE(""1T7HG8KEs-Ob7f3M5atEVN9Yn7IeORGp0QGvggB62ELw"",""Maestro!A:I""),""SELECT Col7 WHERE Col3 = '""&amp;BD629&amp;""'"", 0), 1, 1),""NO ENCONTRADO"")"),"")</f>
        <v/>
      </c>
      <c r="BI629" s="16">
        <f t="shared" si="15"/>
        <v>0</v>
      </c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4"/>
      <c r="BW629" s="14"/>
      <c r="BX629" s="14"/>
      <c r="BY629" s="14"/>
      <c r="BZ629" s="14"/>
      <c r="CA629" s="14"/>
      <c r="CB629" s="14"/>
      <c r="CC629" s="14"/>
      <c r="CD629" s="14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</row>
    <row r="630">
      <c r="A630" s="12"/>
      <c r="B630" s="14"/>
      <c r="C630" s="14"/>
      <c r="D630" s="14"/>
      <c r="E630" s="12"/>
      <c r="F630" s="307"/>
      <c r="G630" s="307"/>
      <c r="H630" s="12"/>
      <c r="I630" s="30"/>
      <c r="J630" s="12"/>
      <c r="K630" s="12"/>
      <c r="L630" s="12"/>
      <c r="M630" s="12"/>
      <c r="N630" s="12"/>
      <c r="O630" s="308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4"/>
      <c r="BE630" s="12"/>
      <c r="BF630" s="12"/>
      <c r="BG630" s="12" t="str">
        <f>IFERROR(__xludf.DUMMYFUNCTION("IFERROR(INDEX(QUERY(IMPORTRANGE(""1T7HG8KEs-Ob7f3M5atEVN9Yn7IeORGp0QGvggB62ELw"",""Maestro!A:I""),""SELECT Col8 WHERE Col3 = '""&amp;BD630&amp;""'"", 0), 1, 1),""NO ENCONTRADO"")"),"")</f>
        <v/>
      </c>
      <c r="BH630" s="12" t="str">
        <f>IFERROR(__xludf.DUMMYFUNCTION("IFERROR(INDEX(QUERY(IMPORTRANGE(""1T7HG8KEs-Ob7f3M5atEVN9Yn7IeORGp0QGvggB62ELw"",""Maestro!A:I""),""SELECT Col7 WHERE Col3 = '""&amp;BD630&amp;""'"", 0), 1, 1),""NO ENCONTRADO"")"),"")</f>
        <v/>
      </c>
      <c r="BI630" s="16">
        <f t="shared" si="15"/>
        <v>0</v>
      </c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4"/>
      <c r="BW630" s="14"/>
      <c r="BX630" s="14"/>
      <c r="BY630" s="14"/>
      <c r="BZ630" s="14"/>
      <c r="CA630" s="14"/>
      <c r="CB630" s="14"/>
      <c r="CC630" s="14"/>
      <c r="CD630" s="14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</row>
    <row r="631">
      <c r="A631" s="12"/>
      <c r="B631" s="14"/>
      <c r="C631" s="14"/>
      <c r="D631" s="14"/>
      <c r="E631" s="12"/>
      <c r="F631" s="307"/>
      <c r="G631" s="307"/>
      <c r="H631" s="12"/>
      <c r="I631" s="30"/>
      <c r="J631" s="12"/>
      <c r="K631" s="12"/>
      <c r="L631" s="12"/>
      <c r="M631" s="12"/>
      <c r="N631" s="12"/>
      <c r="O631" s="308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4"/>
      <c r="BE631" s="12"/>
      <c r="BF631" s="12"/>
      <c r="BG631" s="12" t="str">
        <f>IFERROR(__xludf.DUMMYFUNCTION("IFERROR(INDEX(QUERY(IMPORTRANGE(""1T7HG8KEs-Ob7f3M5atEVN9Yn7IeORGp0QGvggB62ELw"",""Maestro!A:I""),""SELECT Col8 WHERE Col3 = '""&amp;BD631&amp;""'"", 0), 1, 1),""NO ENCONTRADO"")"),"")</f>
        <v/>
      </c>
      <c r="BH631" s="12" t="str">
        <f>IFERROR(__xludf.DUMMYFUNCTION("IFERROR(INDEX(QUERY(IMPORTRANGE(""1T7HG8KEs-Ob7f3M5atEVN9Yn7IeORGp0QGvggB62ELw"",""Maestro!A:I""),""SELECT Col7 WHERE Col3 = '""&amp;BD631&amp;""'"", 0), 1, 1),""NO ENCONTRADO"")"),"")</f>
        <v/>
      </c>
      <c r="BI631" s="16">
        <f t="shared" si="15"/>
        <v>0</v>
      </c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4"/>
      <c r="BW631" s="14"/>
      <c r="BX631" s="14"/>
      <c r="BY631" s="14"/>
      <c r="BZ631" s="14"/>
      <c r="CA631" s="14"/>
      <c r="CB631" s="14"/>
      <c r="CC631" s="14"/>
      <c r="CD631" s="14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</row>
    <row r="632">
      <c r="A632" s="12"/>
      <c r="B632" s="14"/>
      <c r="C632" s="14"/>
      <c r="D632" s="14"/>
      <c r="E632" s="12"/>
      <c r="F632" s="307"/>
      <c r="G632" s="307"/>
      <c r="H632" s="12"/>
      <c r="I632" s="30"/>
      <c r="J632" s="12"/>
      <c r="K632" s="12"/>
      <c r="L632" s="12"/>
      <c r="M632" s="12"/>
      <c r="N632" s="12"/>
      <c r="O632" s="308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4"/>
      <c r="BE632" s="12"/>
      <c r="BF632" s="12"/>
      <c r="BG632" s="12" t="str">
        <f>IFERROR(__xludf.DUMMYFUNCTION("IFERROR(INDEX(QUERY(IMPORTRANGE(""1T7HG8KEs-Ob7f3M5atEVN9Yn7IeORGp0QGvggB62ELw"",""Maestro!A:I""),""SELECT Col8 WHERE Col3 = '""&amp;BD632&amp;""'"", 0), 1, 1),""NO ENCONTRADO"")"),"")</f>
        <v/>
      </c>
      <c r="BH632" s="12" t="str">
        <f>IFERROR(__xludf.DUMMYFUNCTION("IFERROR(INDEX(QUERY(IMPORTRANGE(""1T7HG8KEs-Ob7f3M5atEVN9Yn7IeORGp0QGvggB62ELw"",""Maestro!A:I""),""SELECT Col7 WHERE Col3 = '""&amp;BD632&amp;""'"", 0), 1, 1),""NO ENCONTRADO"")"),"")</f>
        <v/>
      </c>
      <c r="BI632" s="16">
        <f t="shared" si="15"/>
        <v>0</v>
      </c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4"/>
      <c r="BW632" s="14"/>
      <c r="BX632" s="14"/>
      <c r="BY632" s="14"/>
      <c r="BZ632" s="14"/>
      <c r="CA632" s="14"/>
      <c r="CB632" s="14"/>
      <c r="CC632" s="14"/>
      <c r="CD632" s="14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</row>
    <row r="633">
      <c r="A633" s="12"/>
      <c r="B633" s="14"/>
      <c r="C633" s="14"/>
      <c r="D633" s="14"/>
      <c r="E633" s="12"/>
      <c r="F633" s="307"/>
      <c r="G633" s="307"/>
      <c r="H633" s="12"/>
      <c r="I633" s="30"/>
      <c r="J633" s="12"/>
      <c r="K633" s="12"/>
      <c r="L633" s="12"/>
      <c r="M633" s="12"/>
      <c r="N633" s="12"/>
      <c r="O633" s="308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4"/>
      <c r="BE633" s="12"/>
      <c r="BF633" s="12"/>
      <c r="BG633" s="12" t="str">
        <f>IFERROR(__xludf.DUMMYFUNCTION("IFERROR(INDEX(QUERY(IMPORTRANGE(""1T7HG8KEs-Ob7f3M5atEVN9Yn7IeORGp0QGvggB62ELw"",""Maestro!A:I""),""SELECT Col8 WHERE Col3 = '""&amp;BD633&amp;""'"", 0), 1, 1),""NO ENCONTRADO"")"),"")</f>
        <v/>
      </c>
      <c r="BH633" s="12" t="str">
        <f>IFERROR(__xludf.DUMMYFUNCTION("IFERROR(INDEX(QUERY(IMPORTRANGE(""1T7HG8KEs-Ob7f3M5atEVN9Yn7IeORGp0QGvggB62ELw"",""Maestro!A:I""),""SELECT Col7 WHERE Col3 = '""&amp;BD633&amp;""'"", 0), 1, 1),""NO ENCONTRADO"")"),"")</f>
        <v/>
      </c>
      <c r="BI633" s="16">
        <f t="shared" si="15"/>
        <v>0</v>
      </c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4"/>
      <c r="BW633" s="14"/>
      <c r="BX633" s="14"/>
      <c r="BY633" s="14"/>
      <c r="BZ633" s="14"/>
      <c r="CA633" s="14"/>
      <c r="CB633" s="14"/>
      <c r="CC633" s="14"/>
      <c r="CD633" s="14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</row>
    <row r="634">
      <c r="A634" s="12"/>
      <c r="B634" s="14"/>
      <c r="C634" s="14"/>
      <c r="D634" s="14"/>
      <c r="E634" s="12"/>
      <c r="F634" s="307"/>
      <c r="G634" s="307"/>
      <c r="H634" s="12"/>
      <c r="I634" s="30"/>
      <c r="J634" s="12"/>
      <c r="K634" s="12"/>
      <c r="L634" s="12"/>
      <c r="M634" s="12"/>
      <c r="N634" s="12"/>
      <c r="O634" s="308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4"/>
      <c r="BE634" s="12"/>
      <c r="BF634" s="12"/>
      <c r="BG634" s="12" t="str">
        <f>IFERROR(__xludf.DUMMYFUNCTION("IFERROR(INDEX(QUERY(IMPORTRANGE(""1T7HG8KEs-Ob7f3M5atEVN9Yn7IeORGp0QGvggB62ELw"",""Maestro!A:I""),""SELECT Col8 WHERE Col3 = '""&amp;BD634&amp;""'"", 0), 1, 1),""NO ENCONTRADO"")"),"")</f>
        <v/>
      </c>
      <c r="BH634" s="12" t="str">
        <f>IFERROR(__xludf.DUMMYFUNCTION("IFERROR(INDEX(QUERY(IMPORTRANGE(""1T7HG8KEs-Ob7f3M5atEVN9Yn7IeORGp0QGvggB62ELw"",""Maestro!A:I""),""SELECT Col7 WHERE Col3 = '""&amp;BD634&amp;""'"", 0), 1, 1),""NO ENCONTRADO"")"),"")</f>
        <v/>
      </c>
      <c r="BI634" s="16">
        <f t="shared" si="15"/>
        <v>0</v>
      </c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4"/>
      <c r="BW634" s="14"/>
      <c r="BX634" s="14"/>
      <c r="BY634" s="14"/>
      <c r="BZ634" s="14"/>
      <c r="CA634" s="14"/>
      <c r="CB634" s="14"/>
      <c r="CC634" s="14"/>
      <c r="CD634" s="14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</row>
    <row r="635">
      <c r="A635" s="12"/>
      <c r="B635" s="14"/>
      <c r="C635" s="14"/>
      <c r="D635" s="14"/>
      <c r="E635" s="12"/>
      <c r="F635" s="307"/>
      <c r="G635" s="307"/>
      <c r="H635" s="12"/>
      <c r="I635" s="30"/>
      <c r="J635" s="12"/>
      <c r="K635" s="12"/>
      <c r="L635" s="12"/>
      <c r="M635" s="12"/>
      <c r="N635" s="12"/>
      <c r="O635" s="308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4"/>
      <c r="BE635" s="12"/>
      <c r="BF635" s="12"/>
      <c r="BG635" s="12" t="str">
        <f>IFERROR(__xludf.DUMMYFUNCTION("IFERROR(INDEX(QUERY(IMPORTRANGE(""1T7HG8KEs-Ob7f3M5atEVN9Yn7IeORGp0QGvggB62ELw"",""Maestro!A:I""),""SELECT Col8 WHERE Col3 = '""&amp;BD635&amp;""'"", 0), 1, 1),""NO ENCONTRADO"")"),"")</f>
        <v/>
      </c>
      <c r="BH635" s="12" t="str">
        <f>IFERROR(__xludf.DUMMYFUNCTION("IFERROR(INDEX(QUERY(IMPORTRANGE(""1T7HG8KEs-Ob7f3M5atEVN9Yn7IeORGp0QGvggB62ELw"",""Maestro!A:I""),""SELECT Col7 WHERE Col3 = '""&amp;BD635&amp;""'"", 0), 1, 1),""NO ENCONTRADO"")"),"")</f>
        <v/>
      </c>
      <c r="BI635" s="16">
        <f t="shared" si="15"/>
        <v>0</v>
      </c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4"/>
      <c r="BW635" s="14"/>
      <c r="BX635" s="14"/>
      <c r="BY635" s="14"/>
      <c r="BZ635" s="14"/>
      <c r="CA635" s="14"/>
      <c r="CB635" s="14"/>
      <c r="CC635" s="14"/>
      <c r="CD635" s="14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</row>
    <row r="636">
      <c r="A636" s="12"/>
      <c r="B636" s="14"/>
      <c r="C636" s="14"/>
      <c r="D636" s="14"/>
      <c r="E636" s="12"/>
      <c r="F636" s="307"/>
      <c r="G636" s="307"/>
      <c r="H636" s="12"/>
      <c r="I636" s="30"/>
      <c r="J636" s="12"/>
      <c r="K636" s="12"/>
      <c r="L636" s="12"/>
      <c r="M636" s="12"/>
      <c r="N636" s="12"/>
      <c r="O636" s="308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4"/>
      <c r="BE636" s="12"/>
      <c r="BF636" s="12"/>
      <c r="BG636" s="12" t="str">
        <f>IFERROR(__xludf.DUMMYFUNCTION("IFERROR(INDEX(QUERY(IMPORTRANGE(""1T7HG8KEs-Ob7f3M5atEVN9Yn7IeORGp0QGvggB62ELw"",""Maestro!A:I""),""SELECT Col8 WHERE Col3 = '""&amp;BD636&amp;""'"", 0), 1, 1),""NO ENCONTRADO"")"),"")</f>
        <v/>
      </c>
      <c r="BH636" s="12" t="str">
        <f>IFERROR(__xludf.DUMMYFUNCTION("IFERROR(INDEX(QUERY(IMPORTRANGE(""1T7HG8KEs-Ob7f3M5atEVN9Yn7IeORGp0QGvggB62ELw"",""Maestro!A:I""),""SELECT Col7 WHERE Col3 = '""&amp;BD636&amp;""'"", 0), 1, 1),""NO ENCONTRADO"")"),"")</f>
        <v/>
      </c>
      <c r="BI636" s="16">
        <f t="shared" si="15"/>
        <v>0</v>
      </c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4"/>
      <c r="BW636" s="14"/>
      <c r="BX636" s="14"/>
      <c r="BY636" s="14"/>
      <c r="BZ636" s="14"/>
      <c r="CA636" s="14"/>
      <c r="CB636" s="14"/>
      <c r="CC636" s="14"/>
      <c r="CD636" s="14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</row>
    <row r="637">
      <c r="A637" s="12"/>
      <c r="B637" s="14"/>
      <c r="C637" s="14"/>
      <c r="D637" s="14"/>
      <c r="E637" s="12"/>
      <c r="F637" s="307"/>
      <c r="G637" s="307"/>
      <c r="H637" s="12"/>
      <c r="I637" s="30"/>
      <c r="J637" s="12"/>
      <c r="K637" s="12"/>
      <c r="L637" s="12"/>
      <c r="M637" s="12"/>
      <c r="N637" s="12"/>
      <c r="O637" s="308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4"/>
      <c r="BE637" s="12"/>
      <c r="BF637" s="12"/>
      <c r="BG637" s="12" t="str">
        <f>IFERROR(__xludf.DUMMYFUNCTION("IFERROR(INDEX(QUERY(IMPORTRANGE(""1T7HG8KEs-Ob7f3M5atEVN9Yn7IeORGp0QGvggB62ELw"",""Maestro!A:I""),""SELECT Col8 WHERE Col3 = '""&amp;BD637&amp;""'"", 0), 1, 1),""NO ENCONTRADO"")"),"")</f>
        <v/>
      </c>
      <c r="BH637" s="12" t="str">
        <f>IFERROR(__xludf.DUMMYFUNCTION("IFERROR(INDEX(QUERY(IMPORTRANGE(""1T7HG8KEs-Ob7f3M5atEVN9Yn7IeORGp0QGvggB62ELw"",""Maestro!A:I""),""SELECT Col7 WHERE Col3 = '""&amp;BD637&amp;""'"", 0), 1, 1),""NO ENCONTRADO"")"),"")</f>
        <v/>
      </c>
      <c r="BI637" s="16">
        <f t="shared" si="15"/>
        <v>0</v>
      </c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4"/>
      <c r="BW637" s="14"/>
      <c r="BX637" s="14"/>
      <c r="BY637" s="14"/>
      <c r="BZ637" s="14"/>
      <c r="CA637" s="14"/>
      <c r="CB637" s="14"/>
      <c r="CC637" s="14"/>
      <c r="CD637" s="14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</row>
    <row r="638">
      <c r="A638" s="12"/>
      <c r="B638" s="14"/>
      <c r="C638" s="14"/>
      <c r="D638" s="14"/>
      <c r="E638" s="12"/>
      <c r="F638" s="307"/>
      <c r="G638" s="307"/>
      <c r="H638" s="12"/>
      <c r="I638" s="30"/>
      <c r="J638" s="12"/>
      <c r="K638" s="12"/>
      <c r="L638" s="12"/>
      <c r="M638" s="12"/>
      <c r="N638" s="12"/>
      <c r="O638" s="308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4"/>
      <c r="BE638" s="12"/>
      <c r="BF638" s="12"/>
      <c r="BG638" s="12" t="str">
        <f>IFERROR(__xludf.DUMMYFUNCTION("IFERROR(INDEX(QUERY(IMPORTRANGE(""1T7HG8KEs-Ob7f3M5atEVN9Yn7IeORGp0QGvggB62ELw"",""Maestro!A:I""),""SELECT Col8 WHERE Col3 = '""&amp;BD638&amp;""'"", 0), 1, 1),""NO ENCONTRADO"")"),"")</f>
        <v/>
      </c>
      <c r="BH638" s="12" t="str">
        <f>IFERROR(__xludf.DUMMYFUNCTION("IFERROR(INDEX(QUERY(IMPORTRANGE(""1T7HG8KEs-Ob7f3M5atEVN9Yn7IeORGp0QGvggB62ELw"",""Maestro!A:I""),""SELECT Col7 WHERE Col3 = '""&amp;BD638&amp;""'"", 0), 1, 1),""NO ENCONTRADO"")"),"")</f>
        <v/>
      </c>
      <c r="BI638" s="16">
        <f t="shared" si="15"/>
        <v>0</v>
      </c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4"/>
      <c r="BW638" s="14"/>
      <c r="BX638" s="14"/>
      <c r="BY638" s="14"/>
      <c r="BZ638" s="14"/>
      <c r="CA638" s="14"/>
      <c r="CB638" s="14"/>
      <c r="CC638" s="14"/>
      <c r="CD638" s="14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</row>
    <row r="639">
      <c r="A639" s="12"/>
      <c r="B639" s="14"/>
      <c r="C639" s="14"/>
      <c r="D639" s="14"/>
      <c r="E639" s="12"/>
      <c r="F639" s="307"/>
      <c r="G639" s="307"/>
      <c r="H639" s="12"/>
      <c r="I639" s="30"/>
      <c r="J639" s="12"/>
      <c r="K639" s="12"/>
      <c r="L639" s="12"/>
      <c r="M639" s="12"/>
      <c r="N639" s="12"/>
      <c r="O639" s="308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4"/>
      <c r="BE639" s="12"/>
      <c r="BF639" s="12"/>
      <c r="BG639" s="12" t="str">
        <f>IFERROR(__xludf.DUMMYFUNCTION("IFERROR(INDEX(QUERY(IMPORTRANGE(""1T7HG8KEs-Ob7f3M5atEVN9Yn7IeORGp0QGvggB62ELw"",""Maestro!A:I""),""SELECT Col8 WHERE Col3 = '""&amp;BD639&amp;""'"", 0), 1, 1),""NO ENCONTRADO"")"),"")</f>
        <v/>
      </c>
      <c r="BH639" s="12" t="str">
        <f>IFERROR(__xludf.DUMMYFUNCTION("IFERROR(INDEX(QUERY(IMPORTRANGE(""1T7HG8KEs-Ob7f3M5atEVN9Yn7IeORGp0QGvggB62ELw"",""Maestro!A:I""),""SELECT Col7 WHERE Col3 = '""&amp;BD639&amp;""'"", 0), 1, 1),""NO ENCONTRADO"")"),"")</f>
        <v/>
      </c>
      <c r="BI639" s="16">
        <f t="shared" si="15"/>
        <v>0</v>
      </c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4"/>
      <c r="BW639" s="14"/>
      <c r="BX639" s="14"/>
      <c r="BY639" s="14"/>
      <c r="BZ639" s="14"/>
      <c r="CA639" s="14"/>
      <c r="CB639" s="14"/>
      <c r="CC639" s="14"/>
      <c r="CD639" s="14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</row>
    <row r="640">
      <c r="A640" s="12"/>
      <c r="B640" s="14"/>
      <c r="C640" s="14"/>
      <c r="D640" s="14"/>
      <c r="E640" s="12"/>
      <c r="F640" s="307"/>
      <c r="G640" s="307"/>
      <c r="H640" s="12"/>
      <c r="I640" s="30"/>
      <c r="J640" s="12"/>
      <c r="K640" s="12"/>
      <c r="L640" s="12"/>
      <c r="M640" s="12"/>
      <c r="N640" s="12"/>
      <c r="O640" s="308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4"/>
      <c r="BE640" s="12"/>
      <c r="BF640" s="12"/>
      <c r="BG640" s="12" t="str">
        <f>IFERROR(__xludf.DUMMYFUNCTION("IFERROR(INDEX(QUERY(IMPORTRANGE(""1T7HG8KEs-Ob7f3M5atEVN9Yn7IeORGp0QGvggB62ELw"",""Maestro!A:I""),""SELECT Col8 WHERE Col3 = '""&amp;BD640&amp;""'"", 0), 1, 1),""NO ENCONTRADO"")"),"")</f>
        <v/>
      </c>
      <c r="BH640" s="12" t="str">
        <f>IFERROR(__xludf.DUMMYFUNCTION("IFERROR(INDEX(QUERY(IMPORTRANGE(""1T7HG8KEs-Ob7f3M5atEVN9Yn7IeORGp0QGvggB62ELw"",""Maestro!A:I""),""SELECT Col7 WHERE Col3 = '""&amp;BD640&amp;""'"", 0), 1, 1),""NO ENCONTRADO"")"),"")</f>
        <v/>
      </c>
      <c r="BI640" s="16">
        <f t="shared" si="15"/>
        <v>0</v>
      </c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4"/>
      <c r="BW640" s="14"/>
      <c r="BX640" s="14"/>
      <c r="BY640" s="14"/>
      <c r="BZ640" s="14"/>
      <c r="CA640" s="14"/>
      <c r="CB640" s="14"/>
      <c r="CC640" s="14"/>
      <c r="CD640" s="14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</row>
    <row r="641">
      <c r="A641" s="12"/>
      <c r="B641" s="14"/>
      <c r="C641" s="14"/>
      <c r="D641" s="14"/>
      <c r="E641" s="12"/>
      <c r="F641" s="307"/>
      <c r="G641" s="307"/>
      <c r="H641" s="12"/>
      <c r="I641" s="30"/>
      <c r="J641" s="12"/>
      <c r="K641" s="12"/>
      <c r="L641" s="12"/>
      <c r="M641" s="12"/>
      <c r="N641" s="12"/>
      <c r="O641" s="308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4"/>
      <c r="BE641" s="12"/>
      <c r="BF641" s="12"/>
      <c r="BG641" s="12" t="str">
        <f>IFERROR(__xludf.DUMMYFUNCTION("IFERROR(INDEX(QUERY(IMPORTRANGE(""1T7HG8KEs-Ob7f3M5atEVN9Yn7IeORGp0QGvggB62ELw"",""Maestro!A:I""),""SELECT Col8 WHERE Col3 = '""&amp;BD641&amp;""'"", 0), 1, 1),""NO ENCONTRADO"")"),"")</f>
        <v/>
      </c>
      <c r="BH641" s="12" t="str">
        <f>IFERROR(__xludf.DUMMYFUNCTION("IFERROR(INDEX(QUERY(IMPORTRANGE(""1T7HG8KEs-Ob7f3M5atEVN9Yn7IeORGp0QGvggB62ELw"",""Maestro!A:I""),""SELECT Col7 WHERE Col3 = '""&amp;BD641&amp;""'"", 0), 1, 1),""NO ENCONTRADO"")"),"")</f>
        <v/>
      </c>
      <c r="BI641" s="16">
        <f t="shared" si="15"/>
        <v>0</v>
      </c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4"/>
      <c r="BW641" s="14"/>
      <c r="BX641" s="14"/>
      <c r="BY641" s="14"/>
      <c r="BZ641" s="14"/>
      <c r="CA641" s="14"/>
      <c r="CB641" s="14"/>
      <c r="CC641" s="14"/>
      <c r="CD641" s="14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</row>
    <row r="642">
      <c r="A642" s="12"/>
      <c r="B642" s="14"/>
      <c r="C642" s="14"/>
      <c r="D642" s="14"/>
      <c r="E642" s="12"/>
      <c r="F642" s="307"/>
      <c r="G642" s="307"/>
      <c r="H642" s="12"/>
      <c r="I642" s="30"/>
      <c r="J642" s="12"/>
      <c r="K642" s="12"/>
      <c r="L642" s="12"/>
      <c r="M642" s="12"/>
      <c r="N642" s="12"/>
      <c r="O642" s="308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4"/>
      <c r="BE642" s="12"/>
      <c r="BF642" s="12"/>
      <c r="BG642" s="12" t="str">
        <f>IFERROR(__xludf.DUMMYFUNCTION("IFERROR(INDEX(QUERY(IMPORTRANGE(""1T7HG8KEs-Ob7f3M5atEVN9Yn7IeORGp0QGvggB62ELw"",""Maestro!A:I""),""SELECT Col8 WHERE Col3 = '""&amp;BD642&amp;""'"", 0), 1, 1),""NO ENCONTRADO"")"),"")</f>
        <v/>
      </c>
      <c r="BH642" s="12" t="str">
        <f>IFERROR(__xludf.DUMMYFUNCTION("IFERROR(INDEX(QUERY(IMPORTRANGE(""1T7HG8KEs-Ob7f3M5atEVN9Yn7IeORGp0QGvggB62ELw"",""Maestro!A:I""),""SELECT Col7 WHERE Col3 = '""&amp;BD642&amp;""'"", 0), 1, 1),""NO ENCONTRADO"")"),"")</f>
        <v/>
      </c>
      <c r="BI642" s="16">
        <f t="shared" si="15"/>
        <v>0</v>
      </c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4"/>
      <c r="BW642" s="14"/>
      <c r="BX642" s="14"/>
      <c r="BY642" s="14"/>
      <c r="BZ642" s="14"/>
      <c r="CA642" s="14"/>
      <c r="CB642" s="14"/>
      <c r="CC642" s="14"/>
      <c r="CD642" s="14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</row>
    <row r="643">
      <c r="A643" s="12"/>
      <c r="B643" s="14"/>
      <c r="C643" s="14"/>
      <c r="D643" s="14"/>
      <c r="E643" s="12"/>
      <c r="F643" s="307"/>
      <c r="G643" s="307"/>
      <c r="H643" s="12"/>
      <c r="I643" s="30"/>
      <c r="J643" s="12"/>
      <c r="K643" s="12"/>
      <c r="L643" s="12"/>
      <c r="M643" s="12"/>
      <c r="N643" s="12"/>
      <c r="O643" s="308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4"/>
      <c r="BE643" s="12"/>
      <c r="BF643" s="12"/>
      <c r="BG643" s="12" t="str">
        <f>IFERROR(__xludf.DUMMYFUNCTION("IFERROR(INDEX(QUERY(IMPORTRANGE(""1T7HG8KEs-Ob7f3M5atEVN9Yn7IeORGp0QGvggB62ELw"",""Maestro!A:I""),""SELECT Col8 WHERE Col3 = '""&amp;BD643&amp;""'"", 0), 1, 1),""NO ENCONTRADO"")"),"")</f>
        <v/>
      </c>
      <c r="BH643" s="12" t="str">
        <f>IFERROR(__xludf.DUMMYFUNCTION("IFERROR(INDEX(QUERY(IMPORTRANGE(""1T7HG8KEs-Ob7f3M5atEVN9Yn7IeORGp0QGvggB62ELw"",""Maestro!A:I""),""SELECT Col7 WHERE Col3 = '""&amp;BD643&amp;""'"", 0), 1, 1),""NO ENCONTRADO"")"),"")</f>
        <v/>
      </c>
      <c r="BI643" s="16">
        <f t="shared" si="15"/>
        <v>0</v>
      </c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4"/>
      <c r="BW643" s="14"/>
      <c r="BX643" s="14"/>
      <c r="BY643" s="14"/>
      <c r="BZ643" s="14"/>
      <c r="CA643" s="14"/>
      <c r="CB643" s="14"/>
      <c r="CC643" s="14"/>
      <c r="CD643" s="14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</row>
    <row r="644">
      <c r="A644" s="12"/>
      <c r="B644" s="14"/>
      <c r="C644" s="14"/>
      <c r="D644" s="14"/>
      <c r="E644" s="12"/>
      <c r="F644" s="307"/>
      <c r="G644" s="307"/>
      <c r="H644" s="12"/>
      <c r="I644" s="30"/>
      <c r="J644" s="12"/>
      <c r="K644" s="12"/>
      <c r="L644" s="12"/>
      <c r="M644" s="12"/>
      <c r="N644" s="12"/>
      <c r="O644" s="308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4"/>
      <c r="BE644" s="12"/>
      <c r="BF644" s="12"/>
      <c r="BG644" s="12" t="str">
        <f>IFERROR(__xludf.DUMMYFUNCTION("IFERROR(INDEX(QUERY(IMPORTRANGE(""1T7HG8KEs-Ob7f3M5atEVN9Yn7IeORGp0QGvggB62ELw"",""Maestro!A:I""),""SELECT Col8 WHERE Col3 = '""&amp;BD644&amp;""'"", 0), 1, 1),""NO ENCONTRADO"")"),"")</f>
        <v/>
      </c>
      <c r="BH644" s="12" t="str">
        <f>IFERROR(__xludf.DUMMYFUNCTION("IFERROR(INDEX(QUERY(IMPORTRANGE(""1T7HG8KEs-Ob7f3M5atEVN9Yn7IeORGp0QGvggB62ELw"",""Maestro!A:I""),""SELECT Col7 WHERE Col3 = '""&amp;BD644&amp;""'"", 0), 1, 1),""NO ENCONTRADO"")"),"")</f>
        <v/>
      </c>
      <c r="BI644" s="16">
        <f t="shared" si="15"/>
        <v>0</v>
      </c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4"/>
      <c r="BW644" s="14"/>
      <c r="BX644" s="14"/>
      <c r="BY644" s="14"/>
      <c r="BZ644" s="14"/>
      <c r="CA644" s="14"/>
      <c r="CB644" s="14"/>
      <c r="CC644" s="14"/>
      <c r="CD644" s="14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</row>
    <row r="645">
      <c r="A645" s="12"/>
      <c r="B645" s="14"/>
      <c r="C645" s="14"/>
      <c r="D645" s="14"/>
      <c r="E645" s="12"/>
      <c r="F645" s="307"/>
      <c r="G645" s="307"/>
      <c r="H645" s="12"/>
      <c r="I645" s="30"/>
      <c r="J645" s="12"/>
      <c r="K645" s="12"/>
      <c r="L645" s="12"/>
      <c r="M645" s="12"/>
      <c r="N645" s="12"/>
      <c r="O645" s="308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4"/>
      <c r="BE645" s="12"/>
      <c r="BF645" s="12"/>
      <c r="BG645" s="12" t="str">
        <f>IFERROR(__xludf.DUMMYFUNCTION("IFERROR(INDEX(QUERY(IMPORTRANGE(""1T7HG8KEs-Ob7f3M5atEVN9Yn7IeORGp0QGvggB62ELw"",""Maestro!A:I""),""SELECT Col8 WHERE Col3 = '""&amp;BD645&amp;""'"", 0), 1, 1),""NO ENCONTRADO"")"),"")</f>
        <v/>
      </c>
      <c r="BH645" s="12" t="str">
        <f>IFERROR(__xludf.DUMMYFUNCTION("IFERROR(INDEX(QUERY(IMPORTRANGE(""1T7HG8KEs-Ob7f3M5atEVN9Yn7IeORGp0QGvggB62ELw"",""Maestro!A:I""),""SELECT Col7 WHERE Col3 = '""&amp;BD645&amp;""'"", 0), 1, 1),""NO ENCONTRADO"")"),"")</f>
        <v/>
      </c>
      <c r="BI645" s="16">
        <f t="shared" si="15"/>
        <v>0</v>
      </c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4"/>
      <c r="BW645" s="14"/>
      <c r="BX645" s="14"/>
      <c r="BY645" s="14"/>
      <c r="BZ645" s="14"/>
      <c r="CA645" s="14"/>
      <c r="CB645" s="14"/>
      <c r="CC645" s="14"/>
      <c r="CD645" s="14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</row>
    <row r="646">
      <c r="A646" s="12"/>
      <c r="B646" s="14"/>
      <c r="C646" s="14"/>
      <c r="D646" s="14"/>
      <c r="E646" s="12"/>
      <c r="F646" s="307"/>
      <c r="G646" s="307"/>
      <c r="H646" s="12"/>
      <c r="I646" s="30"/>
      <c r="J646" s="12"/>
      <c r="K646" s="12"/>
      <c r="L646" s="12"/>
      <c r="M646" s="12"/>
      <c r="N646" s="12"/>
      <c r="O646" s="308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4"/>
      <c r="BE646" s="12"/>
      <c r="BF646" s="12"/>
      <c r="BG646" s="12" t="str">
        <f>IFERROR(__xludf.DUMMYFUNCTION("IFERROR(INDEX(QUERY(IMPORTRANGE(""1T7HG8KEs-Ob7f3M5atEVN9Yn7IeORGp0QGvggB62ELw"",""Maestro!A:I""),""SELECT Col8 WHERE Col3 = '""&amp;BD646&amp;""'"", 0), 1, 1),""NO ENCONTRADO"")"),"")</f>
        <v/>
      </c>
      <c r="BH646" s="12" t="str">
        <f>IFERROR(__xludf.DUMMYFUNCTION("IFERROR(INDEX(QUERY(IMPORTRANGE(""1T7HG8KEs-Ob7f3M5atEVN9Yn7IeORGp0QGvggB62ELw"",""Maestro!A:I""),""SELECT Col7 WHERE Col3 = '""&amp;BD646&amp;""'"", 0), 1, 1),""NO ENCONTRADO"")"),"")</f>
        <v/>
      </c>
      <c r="BI646" s="16">
        <f t="shared" si="15"/>
        <v>0</v>
      </c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4"/>
      <c r="BW646" s="14"/>
      <c r="BX646" s="14"/>
      <c r="BY646" s="14"/>
      <c r="BZ646" s="14"/>
      <c r="CA646" s="14"/>
      <c r="CB646" s="14"/>
      <c r="CC646" s="14"/>
      <c r="CD646" s="14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</row>
    <row r="647">
      <c r="A647" s="12"/>
      <c r="B647" s="14"/>
      <c r="C647" s="14"/>
      <c r="D647" s="14"/>
      <c r="E647" s="12"/>
      <c r="F647" s="307"/>
      <c r="G647" s="307"/>
      <c r="H647" s="12"/>
      <c r="I647" s="30"/>
      <c r="J647" s="12"/>
      <c r="K647" s="12"/>
      <c r="L647" s="12"/>
      <c r="M647" s="12"/>
      <c r="N647" s="12"/>
      <c r="O647" s="308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4"/>
      <c r="BE647" s="12"/>
      <c r="BF647" s="12"/>
      <c r="BG647" s="12" t="str">
        <f>IFERROR(__xludf.DUMMYFUNCTION("IFERROR(INDEX(QUERY(IMPORTRANGE(""1T7HG8KEs-Ob7f3M5atEVN9Yn7IeORGp0QGvggB62ELw"",""Maestro!A:I""),""SELECT Col8 WHERE Col3 = '""&amp;BD647&amp;""'"", 0), 1, 1),""NO ENCONTRADO"")"),"")</f>
        <v/>
      </c>
      <c r="BH647" s="12" t="str">
        <f>IFERROR(__xludf.DUMMYFUNCTION("IFERROR(INDEX(QUERY(IMPORTRANGE(""1T7HG8KEs-Ob7f3M5atEVN9Yn7IeORGp0QGvggB62ELw"",""Maestro!A:I""),""SELECT Col7 WHERE Col3 = '""&amp;BD647&amp;""'"", 0), 1, 1),""NO ENCONTRADO"")"),"")</f>
        <v/>
      </c>
      <c r="BI647" s="16">
        <f t="shared" si="15"/>
        <v>0</v>
      </c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4"/>
      <c r="BW647" s="14"/>
      <c r="BX647" s="14"/>
      <c r="BY647" s="14"/>
      <c r="BZ647" s="14"/>
      <c r="CA647" s="14"/>
      <c r="CB647" s="14"/>
      <c r="CC647" s="14"/>
      <c r="CD647" s="14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</row>
    <row r="648">
      <c r="A648" s="12"/>
      <c r="B648" s="14"/>
      <c r="C648" s="14"/>
      <c r="D648" s="14"/>
      <c r="E648" s="12"/>
      <c r="F648" s="307"/>
      <c r="G648" s="307"/>
      <c r="H648" s="12"/>
      <c r="I648" s="30"/>
      <c r="J648" s="12"/>
      <c r="K648" s="12"/>
      <c r="L648" s="12"/>
      <c r="M648" s="12"/>
      <c r="N648" s="12"/>
      <c r="O648" s="308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4"/>
      <c r="BE648" s="12"/>
      <c r="BF648" s="12"/>
      <c r="BG648" s="12" t="str">
        <f>IFERROR(__xludf.DUMMYFUNCTION("IFERROR(INDEX(QUERY(IMPORTRANGE(""1T7HG8KEs-Ob7f3M5atEVN9Yn7IeORGp0QGvggB62ELw"",""Maestro!A:I""),""SELECT Col8 WHERE Col3 = '""&amp;BD648&amp;""'"", 0), 1, 1),""NO ENCONTRADO"")"),"")</f>
        <v/>
      </c>
      <c r="BH648" s="12" t="str">
        <f>IFERROR(__xludf.DUMMYFUNCTION("IFERROR(INDEX(QUERY(IMPORTRANGE(""1T7HG8KEs-Ob7f3M5atEVN9Yn7IeORGp0QGvggB62ELw"",""Maestro!A:I""),""SELECT Col7 WHERE Col3 = '""&amp;BD648&amp;""'"", 0), 1, 1),""NO ENCONTRADO"")"),"")</f>
        <v/>
      </c>
      <c r="BI648" s="16">
        <f t="shared" si="15"/>
        <v>0</v>
      </c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4"/>
      <c r="BW648" s="14"/>
      <c r="BX648" s="14"/>
      <c r="BY648" s="14"/>
      <c r="BZ648" s="14"/>
      <c r="CA648" s="14"/>
      <c r="CB648" s="14"/>
      <c r="CC648" s="14"/>
      <c r="CD648" s="14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</row>
    <row r="649">
      <c r="A649" s="12"/>
      <c r="B649" s="14"/>
      <c r="C649" s="14"/>
      <c r="D649" s="14"/>
      <c r="E649" s="12"/>
      <c r="F649" s="307"/>
      <c r="G649" s="307"/>
      <c r="H649" s="12"/>
      <c r="I649" s="30"/>
      <c r="J649" s="12"/>
      <c r="K649" s="12"/>
      <c r="L649" s="12"/>
      <c r="M649" s="12"/>
      <c r="N649" s="12"/>
      <c r="O649" s="308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4"/>
      <c r="BE649" s="12"/>
      <c r="BF649" s="12"/>
      <c r="BG649" s="12" t="str">
        <f>IFERROR(__xludf.DUMMYFUNCTION("IFERROR(INDEX(QUERY(IMPORTRANGE(""1T7HG8KEs-Ob7f3M5atEVN9Yn7IeORGp0QGvggB62ELw"",""Maestro!A:I""),""SELECT Col8 WHERE Col3 = '""&amp;BD649&amp;""'"", 0), 1, 1),""NO ENCONTRADO"")"),"")</f>
        <v/>
      </c>
      <c r="BH649" s="12" t="str">
        <f>IFERROR(__xludf.DUMMYFUNCTION("IFERROR(INDEX(QUERY(IMPORTRANGE(""1T7HG8KEs-Ob7f3M5atEVN9Yn7IeORGp0QGvggB62ELw"",""Maestro!A:I""),""SELECT Col7 WHERE Col3 = '""&amp;BD649&amp;""'"", 0), 1, 1),""NO ENCONTRADO"")"),"")</f>
        <v/>
      </c>
      <c r="BI649" s="16">
        <f t="shared" si="15"/>
        <v>0</v>
      </c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4"/>
      <c r="BW649" s="14"/>
      <c r="BX649" s="14"/>
      <c r="BY649" s="14"/>
      <c r="BZ649" s="14"/>
      <c r="CA649" s="14"/>
      <c r="CB649" s="14"/>
      <c r="CC649" s="14"/>
      <c r="CD649" s="14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</row>
    <row r="650">
      <c r="A650" s="12"/>
      <c r="B650" s="14"/>
      <c r="C650" s="14"/>
      <c r="D650" s="14"/>
      <c r="E650" s="12"/>
      <c r="F650" s="307"/>
      <c r="G650" s="307"/>
      <c r="H650" s="12"/>
      <c r="I650" s="30"/>
      <c r="J650" s="12"/>
      <c r="K650" s="12"/>
      <c r="L650" s="12"/>
      <c r="M650" s="12"/>
      <c r="N650" s="12"/>
      <c r="O650" s="308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4"/>
      <c r="BE650" s="12"/>
      <c r="BF650" s="12"/>
      <c r="BG650" s="12" t="str">
        <f>IFERROR(__xludf.DUMMYFUNCTION("IFERROR(INDEX(QUERY(IMPORTRANGE(""1T7HG8KEs-Ob7f3M5atEVN9Yn7IeORGp0QGvggB62ELw"",""Maestro!A:I""),""SELECT Col8 WHERE Col3 = '""&amp;BD650&amp;""'"", 0), 1, 1),""NO ENCONTRADO"")"),"")</f>
        <v/>
      </c>
      <c r="BH650" s="12" t="str">
        <f>IFERROR(__xludf.DUMMYFUNCTION("IFERROR(INDEX(QUERY(IMPORTRANGE(""1T7HG8KEs-Ob7f3M5atEVN9Yn7IeORGp0QGvggB62ELw"",""Maestro!A:I""),""SELECT Col7 WHERE Col3 = '""&amp;BD650&amp;""'"", 0), 1, 1),""NO ENCONTRADO"")"),"")</f>
        <v/>
      </c>
      <c r="BI650" s="16">
        <f t="shared" si="15"/>
        <v>0</v>
      </c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4"/>
      <c r="BW650" s="14"/>
      <c r="BX650" s="14"/>
      <c r="BY650" s="14"/>
      <c r="BZ650" s="14"/>
      <c r="CA650" s="14"/>
      <c r="CB650" s="14"/>
      <c r="CC650" s="14"/>
      <c r="CD650" s="14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</row>
    <row r="651">
      <c r="A651" s="12"/>
      <c r="B651" s="14"/>
      <c r="C651" s="14"/>
      <c r="D651" s="14"/>
      <c r="E651" s="12"/>
      <c r="F651" s="307"/>
      <c r="G651" s="307"/>
      <c r="H651" s="12"/>
      <c r="I651" s="30"/>
      <c r="J651" s="12"/>
      <c r="K651" s="12"/>
      <c r="L651" s="12"/>
      <c r="M651" s="12"/>
      <c r="N651" s="12"/>
      <c r="O651" s="308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4"/>
      <c r="BE651" s="12"/>
      <c r="BF651" s="12"/>
      <c r="BG651" s="12" t="str">
        <f>IFERROR(__xludf.DUMMYFUNCTION("IFERROR(INDEX(QUERY(IMPORTRANGE(""1T7HG8KEs-Ob7f3M5atEVN9Yn7IeORGp0QGvggB62ELw"",""Maestro!A:I""),""SELECT Col8 WHERE Col3 = '""&amp;BD651&amp;""'"", 0), 1, 1),""NO ENCONTRADO"")"),"")</f>
        <v/>
      </c>
      <c r="BH651" s="12" t="str">
        <f>IFERROR(__xludf.DUMMYFUNCTION("IFERROR(INDEX(QUERY(IMPORTRANGE(""1T7HG8KEs-Ob7f3M5atEVN9Yn7IeORGp0QGvggB62ELw"",""Maestro!A:I""),""SELECT Col7 WHERE Col3 = '""&amp;BD651&amp;""'"", 0), 1, 1),""NO ENCONTRADO"")"),"")</f>
        <v/>
      </c>
      <c r="BI651" s="16">
        <f t="shared" si="15"/>
        <v>0</v>
      </c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4"/>
      <c r="BW651" s="14"/>
      <c r="BX651" s="14"/>
      <c r="BY651" s="14"/>
      <c r="BZ651" s="14"/>
      <c r="CA651" s="14"/>
      <c r="CB651" s="14"/>
      <c r="CC651" s="14"/>
      <c r="CD651" s="14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</row>
    <row r="652">
      <c r="A652" s="12"/>
      <c r="B652" s="14"/>
      <c r="C652" s="14"/>
      <c r="D652" s="14"/>
      <c r="E652" s="12"/>
      <c r="F652" s="307"/>
      <c r="G652" s="307"/>
      <c r="H652" s="12"/>
      <c r="I652" s="30"/>
      <c r="J652" s="12"/>
      <c r="K652" s="12"/>
      <c r="L652" s="12"/>
      <c r="M652" s="12"/>
      <c r="N652" s="12"/>
      <c r="O652" s="308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4"/>
      <c r="BE652" s="12"/>
      <c r="BF652" s="12"/>
      <c r="BG652" s="12" t="str">
        <f>IFERROR(__xludf.DUMMYFUNCTION("IFERROR(INDEX(QUERY(IMPORTRANGE(""1T7HG8KEs-Ob7f3M5atEVN9Yn7IeORGp0QGvggB62ELw"",""Maestro!A:I""),""SELECT Col8 WHERE Col3 = '""&amp;BD652&amp;""'"", 0), 1, 1),""NO ENCONTRADO"")"),"")</f>
        <v/>
      </c>
      <c r="BH652" s="12" t="str">
        <f>IFERROR(__xludf.DUMMYFUNCTION("IFERROR(INDEX(QUERY(IMPORTRANGE(""1T7HG8KEs-Ob7f3M5atEVN9Yn7IeORGp0QGvggB62ELw"",""Maestro!A:I""),""SELECT Col7 WHERE Col3 = '""&amp;BD652&amp;""'"", 0), 1, 1),""NO ENCONTRADO"")"),"")</f>
        <v/>
      </c>
      <c r="BI652" s="16">
        <f t="shared" si="15"/>
        <v>0</v>
      </c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4"/>
      <c r="BW652" s="14"/>
      <c r="BX652" s="14"/>
      <c r="BY652" s="14"/>
      <c r="BZ652" s="14"/>
      <c r="CA652" s="14"/>
      <c r="CB652" s="14"/>
      <c r="CC652" s="14"/>
      <c r="CD652" s="14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</row>
    <row r="653">
      <c r="A653" s="12"/>
      <c r="B653" s="14"/>
      <c r="C653" s="14"/>
      <c r="D653" s="14"/>
      <c r="E653" s="12"/>
      <c r="F653" s="307"/>
      <c r="G653" s="307"/>
      <c r="H653" s="12"/>
      <c r="I653" s="30"/>
      <c r="J653" s="12"/>
      <c r="K653" s="12"/>
      <c r="L653" s="12"/>
      <c r="M653" s="12"/>
      <c r="N653" s="12"/>
      <c r="O653" s="308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4"/>
      <c r="BE653" s="12"/>
      <c r="BF653" s="12"/>
      <c r="BG653" s="12" t="str">
        <f>IFERROR(__xludf.DUMMYFUNCTION("IFERROR(INDEX(QUERY(IMPORTRANGE(""1T7HG8KEs-Ob7f3M5atEVN9Yn7IeORGp0QGvggB62ELw"",""Maestro!A:I""),""SELECT Col8 WHERE Col3 = '""&amp;BD653&amp;""'"", 0), 1, 1),""NO ENCONTRADO"")"),"")</f>
        <v/>
      </c>
      <c r="BH653" s="12" t="str">
        <f>IFERROR(__xludf.DUMMYFUNCTION("IFERROR(INDEX(QUERY(IMPORTRANGE(""1T7HG8KEs-Ob7f3M5atEVN9Yn7IeORGp0QGvggB62ELw"",""Maestro!A:I""),""SELECT Col7 WHERE Col3 = '""&amp;BD653&amp;""'"", 0), 1, 1),""NO ENCONTRADO"")"),"")</f>
        <v/>
      </c>
      <c r="BI653" s="16">
        <f t="shared" si="15"/>
        <v>0</v>
      </c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4"/>
      <c r="BW653" s="14"/>
      <c r="BX653" s="14"/>
      <c r="BY653" s="14"/>
      <c r="BZ653" s="14"/>
      <c r="CA653" s="14"/>
      <c r="CB653" s="14"/>
      <c r="CC653" s="14"/>
      <c r="CD653" s="14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</row>
    <row r="654">
      <c r="A654" s="12"/>
      <c r="B654" s="14"/>
      <c r="C654" s="14"/>
      <c r="D654" s="14"/>
      <c r="E654" s="12"/>
      <c r="F654" s="307"/>
      <c r="G654" s="307"/>
      <c r="H654" s="12"/>
      <c r="I654" s="30"/>
      <c r="J654" s="12"/>
      <c r="K654" s="12"/>
      <c r="L654" s="12"/>
      <c r="M654" s="12"/>
      <c r="N654" s="12"/>
      <c r="O654" s="308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4"/>
      <c r="BE654" s="12"/>
      <c r="BF654" s="12"/>
      <c r="BG654" s="12" t="str">
        <f>IFERROR(__xludf.DUMMYFUNCTION("IFERROR(INDEX(QUERY(IMPORTRANGE(""1T7HG8KEs-Ob7f3M5atEVN9Yn7IeORGp0QGvggB62ELw"",""Maestro!A:I""),""SELECT Col8 WHERE Col3 = '""&amp;BD654&amp;""'"", 0), 1, 1),""NO ENCONTRADO"")"),"")</f>
        <v/>
      </c>
      <c r="BH654" s="12" t="str">
        <f>IFERROR(__xludf.DUMMYFUNCTION("IFERROR(INDEX(QUERY(IMPORTRANGE(""1T7HG8KEs-Ob7f3M5atEVN9Yn7IeORGp0QGvggB62ELw"",""Maestro!A:I""),""SELECT Col7 WHERE Col3 = '""&amp;BD654&amp;""'"", 0), 1, 1),""NO ENCONTRADO"")"),"")</f>
        <v/>
      </c>
      <c r="BI654" s="16">
        <f t="shared" si="15"/>
        <v>0</v>
      </c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4"/>
      <c r="BW654" s="14"/>
      <c r="BX654" s="14"/>
      <c r="BY654" s="14"/>
      <c r="BZ654" s="14"/>
      <c r="CA654" s="14"/>
      <c r="CB654" s="14"/>
      <c r="CC654" s="14"/>
      <c r="CD654" s="14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</row>
    <row r="655">
      <c r="A655" s="12"/>
      <c r="B655" s="14"/>
      <c r="C655" s="14"/>
      <c r="D655" s="14"/>
      <c r="E655" s="12"/>
      <c r="F655" s="307"/>
      <c r="G655" s="307"/>
      <c r="H655" s="12"/>
      <c r="I655" s="30"/>
      <c r="J655" s="12"/>
      <c r="K655" s="12"/>
      <c r="L655" s="12"/>
      <c r="M655" s="12"/>
      <c r="N655" s="12"/>
      <c r="O655" s="308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4"/>
      <c r="BE655" s="12"/>
      <c r="BF655" s="12"/>
      <c r="BG655" s="12" t="str">
        <f>IFERROR(__xludf.DUMMYFUNCTION("IFERROR(INDEX(QUERY(IMPORTRANGE(""1T7HG8KEs-Ob7f3M5atEVN9Yn7IeORGp0QGvggB62ELw"",""Maestro!A:I""),""SELECT Col8 WHERE Col3 = '""&amp;BD655&amp;""'"", 0), 1, 1),""NO ENCONTRADO"")"),"")</f>
        <v/>
      </c>
      <c r="BH655" s="12" t="str">
        <f>IFERROR(__xludf.DUMMYFUNCTION("IFERROR(INDEX(QUERY(IMPORTRANGE(""1T7HG8KEs-Ob7f3M5atEVN9Yn7IeORGp0QGvggB62ELw"",""Maestro!A:I""),""SELECT Col7 WHERE Col3 = '""&amp;BD655&amp;""'"", 0), 1, 1),""NO ENCONTRADO"")"),"")</f>
        <v/>
      </c>
      <c r="BI655" s="16">
        <f t="shared" si="15"/>
        <v>0</v>
      </c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4"/>
      <c r="BW655" s="14"/>
      <c r="BX655" s="14"/>
      <c r="BY655" s="14"/>
      <c r="BZ655" s="14"/>
      <c r="CA655" s="14"/>
      <c r="CB655" s="14"/>
      <c r="CC655" s="14"/>
      <c r="CD655" s="14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</row>
    <row r="656">
      <c r="A656" s="12"/>
      <c r="B656" s="14"/>
      <c r="C656" s="14"/>
      <c r="D656" s="14"/>
      <c r="E656" s="12"/>
      <c r="F656" s="307"/>
      <c r="G656" s="307"/>
      <c r="H656" s="12"/>
      <c r="I656" s="30"/>
      <c r="J656" s="12"/>
      <c r="K656" s="12"/>
      <c r="L656" s="12"/>
      <c r="M656" s="12"/>
      <c r="N656" s="12"/>
      <c r="O656" s="308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4"/>
      <c r="BE656" s="12"/>
      <c r="BF656" s="12"/>
      <c r="BG656" s="12" t="str">
        <f>IFERROR(__xludf.DUMMYFUNCTION("IFERROR(INDEX(QUERY(IMPORTRANGE(""1T7HG8KEs-Ob7f3M5atEVN9Yn7IeORGp0QGvggB62ELw"",""Maestro!A:I""),""SELECT Col8 WHERE Col3 = '""&amp;BD656&amp;""'"", 0), 1, 1),""NO ENCONTRADO"")"),"")</f>
        <v/>
      </c>
      <c r="BH656" s="12" t="str">
        <f>IFERROR(__xludf.DUMMYFUNCTION("IFERROR(INDEX(QUERY(IMPORTRANGE(""1T7HG8KEs-Ob7f3M5atEVN9Yn7IeORGp0QGvggB62ELw"",""Maestro!A:I""),""SELECT Col7 WHERE Col3 = '""&amp;BD656&amp;""'"", 0), 1, 1),""NO ENCONTRADO"")"),"")</f>
        <v/>
      </c>
      <c r="BI656" s="16">
        <f t="shared" si="15"/>
        <v>0</v>
      </c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4"/>
      <c r="BW656" s="14"/>
      <c r="BX656" s="14"/>
      <c r="BY656" s="14"/>
      <c r="BZ656" s="14"/>
      <c r="CA656" s="14"/>
      <c r="CB656" s="14"/>
      <c r="CC656" s="14"/>
      <c r="CD656" s="14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</row>
    <row r="657">
      <c r="A657" s="12"/>
      <c r="B657" s="14"/>
      <c r="C657" s="14"/>
      <c r="D657" s="14"/>
      <c r="E657" s="12"/>
      <c r="F657" s="307"/>
      <c r="G657" s="307"/>
      <c r="H657" s="12"/>
      <c r="I657" s="30"/>
      <c r="J657" s="12"/>
      <c r="K657" s="12"/>
      <c r="L657" s="12"/>
      <c r="M657" s="12"/>
      <c r="N657" s="12"/>
      <c r="O657" s="308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4"/>
      <c r="BE657" s="12"/>
      <c r="BF657" s="12"/>
      <c r="BG657" s="12" t="str">
        <f>IFERROR(__xludf.DUMMYFUNCTION("IFERROR(INDEX(QUERY(IMPORTRANGE(""1T7HG8KEs-Ob7f3M5atEVN9Yn7IeORGp0QGvggB62ELw"",""Maestro!A:I""),""SELECT Col8 WHERE Col3 = '""&amp;BD657&amp;""'"", 0), 1, 1),""NO ENCONTRADO"")"),"")</f>
        <v/>
      </c>
      <c r="BH657" s="12" t="str">
        <f>IFERROR(__xludf.DUMMYFUNCTION("IFERROR(INDEX(QUERY(IMPORTRANGE(""1T7HG8KEs-Ob7f3M5atEVN9Yn7IeORGp0QGvggB62ELw"",""Maestro!A:I""),""SELECT Col7 WHERE Col3 = '""&amp;BD657&amp;""'"", 0), 1, 1),""NO ENCONTRADO"")"),"")</f>
        <v/>
      </c>
      <c r="BI657" s="16">
        <f t="shared" si="15"/>
        <v>0</v>
      </c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4"/>
      <c r="BW657" s="14"/>
      <c r="BX657" s="14"/>
      <c r="BY657" s="14"/>
      <c r="BZ657" s="14"/>
      <c r="CA657" s="14"/>
      <c r="CB657" s="14"/>
      <c r="CC657" s="14"/>
      <c r="CD657" s="14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</row>
    <row r="658">
      <c r="A658" s="12"/>
      <c r="B658" s="14"/>
      <c r="C658" s="14"/>
      <c r="D658" s="14"/>
      <c r="E658" s="12"/>
      <c r="F658" s="307"/>
      <c r="G658" s="307"/>
      <c r="H658" s="12"/>
      <c r="I658" s="30"/>
      <c r="J658" s="12"/>
      <c r="K658" s="12"/>
      <c r="L658" s="12"/>
      <c r="M658" s="12"/>
      <c r="N658" s="12"/>
      <c r="O658" s="308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4"/>
      <c r="BE658" s="12"/>
      <c r="BF658" s="12"/>
      <c r="BG658" s="12" t="str">
        <f>IFERROR(__xludf.DUMMYFUNCTION("IFERROR(INDEX(QUERY(IMPORTRANGE(""1T7HG8KEs-Ob7f3M5atEVN9Yn7IeORGp0QGvggB62ELw"",""Maestro!A:I""),""SELECT Col8 WHERE Col3 = '""&amp;BD658&amp;""'"", 0), 1, 1),""NO ENCONTRADO"")"),"")</f>
        <v/>
      </c>
      <c r="BH658" s="12" t="str">
        <f>IFERROR(__xludf.DUMMYFUNCTION("IFERROR(INDEX(QUERY(IMPORTRANGE(""1T7HG8KEs-Ob7f3M5atEVN9Yn7IeORGp0QGvggB62ELw"",""Maestro!A:I""),""SELECT Col7 WHERE Col3 = '""&amp;BD658&amp;""'"", 0), 1, 1),""NO ENCONTRADO"")"),"")</f>
        <v/>
      </c>
      <c r="BI658" s="16">
        <f t="shared" si="15"/>
        <v>0</v>
      </c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4"/>
      <c r="BW658" s="14"/>
      <c r="BX658" s="14"/>
      <c r="BY658" s="14"/>
      <c r="BZ658" s="14"/>
      <c r="CA658" s="14"/>
      <c r="CB658" s="14"/>
      <c r="CC658" s="14"/>
      <c r="CD658" s="14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</row>
    <row r="659">
      <c r="A659" s="12"/>
      <c r="B659" s="14"/>
      <c r="C659" s="14"/>
      <c r="D659" s="14"/>
      <c r="E659" s="12"/>
      <c r="F659" s="307"/>
      <c r="G659" s="307"/>
      <c r="H659" s="12"/>
      <c r="I659" s="30"/>
      <c r="J659" s="12"/>
      <c r="K659" s="12"/>
      <c r="L659" s="12"/>
      <c r="M659" s="12"/>
      <c r="N659" s="12"/>
      <c r="O659" s="308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4"/>
      <c r="BE659" s="12"/>
      <c r="BF659" s="12"/>
      <c r="BG659" s="12" t="str">
        <f>IFERROR(__xludf.DUMMYFUNCTION("IFERROR(INDEX(QUERY(IMPORTRANGE(""1T7HG8KEs-Ob7f3M5atEVN9Yn7IeORGp0QGvggB62ELw"",""Maestro!A:I""),""SELECT Col8 WHERE Col3 = '""&amp;BD659&amp;""'"", 0), 1, 1),""NO ENCONTRADO"")"),"")</f>
        <v/>
      </c>
      <c r="BH659" s="12" t="str">
        <f>IFERROR(__xludf.DUMMYFUNCTION("IFERROR(INDEX(QUERY(IMPORTRANGE(""1T7HG8KEs-Ob7f3M5atEVN9Yn7IeORGp0QGvggB62ELw"",""Maestro!A:I""),""SELECT Col7 WHERE Col3 = '""&amp;BD659&amp;""'"", 0), 1, 1),""NO ENCONTRADO"")"),"")</f>
        <v/>
      </c>
      <c r="BI659" s="16">
        <f t="shared" si="15"/>
        <v>0</v>
      </c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4"/>
      <c r="BW659" s="14"/>
      <c r="BX659" s="14"/>
      <c r="BY659" s="14"/>
      <c r="BZ659" s="14"/>
      <c r="CA659" s="14"/>
      <c r="CB659" s="14"/>
      <c r="CC659" s="14"/>
      <c r="CD659" s="14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</row>
    <row r="660">
      <c r="A660" s="12"/>
      <c r="B660" s="14"/>
      <c r="C660" s="14"/>
      <c r="D660" s="14"/>
      <c r="E660" s="12"/>
      <c r="F660" s="307"/>
      <c r="G660" s="307"/>
      <c r="H660" s="12"/>
      <c r="I660" s="30"/>
      <c r="J660" s="12"/>
      <c r="K660" s="12"/>
      <c r="L660" s="12"/>
      <c r="M660" s="12"/>
      <c r="N660" s="12"/>
      <c r="O660" s="308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4"/>
      <c r="BE660" s="12"/>
      <c r="BF660" s="12"/>
      <c r="BG660" s="12" t="str">
        <f>IFERROR(__xludf.DUMMYFUNCTION("IFERROR(INDEX(QUERY(IMPORTRANGE(""1T7HG8KEs-Ob7f3M5atEVN9Yn7IeORGp0QGvggB62ELw"",""Maestro!A:I""),""SELECT Col8 WHERE Col3 = '""&amp;BD660&amp;""'"", 0), 1, 1),""NO ENCONTRADO"")"),"")</f>
        <v/>
      </c>
      <c r="BH660" s="12" t="str">
        <f>IFERROR(__xludf.DUMMYFUNCTION("IFERROR(INDEX(QUERY(IMPORTRANGE(""1T7HG8KEs-Ob7f3M5atEVN9Yn7IeORGp0QGvggB62ELw"",""Maestro!A:I""),""SELECT Col7 WHERE Col3 = '""&amp;BD660&amp;""'"", 0), 1, 1),""NO ENCONTRADO"")"),"")</f>
        <v/>
      </c>
      <c r="BI660" s="16">
        <f t="shared" si="15"/>
        <v>0</v>
      </c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4"/>
      <c r="BW660" s="14"/>
      <c r="BX660" s="14"/>
      <c r="BY660" s="14"/>
      <c r="BZ660" s="14"/>
      <c r="CA660" s="14"/>
      <c r="CB660" s="14"/>
      <c r="CC660" s="14"/>
      <c r="CD660" s="14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</row>
    <row r="661">
      <c r="A661" s="12"/>
      <c r="B661" s="14"/>
      <c r="C661" s="14"/>
      <c r="D661" s="14"/>
      <c r="E661" s="12"/>
      <c r="F661" s="307"/>
      <c r="G661" s="307"/>
      <c r="H661" s="12"/>
      <c r="I661" s="30"/>
      <c r="J661" s="12"/>
      <c r="K661" s="12"/>
      <c r="L661" s="12"/>
      <c r="M661" s="12"/>
      <c r="N661" s="12"/>
      <c r="O661" s="308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4"/>
      <c r="BE661" s="12"/>
      <c r="BF661" s="12"/>
      <c r="BG661" s="12" t="str">
        <f>IFERROR(__xludf.DUMMYFUNCTION("IFERROR(INDEX(QUERY(IMPORTRANGE(""1T7HG8KEs-Ob7f3M5atEVN9Yn7IeORGp0QGvggB62ELw"",""Maestro!A:I""),""SELECT Col8 WHERE Col3 = '""&amp;BD661&amp;""'"", 0), 1, 1),""NO ENCONTRADO"")"),"")</f>
        <v/>
      </c>
      <c r="BH661" s="12" t="str">
        <f>IFERROR(__xludf.DUMMYFUNCTION("IFERROR(INDEX(QUERY(IMPORTRANGE(""1T7HG8KEs-Ob7f3M5atEVN9Yn7IeORGp0QGvggB62ELw"",""Maestro!A:I""),""SELECT Col7 WHERE Col3 = '""&amp;BD661&amp;""'"", 0), 1, 1),""NO ENCONTRADO"")"),"")</f>
        <v/>
      </c>
      <c r="BI661" s="16">
        <f t="shared" si="15"/>
        <v>0</v>
      </c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4"/>
      <c r="BW661" s="14"/>
      <c r="BX661" s="14"/>
      <c r="BY661" s="14"/>
      <c r="BZ661" s="14"/>
      <c r="CA661" s="14"/>
      <c r="CB661" s="14"/>
      <c r="CC661" s="14"/>
      <c r="CD661" s="14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</row>
    <row r="662">
      <c r="A662" s="12"/>
      <c r="B662" s="14"/>
      <c r="C662" s="14"/>
      <c r="D662" s="14"/>
      <c r="E662" s="12"/>
      <c r="F662" s="307"/>
      <c r="G662" s="307"/>
      <c r="H662" s="12"/>
      <c r="I662" s="30"/>
      <c r="J662" s="12"/>
      <c r="K662" s="12"/>
      <c r="L662" s="12"/>
      <c r="M662" s="12"/>
      <c r="N662" s="12"/>
      <c r="O662" s="308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4"/>
      <c r="BE662" s="12"/>
      <c r="BF662" s="12"/>
      <c r="BG662" s="12" t="str">
        <f>IFERROR(__xludf.DUMMYFUNCTION("IFERROR(INDEX(QUERY(IMPORTRANGE(""1T7HG8KEs-Ob7f3M5atEVN9Yn7IeORGp0QGvggB62ELw"",""Maestro!A:I""),""SELECT Col8 WHERE Col3 = '""&amp;BD662&amp;""'"", 0), 1, 1),""NO ENCONTRADO"")"),"")</f>
        <v/>
      </c>
      <c r="BH662" s="12" t="str">
        <f>IFERROR(__xludf.DUMMYFUNCTION("IFERROR(INDEX(QUERY(IMPORTRANGE(""1T7HG8KEs-Ob7f3M5atEVN9Yn7IeORGp0QGvggB62ELw"",""Maestro!A:I""),""SELECT Col7 WHERE Col3 = '""&amp;BD662&amp;""'"", 0), 1, 1),""NO ENCONTRADO"")"),"")</f>
        <v/>
      </c>
      <c r="BI662" s="16">
        <f t="shared" si="15"/>
        <v>0</v>
      </c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4"/>
      <c r="BW662" s="14"/>
      <c r="BX662" s="14"/>
      <c r="BY662" s="14"/>
      <c r="BZ662" s="14"/>
      <c r="CA662" s="14"/>
      <c r="CB662" s="14"/>
      <c r="CC662" s="14"/>
      <c r="CD662" s="14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</row>
    <row r="663">
      <c r="A663" s="12"/>
      <c r="B663" s="14"/>
      <c r="C663" s="14"/>
      <c r="D663" s="14"/>
      <c r="E663" s="12"/>
      <c r="F663" s="307"/>
      <c r="G663" s="307"/>
      <c r="H663" s="12"/>
      <c r="I663" s="30"/>
      <c r="J663" s="12"/>
      <c r="K663" s="12"/>
      <c r="L663" s="12"/>
      <c r="M663" s="12"/>
      <c r="N663" s="12"/>
      <c r="O663" s="308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4"/>
      <c r="BE663" s="12"/>
      <c r="BF663" s="12"/>
      <c r="BG663" s="12" t="str">
        <f>IFERROR(__xludf.DUMMYFUNCTION("IFERROR(INDEX(QUERY(IMPORTRANGE(""1T7HG8KEs-Ob7f3M5atEVN9Yn7IeORGp0QGvggB62ELw"",""Maestro!A:I""),""SELECT Col8 WHERE Col3 = '""&amp;BD663&amp;""'"", 0), 1, 1),""NO ENCONTRADO"")"),"")</f>
        <v/>
      </c>
      <c r="BH663" s="12" t="str">
        <f>IFERROR(__xludf.DUMMYFUNCTION("IFERROR(INDEX(QUERY(IMPORTRANGE(""1T7HG8KEs-Ob7f3M5atEVN9Yn7IeORGp0QGvggB62ELw"",""Maestro!A:I""),""SELECT Col7 WHERE Col3 = '""&amp;BD663&amp;""'"", 0), 1, 1),""NO ENCONTRADO"")"),"")</f>
        <v/>
      </c>
      <c r="BI663" s="16">
        <f t="shared" si="15"/>
        <v>0</v>
      </c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4"/>
      <c r="BW663" s="14"/>
      <c r="BX663" s="14"/>
      <c r="BY663" s="14"/>
      <c r="BZ663" s="14"/>
      <c r="CA663" s="14"/>
      <c r="CB663" s="14"/>
      <c r="CC663" s="14"/>
      <c r="CD663" s="14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</row>
    <row r="664">
      <c r="A664" s="12"/>
      <c r="B664" s="14"/>
      <c r="C664" s="14"/>
      <c r="D664" s="14"/>
      <c r="E664" s="12"/>
      <c r="F664" s="307"/>
      <c r="G664" s="307"/>
      <c r="H664" s="12"/>
      <c r="I664" s="30"/>
      <c r="J664" s="12"/>
      <c r="K664" s="12"/>
      <c r="L664" s="12"/>
      <c r="M664" s="12"/>
      <c r="N664" s="12"/>
      <c r="O664" s="308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4"/>
      <c r="BE664" s="12"/>
      <c r="BF664" s="12"/>
      <c r="BG664" s="12" t="str">
        <f>IFERROR(__xludf.DUMMYFUNCTION("IFERROR(INDEX(QUERY(IMPORTRANGE(""1T7HG8KEs-Ob7f3M5atEVN9Yn7IeORGp0QGvggB62ELw"",""Maestro!A:I""),""SELECT Col8 WHERE Col3 = '""&amp;BD664&amp;""'"", 0), 1, 1),""NO ENCONTRADO"")"),"")</f>
        <v/>
      </c>
      <c r="BH664" s="12" t="str">
        <f>IFERROR(__xludf.DUMMYFUNCTION("IFERROR(INDEX(QUERY(IMPORTRANGE(""1T7HG8KEs-Ob7f3M5atEVN9Yn7IeORGp0QGvggB62ELw"",""Maestro!A:I""),""SELECT Col7 WHERE Col3 = '""&amp;BD664&amp;""'"", 0), 1, 1),""NO ENCONTRADO"")"),"")</f>
        <v/>
      </c>
      <c r="BI664" s="16">
        <f t="shared" si="15"/>
        <v>0</v>
      </c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4"/>
      <c r="BW664" s="14"/>
      <c r="BX664" s="14"/>
      <c r="BY664" s="14"/>
      <c r="BZ664" s="14"/>
      <c r="CA664" s="14"/>
      <c r="CB664" s="14"/>
      <c r="CC664" s="14"/>
      <c r="CD664" s="14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</row>
    <row r="665">
      <c r="A665" s="12"/>
      <c r="B665" s="14"/>
      <c r="C665" s="14"/>
      <c r="D665" s="14"/>
      <c r="E665" s="12"/>
      <c r="F665" s="307"/>
      <c r="G665" s="307"/>
      <c r="H665" s="12"/>
      <c r="I665" s="30"/>
      <c r="J665" s="12"/>
      <c r="K665" s="12"/>
      <c r="L665" s="12"/>
      <c r="M665" s="12"/>
      <c r="N665" s="12"/>
      <c r="O665" s="308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4"/>
      <c r="BE665" s="12"/>
      <c r="BF665" s="12"/>
      <c r="BG665" s="12" t="str">
        <f>IFERROR(__xludf.DUMMYFUNCTION("IFERROR(INDEX(QUERY(IMPORTRANGE(""1T7HG8KEs-Ob7f3M5atEVN9Yn7IeORGp0QGvggB62ELw"",""Maestro!A:I""),""SELECT Col8 WHERE Col3 = '""&amp;BD665&amp;""'"", 0), 1, 1),""NO ENCONTRADO"")"),"")</f>
        <v/>
      </c>
      <c r="BH665" s="12" t="str">
        <f>IFERROR(__xludf.DUMMYFUNCTION("IFERROR(INDEX(QUERY(IMPORTRANGE(""1T7HG8KEs-Ob7f3M5atEVN9Yn7IeORGp0QGvggB62ELw"",""Maestro!A:I""),""SELECT Col7 WHERE Col3 = '""&amp;BD665&amp;""'"", 0), 1, 1),""NO ENCONTRADO"")"),"")</f>
        <v/>
      </c>
      <c r="BI665" s="16">
        <f t="shared" si="15"/>
        <v>0</v>
      </c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4"/>
      <c r="BW665" s="14"/>
      <c r="BX665" s="14"/>
      <c r="BY665" s="14"/>
      <c r="BZ665" s="14"/>
      <c r="CA665" s="14"/>
      <c r="CB665" s="14"/>
      <c r="CC665" s="14"/>
      <c r="CD665" s="14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</row>
    <row r="666">
      <c r="A666" s="12"/>
      <c r="B666" s="14"/>
      <c r="C666" s="14"/>
      <c r="D666" s="14"/>
      <c r="E666" s="12"/>
      <c r="F666" s="307"/>
      <c r="G666" s="307"/>
      <c r="H666" s="12"/>
      <c r="I666" s="30"/>
      <c r="J666" s="12"/>
      <c r="K666" s="12"/>
      <c r="L666" s="12"/>
      <c r="M666" s="12"/>
      <c r="N666" s="12"/>
      <c r="O666" s="308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4"/>
      <c r="BE666" s="12"/>
      <c r="BF666" s="12"/>
      <c r="BG666" s="12" t="str">
        <f>IFERROR(__xludf.DUMMYFUNCTION("IFERROR(INDEX(QUERY(IMPORTRANGE(""1T7HG8KEs-Ob7f3M5atEVN9Yn7IeORGp0QGvggB62ELw"",""Maestro!A:I""),""SELECT Col8 WHERE Col3 = '""&amp;BD666&amp;""'"", 0), 1, 1),""NO ENCONTRADO"")"),"")</f>
        <v/>
      </c>
      <c r="BH666" s="12" t="str">
        <f>IFERROR(__xludf.DUMMYFUNCTION("IFERROR(INDEX(QUERY(IMPORTRANGE(""1T7HG8KEs-Ob7f3M5atEVN9Yn7IeORGp0QGvggB62ELw"",""Maestro!A:I""),""SELECT Col7 WHERE Col3 = '""&amp;BD666&amp;""'"", 0), 1, 1),""NO ENCONTRADO"")"),"")</f>
        <v/>
      </c>
      <c r="BI666" s="16">
        <f t="shared" si="15"/>
        <v>0</v>
      </c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4"/>
      <c r="BW666" s="14"/>
      <c r="BX666" s="14"/>
      <c r="BY666" s="14"/>
      <c r="BZ666" s="14"/>
      <c r="CA666" s="14"/>
      <c r="CB666" s="14"/>
      <c r="CC666" s="14"/>
      <c r="CD666" s="14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</row>
    <row r="667">
      <c r="A667" s="12"/>
      <c r="B667" s="14"/>
      <c r="C667" s="14"/>
      <c r="D667" s="14"/>
      <c r="E667" s="12"/>
      <c r="F667" s="307"/>
      <c r="G667" s="307"/>
      <c r="H667" s="12"/>
      <c r="I667" s="30"/>
      <c r="J667" s="12"/>
      <c r="K667" s="12"/>
      <c r="L667" s="12"/>
      <c r="M667" s="12"/>
      <c r="N667" s="12"/>
      <c r="O667" s="308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4"/>
      <c r="BE667" s="12"/>
      <c r="BF667" s="12"/>
      <c r="BG667" s="12" t="str">
        <f>IFERROR(__xludf.DUMMYFUNCTION("IFERROR(INDEX(QUERY(IMPORTRANGE(""1T7HG8KEs-Ob7f3M5atEVN9Yn7IeORGp0QGvggB62ELw"",""Maestro!A:I""),""SELECT Col8 WHERE Col3 = '""&amp;BD667&amp;""'"", 0), 1, 1),""NO ENCONTRADO"")"),"")</f>
        <v/>
      </c>
      <c r="BH667" s="12" t="str">
        <f>IFERROR(__xludf.DUMMYFUNCTION("IFERROR(INDEX(QUERY(IMPORTRANGE(""1T7HG8KEs-Ob7f3M5atEVN9Yn7IeORGp0QGvggB62ELw"",""Maestro!A:I""),""SELECT Col7 WHERE Col3 = '""&amp;BD667&amp;""'"", 0), 1, 1),""NO ENCONTRADO"")"),"")</f>
        <v/>
      </c>
      <c r="BI667" s="16">
        <f t="shared" si="15"/>
        <v>0</v>
      </c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4"/>
      <c r="BW667" s="14"/>
      <c r="BX667" s="14"/>
      <c r="BY667" s="14"/>
      <c r="BZ667" s="14"/>
      <c r="CA667" s="14"/>
      <c r="CB667" s="14"/>
      <c r="CC667" s="14"/>
      <c r="CD667" s="14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</row>
    <row r="668">
      <c r="A668" s="12"/>
      <c r="B668" s="14"/>
      <c r="C668" s="14"/>
      <c r="D668" s="14"/>
      <c r="E668" s="12"/>
      <c r="F668" s="307"/>
      <c r="G668" s="307"/>
      <c r="H668" s="12"/>
      <c r="I668" s="30"/>
      <c r="J668" s="12"/>
      <c r="K668" s="12"/>
      <c r="L668" s="12"/>
      <c r="M668" s="12"/>
      <c r="N668" s="12"/>
      <c r="O668" s="308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4"/>
      <c r="BE668" s="12"/>
      <c r="BF668" s="12"/>
      <c r="BG668" s="12" t="str">
        <f>IFERROR(__xludf.DUMMYFUNCTION("IFERROR(INDEX(QUERY(IMPORTRANGE(""1T7HG8KEs-Ob7f3M5atEVN9Yn7IeORGp0QGvggB62ELw"",""Maestro!A:I""),""SELECT Col8 WHERE Col3 = '""&amp;BD668&amp;""'"", 0), 1, 1),""NO ENCONTRADO"")"),"")</f>
        <v/>
      </c>
      <c r="BH668" s="12" t="str">
        <f>IFERROR(__xludf.DUMMYFUNCTION("IFERROR(INDEX(QUERY(IMPORTRANGE(""1T7HG8KEs-Ob7f3M5atEVN9Yn7IeORGp0QGvggB62ELw"",""Maestro!A:I""),""SELECT Col7 WHERE Col3 = '""&amp;BD668&amp;""'"", 0), 1, 1),""NO ENCONTRADO"")"),"")</f>
        <v/>
      </c>
      <c r="BI668" s="16">
        <f t="shared" si="15"/>
        <v>0</v>
      </c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4"/>
      <c r="BW668" s="14"/>
      <c r="BX668" s="14"/>
      <c r="BY668" s="14"/>
      <c r="BZ668" s="14"/>
      <c r="CA668" s="14"/>
      <c r="CB668" s="14"/>
      <c r="CC668" s="14"/>
      <c r="CD668" s="14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</row>
    <row r="669">
      <c r="A669" s="12"/>
      <c r="B669" s="14"/>
      <c r="C669" s="14"/>
      <c r="D669" s="14"/>
      <c r="E669" s="12"/>
      <c r="F669" s="307"/>
      <c r="G669" s="307"/>
      <c r="H669" s="12"/>
      <c r="I669" s="30"/>
      <c r="J669" s="12"/>
      <c r="K669" s="12"/>
      <c r="L669" s="12"/>
      <c r="M669" s="12"/>
      <c r="N669" s="12"/>
      <c r="O669" s="308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4"/>
      <c r="BE669" s="12"/>
      <c r="BF669" s="12"/>
      <c r="BG669" s="12" t="str">
        <f>IFERROR(__xludf.DUMMYFUNCTION("IFERROR(INDEX(QUERY(IMPORTRANGE(""1T7HG8KEs-Ob7f3M5atEVN9Yn7IeORGp0QGvggB62ELw"",""Maestro!A:I""),""SELECT Col8 WHERE Col3 = '""&amp;BD669&amp;""'"", 0), 1, 1),""NO ENCONTRADO"")"),"")</f>
        <v/>
      </c>
      <c r="BH669" s="12" t="str">
        <f>IFERROR(__xludf.DUMMYFUNCTION("IFERROR(INDEX(QUERY(IMPORTRANGE(""1T7HG8KEs-Ob7f3M5atEVN9Yn7IeORGp0QGvggB62ELw"",""Maestro!A:I""),""SELECT Col7 WHERE Col3 = '""&amp;BD669&amp;""'"", 0), 1, 1),""NO ENCONTRADO"")"),"")</f>
        <v/>
      </c>
      <c r="BI669" s="16">
        <f t="shared" si="15"/>
        <v>0</v>
      </c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4"/>
      <c r="BW669" s="14"/>
      <c r="BX669" s="14"/>
      <c r="BY669" s="14"/>
      <c r="BZ669" s="14"/>
      <c r="CA669" s="14"/>
      <c r="CB669" s="14"/>
      <c r="CC669" s="14"/>
      <c r="CD669" s="14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</row>
    <row r="670">
      <c r="A670" s="12"/>
      <c r="B670" s="14"/>
      <c r="C670" s="14"/>
      <c r="D670" s="14"/>
      <c r="E670" s="12"/>
      <c r="F670" s="307"/>
      <c r="G670" s="307"/>
      <c r="H670" s="12"/>
      <c r="I670" s="30"/>
      <c r="J670" s="12"/>
      <c r="K670" s="12"/>
      <c r="L670" s="12"/>
      <c r="M670" s="12"/>
      <c r="N670" s="12"/>
      <c r="O670" s="308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4"/>
      <c r="BE670" s="12"/>
      <c r="BF670" s="12"/>
      <c r="BG670" s="12" t="str">
        <f>IFERROR(__xludf.DUMMYFUNCTION("IFERROR(INDEX(QUERY(IMPORTRANGE(""1T7HG8KEs-Ob7f3M5atEVN9Yn7IeORGp0QGvggB62ELw"",""Maestro!A:I""),""SELECT Col8 WHERE Col3 = '""&amp;BD670&amp;""'"", 0), 1, 1),""NO ENCONTRADO"")"),"")</f>
        <v/>
      </c>
      <c r="BH670" s="12" t="str">
        <f>IFERROR(__xludf.DUMMYFUNCTION("IFERROR(INDEX(QUERY(IMPORTRANGE(""1T7HG8KEs-Ob7f3M5atEVN9Yn7IeORGp0QGvggB62ELw"",""Maestro!A:I""),""SELECT Col7 WHERE Col3 = '""&amp;BD670&amp;""'"", 0), 1, 1),""NO ENCONTRADO"")"),"")</f>
        <v/>
      </c>
      <c r="BI670" s="16">
        <f t="shared" si="15"/>
        <v>0</v>
      </c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4"/>
      <c r="BW670" s="14"/>
      <c r="BX670" s="14"/>
      <c r="BY670" s="14"/>
      <c r="BZ670" s="14"/>
      <c r="CA670" s="14"/>
      <c r="CB670" s="14"/>
      <c r="CC670" s="14"/>
      <c r="CD670" s="14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</row>
    <row r="671">
      <c r="A671" s="12"/>
      <c r="B671" s="14"/>
      <c r="C671" s="14"/>
      <c r="D671" s="14"/>
      <c r="E671" s="12"/>
      <c r="F671" s="307"/>
      <c r="G671" s="307"/>
      <c r="H671" s="12"/>
      <c r="I671" s="30"/>
      <c r="J671" s="12"/>
      <c r="K671" s="12"/>
      <c r="L671" s="12"/>
      <c r="M671" s="12"/>
      <c r="N671" s="12"/>
      <c r="O671" s="308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4"/>
      <c r="BE671" s="12"/>
      <c r="BF671" s="12"/>
      <c r="BG671" s="12" t="str">
        <f>IFERROR(__xludf.DUMMYFUNCTION("IFERROR(INDEX(QUERY(IMPORTRANGE(""1T7HG8KEs-Ob7f3M5atEVN9Yn7IeORGp0QGvggB62ELw"",""Maestro!A:I""),""SELECT Col8 WHERE Col3 = '""&amp;BD671&amp;""'"", 0), 1, 1),""NO ENCONTRADO"")"),"")</f>
        <v/>
      </c>
      <c r="BH671" s="12" t="str">
        <f>IFERROR(__xludf.DUMMYFUNCTION("IFERROR(INDEX(QUERY(IMPORTRANGE(""1T7HG8KEs-Ob7f3M5atEVN9Yn7IeORGp0QGvggB62ELw"",""Maestro!A:I""),""SELECT Col7 WHERE Col3 = '""&amp;BD671&amp;""'"", 0), 1, 1),""NO ENCONTRADO"")"),"")</f>
        <v/>
      </c>
      <c r="BI671" s="16">
        <f t="shared" si="15"/>
        <v>0</v>
      </c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4"/>
      <c r="BW671" s="14"/>
      <c r="BX671" s="14"/>
      <c r="BY671" s="14"/>
      <c r="BZ671" s="14"/>
      <c r="CA671" s="14"/>
      <c r="CB671" s="14"/>
      <c r="CC671" s="14"/>
      <c r="CD671" s="14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</row>
    <row r="672">
      <c r="A672" s="12"/>
      <c r="B672" s="14"/>
      <c r="C672" s="14"/>
      <c r="D672" s="14"/>
      <c r="E672" s="12"/>
      <c r="F672" s="307"/>
      <c r="G672" s="307"/>
      <c r="H672" s="12"/>
      <c r="I672" s="30"/>
      <c r="J672" s="12"/>
      <c r="K672" s="12"/>
      <c r="L672" s="12"/>
      <c r="M672" s="12"/>
      <c r="N672" s="12"/>
      <c r="O672" s="308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4"/>
      <c r="BE672" s="12"/>
      <c r="BF672" s="12"/>
      <c r="BG672" s="12" t="str">
        <f>IFERROR(__xludf.DUMMYFUNCTION("IFERROR(INDEX(QUERY(IMPORTRANGE(""1T7HG8KEs-Ob7f3M5atEVN9Yn7IeORGp0QGvggB62ELw"",""Maestro!A:I""),""SELECT Col8 WHERE Col3 = '""&amp;BD672&amp;""'"", 0), 1, 1),""NO ENCONTRADO"")"),"")</f>
        <v/>
      </c>
      <c r="BH672" s="12" t="str">
        <f>IFERROR(__xludf.DUMMYFUNCTION("IFERROR(INDEX(QUERY(IMPORTRANGE(""1T7HG8KEs-Ob7f3M5atEVN9Yn7IeORGp0QGvggB62ELw"",""Maestro!A:I""),""SELECT Col7 WHERE Col3 = '""&amp;BD672&amp;""'"", 0), 1, 1),""NO ENCONTRADO"")"),"")</f>
        <v/>
      </c>
      <c r="BI672" s="16">
        <f t="shared" si="15"/>
        <v>0</v>
      </c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4"/>
      <c r="BW672" s="14"/>
      <c r="BX672" s="14"/>
      <c r="BY672" s="14"/>
      <c r="BZ672" s="14"/>
      <c r="CA672" s="14"/>
      <c r="CB672" s="14"/>
      <c r="CC672" s="14"/>
      <c r="CD672" s="14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</row>
    <row r="673">
      <c r="A673" s="12"/>
      <c r="B673" s="14"/>
      <c r="C673" s="14"/>
      <c r="D673" s="14"/>
      <c r="E673" s="12"/>
      <c r="F673" s="307"/>
      <c r="G673" s="307"/>
      <c r="H673" s="12"/>
      <c r="I673" s="30"/>
      <c r="J673" s="12"/>
      <c r="K673" s="12"/>
      <c r="L673" s="12"/>
      <c r="M673" s="12"/>
      <c r="N673" s="12"/>
      <c r="O673" s="308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4"/>
      <c r="BE673" s="12"/>
      <c r="BF673" s="12"/>
      <c r="BG673" s="12" t="str">
        <f>IFERROR(__xludf.DUMMYFUNCTION("IFERROR(INDEX(QUERY(IMPORTRANGE(""1T7HG8KEs-Ob7f3M5atEVN9Yn7IeORGp0QGvggB62ELw"",""Maestro!A:I""),""SELECT Col8 WHERE Col3 = '""&amp;BD673&amp;""'"", 0), 1, 1),""NO ENCONTRADO"")"),"")</f>
        <v/>
      </c>
      <c r="BH673" s="12" t="str">
        <f>IFERROR(__xludf.DUMMYFUNCTION("IFERROR(INDEX(QUERY(IMPORTRANGE(""1T7HG8KEs-Ob7f3M5atEVN9Yn7IeORGp0QGvggB62ELw"",""Maestro!A:I""),""SELECT Col7 WHERE Col3 = '""&amp;BD673&amp;""'"", 0), 1, 1),""NO ENCONTRADO"")"),"")</f>
        <v/>
      </c>
      <c r="BI673" s="16">
        <f t="shared" si="15"/>
        <v>0</v>
      </c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4"/>
      <c r="BW673" s="14"/>
      <c r="BX673" s="14"/>
      <c r="BY673" s="14"/>
      <c r="BZ673" s="14"/>
      <c r="CA673" s="14"/>
      <c r="CB673" s="14"/>
      <c r="CC673" s="14"/>
      <c r="CD673" s="14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</row>
    <row r="674">
      <c r="A674" s="12"/>
      <c r="B674" s="14"/>
      <c r="C674" s="14"/>
      <c r="D674" s="14"/>
      <c r="E674" s="12"/>
      <c r="F674" s="307"/>
      <c r="G674" s="307"/>
      <c r="H674" s="12"/>
      <c r="I674" s="30"/>
      <c r="J674" s="12"/>
      <c r="K674" s="12"/>
      <c r="L674" s="12"/>
      <c r="M674" s="12"/>
      <c r="N674" s="12"/>
      <c r="O674" s="308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4"/>
      <c r="BE674" s="12"/>
      <c r="BF674" s="12"/>
      <c r="BG674" s="12" t="str">
        <f>IFERROR(__xludf.DUMMYFUNCTION("IFERROR(INDEX(QUERY(IMPORTRANGE(""1T7HG8KEs-Ob7f3M5atEVN9Yn7IeORGp0QGvggB62ELw"",""Maestro!A:I""),""SELECT Col8 WHERE Col3 = '""&amp;BD674&amp;""'"", 0), 1, 1),""NO ENCONTRADO"")"),"")</f>
        <v/>
      </c>
      <c r="BH674" s="12" t="str">
        <f>IFERROR(__xludf.DUMMYFUNCTION("IFERROR(INDEX(QUERY(IMPORTRANGE(""1T7HG8KEs-Ob7f3M5atEVN9Yn7IeORGp0QGvggB62ELw"",""Maestro!A:I""),""SELECT Col7 WHERE Col3 = '""&amp;BD674&amp;""'"", 0), 1, 1),""NO ENCONTRADO"")"),"")</f>
        <v/>
      </c>
      <c r="BI674" s="16">
        <f t="shared" si="15"/>
        <v>0</v>
      </c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4"/>
      <c r="BW674" s="14"/>
      <c r="BX674" s="14"/>
      <c r="BY674" s="14"/>
      <c r="BZ674" s="14"/>
      <c r="CA674" s="14"/>
      <c r="CB674" s="14"/>
      <c r="CC674" s="14"/>
      <c r="CD674" s="14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</row>
    <row r="675">
      <c r="A675" s="12"/>
      <c r="B675" s="14"/>
      <c r="C675" s="14"/>
      <c r="D675" s="14"/>
      <c r="E675" s="12"/>
      <c r="F675" s="307"/>
      <c r="G675" s="307"/>
      <c r="H675" s="12"/>
      <c r="I675" s="30"/>
      <c r="J675" s="12"/>
      <c r="K675" s="12"/>
      <c r="L675" s="12"/>
      <c r="M675" s="12"/>
      <c r="N675" s="12"/>
      <c r="O675" s="308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4"/>
      <c r="BE675" s="12"/>
      <c r="BF675" s="12"/>
      <c r="BG675" s="12" t="str">
        <f>IFERROR(__xludf.DUMMYFUNCTION("IFERROR(INDEX(QUERY(IMPORTRANGE(""1T7HG8KEs-Ob7f3M5atEVN9Yn7IeORGp0QGvggB62ELw"",""Maestro!A:I""),""SELECT Col8 WHERE Col3 = '""&amp;BD675&amp;""'"", 0), 1, 1),""NO ENCONTRADO"")"),"")</f>
        <v/>
      </c>
      <c r="BH675" s="12" t="str">
        <f>IFERROR(__xludf.DUMMYFUNCTION("IFERROR(INDEX(QUERY(IMPORTRANGE(""1T7HG8KEs-Ob7f3M5atEVN9Yn7IeORGp0QGvggB62ELw"",""Maestro!A:I""),""SELECT Col7 WHERE Col3 = '""&amp;BD675&amp;""'"", 0), 1, 1),""NO ENCONTRADO"")"),"")</f>
        <v/>
      </c>
      <c r="BI675" s="16">
        <f t="shared" si="15"/>
        <v>0</v>
      </c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4"/>
      <c r="BW675" s="14"/>
      <c r="BX675" s="14"/>
      <c r="BY675" s="14"/>
      <c r="BZ675" s="14"/>
      <c r="CA675" s="14"/>
      <c r="CB675" s="14"/>
      <c r="CC675" s="14"/>
      <c r="CD675" s="14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</row>
    <row r="676">
      <c r="A676" s="12"/>
      <c r="B676" s="14"/>
      <c r="C676" s="14"/>
      <c r="D676" s="14"/>
      <c r="E676" s="12"/>
      <c r="F676" s="307"/>
      <c r="G676" s="307"/>
      <c r="H676" s="12"/>
      <c r="I676" s="30"/>
      <c r="J676" s="12"/>
      <c r="K676" s="12"/>
      <c r="L676" s="12"/>
      <c r="M676" s="12"/>
      <c r="N676" s="12"/>
      <c r="O676" s="308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4"/>
      <c r="BE676" s="12"/>
      <c r="BF676" s="12"/>
      <c r="BG676" s="12" t="str">
        <f>IFERROR(__xludf.DUMMYFUNCTION("IFERROR(INDEX(QUERY(IMPORTRANGE(""1T7HG8KEs-Ob7f3M5atEVN9Yn7IeORGp0QGvggB62ELw"",""Maestro!A:I""),""SELECT Col8 WHERE Col3 = '""&amp;BD676&amp;""'"", 0), 1, 1),""NO ENCONTRADO"")"),"")</f>
        <v/>
      </c>
      <c r="BH676" s="12" t="str">
        <f>IFERROR(__xludf.DUMMYFUNCTION("IFERROR(INDEX(QUERY(IMPORTRANGE(""1T7HG8KEs-Ob7f3M5atEVN9Yn7IeORGp0QGvggB62ELw"",""Maestro!A:I""),""SELECT Col7 WHERE Col3 = '""&amp;BD676&amp;""'"", 0), 1, 1),""NO ENCONTRADO"")"),"")</f>
        <v/>
      </c>
      <c r="BI676" s="16">
        <f t="shared" si="15"/>
        <v>0</v>
      </c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4"/>
      <c r="BW676" s="14"/>
      <c r="BX676" s="14"/>
      <c r="BY676" s="14"/>
      <c r="BZ676" s="14"/>
      <c r="CA676" s="14"/>
      <c r="CB676" s="14"/>
      <c r="CC676" s="14"/>
      <c r="CD676" s="14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</row>
    <row r="677">
      <c r="A677" s="12"/>
      <c r="B677" s="14"/>
      <c r="C677" s="14"/>
      <c r="D677" s="14"/>
      <c r="E677" s="12"/>
      <c r="F677" s="307"/>
      <c r="G677" s="307"/>
      <c r="H677" s="12"/>
      <c r="I677" s="30"/>
      <c r="J677" s="12"/>
      <c r="K677" s="12"/>
      <c r="L677" s="12"/>
      <c r="M677" s="12"/>
      <c r="N677" s="12"/>
      <c r="O677" s="308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4"/>
      <c r="BE677" s="12"/>
      <c r="BF677" s="12"/>
      <c r="BG677" s="12" t="str">
        <f>IFERROR(__xludf.DUMMYFUNCTION("IFERROR(INDEX(QUERY(IMPORTRANGE(""1T7HG8KEs-Ob7f3M5atEVN9Yn7IeORGp0QGvggB62ELw"",""Maestro!A:I""),""SELECT Col8 WHERE Col3 = '""&amp;BD677&amp;""'"", 0), 1, 1),""NO ENCONTRADO"")"),"")</f>
        <v/>
      </c>
      <c r="BH677" s="12" t="str">
        <f>IFERROR(__xludf.DUMMYFUNCTION("IFERROR(INDEX(QUERY(IMPORTRANGE(""1T7HG8KEs-Ob7f3M5atEVN9Yn7IeORGp0QGvggB62ELw"",""Maestro!A:I""),""SELECT Col7 WHERE Col3 = '""&amp;BD677&amp;""'"", 0), 1, 1),""NO ENCONTRADO"")"),"")</f>
        <v/>
      </c>
      <c r="BI677" s="16">
        <f t="shared" si="15"/>
        <v>0</v>
      </c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4"/>
      <c r="BW677" s="14"/>
      <c r="BX677" s="14"/>
      <c r="BY677" s="14"/>
      <c r="BZ677" s="14"/>
      <c r="CA677" s="14"/>
      <c r="CB677" s="14"/>
      <c r="CC677" s="14"/>
      <c r="CD677" s="14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</row>
    <row r="678">
      <c r="A678" s="12"/>
      <c r="B678" s="14"/>
      <c r="C678" s="14"/>
      <c r="D678" s="14"/>
      <c r="E678" s="12"/>
      <c r="F678" s="307"/>
      <c r="G678" s="307"/>
      <c r="H678" s="12"/>
      <c r="I678" s="30"/>
      <c r="J678" s="12"/>
      <c r="K678" s="12"/>
      <c r="L678" s="12"/>
      <c r="M678" s="12"/>
      <c r="N678" s="12"/>
      <c r="O678" s="308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4"/>
      <c r="BE678" s="12"/>
      <c r="BF678" s="12"/>
      <c r="BG678" s="12" t="str">
        <f>IFERROR(__xludf.DUMMYFUNCTION("IFERROR(INDEX(QUERY(IMPORTRANGE(""1T7HG8KEs-Ob7f3M5atEVN9Yn7IeORGp0QGvggB62ELw"",""Maestro!A:I""),""SELECT Col8 WHERE Col3 = '""&amp;BD678&amp;""'"", 0), 1, 1),""NO ENCONTRADO"")"),"")</f>
        <v/>
      </c>
      <c r="BH678" s="12" t="str">
        <f>IFERROR(__xludf.DUMMYFUNCTION("IFERROR(INDEX(QUERY(IMPORTRANGE(""1T7HG8KEs-Ob7f3M5atEVN9Yn7IeORGp0QGvggB62ELw"",""Maestro!A:I""),""SELECT Col7 WHERE Col3 = '""&amp;BD678&amp;""'"", 0), 1, 1),""NO ENCONTRADO"")"),"")</f>
        <v/>
      </c>
      <c r="BI678" s="16">
        <f t="shared" si="15"/>
        <v>0</v>
      </c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4"/>
      <c r="BW678" s="14"/>
      <c r="BX678" s="14"/>
      <c r="BY678" s="14"/>
      <c r="BZ678" s="14"/>
      <c r="CA678" s="14"/>
      <c r="CB678" s="14"/>
      <c r="CC678" s="14"/>
      <c r="CD678" s="14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</row>
    <row r="679">
      <c r="A679" s="12"/>
      <c r="B679" s="14"/>
      <c r="C679" s="14"/>
      <c r="D679" s="14"/>
      <c r="E679" s="12"/>
      <c r="F679" s="307"/>
      <c r="G679" s="307"/>
      <c r="H679" s="12"/>
      <c r="I679" s="30"/>
      <c r="J679" s="12"/>
      <c r="K679" s="12"/>
      <c r="L679" s="12"/>
      <c r="M679" s="12"/>
      <c r="N679" s="12"/>
      <c r="O679" s="308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4"/>
      <c r="BE679" s="12"/>
      <c r="BF679" s="12"/>
      <c r="BG679" s="12" t="str">
        <f>IFERROR(__xludf.DUMMYFUNCTION("IFERROR(INDEX(QUERY(IMPORTRANGE(""1T7HG8KEs-Ob7f3M5atEVN9Yn7IeORGp0QGvggB62ELw"",""Maestro!A:I""),""SELECT Col8 WHERE Col3 = '""&amp;BD679&amp;""'"", 0), 1, 1),""NO ENCONTRADO"")"),"")</f>
        <v/>
      </c>
      <c r="BH679" s="12" t="str">
        <f>IFERROR(__xludf.DUMMYFUNCTION("IFERROR(INDEX(QUERY(IMPORTRANGE(""1T7HG8KEs-Ob7f3M5atEVN9Yn7IeORGp0QGvggB62ELw"",""Maestro!A:I""),""SELECT Col7 WHERE Col3 = '""&amp;BD679&amp;""'"", 0), 1, 1),""NO ENCONTRADO"")"),"")</f>
        <v/>
      </c>
      <c r="BI679" s="16">
        <f t="shared" si="15"/>
        <v>0</v>
      </c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4"/>
      <c r="BW679" s="14"/>
      <c r="BX679" s="14"/>
      <c r="BY679" s="14"/>
      <c r="BZ679" s="14"/>
      <c r="CA679" s="14"/>
      <c r="CB679" s="14"/>
      <c r="CC679" s="14"/>
      <c r="CD679" s="14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</row>
    <row r="680">
      <c r="A680" s="12"/>
      <c r="B680" s="14"/>
      <c r="C680" s="14"/>
      <c r="D680" s="14"/>
      <c r="E680" s="12"/>
      <c r="F680" s="307"/>
      <c r="G680" s="307"/>
      <c r="H680" s="12"/>
      <c r="I680" s="30"/>
      <c r="J680" s="12"/>
      <c r="K680" s="12"/>
      <c r="L680" s="12"/>
      <c r="M680" s="12"/>
      <c r="N680" s="12"/>
      <c r="O680" s="308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4"/>
      <c r="BE680" s="12"/>
      <c r="BF680" s="12"/>
      <c r="BG680" s="12" t="str">
        <f>IFERROR(__xludf.DUMMYFUNCTION("IFERROR(INDEX(QUERY(IMPORTRANGE(""1T7HG8KEs-Ob7f3M5atEVN9Yn7IeORGp0QGvggB62ELw"",""Maestro!A:I""),""SELECT Col8 WHERE Col3 = '""&amp;BD680&amp;""'"", 0), 1, 1),""NO ENCONTRADO"")"),"")</f>
        <v/>
      </c>
      <c r="BH680" s="12" t="str">
        <f>IFERROR(__xludf.DUMMYFUNCTION("IFERROR(INDEX(QUERY(IMPORTRANGE(""1T7HG8KEs-Ob7f3M5atEVN9Yn7IeORGp0QGvggB62ELw"",""Maestro!A:I""),""SELECT Col7 WHERE Col3 = '""&amp;BD680&amp;""'"", 0), 1, 1),""NO ENCONTRADO"")"),"")</f>
        <v/>
      </c>
      <c r="BI680" s="16">
        <f t="shared" si="15"/>
        <v>0</v>
      </c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4"/>
      <c r="BW680" s="14"/>
      <c r="BX680" s="14"/>
      <c r="BY680" s="14"/>
      <c r="BZ680" s="14"/>
      <c r="CA680" s="14"/>
      <c r="CB680" s="14"/>
      <c r="CC680" s="14"/>
      <c r="CD680" s="14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</row>
    <row r="681">
      <c r="A681" s="12"/>
      <c r="B681" s="14"/>
      <c r="C681" s="14"/>
      <c r="D681" s="14"/>
      <c r="E681" s="12"/>
      <c r="F681" s="307"/>
      <c r="G681" s="307"/>
      <c r="H681" s="12"/>
      <c r="I681" s="30"/>
      <c r="J681" s="12"/>
      <c r="K681" s="12"/>
      <c r="L681" s="12"/>
      <c r="M681" s="12"/>
      <c r="N681" s="12"/>
      <c r="O681" s="308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4"/>
      <c r="BE681" s="12"/>
      <c r="BF681" s="12"/>
      <c r="BG681" s="12" t="str">
        <f>IFERROR(__xludf.DUMMYFUNCTION("IFERROR(INDEX(QUERY(IMPORTRANGE(""1T7HG8KEs-Ob7f3M5atEVN9Yn7IeORGp0QGvggB62ELw"",""Maestro!A:I""),""SELECT Col8 WHERE Col3 = '""&amp;BD681&amp;""'"", 0), 1, 1),""NO ENCONTRADO"")"),"")</f>
        <v/>
      </c>
      <c r="BH681" s="12" t="str">
        <f>IFERROR(__xludf.DUMMYFUNCTION("IFERROR(INDEX(QUERY(IMPORTRANGE(""1T7HG8KEs-Ob7f3M5atEVN9Yn7IeORGp0QGvggB62ELw"",""Maestro!A:I""),""SELECT Col7 WHERE Col3 = '""&amp;BD681&amp;""'"", 0), 1, 1),""NO ENCONTRADO"")"),"")</f>
        <v/>
      </c>
      <c r="BI681" s="16">
        <f t="shared" si="15"/>
        <v>0</v>
      </c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4"/>
      <c r="BW681" s="14"/>
      <c r="BX681" s="14"/>
      <c r="BY681" s="14"/>
      <c r="BZ681" s="14"/>
      <c r="CA681" s="14"/>
      <c r="CB681" s="14"/>
      <c r="CC681" s="14"/>
      <c r="CD681" s="14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</row>
    <row r="682">
      <c r="A682" s="12"/>
      <c r="B682" s="14"/>
      <c r="C682" s="14"/>
      <c r="D682" s="14"/>
      <c r="E682" s="12"/>
      <c r="F682" s="307"/>
      <c r="G682" s="307"/>
      <c r="H682" s="12"/>
      <c r="I682" s="30"/>
      <c r="J682" s="12"/>
      <c r="K682" s="12"/>
      <c r="L682" s="12"/>
      <c r="M682" s="12"/>
      <c r="N682" s="12"/>
      <c r="O682" s="308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4"/>
      <c r="BE682" s="12"/>
      <c r="BF682" s="12"/>
      <c r="BG682" s="12" t="str">
        <f>IFERROR(__xludf.DUMMYFUNCTION("IFERROR(INDEX(QUERY(IMPORTRANGE(""1T7HG8KEs-Ob7f3M5atEVN9Yn7IeORGp0QGvggB62ELw"",""Maestro!A:I""),""SELECT Col8 WHERE Col3 = '""&amp;BD682&amp;""'"", 0), 1, 1),""NO ENCONTRADO"")"),"")</f>
        <v/>
      </c>
      <c r="BH682" s="12" t="str">
        <f>IFERROR(__xludf.DUMMYFUNCTION("IFERROR(INDEX(QUERY(IMPORTRANGE(""1T7HG8KEs-Ob7f3M5atEVN9Yn7IeORGp0QGvggB62ELw"",""Maestro!A:I""),""SELECT Col7 WHERE Col3 = '""&amp;BD682&amp;""'"", 0), 1, 1),""NO ENCONTRADO"")"),"")</f>
        <v/>
      </c>
      <c r="BI682" s="16">
        <f t="shared" si="15"/>
        <v>0</v>
      </c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4"/>
      <c r="BW682" s="14"/>
      <c r="BX682" s="14"/>
      <c r="BY682" s="14"/>
      <c r="BZ682" s="14"/>
      <c r="CA682" s="14"/>
      <c r="CB682" s="14"/>
      <c r="CC682" s="14"/>
      <c r="CD682" s="14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</row>
    <row r="683">
      <c r="A683" s="12"/>
      <c r="B683" s="14"/>
      <c r="C683" s="14"/>
      <c r="D683" s="14"/>
      <c r="E683" s="12"/>
      <c r="F683" s="307"/>
      <c r="G683" s="307"/>
      <c r="H683" s="12"/>
      <c r="I683" s="30"/>
      <c r="J683" s="12"/>
      <c r="K683" s="12"/>
      <c r="L683" s="12"/>
      <c r="M683" s="12"/>
      <c r="N683" s="12"/>
      <c r="O683" s="308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4"/>
      <c r="BE683" s="12"/>
      <c r="BF683" s="12"/>
      <c r="BG683" s="12" t="str">
        <f>IFERROR(__xludf.DUMMYFUNCTION("IFERROR(INDEX(QUERY(IMPORTRANGE(""1T7HG8KEs-Ob7f3M5atEVN9Yn7IeORGp0QGvggB62ELw"",""Maestro!A:I""),""SELECT Col8 WHERE Col3 = '""&amp;BD683&amp;""'"", 0), 1, 1),""NO ENCONTRADO"")"),"")</f>
        <v/>
      </c>
      <c r="BH683" s="12" t="str">
        <f>IFERROR(__xludf.DUMMYFUNCTION("IFERROR(INDEX(QUERY(IMPORTRANGE(""1T7HG8KEs-Ob7f3M5atEVN9Yn7IeORGp0QGvggB62ELw"",""Maestro!A:I""),""SELECT Col7 WHERE Col3 = '""&amp;BD683&amp;""'"", 0), 1, 1),""NO ENCONTRADO"")"),"")</f>
        <v/>
      </c>
      <c r="BI683" s="16">
        <f t="shared" si="15"/>
        <v>0</v>
      </c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4"/>
      <c r="BW683" s="14"/>
      <c r="BX683" s="14"/>
      <c r="BY683" s="14"/>
      <c r="BZ683" s="14"/>
      <c r="CA683" s="14"/>
      <c r="CB683" s="14"/>
      <c r="CC683" s="14"/>
      <c r="CD683" s="14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</row>
    <row r="684">
      <c r="A684" s="12"/>
      <c r="B684" s="14"/>
      <c r="C684" s="14"/>
      <c r="D684" s="14"/>
      <c r="E684" s="12"/>
      <c r="F684" s="307"/>
      <c r="G684" s="307"/>
      <c r="H684" s="12"/>
      <c r="I684" s="30"/>
      <c r="J684" s="12"/>
      <c r="K684" s="12"/>
      <c r="L684" s="12"/>
      <c r="M684" s="12"/>
      <c r="N684" s="12"/>
      <c r="O684" s="308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4"/>
      <c r="BE684" s="12"/>
      <c r="BF684" s="12"/>
      <c r="BG684" s="12" t="str">
        <f>IFERROR(__xludf.DUMMYFUNCTION("IFERROR(INDEX(QUERY(IMPORTRANGE(""1T7HG8KEs-Ob7f3M5atEVN9Yn7IeORGp0QGvggB62ELw"",""Maestro!A:I""),""SELECT Col8 WHERE Col3 = '""&amp;BD684&amp;""'"", 0), 1, 1),""NO ENCONTRADO"")"),"")</f>
        <v/>
      </c>
      <c r="BH684" s="12" t="str">
        <f>IFERROR(__xludf.DUMMYFUNCTION("IFERROR(INDEX(QUERY(IMPORTRANGE(""1T7HG8KEs-Ob7f3M5atEVN9Yn7IeORGp0QGvggB62ELw"",""Maestro!A:I""),""SELECT Col7 WHERE Col3 = '""&amp;BD684&amp;""'"", 0), 1, 1),""NO ENCONTRADO"")"),"")</f>
        <v/>
      </c>
      <c r="BI684" s="16">
        <f t="shared" si="15"/>
        <v>0</v>
      </c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4"/>
      <c r="BW684" s="14"/>
      <c r="BX684" s="14"/>
      <c r="BY684" s="14"/>
      <c r="BZ684" s="14"/>
      <c r="CA684" s="14"/>
      <c r="CB684" s="14"/>
      <c r="CC684" s="14"/>
      <c r="CD684" s="14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</row>
    <row r="685">
      <c r="A685" s="12"/>
      <c r="B685" s="14"/>
      <c r="C685" s="14"/>
      <c r="D685" s="14"/>
      <c r="E685" s="12"/>
      <c r="F685" s="307"/>
      <c r="G685" s="307"/>
      <c r="H685" s="12"/>
      <c r="I685" s="30"/>
      <c r="J685" s="12"/>
      <c r="K685" s="12"/>
      <c r="L685" s="12"/>
      <c r="M685" s="12"/>
      <c r="N685" s="12"/>
      <c r="O685" s="308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4"/>
      <c r="BE685" s="12"/>
      <c r="BF685" s="12"/>
      <c r="BG685" s="12" t="str">
        <f>IFERROR(__xludf.DUMMYFUNCTION("IFERROR(INDEX(QUERY(IMPORTRANGE(""1T7HG8KEs-Ob7f3M5atEVN9Yn7IeORGp0QGvggB62ELw"",""Maestro!A:I""),""SELECT Col8 WHERE Col3 = '""&amp;BD685&amp;""'"", 0), 1, 1),""NO ENCONTRADO"")"),"")</f>
        <v/>
      </c>
      <c r="BH685" s="12" t="str">
        <f>IFERROR(__xludf.DUMMYFUNCTION("IFERROR(INDEX(QUERY(IMPORTRANGE(""1T7HG8KEs-Ob7f3M5atEVN9Yn7IeORGp0QGvggB62ELw"",""Maestro!A:I""),""SELECT Col7 WHERE Col3 = '""&amp;BD685&amp;""'"", 0), 1, 1),""NO ENCONTRADO"")"),"")</f>
        <v/>
      </c>
      <c r="BI685" s="16">
        <f t="shared" si="15"/>
        <v>0</v>
      </c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4"/>
      <c r="BW685" s="14"/>
      <c r="BX685" s="14"/>
      <c r="BY685" s="14"/>
      <c r="BZ685" s="14"/>
      <c r="CA685" s="14"/>
      <c r="CB685" s="14"/>
      <c r="CC685" s="14"/>
      <c r="CD685" s="14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</row>
    <row r="686">
      <c r="A686" s="12"/>
      <c r="B686" s="14"/>
      <c r="C686" s="14"/>
      <c r="D686" s="14"/>
      <c r="E686" s="12"/>
      <c r="F686" s="307"/>
      <c r="G686" s="307"/>
      <c r="H686" s="12"/>
      <c r="I686" s="30"/>
      <c r="J686" s="12"/>
      <c r="K686" s="12"/>
      <c r="L686" s="12"/>
      <c r="M686" s="12"/>
      <c r="N686" s="12"/>
      <c r="O686" s="308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4"/>
      <c r="BE686" s="12"/>
      <c r="BF686" s="12"/>
      <c r="BG686" s="12" t="str">
        <f>IFERROR(__xludf.DUMMYFUNCTION("IFERROR(INDEX(QUERY(IMPORTRANGE(""1T7HG8KEs-Ob7f3M5atEVN9Yn7IeORGp0QGvggB62ELw"",""Maestro!A:I""),""SELECT Col8 WHERE Col3 = '""&amp;BD686&amp;""'"", 0), 1, 1),""NO ENCONTRADO"")"),"")</f>
        <v/>
      </c>
      <c r="BH686" s="12" t="str">
        <f>IFERROR(__xludf.DUMMYFUNCTION("IFERROR(INDEX(QUERY(IMPORTRANGE(""1T7HG8KEs-Ob7f3M5atEVN9Yn7IeORGp0QGvggB62ELw"",""Maestro!A:I""),""SELECT Col7 WHERE Col3 = '""&amp;BD686&amp;""'"", 0), 1, 1),""NO ENCONTRADO"")"),"")</f>
        <v/>
      </c>
      <c r="BI686" s="16">
        <f t="shared" si="15"/>
        <v>0</v>
      </c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4"/>
      <c r="BW686" s="14"/>
      <c r="BX686" s="14"/>
      <c r="BY686" s="14"/>
      <c r="BZ686" s="14"/>
      <c r="CA686" s="14"/>
      <c r="CB686" s="14"/>
      <c r="CC686" s="14"/>
      <c r="CD686" s="14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</row>
    <row r="687">
      <c r="A687" s="12"/>
      <c r="B687" s="14"/>
      <c r="C687" s="14"/>
      <c r="D687" s="14"/>
      <c r="E687" s="12"/>
      <c r="F687" s="307"/>
      <c r="G687" s="307"/>
      <c r="H687" s="12"/>
      <c r="I687" s="30"/>
      <c r="J687" s="12"/>
      <c r="K687" s="12"/>
      <c r="L687" s="12"/>
      <c r="M687" s="12"/>
      <c r="N687" s="12"/>
      <c r="O687" s="308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4"/>
      <c r="BE687" s="12"/>
      <c r="BF687" s="12"/>
      <c r="BG687" s="12" t="str">
        <f>IFERROR(__xludf.DUMMYFUNCTION("IFERROR(INDEX(QUERY(IMPORTRANGE(""1T7HG8KEs-Ob7f3M5atEVN9Yn7IeORGp0QGvggB62ELw"",""Maestro!A:I""),""SELECT Col8 WHERE Col3 = '""&amp;BD687&amp;""'"", 0), 1, 1),""NO ENCONTRADO"")"),"")</f>
        <v/>
      </c>
      <c r="BH687" s="12" t="str">
        <f>IFERROR(__xludf.DUMMYFUNCTION("IFERROR(INDEX(QUERY(IMPORTRANGE(""1T7HG8KEs-Ob7f3M5atEVN9Yn7IeORGp0QGvggB62ELw"",""Maestro!A:I""),""SELECT Col7 WHERE Col3 = '""&amp;BD687&amp;""'"", 0), 1, 1),""NO ENCONTRADO"")"),"")</f>
        <v/>
      </c>
      <c r="BI687" s="16">
        <f t="shared" si="15"/>
        <v>0</v>
      </c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4"/>
      <c r="BW687" s="14"/>
      <c r="BX687" s="14"/>
      <c r="BY687" s="14"/>
      <c r="BZ687" s="14"/>
      <c r="CA687" s="14"/>
      <c r="CB687" s="14"/>
      <c r="CC687" s="14"/>
      <c r="CD687" s="14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</row>
    <row r="688">
      <c r="A688" s="12"/>
      <c r="B688" s="14"/>
      <c r="C688" s="14"/>
      <c r="D688" s="14"/>
      <c r="E688" s="12"/>
      <c r="F688" s="307"/>
      <c r="G688" s="307"/>
      <c r="H688" s="12"/>
      <c r="I688" s="30"/>
      <c r="J688" s="12"/>
      <c r="K688" s="12"/>
      <c r="L688" s="12"/>
      <c r="M688" s="12"/>
      <c r="N688" s="12"/>
      <c r="O688" s="308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4"/>
      <c r="BE688" s="12"/>
      <c r="BF688" s="12"/>
      <c r="BG688" s="12" t="str">
        <f>IFERROR(__xludf.DUMMYFUNCTION("IFERROR(INDEX(QUERY(IMPORTRANGE(""1T7HG8KEs-Ob7f3M5atEVN9Yn7IeORGp0QGvggB62ELw"",""Maestro!A:I""),""SELECT Col8 WHERE Col3 = '""&amp;BD688&amp;""'"", 0), 1, 1),""NO ENCONTRADO"")"),"")</f>
        <v/>
      </c>
      <c r="BH688" s="12" t="str">
        <f>IFERROR(__xludf.DUMMYFUNCTION("IFERROR(INDEX(QUERY(IMPORTRANGE(""1T7HG8KEs-Ob7f3M5atEVN9Yn7IeORGp0QGvggB62ELw"",""Maestro!A:I""),""SELECT Col7 WHERE Col3 = '""&amp;BD688&amp;""'"", 0), 1, 1),""NO ENCONTRADO"")"),"")</f>
        <v/>
      </c>
      <c r="BI688" s="16">
        <f t="shared" si="15"/>
        <v>0</v>
      </c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4"/>
      <c r="BW688" s="14"/>
      <c r="BX688" s="14"/>
      <c r="BY688" s="14"/>
      <c r="BZ688" s="14"/>
      <c r="CA688" s="14"/>
      <c r="CB688" s="14"/>
      <c r="CC688" s="14"/>
      <c r="CD688" s="14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</row>
    <row r="689">
      <c r="A689" s="12"/>
      <c r="B689" s="14"/>
      <c r="C689" s="14"/>
      <c r="D689" s="14"/>
      <c r="E689" s="12"/>
      <c r="F689" s="307"/>
      <c r="G689" s="307"/>
      <c r="H689" s="12"/>
      <c r="I689" s="30"/>
      <c r="J689" s="12"/>
      <c r="K689" s="12"/>
      <c r="L689" s="12"/>
      <c r="M689" s="12"/>
      <c r="N689" s="12"/>
      <c r="O689" s="308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4"/>
      <c r="BE689" s="12"/>
      <c r="BF689" s="12"/>
      <c r="BG689" s="12" t="str">
        <f>IFERROR(__xludf.DUMMYFUNCTION("IFERROR(INDEX(QUERY(IMPORTRANGE(""1T7HG8KEs-Ob7f3M5atEVN9Yn7IeORGp0QGvggB62ELw"",""Maestro!A:I""),""SELECT Col8 WHERE Col3 = '""&amp;BD689&amp;""'"", 0), 1, 1),""NO ENCONTRADO"")"),"")</f>
        <v/>
      </c>
      <c r="BH689" s="12" t="str">
        <f>IFERROR(__xludf.DUMMYFUNCTION("IFERROR(INDEX(QUERY(IMPORTRANGE(""1T7HG8KEs-Ob7f3M5atEVN9Yn7IeORGp0QGvggB62ELw"",""Maestro!A:I""),""SELECT Col7 WHERE Col3 = '""&amp;BD689&amp;""'"", 0), 1, 1),""NO ENCONTRADO"")"),"")</f>
        <v/>
      </c>
      <c r="BI689" s="16">
        <f t="shared" si="15"/>
        <v>0</v>
      </c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4"/>
      <c r="BW689" s="14"/>
      <c r="BX689" s="14"/>
      <c r="BY689" s="14"/>
      <c r="BZ689" s="14"/>
      <c r="CA689" s="14"/>
      <c r="CB689" s="14"/>
      <c r="CC689" s="14"/>
      <c r="CD689" s="14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</row>
    <row r="690">
      <c r="A690" s="12"/>
      <c r="B690" s="14"/>
      <c r="C690" s="14"/>
      <c r="D690" s="14"/>
      <c r="E690" s="12"/>
      <c r="F690" s="307"/>
      <c r="G690" s="307"/>
      <c r="H690" s="12"/>
      <c r="I690" s="30"/>
      <c r="J690" s="12"/>
      <c r="K690" s="12"/>
      <c r="L690" s="12"/>
      <c r="M690" s="12"/>
      <c r="N690" s="12"/>
      <c r="O690" s="308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4"/>
      <c r="BE690" s="12"/>
      <c r="BF690" s="12"/>
      <c r="BG690" s="12" t="str">
        <f>IFERROR(__xludf.DUMMYFUNCTION("IFERROR(INDEX(QUERY(IMPORTRANGE(""1T7HG8KEs-Ob7f3M5atEVN9Yn7IeORGp0QGvggB62ELw"",""Maestro!A:I""),""SELECT Col8 WHERE Col3 = '""&amp;BD690&amp;""'"", 0), 1, 1),""NO ENCONTRADO"")"),"")</f>
        <v/>
      </c>
      <c r="BH690" s="12" t="str">
        <f>IFERROR(__xludf.DUMMYFUNCTION("IFERROR(INDEX(QUERY(IMPORTRANGE(""1T7HG8KEs-Ob7f3M5atEVN9Yn7IeORGp0QGvggB62ELw"",""Maestro!A:I""),""SELECT Col7 WHERE Col3 = '""&amp;BD690&amp;""'"", 0), 1, 1),""NO ENCONTRADO"")"),"")</f>
        <v/>
      </c>
      <c r="BI690" s="16">
        <f t="shared" si="15"/>
        <v>0</v>
      </c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4"/>
      <c r="BW690" s="14"/>
      <c r="BX690" s="14"/>
      <c r="BY690" s="14"/>
      <c r="BZ690" s="14"/>
      <c r="CA690" s="14"/>
      <c r="CB690" s="14"/>
      <c r="CC690" s="14"/>
      <c r="CD690" s="14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</row>
    <row r="691">
      <c r="A691" s="12"/>
      <c r="B691" s="14"/>
      <c r="C691" s="14"/>
      <c r="D691" s="14"/>
      <c r="E691" s="12"/>
      <c r="F691" s="307"/>
      <c r="G691" s="307"/>
      <c r="H691" s="12"/>
      <c r="I691" s="30"/>
      <c r="J691" s="12"/>
      <c r="K691" s="12"/>
      <c r="L691" s="12"/>
      <c r="M691" s="12"/>
      <c r="N691" s="12"/>
      <c r="O691" s="308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4"/>
      <c r="BE691" s="12"/>
      <c r="BF691" s="12"/>
      <c r="BG691" s="12" t="str">
        <f>IFERROR(__xludf.DUMMYFUNCTION("IFERROR(INDEX(QUERY(IMPORTRANGE(""1T7HG8KEs-Ob7f3M5atEVN9Yn7IeORGp0QGvggB62ELw"",""Maestro!A:I""),""SELECT Col8 WHERE Col3 = '""&amp;BD691&amp;""'"", 0), 1, 1),""NO ENCONTRADO"")"),"")</f>
        <v/>
      </c>
      <c r="BH691" s="12" t="str">
        <f>IFERROR(__xludf.DUMMYFUNCTION("IFERROR(INDEX(QUERY(IMPORTRANGE(""1T7HG8KEs-Ob7f3M5atEVN9Yn7IeORGp0QGvggB62ELw"",""Maestro!A:I""),""SELECT Col7 WHERE Col3 = '""&amp;BD691&amp;""'"", 0), 1, 1),""NO ENCONTRADO"")"),"")</f>
        <v/>
      </c>
      <c r="BI691" s="16">
        <f t="shared" si="15"/>
        <v>0</v>
      </c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4"/>
      <c r="BW691" s="14"/>
      <c r="BX691" s="14"/>
      <c r="BY691" s="14"/>
      <c r="BZ691" s="14"/>
      <c r="CA691" s="14"/>
      <c r="CB691" s="14"/>
      <c r="CC691" s="14"/>
      <c r="CD691" s="14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</row>
    <row r="692">
      <c r="A692" s="12"/>
      <c r="B692" s="14"/>
      <c r="C692" s="14"/>
      <c r="D692" s="14"/>
      <c r="E692" s="12"/>
      <c r="F692" s="307"/>
      <c r="G692" s="307"/>
      <c r="H692" s="12"/>
      <c r="I692" s="30"/>
      <c r="J692" s="12"/>
      <c r="K692" s="12"/>
      <c r="L692" s="12"/>
      <c r="M692" s="12"/>
      <c r="N692" s="12"/>
      <c r="O692" s="308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4"/>
      <c r="BE692" s="12"/>
      <c r="BF692" s="12"/>
      <c r="BG692" s="12" t="str">
        <f>IFERROR(__xludf.DUMMYFUNCTION("IFERROR(INDEX(QUERY(IMPORTRANGE(""1T7HG8KEs-Ob7f3M5atEVN9Yn7IeORGp0QGvggB62ELw"",""Maestro!A:I""),""SELECT Col8 WHERE Col3 = '""&amp;BD692&amp;""'"", 0), 1, 1),""NO ENCONTRADO"")"),"")</f>
        <v/>
      </c>
      <c r="BH692" s="12" t="str">
        <f>IFERROR(__xludf.DUMMYFUNCTION("IFERROR(INDEX(QUERY(IMPORTRANGE(""1T7HG8KEs-Ob7f3M5atEVN9Yn7IeORGp0QGvggB62ELw"",""Maestro!A:I""),""SELECT Col7 WHERE Col3 = '""&amp;BD692&amp;""'"", 0), 1, 1),""NO ENCONTRADO"")"),"")</f>
        <v/>
      </c>
      <c r="BI692" s="16">
        <f t="shared" si="15"/>
        <v>0</v>
      </c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4"/>
      <c r="BW692" s="14"/>
      <c r="BX692" s="14"/>
      <c r="BY692" s="14"/>
      <c r="BZ692" s="14"/>
      <c r="CA692" s="14"/>
      <c r="CB692" s="14"/>
      <c r="CC692" s="14"/>
      <c r="CD692" s="14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</row>
    <row r="693">
      <c r="A693" s="12"/>
      <c r="B693" s="14"/>
      <c r="C693" s="14"/>
      <c r="D693" s="14"/>
      <c r="E693" s="12"/>
      <c r="F693" s="307"/>
      <c r="G693" s="307"/>
      <c r="H693" s="12"/>
      <c r="I693" s="30"/>
      <c r="J693" s="12"/>
      <c r="K693" s="12"/>
      <c r="L693" s="12"/>
      <c r="M693" s="12"/>
      <c r="N693" s="12"/>
      <c r="O693" s="308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4"/>
      <c r="BE693" s="12"/>
      <c r="BF693" s="12"/>
      <c r="BG693" s="12" t="str">
        <f>IFERROR(__xludf.DUMMYFUNCTION("IFERROR(INDEX(QUERY(IMPORTRANGE(""1T7HG8KEs-Ob7f3M5atEVN9Yn7IeORGp0QGvggB62ELw"",""Maestro!A:I""),""SELECT Col8 WHERE Col3 = '""&amp;BD693&amp;""'"", 0), 1, 1),""NO ENCONTRADO"")"),"")</f>
        <v/>
      </c>
      <c r="BH693" s="12" t="str">
        <f>IFERROR(__xludf.DUMMYFUNCTION("IFERROR(INDEX(QUERY(IMPORTRANGE(""1T7HG8KEs-Ob7f3M5atEVN9Yn7IeORGp0QGvggB62ELw"",""Maestro!A:I""),""SELECT Col7 WHERE Col3 = '""&amp;BD693&amp;""'"", 0), 1, 1),""NO ENCONTRADO"")"),"")</f>
        <v/>
      </c>
      <c r="BI693" s="16">
        <f t="shared" si="15"/>
        <v>0</v>
      </c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4"/>
      <c r="BW693" s="14"/>
      <c r="BX693" s="14"/>
      <c r="BY693" s="14"/>
      <c r="BZ693" s="14"/>
      <c r="CA693" s="14"/>
      <c r="CB693" s="14"/>
      <c r="CC693" s="14"/>
      <c r="CD693" s="14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</row>
    <row r="694">
      <c r="A694" s="12"/>
      <c r="B694" s="14"/>
      <c r="C694" s="14"/>
      <c r="D694" s="14"/>
      <c r="E694" s="12"/>
      <c r="F694" s="307"/>
      <c r="G694" s="307"/>
      <c r="H694" s="12"/>
      <c r="I694" s="30"/>
      <c r="J694" s="12"/>
      <c r="K694" s="12"/>
      <c r="L694" s="12"/>
      <c r="M694" s="12"/>
      <c r="N694" s="12"/>
      <c r="O694" s="308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4"/>
      <c r="BE694" s="12"/>
      <c r="BF694" s="12"/>
      <c r="BG694" s="12" t="str">
        <f>IFERROR(__xludf.DUMMYFUNCTION("IFERROR(INDEX(QUERY(IMPORTRANGE(""1T7HG8KEs-Ob7f3M5atEVN9Yn7IeORGp0QGvggB62ELw"",""Maestro!A:I""),""SELECT Col8 WHERE Col3 = '""&amp;BD694&amp;""'"", 0), 1, 1),""NO ENCONTRADO"")"),"")</f>
        <v/>
      </c>
      <c r="BH694" s="12" t="str">
        <f>IFERROR(__xludf.DUMMYFUNCTION("IFERROR(INDEX(QUERY(IMPORTRANGE(""1T7HG8KEs-Ob7f3M5atEVN9Yn7IeORGp0QGvggB62ELw"",""Maestro!A:I""),""SELECT Col7 WHERE Col3 = '""&amp;BD694&amp;""'"", 0), 1, 1),""NO ENCONTRADO"")"),"")</f>
        <v/>
      </c>
      <c r="BI694" s="16">
        <f t="shared" si="15"/>
        <v>0</v>
      </c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4"/>
      <c r="BW694" s="14"/>
      <c r="BX694" s="14"/>
      <c r="BY694" s="14"/>
      <c r="BZ694" s="14"/>
      <c r="CA694" s="14"/>
      <c r="CB694" s="14"/>
      <c r="CC694" s="14"/>
      <c r="CD694" s="14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</row>
    <row r="695">
      <c r="A695" s="12"/>
      <c r="B695" s="14"/>
      <c r="C695" s="14"/>
      <c r="D695" s="14"/>
      <c r="E695" s="12"/>
      <c r="F695" s="307"/>
      <c r="G695" s="307"/>
      <c r="H695" s="12"/>
      <c r="I695" s="30"/>
      <c r="J695" s="12"/>
      <c r="K695" s="12"/>
      <c r="L695" s="12"/>
      <c r="M695" s="12"/>
      <c r="N695" s="12"/>
      <c r="O695" s="308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4"/>
      <c r="BE695" s="12"/>
      <c r="BF695" s="12"/>
      <c r="BG695" s="12" t="str">
        <f>IFERROR(__xludf.DUMMYFUNCTION("IFERROR(INDEX(QUERY(IMPORTRANGE(""1T7HG8KEs-Ob7f3M5atEVN9Yn7IeORGp0QGvggB62ELw"",""Maestro!A:I""),""SELECT Col8 WHERE Col3 = '""&amp;BD695&amp;""'"", 0), 1, 1),""NO ENCONTRADO"")"),"")</f>
        <v/>
      </c>
      <c r="BH695" s="12" t="str">
        <f>IFERROR(__xludf.DUMMYFUNCTION("IFERROR(INDEX(QUERY(IMPORTRANGE(""1T7HG8KEs-Ob7f3M5atEVN9Yn7IeORGp0QGvggB62ELw"",""Maestro!A:I""),""SELECT Col7 WHERE Col3 = '""&amp;BD695&amp;""'"", 0), 1, 1),""NO ENCONTRADO"")"),"")</f>
        <v/>
      </c>
      <c r="BI695" s="16">
        <f t="shared" si="15"/>
        <v>0</v>
      </c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4"/>
      <c r="BW695" s="14"/>
      <c r="BX695" s="14"/>
      <c r="BY695" s="14"/>
      <c r="BZ695" s="14"/>
      <c r="CA695" s="14"/>
      <c r="CB695" s="14"/>
      <c r="CC695" s="14"/>
      <c r="CD695" s="14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</row>
    <row r="696">
      <c r="A696" s="12"/>
      <c r="B696" s="14"/>
      <c r="C696" s="14"/>
      <c r="D696" s="14"/>
      <c r="E696" s="12"/>
      <c r="F696" s="307"/>
      <c r="G696" s="307"/>
      <c r="H696" s="12"/>
      <c r="I696" s="30"/>
      <c r="J696" s="12"/>
      <c r="K696" s="12"/>
      <c r="L696" s="12"/>
      <c r="M696" s="12"/>
      <c r="N696" s="12"/>
      <c r="O696" s="308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4"/>
      <c r="BE696" s="12"/>
      <c r="BF696" s="12"/>
      <c r="BG696" s="12" t="str">
        <f>IFERROR(__xludf.DUMMYFUNCTION("IFERROR(INDEX(QUERY(IMPORTRANGE(""1T7HG8KEs-Ob7f3M5atEVN9Yn7IeORGp0QGvggB62ELw"",""Maestro!A:I""),""SELECT Col8 WHERE Col3 = '""&amp;BD696&amp;""'"", 0), 1, 1),""NO ENCONTRADO"")"),"")</f>
        <v/>
      </c>
      <c r="BH696" s="12" t="str">
        <f>IFERROR(__xludf.DUMMYFUNCTION("IFERROR(INDEX(QUERY(IMPORTRANGE(""1T7HG8KEs-Ob7f3M5atEVN9Yn7IeORGp0QGvggB62ELw"",""Maestro!A:I""),""SELECT Col7 WHERE Col3 = '""&amp;BD696&amp;""'"", 0), 1, 1),""NO ENCONTRADO"")"),"")</f>
        <v/>
      </c>
      <c r="BI696" s="16">
        <f t="shared" si="15"/>
        <v>0</v>
      </c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4"/>
      <c r="BW696" s="14"/>
      <c r="BX696" s="14"/>
      <c r="BY696" s="14"/>
      <c r="BZ696" s="14"/>
      <c r="CA696" s="14"/>
      <c r="CB696" s="14"/>
      <c r="CC696" s="14"/>
      <c r="CD696" s="14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</row>
    <row r="697">
      <c r="A697" s="12"/>
      <c r="B697" s="14"/>
      <c r="C697" s="14"/>
      <c r="D697" s="14"/>
      <c r="E697" s="12"/>
      <c r="F697" s="307"/>
      <c r="G697" s="307"/>
      <c r="H697" s="12"/>
      <c r="I697" s="30"/>
      <c r="J697" s="12"/>
      <c r="K697" s="12"/>
      <c r="L697" s="12"/>
      <c r="M697" s="12"/>
      <c r="N697" s="12"/>
      <c r="O697" s="308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4"/>
      <c r="BE697" s="12"/>
      <c r="BF697" s="12"/>
      <c r="BG697" s="12" t="str">
        <f>IFERROR(__xludf.DUMMYFUNCTION("IFERROR(INDEX(QUERY(IMPORTRANGE(""1T7HG8KEs-Ob7f3M5atEVN9Yn7IeORGp0QGvggB62ELw"",""Maestro!A:I""),""SELECT Col8 WHERE Col3 = '""&amp;BD697&amp;""'"", 0), 1, 1),""NO ENCONTRADO"")"),"")</f>
        <v/>
      </c>
      <c r="BH697" s="12" t="str">
        <f>IFERROR(__xludf.DUMMYFUNCTION("IFERROR(INDEX(QUERY(IMPORTRANGE(""1T7HG8KEs-Ob7f3M5atEVN9Yn7IeORGp0QGvggB62ELw"",""Maestro!A:I""),""SELECT Col7 WHERE Col3 = '""&amp;BD697&amp;""'"", 0), 1, 1),""NO ENCONTRADO"")"),"")</f>
        <v/>
      </c>
      <c r="BI697" s="16">
        <f t="shared" si="15"/>
        <v>0</v>
      </c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4"/>
      <c r="BW697" s="14"/>
      <c r="BX697" s="14"/>
      <c r="BY697" s="14"/>
      <c r="BZ697" s="14"/>
      <c r="CA697" s="14"/>
      <c r="CB697" s="14"/>
      <c r="CC697" s="14"/>
      <c r="CD697" s="14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</row>
    <row r="698">
      <c r="A698" s="12"/>
      <c r="B698" s="14"/>
      <c r="C698" s="14"/>
      <c r="D698" s="14"/>
      <c r="E698" s="12"/>
      <c r="F698" s="307"/>
      <c r="G698" s="307"/>
      <c r="H698" s="12"/>
      <c r="I698" s="30"/>
      <c r="J698" s="12"/>
      <c r="K698" s="12"/>
      <c r="L698" s="12"/>
      <c r="M698" s="12"/>
      <c r="N698" s="12"/>
      <c r="O698" s="308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4"/>
      <c r="BE698" s="12"/>
      <c r="BF698" s="12"/>
      <c r="BG698" s="12" t="str">
        <f>IFERROR(__xludf.DUMMYFUNCTION("IFERROR(INDEX(QUERY(IMPORTRANGE(""1T7HG8KEs-Ob7f3M5atEVN9Yn7IeORGp0QGvggB62ELw"",""Maestro!A:I""),""SELECT Col8 WHERE Col3 = '""&amp;BD698&amp;""'"", 0), 1, 1),""NO ENCONTRADO"")"),"")</f>
        <v/>
      </c>
      <c r="BH698" s="12" t="str">
        <f>IFERROR(__xludf.DUMMYFUNCTION("IFERROR(INDEX(QUERY(IMPORTRANGE(""1T7HG8KEs-Ob7f3M5atEVN9Yn7IeORGp0QGvggB62ELw"",""Maestro!A:I""),""SELECT Col7 WHERE Col3 = '""&amp;BD698&amp;""'"", 0), 1, 1),""NO ENCONTRADO"")"),"")</f>
        <v/>
      </c>
      <c r="BI698" s="16">
        <f t="shared" si="15"/>
        <v>0</v>
      </c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4"/>
      <c r="BW698" s="14"/>
      <c r="BX698" s="14"/>
      <c r="BY698" s="14"/>
      <c r="BZ698" s="14"/>
      <c r="CA698" s="14"/>
      <c r="CB698" s="14"/>
      <c r="CC698" s="14"/>
      <c r="CD698" s="14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</row>
    <row r="699">
      <c r="A699" s="12"/>
      <c r="B699" s="14"/>
      <c r="C699" s="14"/>
      <c r="D699" s="14"/>
      <c r="E699" s="12"/>
      <c r="F699" s="307"/>
      <c r="G699" s="307"/>
      <c r="H699" s="12"/>
      <c r="I699" s="30"/>
      <c r="J699" s="12"/>
      <c r="K699" s="12"/>
      <c r="L699" s="12"/>
      <c r="M699" s="12"/>
      <c r="N699" s="12"/>
      <c r="O699" s="308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4"/>
      <c r="BE699" s="12"/>
      <c r="BF699" s="12"/>
      <c r="BG699" s="12" t="str">
        <f>IFERROR(__xludf.DUMMYFUNCTION("IFERROR(INDEX(QUERY(IMPORTRANGE(""1T7HG8KEs-Ob7f3M5atEVN9Yn7IeORGp0QGvggB62ELw"",""Maestro!A:I""),""SELECT Col8 WHERE Col3 = '""&amp;BD699&amp;""'"", 0), 1, 1),""NO ENCONTRADO"")"),"")</f>
        <v/>
      </c>
      <c r="BH699" s="12" t="str">
        <f>IFERROR(__xludf.DUMMYFUNCTION("IFERROR(INDEX(QUERY(IMPORTRANGE(""1T7HG8KEs-Ob7f3M5atEVN9Yn7IeORGp0QGvggB62ELw"",""Maestro!A:I""),""SELECT Col7 WHERE Col3 = '""&amp;BD699&amp;""'"", 0), 1, 1),""NO ENCONTRADO"")"),"")</f>
        <v/>
      </c>
      <c r="BI699" s="16">
        <f t="shared" si="15"/>
        <v>0</v>
      </c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4"/>
      <c r="BW699" s="14"/>
      <c r="BX699" s="14"/>
      <c r="BY699" s="14"/>
      <c r="BZ699" s="14"/>
      <c r="CA699" s="14"/>
      <c r="CB699" s="14"/>
      <c r="CC699" s="14"/>
      <c r="CD699" s="14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</row>
    <row r="700">
      <c r="A700" s="12"/>
      <c r="B700" s="14"/>
      <c r="C700" s="14"/>
      <c r="D700" s="14"/>
      <c r="E700" s="12"/>
      <c r="F700" s="307"/>
      <c r="G700" s="307"/>
      <c r="H700" s="12"/>
      <c r="I700" s="30"/>
      <c r="J700" s="12"/>
      <c r="K700" s="12"/>
      <c r="L700" s="12"/>
      <c r="M700" s="12"/>
      <c r="N700" s="12"/>
      <c r="O700" s="308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4"/>
      <c r="BE700" s="12"/>
      <c r="BF700" s="12"/>
      <c r="BG700" s="12" t="str">
        <f>IFERROR(__xludf.DUMMYFUNCTION("IFERROR(INDEX(QUERY(IMPORTRANGE(""1T7HG8KEs-Ob7f3M5atEVN9Yn7IeORGp0QGvggB62ELw"",""Maestro!A:I""),""SELECT Col8 WHERE Col3 = '""&amp;BD700&amp;""'"", 0), 1, 1),""NO ENCONTRADO"")"),"")</f>
        <v/>
      </c>
      <c r="BH700" s="12" t="str">
        <f>IFERROR(__xludf.DUMMYFUNCTION("IFERROR(INDEX(QUERY(IMPORTRANGE(""1T7HG8KEs-Ob7f3M5atEVN9Yn7IeORGp0QGvggB62ELw"",""Maestro!A:I""),""SELECT Col7 WHERE Col3 = '""&amp;BD700&amp;""'"", 0), 1, 1),""NO ENCONTRADO"")"),"")</f>
        <v/>
      </c>
      <c r="BI700" s="16">
        <f t="shared" si="15"/>
        <v>0</v>
      </c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4"/>
      <c r="BW700" s="14"/>
      <c r="BX700" s="14"/>
      <c r="BY700" s="14"/>
      <c r="BZ700" s="14"/>
      <c r="CA700" s="14"/>
      <c r="CB700" s="14"/>
      <c r="CC700" s="14"/>
      <c r="CD700" s="14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</row>
    <row r="701">
      <c r="A701" s="12"/>
      <c r="B701" s="14"/>
      <c r="C701" s="14"/>
      <c r="D701" s="14"/>
      <c r="E701" s="12"/>
      <c r="F701" s="307"/>
      <c r="G701" s="307"/>
      <c r="H701" s="12"/>
      <c r="I701" s="30"/>
      <c r="J701" s="12"/>
      <c r="K701" s="12"/>
      <c r="L701" s="12"/>
      <c r="M701" s="12"/>
      <c r="N701" s="12"/>
      <c r="O701" s="308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4"/>
      <c r="BE701" s="12"/>
      <c r="BF701" s="12"/>
      <c r="BG701" s="12" t="str">
        <f>IFERROR(__xludf.DUMMYFUNCTION("IFERROR(INDEX(QUERY(IMPORTRANGE(""1T7HG8KEs-Ob7f3M5atEVN9Yn7IeORGp0QGvggB62ELw"",""Maestro!A:I""),""SELECT Col8 WHERE Col3 = '""&amp;BD701&amp;""'"", 0), 1, 1),""NO ENCONTRADO"")"),"")</f>
        <v/>
      </c>
      <c r="BH701" s="12" t="str">
        <f>IFERROR(__xludf.DUMMYFUNCTION("IFERROR(INDEX(QUERY(IMPORTRANGE(""1T7HG8KEs-Ob7f3M5atEVN9Yn7IeORGp0QGvggB62ELw"",""Maestro!A:I""),""SELECT Col7 WHERE Col3 = '""&amp;BD701&amp;""'"", 0), 1, 1),""NO ENCONTRADO"")"),"")</f>
        <v/>
      </c>
      <c r="BI701" s="16">
        <f t="shared" si="15"/>
        <v>0</v>
      </c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4"/>
      <c r="BW701" s="14"/>
      <c r="BX701" s="14"/>
      <c r="BY701" s="14"/>
      <c r="BZ701" s="14"/>
      <c r="CA701" s="14"/>
      <c r="CB701" s="14"/>
      <c r="CC701" s="14"/>
      <c r="CD701" s="14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</row>
    <row r="702">
      <c r="A702" s="12"/>
      <c r="B702" s="14"/>
      <c r="C702" s="14"/>
      <c r="D702" s="14"/>
      <c r="E702" s="12"/>
      <c r="F702" s="307"/>
      <c r="G702" s="307"/>
      <c r="H702" s="12"/>
      <c r="I702" s="30"/>
      <c r="J702" s="12"/>
      <c r="K702" s="12"/>
      <c r="L702" s="12"/>
      <c r="M702" s="12"/>
      <c r="N702" s="12"/>
      <c r="O702" s="308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4"/>
      <c r="BE702" s="12"/>
      <c r="BF702" s="12"/>
      <c r="BG702" s="12" t="str">
        <f>IFERROR(__xludf.DUMMYFUNCTION("IFERROR(INDEX(QUERY(IMPORTRANGE(""1T7HG8KEs-Ob7f3M5atEVN9Yn7IeORGp0QGvggB62ELw"",""Maestro!A:I""),""SELECT Col8 WHERE Col3 = '""&amp;BD702&amp;""'"", 0), 1, 1),""NO ENCONTRADO"")"),"")</f>
        <v/>
      </c>
      <c r="BH702" s="12" t="str">
        <f>IFERROR(__xludf.DUMMYFUNCTION("IFERROR(INDEX(QUERY(IMPORTRANGE(""1T7HG8KEs-Ob7f3M5atEVN9Yn7IeORGp0QGvggB62ELw"",""Maestro!A:I""),""SELECT Col7 WHERE Col3 = '""&amp;BD702&amp;""'"", 0), 1, 1),""NO ENCONTRADO"")"),"")</f>
        <v/>
      </c>
      <c r="BI702" s="16">
        <f t="shared" si="15"/>
        <v>0</v>
      </c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4"/>
      <c r="BW702" s="14"/>
      <c r="BX702" s="14"/>
      <c r="BY702" s="14"/>
      <c r="BZ702" s="14"/>
      <c r="CA702" s="14"/>
      <c r="CB702" s="14"/>
      <c r="CC702" s="14"/>
      <c r="CD702" s="14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</row>
    <row r="703">
      <c r="A703" s="12"/>
      <c r="B703" s="14"/>
      <c r="C703" s="14"/>
      <c r="D703" s="14"/>
      <c r="E703" s="12"/>
      <c r="F703" s="307"/>
      <c r="G703" s="307"/>
      <c r="H703" s="12"/>
      <c r="I703" s="30"/>
      <c r="J703" s="12"/>
      <c r="K703" s="12"/>
      <c r="L703" s="12"/>
      <c r="M703" s="12"/>
      <c r="N703" s="12"/>
      <c r="O703" s="308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4"/>
      <c r="BE703" s="12"/>
      <c r="BF703" s="12"/>
      <c r="BG703" s="12" t="str">
        <f>IFERROR(__xludf.DUMMYFUNCTION("IFERROR(INDEX(QUERY(IMPORTRANGE(""1T7HG8KEs-Ob7f3M5atEVN9Yn7IeORGp0QGvggB62ELw"",""Maestro!A:I""),""SELECT Col8 WHERE Col3 = '""&amp;BD703&amp;""'"", 0), 1, 1),""NO ENCONTRADO"")"),"")</f>
        <v/>
      </c>
      <c r="BH703" s="12" t="str">
        <f>IFERROR(__xludf.DUMMYFUNCTION("IFERROR(INDEX(QUERY(IMPORTRANGE(""1T7HG8KEs-Ob7f3M5atEVN9Yn7IeORGp0QGvggB62ELw"",""Maestro!A:I""),""SELECT Col7 WHERE Col3 = '""&amp;BD703&amp;""'"", 0), 1, 1),""NO ENCONTRADO"")"),"")</f>
        <v/>
      </c>
      <c r="BI703" s="16">
        <f t="shared" si="15"/>
        <v>0</v>
      </c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4"/>
      <c r="BW703" s="14"/>
      <c r="BX703" s="14"/>
      <c r="BY703" s="14"/>
      <c r="BZ703" s="14"/>
      <c r="CA703" s="14"/>
      <c r="CB703" s="14"/>
      <c r="CC703" s="14"/>
      <c r="CD703" s="14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</row>
    <row r="704">
      <c r="A704" s="12"/>
      <c r="B704" s="14"/>
      <c r="C704" s="14"/>
      <c r="D704" s="14"/>
      <c r="E704" s="12"/>
      <c r="F704" s="307"/>
      <c r="G704" s="307"/>
      <c r="H704" s="12"/>
      <c r="I704" s="30"/>
      <c r="J704" s="12"/>
      <c r="K704" s="12"/>
      <c r="L704" s="12"/>
      <c r="M704" s="12"/>
      <c r="N704" s="12"/>
      <c r="O704" s="308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4"/>
      <c r="BE704" s="12"/>
      <c r="BF704" s="12"/>
      <c r="BG704" s="12" t="str">
        <f>IFERROR(__xludf.DUMMYFUNCTION("IFERROR(INDEX(QUERY(IMPORTRANGE(""1T7HG8KEs-Ob7f3M5atEVN9Yn7IeORGp0QGvggB62ELw"",""Maestro!A:I""),""SELECT Col8 WHERE Col3 = '""&amp;BD704&amp;""'"", 0), 1, 1),""NO ENCONTRADO"")"),"")</f>
        <v/>
      </c>
      <c r="BH704" s="12" t="str">
        <f>IFERROR(__xludf.DUMMYFUNCTION("IFERROR(INDEX(QUERY(IMPORTRANGE(""1T7HG8KEs-Ob7f3M5atEVN9Yn7IeORGp0QGvggB62ELw"",""Maestro!A:I""),""SELECT Col7 WHERE Col3 = '""&amp;BD704&amp;""'"", 0), 1, 1),""NO ENCONTRADO"")"),"")</f>
        <v/>
      </c>
      <c r="BI704" s="16">
        <f t="shared" si="15"/>
        <v>0</v>
      </c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4"/>
      <c r="BW704" s="14"/>
      <c r="BX704" s="14"/>
      <c r="BY704" s="14"/>
      <c r="BZ704" s="14"/>
      <c r="CA704" s="14"/>
      <c r="CB704" s="14"/>
      <c r="CC704" s="14"/>
      <c r="CD704" s="14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</row>
    <row r="705">
      <c r="A705" s="12"/>
      <c r="B705" s="14"/>
      <c r="C705" s="14"/>
      <c r="D705" s="14"/>
      <c r="E705" s="12"/>
      <c r="F705" s="307"/>
      <c r="G705" s="307"/>
      <c r="H705" s="12"/>
      <c r="I705" s="30"/>
      <c r="J705" s="12"/>
      <c r="K705" s="12"/>
      <c r="L705" s="12"/>
      <c r="M705" s="12"/>
      <c r="N705" s="12"/>
      <c r="O705" s="308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4"/>
      <c r="BE705" s="12"/>
      <c r="BF705" s="12"/>
      <c r="BG705" s="12" t="str">
        <f>IFERROR(__xludf.DUMMYFUNCTION("IFERROR(INDEX(QUERY(IMPORTRANGE(""1T7HG8KEs-Ob7f3M5atEVN9Yn7IeORGp0QGvggB62ELw"",""Maestro!A:I""),""SELECT Col8 WHERE Col3 = '""&amp;BD705&amp;""'"", 0), 1, 1),""NO ENCONTRADO"")"),"")</f>
        <v/>
      </c>
      <c r="BH705" s="12" t="str">
        <f>IFERROR(__xludf.DUMMYFUNCTION("IFERROR(INDEX(QUERY(IMPORTRANGE(""1T7HG8KEs-Ob7f3M5atEVN9Yn7IeORGp0QGvggB62ELw"",""Maestro!A:I""),""SELECT Col7 WHERE Col3 = '""&amp;BD705&amp;""'"", 0), 1, 1),""NO ENCONTRADO"")"),"")</f>
        <v/>
      </c>
      <c r="BI705" s="16">
        <f t="shared" si="15"/>
        <v>0</v>
      </c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4"/>
      <c r="BW705" s="14"/>
      <c r="BX705" s="14"/>
      <c r="BY705" s="14"/>
      <c r="BZ705" s="14"/>
      <c r="CA705" s="14"/>
      <c r="CB705" s="14"/>
      <c r="CC705" s="14"/>
      <c r="CD705" s="14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</row>
    <row r="706">
      <c r="A706" s="12"/>
      <c r="B706" s="14"/>
      <c r="C706" s="14"/>
      <c r="D706" s="14"/>
      <c r="E706" s="12"/>
      <c r="F706" s="307"/>
      <c r="G706" s="307"/>
      <c r="H706" s="12"/>
      <c r="I706" s="30"/>
      <c r="J706" s="12"/>
      <c r="K706" s="12"/>
      <c r="L706" s="12"/>
      <c r="M706" s="12"/>
      <c r="N706" s="12"/>
      <c r="O706" s="308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4"/>
      <c r="BE706" s="12"/>
      <c r="BF706" s="12"/>
      <c r="BG706" s="12" t="str">
        <f>IFERROR(__xludf.DUMMYFUNCTION("IFERROR(INDEX(QUERY(IMPORTRANGE(""1T7HG8KEs-Ob7f3M5atEVN9Yn7IeORGp0QGvggB62ELw"",""Maestro!A:I""),""SELECT Col8 WHERE Col3 = '""&amp;BD706&amp;""'"", 0), 1, 1),""NO ENCONTRADO"")"),"")</f>
        <v/>
      </c>
      <c r="BH706" s="12" t="str">
        <f>IFERROR(__xludf.DUMMYFUNCTION("IFERROR(INDEX(QUERY(IMPORTRANGE(""1T7HG8KEs-Ob7f3M5atEVN9Yn7IeORGp0QGvggB62ELw"",""Maestro!A:I""),""SELECT Col7 WHERE Col3 = '""&amp;BD706&amp;""'"", 0), 1, 1),""NO ENCONTRADO"")"),"")</f>
        <v/>
      </c>
      <c r="BI706" s="16">
        <f t="shared" si="15"/>
        <v>0</v>
      </c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4"/>
      <c r="BW706" s="14"/>
      <c r="BX706" s="14"/>
      <c r="BY706" s="14"/>
      <c r="BZ706" s="14"/>
      <c r="CA706" s="14"/>
      <c r="CB706" s="14"/>
      <c r="CC706" s="14"/>
      <c r="CD706" s="14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</row>
    <row r="707">
      <c r="A707" s="12"/>
      <c r="B707" s="14"/>
      <c r="C707" s="14"/>
      <c r="D707" s="14"/>
      <c r="E707" s="12"/>
      <c r="F707" s="307"/>
      <c r="G707" s="307"/>
      <c r="H707" s="12"/>
      <c r="I707" s="30"/>
      <c r="J707" s="12"/>
      <c r="K707" s="12"/>
      <c r="L707" s="12"/>
      <c r="M707" s="12"/>
      <c r="N707" s="12"/>
      <c r="O707" s="308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4"/>
      <c r="BE707" s="12"/>
      <c r="BF707" s="12"/>
      <c r="BG707" s="12" t="str">
        <f>IFERROR(__xludf.DUMMYFUNCTION("IFERROR(INDEX(QUERY(IMPORTRANGE(""1T7HG8KEs-Ob7f3M5atEVN9Yn7IeORGp0QGvggB62ELw"",""Maestro!A:I""),""SELECT Col8 WHERE Col3 = '""&amp;BD707&amp;""'"", 0), 1, 1),""NO ENCONTRADO"")"),"")</f>
        <v/>
      </c>
      <c r="BH707" s="12" t="str">
        <f>IFERROR(__xludf.DUMMYFUNCTION("IFERROR(INDEX(QUERY(IMPORTRANGE(""1T7HG8KEs-Ob7f3M5atEVN9Yn7IeORGp0QGvggB62ELw"",""Maestro!A:I""),""SELECT Col7 WHERE Col3 = '""&amp;BD707&amp;""'"", 0), 1, 1),""NO ENCONTRADO"")"),"")</f>
        <v/>
      </c>
      <c r="BI707" s="16">
        <f t="shared" si="15"/>
        <v>0</v>
      </c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4"/>
      <c r="BW707" s="14"/>
      <c r="BX707" s="14"/>
      <c r="BY707" s="14"/>
      <c r="BZ707" s="14"/>
      <c r="CA707" s="14"/>
      <c r="CB707" s="14"/>
      <c r="CC707" s="14"/>
      <c r="CD707" s="14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</row>
    <row r="708">
      <c r="A708" s="12"/>
      <c r="B708" s="14"/>
      <c r="C708" s="14"/>
      <c r="D708" s="14"/>
      <c r="E708" s="12"/>
      <c r="F708" s="307"/>
      <c r="G708" s="307"/>
      <c r="H708" s="12"/>
      <c r="I708" s="30"/>
      <c r="J708" s="12"/>
      <c r="K708" s="12"/>
      <c r="L708" s="12"/>
      <c r="M708" s="12"/>
      <c r="N708" s="12"/>
      <c r="O708" s="308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4"/>
      <c r="BE708" s="12"/>
      <c r="BF708" s="12"/>
      <c r="BG708" s="12" t="str">
        <f>IFERROR(__xludf.DUMMYFUNCTION("IFERROR(INDEX(QUERY(IMPORTRANGE(""1T7HG8KEs-Ob7f3M5atEVN9Yn7IeORGp0QGvggB62ELw"",""Maestro!A:I""),""SELECT Col8 WHERE Col3 = '""&amp;BD708&amp;""'"", 0), 1, 1),""NO ENCONTRADO"")"),"")</f>
        <v/>
      </c>
      <c r="BH708" s="12" t="str">
        <f>IFERROR(__xludf.DUMMYFUNCTION("IFERROR(INDEX(QUERY(IMPORTRANGE(""1T7HG8KEs-Ob7f3M5atEVN9Yn7IeORGp0QGvggB62ELw"",""Maestro!A:I""),""SELECT Col7 WHERE Col3 = '""&amp;BD708&amp;""'"", 0), 1, 1),""NO ENCONTRADO"")"),"")</f>
        <v/>
      </c>
      <c r="BI708" s="16">
        <f t="shared" si="15"/>
        <v>0</v>
      </c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4"/>
      <c r="BW708" s="14"/>
      <c r="BX708" s="14"/>
      <c r="BY708" s="14"/>
      <c r="BZ708" s="14"/>
      <c r="CA708" s="14"/>
      <c r="CB708" s="14"/>
      <c r="CC708" s="14"/>
      <c r="CD708" s="14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</row>
    <row r="709">
      <c r="A709" s="12"/>
      <c r="B709" s="14"/>
      <c r="C709" s="14"/>
      <c r="D709" s="14"/>
      <c r="E709" s="12"/>
      <c r="F709" s="307"/>
      <c r="G709" s="307"/>
      <c r="H709" s="12"/>
      <c r="I709" s="30"/>
      <c r="J709" s="12"/>
      <c r="K709" s="12"/>
      <c r="L709" s="12"/>
      <c r="M709" s="12"/>
      <c r="N709" s="12"/>
      <c r="O709" s="308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4"/>
      <c r="BE709" s="12"/>
      <c r="BF709" s="12"/>
      <c r="BG709" s="12" t="str">
        <f>IFERROR(__xludf.DUMMYFUNCTION("IFERROR(INDEX(QUERY(IMPORTRANGE(""1T7HG8KEs-Ob7f3M5atEVN9Yn7IeORGp0QGvggB62ELw"",""Maestro!A:I""),""SELECT Col8 WHERE Col3 = '""&amp;BD709&amp;""'"", 0), 1, 1),""NO ENCONTRADO"")"),"")</f>
        <v/>
      </c>
      <c r="BH709" s="12" t="str">
        <f>IFERROR(__xludf.DUMMYFUNCTION("IFERROR(INDEX(QUERY(IMPORTRANGE(""1T7HG8KEs-Ob7f3M5atEVN9Yn7IeORGp0QGvggB62ELw"",""Maestro!A:I""),""SELECT Col7 WHERE Col3 = '""&amp;BD709&amp;""'"", 0), 1, 1),""NO ENCONTRADO"")"),"")</f>
        <v/>
      </c>
      <c r="BI709" s="16">
        <f t="shared" si="15"/>
        <v>0</v>
      </c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4"/>
      <c r="BW709" s="14"/>
      <c r="BX709" s="14"/>
      <c r="BY709" s="14"/>
      <c r="BZ709" s="14"/>
      <c r="CA709" s="14"/>
      <c r="CB709" s="14"/>
      <c r="CC709" s="14"/>
      <c r="CD709" s="14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</row>
    <row r="710">
      <c r="A710" s="12"/>
      <c r="B710" s="14"/>
      <c r="C710" s="14"/>
      <c r="D710" s="14"/>
      <c r="E710" s="12"/>
      <c r="F710" s="307"/>
      <c r="G710" s="307"/>
      <c r="H710" s="12"/>
      <c r="I710" s="30"/>
      <c r="J710" s="12"/>
      <c r="K710" s="12"/>
      <c r="L710" s="12"/>
      <c r="M710" s="12"/>
      <c r="N710" s="12"/>
      <c r="O710" s="308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4"/>
      <c r="BE710" s="12"/>
      <c r="BF710" s="12"/>
      <c r="BG710" s="12" t="str">
        <f>IFERROR(__xludf.DUMMYFUNCTION("IFERROR(INDEX(QUERY(IMPORTRANGE(""1T7HG8KEs-Ob7f3M5atEVN9Yn7IeORGp0QGvggB62ELw"",""Maestro!A:I""),""SELECT Col8 WHERE Col3 = '""&amp;BD710&amp;""'"", 0), 1, 1),""NO ENCONTRADO"")"),"")</f>
        <v/>
      </c>
      <c r="BH710" s="12" t="str">
        <f>IFERROR(__xludf.DUMMYFUNCTION("IFERROR(INDEX(QUERY(IMPORTRANGE(""1T7HG8KEs-Ob7f3M5atEVN9Yn7IeORGp0QGvggB62ELw"",""Maestro!A:I""),""SELECT Col7 WHERE Col3 = '""&amp;BD710&amp;""'"", 0), 1, 1),""NO ENCONTRADO"")"),"")</f>
        <v/>
      </c>
      <c r="BI710" s="16">
        <f t="shared" si="15"/>
        <v>0</v>
      </c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4"/>
      <c r="BW710" s="14"/>
      <c r="BX710" s="14"/>
      <c r="BY710" s="14"/>
      <c r="BZ710" s="14"/>
      <c r="CA710" s="14"/>
      <c r="CB710" s="14"/>
      <c r="CC710" s="14"/>
      <c r="CD710" s="14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</row>
    <row r="711">
      <c r="A711" s="12"/>
      <c r="B711" s="14"/>
      <c r="C711" s="14"/>
      <c r="D711" s="14"/>
      <c r="E711" s="12"/>
      <c r="F711" s="307"/>
      <c r="G711" s="307"/>
      <c r="H711" s="12"/>
      <c r="I711" s="30"/>
      <c r="J711" s="12"/>
      <c r="K711" s="12"/>
      <c r="L711" s="12"/>
      <c r="M711" s="12"/>
      <c r="N711" s="12"/>
      <c r="O711" s="308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4"/>
      <c r="BE711" s="12"/>
      <c r="BF711" s="12"/>
      <c r="BG711" s="12" t="str">
        <f>IFERROR(__xludf.DUMMYFUNCTION("IFERROR(INDEX(QUERY(IMPORTRANGE(""1T7HG8KEs-Ob7f3M5atEVN9Yn7IeORGp0QGvggB62ELw"",""Maestro!A:I""),""SELECT Col8 WHERE Col3 = '""&amp;BD711&amp;""'"", 0), 1, 1),""NO ENCONTRADO"")"),"")</f>
        <v/>
      </c>
      <c r="BH711" s="12" t="str">
        <f>IFERROR(__xludf.DUMMYFUNCTION("IFERROR(INDEX(QUERY(IMPORTRANGE(""1T7HG8KEs-Ob7f3M5atEVN9Yn7IeORGp0QGvggB62ELw"",""Maestro!A:I""),""SELECT Col7 WHERE Col3 = '""&amp;BD711&amp;""'"", 0), 1, 1),""NO ENCONTRADO"")"),"")</f>
        <v/>
      </c>
      <c r="BI711" s="16">
        <f t="shared" si="15"/>
        <v>0</v>
      </c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4"/>
      <c r="BW711" s="14"/>
      <c r="BX711" s="14"/>
      <c r="BY711" s="14"/>
      <c r="BZ711" s="14"/>
      <c r="CA711" s="14"/>
      <c r="CB711" s="14"/>
      <c r="CC711" s="14"/>
      <c r="CD711" s="14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</row>
    <row r="712">
      <c r="A712" s="12"/>
      <c r="B712" s="14"/>
      <c r="C712" s="14"/>
      <c r="D712" s="14"/>
      <c r="E712" s="12"/>
      <c r="F712" s="307"/>
      <c r="G712" s="307"/>
      <c r="H712" s="12"/>
      <c r="I712" s="30"/>
      <c r="J712" s="12"/>
      <c r="K712" s="12"/>
      <c r="L712" s="12"/>
      <c r="M712" s="12"/>
      <c r="N712" s="12"/>
      <c r="O712" s="308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4"/>
      <c r="BE712" s="12"/>
      <c r="BF712" s="12"/>
      <c r="BG712" s="12" t="str">
        <f>IFERROR(__xludf.DUMMYFUNCTION("IFERROR(INDEX(QUERY(IMPORTRANGE(""1T7HG8KEs-Ob7f3M5atEVN9Yn7IeORGp0QGvggB62ELw"",""Maestro!A:I""),""SELECT Col8 WHERE Col3 = '""&amp;BD712&amp;""'"", 0), 1, 1),""NO ENCONTRADO"")"),"")</f>
        <v/>
      </c>
      <c r="BH712" s="12" t="str">
        <f>IFERROR(__xludf.DUMMYFUNCTION("IFERROR(INDEX(QUERY(IMPORTRANGE(""1T7HG8KEs-Ob7f3M5atEVN9Yn7IeORGp0QGvggB62ELw"",""Maestro!A:I""),""SELECT Col7 WHERE Col3 = '""&amp;BD712&amp;""'"", 0), 1, 1),""NO ENCONTRADO"")"),"")</f>
        <v/>
      </c>
      <c r="BI712" s="16">
        <f t="shared" si="15"/>
        <v>0</v>
      </c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4"/>
      <c r="BW712" s="14"/>
      <c r="BX712" s="14"/>
      <c r="BY712" s="14"/>
      <c r="BZ712" s="14"/>
      <c r="CA712" s="14"/>
      <c r="CB712" s="14"/>
      <c r="CC712" s="14"/>
      <c r="CD712" s="14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</row>
    <row r="713">
      <c r="A713" s="12"/>
      <c r="B713" s="14"/>
      <c r="C713" s="14"/>
      <c r="D713" s="14"/>
      <c r="E713" s="12"/>
      <c r="F713" s="307"/>
      <c r="G713" s="307"/>
      <c r="H713" s="12"/>
      <c r="I713" s="30"/>
      <c r="J713" s="12"/>
      <c r="K713" s="12"/>
      <c r="L713" s="12"/>
      <c r="M713" s="12"/>
      <c r="N713" s="12"/>
      <c r="O713" s="308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4"/>
      <c r="BE713" s="12"/>
      <c r="BF713" s="12"/>
      <c r="BG713" s="12" t="str">
        <f>IFERROR(__xludf.DUMMYFUNCTION("IFERROR(INDEX(QUERY(IMPORTRANGE(""1T7HG8KEs-Ob7f3M5atEVN9Yn7IeORGp0QGvggB62ELw"",""Maestro!A:I""),""SELECT Col8 WHERE Col3 = '""&amp;BD713&amp;""'"", 0), 1, 1),""NO ENCONTRADO"")"),"")</f>
        <v/>
      </c>
      <c r="BH713" s="12" t="str">
        <f>IFERROR(__xludf.DUMMYFUNCTION("IFERROR(INDEX(QUERY(IMPORTRANGE(""1T7HG8KEs-Ob7f3M5atEVN9Yn7IeORGp0QGvggB62ELw"",""Maestro!A:I""),""SELECT Col7 WHERE Col3 = '""&amp;BD713&amp;""'"", 0), 1, 1),""NO ENCONTRADO"")"),"")</f>
        <v/>
      </c>
      <c r="BI713" s="16">
        <f t="shared" si="15"/>
        <v>0</v>
      </c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4"/>
      <c r="BW713" s="14"/>
      <c r="BX713" s="14"/>
      <c r="BY713" s="14"/>
      <c r="BZ713" s="14"/>
      <c r="CA713" s="14"/>
      <c r="CB713" s="14"/>
      <c r="CC713" s="14"/>
      <c r="CD713" s="14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</row>
    <row r="714">
      <c r="A714" s="12"/>
      <c r="B714" s="14"/>
      <c r="C714" s="14"/>
      <c r="D714" s="14"/>
      <c r="E714" s="12"/>
      <c r="F714" s="307"/>
      <c r="G714" s="307"/>
      <c r="H714" s="12"/>
      <c r="I714" s="30"/>
      <c r="J714" s="12"/>
      <c r="K714" s="12"/>
      <c r="L714" s="12"/>
      <c r="M714" s="12"/>
      <c r="N714" s="12"/>
      <c r="O714" s="308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4"/>
      <c r="BE714" s="12"/>
      <c r="BF714" s="12"/>
      <c r="BG714" s="12" t="str">
        <f>IFERROR(__xludf.DUMMYFUNCTION("IFERROR(INDEX(QUERY(IMPORTRANGE(""1T7HG8KEs-Ob7f3M5atEVN9Yn7IeORGp0QGvggB62ELw"",""Maestro!A:I""),""SELECT Col8 WHERE Col3 = '""&amp;BD714&amp;""'"", 0), 1, 1),""NO ENCONTRADO"")"),"")</f>
        <v/>
      </c>
      <c r="BH714" s="12" t="str">
        <f>IFERROR(__xludf.DUMMYFUNCTION("IFERROR(INDEX(QUERY(IMPORTRANGE(""1T7HG8KEs-Ob7f3M5atEVN9Yn7IeORGp0QGvggB62ELw"",""Maestro!A:I""),""SELECT Col7 WHERE Col3 = '""&amp;BD714&amp;""'"", 0), 1, 1),""NO ENCONTRADO"")"),"")</f>
        <v/>
      </c>
      <c r="BI714" s="16">
        <f t="shared" si="15"/>
        <v>0</v>
      </c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4"/>
      <c r="BW714" s="14"/>
      <c r="BX714" s="14"/>
      <c r="BY714" s="14"/>
      <c r="BZ714" s="14"/>
      <c r="CA714" s="14"/>
      <c r="CB714" s="14"/>
      <c r="CC714" s="14"/>
      <c r="CD714" s="14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</row>
    <row r="715">
      <c r="A715" s="12"/>
      <c r="B715" s="14"/>
      <c r="C715" s="14"/>
      <c r="D715" s="14"/>
      <c r="E715" s="12"/>
      <c r="F715" s="307"/>
      <c r="G715" s="307"/>
      <c r="H715" s="12"/>
      <c r="I715" s="30"/>
      <c r="J715" s="12"/>
      <c r="K715" s="12"/>
      <c r="L715" s="12"/>
      <c r="M715" s="12"/>
      <c r="N715" s="12"/>
      <c r="O715" s="308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4"/>
      <c r="BE715" s="12"/>
      <c r="BF715" s="12"/>
      <c r="BG715" s="12" t="str">
        <f>IFERROR(__xludf.DUMMYFUNCTION("IFERROR(INDEX(QUERY(IMPORTRANGE(""1T7HG8KEs-Ob7f3M5atEVN9Yn7IeORGp0QGvggB62ELw"",""Maestro!A:I""),""SELECT Col8 WHERE Col3 = '""&amp;BD715&amp;""'"", 0), 1, 1),""NO ENCONTRADO"")"),"")</f>
        <v/>
      </c>
      <c r="BH715" s="12" t="str">
        <f>IFERROR(__xludf.DUMMYFUNCTION("IFERROR(INDEX(QUERY(IMPORTRANGE(""1T7HG8KEs-Ob7f3M5atEVN9Yn7IeORGp0QGvggB62ELw"",""Maestro!A:I""),""SELECT Col7 WHERE Col3 = '""&amp;BD715&amp;""'"", 0), 1, 1),""NO ENCONTRADO"")"),"")</f>
        <v/>
      </c>
      <c r="BI715" s="16">
        <f t="shared" si="15"/>
        <v>0</v>
      </c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4"/>
      <c r="BW715" s="14"/>
      <c r="BX715" s="14"/>
      <c r="BY715" s="14"/>
      <c r="BZ715" s="14"/>
      <c r="CA715" s="14"/>
      <c r="CB715" s="14"/>
      <c r="CC715" s="14"/>
      <c r="CD715" s="14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</row>
    <row r="716">
      <c r="A716" s="12"/>
      <c r="B716" s="14"/>
      <c r="C716" s="14"/>
      <c r="D716" s="14"/>
      <c r="E716" s="12"/>
      <c r="F716" s="307"/>
      <c r="G716" s="307"/>
      <c r="H716" s="12"/>
      <c r="I716" s="30"/>
      <c r="J716" s="12"/>
      <c r="K716" s="12"/>
      <c r="L716" s="12"/>
      <c r="M716" s="12"/>
      <c r="N716" s="12"/>
      <c r="O716" s="308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4"/>
      <c r="BE716" s="12"/>
      <c r="BF716" s="12"/>
      <c r="BG716" s="12" t="str">
        <f>IFERROR(__xludf.DUMMYFUNCTION("IFERROR(INDEX(QUERY(IMPORTRANGE(""1T7HG8KEs-Ob7f3M5atEVN9Yn7IeORGp0QGvggB62ELw"",""Maestro!A:I""),""SELECT Col8 WHERE Col3 = '""&amp;BD716&amp;""'"", 0), 1, 1),""NO ENCONTRADO"")"),"")</f>
        <v/>
      </c>
      <c r="BH716" s="12" t="str">
        <f>IFERROR(__xludf.DUMMYFUNCTION("IFERROR(INDEX(QUERY(IMPORTRANGE(""1T7HG8KEs-Ob7f3M5atEVN9Yn7IeORGp0QGvggB62ELw"",""Maestro!A:I""),""SELECT Col7 WHERE Col3 = '""&amp;BD716&amp;""'"", 0), 1, 1),""NO ENCONTRADO"")"),"")</f>
        <v/>
      </c>
      <c r="BI716" s="16">
        <f t="shared" si="15"/>
        <v>0</v>
      </c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4"/>
      <c r="BW716" s="14"/>
      <c r="BX716" s="14"/>
      <c r="BY716" s="14"/>
      <c r="BZ716" s="14"/>
      <c r="CA716" s="14"/>
      <c r="CB716" s="14"/>
      <c r="CC716" s="14"/>
      <c r="CD716" s="14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</row>
    <row r="717">
      <c r="A717" s="12"/>
      <c r="B717" s="14"/>
      <c r="C717" s="14"/>
      <c r="D717" s="14"/>
      <c r="E717" s="12"/>
      <c r="F717" s="307"/>
      <c r="G717" s="307"/>
      <c r="H717" s="12"/>
      <c r="I717" s="30"/>
      <c r="J717" s="12"/>
      <c r="K717" s="12"/>
      <c r="L717" s="12"/>
      <c r="M717" s="12"/>
      <c r="N717" s="12"/>
      <c r="O717" s="308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4"/>
      <c r="BE717" s="12"/>
      <c r="BF717" s="12"/>
      <c r="BG717" s="12" t="str">
        <f>IFERROR(__xludf.DUMMYFUNCTION("IFERROR(INDEX(QUERY(IMPORTRANGE(""1T7HG8KEs-Ob7f3M5atEVN9Yn7IeORGp0QGvggB62ELw"",""Maestro!A:I""),""SELECT Col8 WHERE Col3 = '""&amp;BD717&amp;""'"", 0), 1, 1),""NO ENCONTRADO"")"),"")</f>
        <v/>
      </c>
      <c r="BH717" s="12" t="str">
        <f>IFERROR(__xludf.DUMMYFUNCTION("IFERROR(INDEX(QUERY(IMPORTRANGE(""1T7HG8KEs-Ob7f3M5atEVN9Yn7IeORGp0QGvggB62ELw"",""Maestro!A:I""),""SELECT Col7 WHERE Col3 = '""&amp;BD717&amp;""'"", 0), 1, 1),""NO ENCONTRADO"")"),"")</f>
        <v/>
      </c>
      <c r="BI717" s="16">
        <f t="shared" si="15"/>
        <v>0</v>
      </c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4"/>
      <c r="BW717" s="14"/>
      <c r="BX717" s="14"/>
      <c r="BY717" s="14"/>
      <c r="BZ717" s="14"/>
      <c r="CA717" s="14"/>
      <c r="CB717" s="14"/>
      <c r="CC717" s="14"/>
      <c r="CD717" s="14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</row>
    <row r="718">
      <c r="A718" s="12"/>
      <c r="B718" s="14"/>
      <c r="C718" s="14"/>
      <c r="D718" s="14"/>
      <c r="E718" s="12"/>
      <c r="F718" s="307"/>
      <c r="G718" s="307"/>
      <c r="H718" s="12"/>
      <c r="I718" s="30"/>
      <c r="J718" s="12"/>
      <c r="K718" s="12"/>
      <c r="L718" s="12"/>
      <c r="M718" s="12"/>
      <c r="N718" s="12"/>
      <c r="O718" s="308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4"/>
      <c r="BE718" s="12"/>
      <c r="BF718" s="12"/>
      <c r="BG718" s="12" t="str">
        <f>IFERROR(__xludf.DUMMYFUNCTION("IFERROR(INDEX(QUERY(IMPORTRANGE(""1T7HG8KEs-Ob7f3M5atEVN9Yn7IeORGp0QGvggB62ELw"",""Maestro!A:I""),""SELECT Col8 WHERE Col3 = '""&amp;BD718&amp;""'"", 0), 1, 1),""NO ENCONTRADO"")"),"")</f>
        <v/>
      </c>
      <c r="BH718" s="12" t="str">
        <f>IFERROR(__xludf.DUMMYFUNCTION("IFERROR(INDEX(QUERY(IMPORTRANGE(""1T7HG8KEs-Ob7f3M5atEVN9Yn7IeORGp0QGvggB62ELw"",""Maestro!A:I""),""SELECT Col7 WHERE Col3 = '""&amp;BD718&amp;""'"", 0), 1, 1),""NO ENCONTRADO"")"),"")</f>
        <v/>
      </c>
      <c r="BI718" s="16">
        <f t="shared" si="15"/>
        <v>0</v>
      </c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4"/>
      <c r="BW718" s="14"/>
      <c r="BX718" s="14"/>
      <c r="BY718" s="14"/>
      <c r="BZ718" s="14"/>
      <c r="CA718" s="14"/>
      <c r="CB718" s="14"/>
      <c r="CC718" s="14"/>
      <c r="CD718" s="14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</row>
    <row r="719">
      <c r="A719" s="12"/>
      <c r="B719" s="14"/>
      <c r="C719" s="14"/>
      <c r="D719" s="14"/>
      <c r="E719" s="12"/>
      <c r="F719" s="307"/>
      <c r="G719" s="307"/>
      <c r="H719" s="12"/>
      <c r="I719" s="30"/>
      <c r="J719" s="12"/>
      <c r="K719" s="12"/>
      <c r="L719" s="12"/>
      <c r="M719" s="12"/>
      <c r="N719" s="12"/>
      <c r="O719" s="308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4"/>
      <c r="BE719" s="12"/>
      <c r="BF719" s="12"/>
      <c r="BG719" s="12" t="str">
        <f>IFERROR(__xludf.DUMMYFUNCTION("IFERROR(INDEX(QUERY(IMPORTRANGE(""1T7HG8KEs-Ob7f3M5atEVN9Yn7IeORGp0QGvggB62ELw"",""Maestro!A:I""),""SELECT Col8 WHERE Col3 = '""&amp;BD719&amp;""'"", 0), 1, 1),""NO ENCONTRADO"")"),"")</f>
        <v/>
      </c>
      <c r="BH719" s="12" t="str">
        <f>IFERROR(__xludf.DUMMYFUNCTION("IFERROR(INDEX(QUERY(IMPORTRANGE(""1T7HG8KEs-Ob7f3M5atEVN9Yn7IeORGp0QGvggB62ELw"",""Maestro!A:I""),""SELECT Col7 WHERE Col3 = '""&amp;BD719&amp;""'"", 0), 1, 1),""NO ENCONTRADO"")"),"")</f>
        <v/>
      </c>
      <c r="BI719" s="16">
        <f t="shared" si="15"/>
        <v>0</v>
      </c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4"/>
      <c r="BW719" s="14"/>
      <c r="BX719" s="14"/>
      <c r="BY719" s="14"/>
      <c r="BZ719" s="14"/>
      <c r="CA719" s="14"/>
      <c r="CB719" s="14"/>
      <c r="CC719" s="14"/>
      <c r="CD719" s="14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</row>
    <row r="720">
      <c r="A720" s="12"/>
      <c r="B720" s="14"/>
      <c r="C720" s="14"/>
      <c r="D720" s="14"/>
      <c r="E720" s="12"/>
      <c r="F720" s="307"/>
      <c r="G720" s="307"/>
      <c r="H720" s="12"/>
      <c r="I720" s="30"/>
      <c r="J720" s="12"/>
      <c r="K720" s="12"/>
      <c r="L720" s="12"/>
      <c r="M720" s="12"/>
      <c r="N720" s="12"/>
      <c r="O720" s="308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4"/>
      <c r="BE720" s="12"/>
      <c r="BF720" s="12"/>
      <c r="BG720" s="12" t="str">
        <f>IFERROR(__xludf.DUMMYFUNCTION("IFERROR(INDEX(QUERY(IMPORTRANGE(""1T7HG8KEs-Ob7f3M5atEVN9Yn7IeORGp0QGvggB62ELw"",""Maestro!A:I""),""SELECT Col8 WHERE Col3 = '""&amp;BD720&amp;""'"", 0), 1, 1),""NO ENCONTRADO"")"),"")</f>
        <v/>
      </c>
      <c r="BH720" s="12" t="str">
        <f>IFERROR(__xludf.DUMMYFUNCTION("IFERROR(INDEX(QUERY(IMPORTRANGE(""1T7HG8KEs-Ob7f3M5atEVN9Yn7IeORGp0QGvggB62ELw"",""Maestro!A:I""),""SELECT Col7 WHERE Col3 = '""&amp;BD720&amp;""'"", 0), 1, 1),""NO ENCONTRADO"")"),"")</f>
        <v/>
      </c>
      <c r="BI720" s="16">
        <f t="shared" si="15"/>
        <v>0</v>
      </c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4"/>
      <c r="BW720" s="14"/>
      <c r="BX720" s="14"/>
      <c r="BY720" s="14"/>
      <c r="BZ720" s="14"/>
      <c r="CA720" s="14"/>
      <c r="CB720" s="14"/>
      <c r="CC720" s="14"/>
      <c r="CD720" s="14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</row>
    <row r="721">
      <c r="A721" s="12"/>
      <c r="B721" s="14"/>
      <c r="C721" s="14"/>
      <c r="D721" s="14"/>
      <c r="E721" s="12"/>
      <c r="F721" s="307"/>
      <c r="G721" s="307"/>
      <c r="H721" s="12"/>
      <c r="I721" s="30"/>
      <c r="J721" s="12"/>
      <c r="K721" s="12"/>
      <c r="L721" s="12"/>
      <c r="M721" s="12"/>
      <c r="N721" s="12"/>
      <c r="O721" s="308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4"/>
      <c r="BE721" s="12"/>
      <c r="BF721" s="12"/>
      <c r="BG721" s="12" t="str">
        <f>IFERROR(__xludf.DUMMYFUNCTION("IFERROR(INDEX(QUERY(IMPORTRANGE(""1T7HG8KEs-Ob7f3M5atEVN9Yn7IeORGp0QGvggB62ELw"",""Maestro!A:I""),""SELECT Col8 WHERE Col3 = '""&amp;BD721&amp;""'"", 0), 1, 1),""NO ENCONTRADO"")"),"")</f>
        <v/>
      </c>
      <c r="BH721" s="12" t="str">
        <f>IFERROR(__xludf.DUMMYFUNCTION("IFERROR(INDEX(QUERY(IMPORTRANGE(""1T7HG8KEs-Ob7f3M5atEVN9Yn7IeORGp0QGvggB62ELw"",""Maestro!A:I""),""SELECT Col7 WHERE Col3 = '""&amp;BD721&amp;""'"", 0), 1, 1),""NO ENCONTRADO"")"),"")</f>
        <v/>
      </c>
      <c r="BI721" s="16">
        <f t="shared" si="15"/>
        <v>0</v>
      </c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4"/>
      <c r="BW721" s="14"/>
      <c r="BX721" s="14"/>
      <c r="BY721" s="14"/>
      <c r="BZ721" s="14"/>
      <c r="CA721" s="14"/>
      <c r="CB721" s="14"/>
      <c r="CC721" s="14"/>
      <c r="CD721" s="14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</row>
    <row r="722">
      <c r="A722" s="12"/>
      <c r="B722" s="14"/>
      <c r="C722" s="14"/>
      <c r="D722" s="14"/>
      <c r="E722" s="12"/>
      <c r="F722" s="307"/>
      <c r="G722" s="307"/>
      <c r="H722" s="12"/>
      <c r="I722" s="30"/>
      <c r="J722" s="12"/>
      <c r="K722" s="12"/>
      <c r="L722" s="12"/>
      <c r="M722" s="12"/>
      <c r="N722" s="12"/>
      <c r="O722" s="308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4"/>
      <c r="BE722" s="12"/>
      <c r="BF722" s="12"/>
      <c r="BG722" s="12" t="str">
        <f>IFERROR(__xludf.DUMMYFUNCTION("IFERROR(INDEX(QUERY(IMPORTRANGE(""1T7HG8KEs-Ob7f3M5atEVN9Yn7IeORGp0QGvggB62ELw"",""Maestro!A:I""),""SELECT Col8 WHERE Col3 = '""&amp;BD722&amp;""'"", 0), 1, 1),""NO ENCONTRADO"")"),"")</f>
        <v/>
      </c>
      <c r="BH722" s="12" t="str">
        <f>IFERROR(__xludf.DUMMYFUNCTION("IFERROR(INDEX(QUERY(IMPORTRANGE(""1T7HG8KEs-Ob7f3M5atEVN9Yn7IeORGp0QGvggB62ELw"",""Maestro!A:I""),""SELECT Col7 WHERE Col3 = '""&amp;BD722&amp;""'"", 0), 1, 1),""NO ENCONTRADO"")"),"")</f>
        <v/>
      </c>
      <c r="BI722" s="16">
        <f t="shared" si="15"/>
        <v>0</v>
      </c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4"/>
      <c r="BW722" s="14"/>
      <c r="BX722" s="14"/>
      <c r="BY722" s="14"/>
      <c r="BZ722" s="14"/>
      <c r="CA722" s="14"/>
      <c r="CB722" s="14"/>
      <c r="CC722" s="14"/>
      <c r="CD722" s="14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</row>
    <row r="723">
      <c r="A723" s="12"/>
      <c r="B723" s="14"/>
      <c r="C723" s="14"/>
      <c r="D723" s="14"/>
      <c r="E723" s="12"/>
      <c r="F723" s="307"/>
      <c r="G723" s="307"/>
      <c r="H723" s="12"/>
      <c r="I723" s="30"/>
      <c r="J723" s="12"/>
      <c r="K723" s="12"/>
      <c r="L723" s="12"/>
      <c r="M723" s="12"/>
      <c r="N723" s="12"/>
      <c r="O723" s="308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4"/>
      <c r="BE723" s="12"/>
      <c r="BF723" s="12"/>
      <c r="BG723" s="12" t="str">
        <f>IFERROR(__xludf.DUMMYFUNCTION("IFERROR(INDEX(QUERY(IMPORTRANGE(""1T7HG8KEs-Ob7f3M5atEVN9Yn7IeORGp0QGvggB62ELw"",""Maestro!A:I""),""SELECT Col8 WHERE Col3 = '""&amp;BD723&amp;""'"", 0), 1, 1),""NO ENCONTRADO"")"),"")</f>
        <v/>
      </c>
      <c r="BH723" s="12" t="str">
        <f>IFERROR(__xludf.DUMMYFUNCTION("IFERROR(INDEX(QUERY(IMPORTRANGE(""1T7HG8KEs-Ob7f3M5atEVN9Yn7IeORGp0QGvggB62ELw"",""Maestro!A:I""),""SELECT Col7 WHERE Col3 = '""&amp;BD723&amp;""'"", 0), 1, 1),""NO ENCONTRADO"")"),"")</f>
        <v/>
      </c>
      <c r="BI723" s="16">
        <f t="shared" si="15"/>
        <v>0</v>
      </c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4"/>
      <c r="BW723" s="14"/>
      <c r="BX723" s="14"/>
      <c r="BY723" s="14"/>
      <c r="BZ723" s="14"/>
      <c r="CA723" s="14"/>
      <c r="CB723" s="14"/>
      <c r="CC723" s="14"/>
      <c r="CD723" s="14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</row>
    <row r="724">
      <c r="A724" s="12"/>
      <c r="B724" s="14"/>
      <c r="C724" s="14"/>
      <c r="D724" s="14"/>
      <c r="E724" s="12"/>
      <c r="F724" s="307"/>
      <c r="G724" s="307"/>
      <c r="H724" s="12"/>
      <c r="I724" s="30"/>
      <c r="J724" s="12"/>
      <c r="K724" s="12"/>
      <c r="L724" s="12"/>
      <c r="M724" s="12"/>
      <c r="N724" s="12"/>
      <c r="O724" s="308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4"/>
      <c r="BE724" s="12"/>
      <c r="BF724" s="12"/>
      <c r="BG724" s="12" t="str">
        <f>IFERROR(__xludf.DUMMYFUNCTION("IFERROR(INDEX(QUERY(IMPORTRANGE(""1T7HG8KEs-Ob7f3M5atEVN9Yn7IeORGp0QGvggB62ELw"",""Maestro!A:I""),""SELECT Col8 WHERE Col3 = '""&amp;BD724&amp;""'"", 0), 1, 1),""NO ENCONTRADO"")"),"")</f>
        <v/>
      </c>
      <c r="BH724" s="12" t="str">
        <f>IFERROR(__xludf.DUMMYFUNCTION("IFERROR(INDEX(QUERY(IMPORTRANGE(""1T7HG8KEs-Ob7f3M5atEVN9Yn7IeORGp0QGvggB62ELw"",""Maestro!A:I""),""SELECT Col7 WHERE Col3 = '""&amp;BD724&amp;""'"", 0), 1, 1),""NO ENCONTRADO"")"),"")</f>
        <v/>
      </c>
      <c r="BI724" s="16">
        <f t="shared" si="15"/>
        <v>0</v>
      </c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4"/>
      <c r="BW724" s="14"/>
      <c r="BX724" s="14"/>
      <c r="BY724" s="14"/>
      <c r="BZ724" s="14"/>
      <c r="CA724" s="14"/>
      <c r="CB724" s="14"/>
      <c r="CC724" s="14"/>
      <c r="CD724" s="14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</row>
    <row r="725">
      <c r="A725" s="12"/>
      <c r="B725" s="14"/>
      <c r="C725" s="14"/>
      <c r="D725" s="14"/>
      <c r="E725" s="12"/>
      <c r="F725" s="307"/>
      <c r="G725" s="307"/>
      <c r="H725" s="12"/>
      <c r="I725" s="30"/>
      <c r="J725" s="12"/>
      <c r="K725" s="12"/>
      <c r="L725" s="12"/>
      <c r="M725" s="12"/>
      <c r="N725" s="12"/>
      <c r="O725" s="308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4"/>
      <c r="BE725" s="12"/>
      <c r="BF725" s="12"/>
      <c r="BG725" s="12" t="str">
        <f>IFERROR(__xludf.DUMMYFUNCTION("IFERROR(INDEX(QUERY(IMPORTRANGE(""1T7HG8KEs-Ob7f3M5atEVN9Yn7IeORGp0QGvggB62ELw"",""Maestro!A:I""),""SELECT Col8 WHERE Col3 = '""&amp;BD725&amp;""'"", 0), 1, 1),""NO ENCONTRADO"")"),"")</f>
        <v/>
      </c>
      <c r="BH725" s="12" t="str">
        <f>IFERROR(__xludf.DUMMYFUNCTION("IFERROR(INDEX(QUERY(IMPORTRANGE(""1T7HG8KEs-Ob7f3M5atEVN9Yn7IeORGp0QGvggB62ELw"",""Maestro!A:I""),""SELECT Col7 WHERE Col3 = '""&amp;BD725&amp;""'"", 0), 1, 1),""NO ENCONTRADO"")"),"")</f>
        <v/>
      </c>
      <c r="BI725" s="16">
        <f t="shared" si="15"/>
        <v>0</v>
      </c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4"/>
      <c r="BW725" s="14"/>
      <c r="BX725" s="14"/>
      <c r="BY725" s="14"/>
      <c r="BZ725" s="14"/>
      <c r="CA725" s="14"/>
      <c r="CB725" s="14"/>
      <c r="CC725" s="14"/>
      <c r="CD725" s="14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</row>
    <row r="726">
      <c r="A726" s="12"/>
      <c r="B726" s="14"/>
      <c r="C726" s="14"/>
      <c r="D726" s="14"/>
      <c r="E726" s="12"/>
      <c r="F726" s="307"/>
      <c r="G726" s="307"/>
      <c r="H726" s="12"/>
      <c r="I726" s="30"/>
      <c r="J726" s="12"/>
      <c r="K726" s="12"/>
      <c r="L726" s="12"/>
      <c r="M726" s="12"/>
      <c r="N726" s="12"/>
      <c r="O726" s="308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4"/>
      <c r="BE726" s="12"/>
      <c r="BF726" s="12"/>
      <c r="BG726" s="12" t="str">
        <f>IFERROR(__xludf.DUMMYFUNCTION("IFERROR(INDEX(QUERY(IMPORTRANGE(""1T7HG8KEs-Ob7f3M5atEVN9Yn7IeORGp0QGvggB62ELw"",""Maestro!A:I""),""SELECT Col8 WHERE Col3 = '""&amp;BD726&amp;""'"", 0), 1, 1),""NO ENCONTRADO"")"),"")</f>
        <v/>
      </c>
      <c r="BH726" s="12" t="str">
        <f>IFERROR(__xludf.DUMMYFUNCTION("IFERROR(INDEX(QUERY(IMPORTRANGE(""1T7HG8KEs-Ob7f3M5atEVN9Yn7IeORGp0QGvggB62ELw"",""Maestro!A:I""),""SELECT Col7 WHERE Col3 = '""&amp;BD726&amp;""'"", 0), 1, 1),""NO ENCONTRADO"")"),"")</f>
        <v/>
      </c>
      <c r="BI726" s="16">
        <f t="shared" si="15"/>
        <v>0</v>
      </c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4"/>
      <c r="BW726" s="14"/>
      <c r="BX726" s="14"/>
      <c r="BY726" s="14"/>
      <c r="BZ726" s="14"/>
      <c r="CA726" s="14"/>
      <c r="CB726" s="14"/>
      <c r="CC726" s="14"/>
      <c r="CD726" s="14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</row>
    <row r="727">
      <c r="A727" s="12"/>
      <c r="B727" s="14"/>
      <c r="C727" s="14"/>
      <c r="D727" s="14"/>
      <c r="E727" s="12"/>
      <c r="F727" s="307"/>
      <c r="G727" s="307"/>
      <c r="H727" s="12"/>
      <c r="I727" s="30"/>
      <c r="J727" s="12"/>
      <c r="K727" s="12"/>
      <c r="L727" s="12"/>
      <c r="M727" s="12"/>
      <c r="N727" s="12"/>
      <c r="O727" s="308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4"/>
      <c r="BE727" s="12"/>
      <c r="BF727" s="12"/>
      <c r="BG727" s="12" t="str">
        <f>IFERROR(__xludf.DUMMYFUNCTION("IFERROR(INDEX(QUERY(IMPORTRANGE(""1T7HG8KEs-Ob7f3M5atEVN9Yn7IeORGp0QGvggB62ELw"",""Maestro!A:I""),""SELECT Col8 WHERE Col3 = '""&amp;BD727&amp;""'"", 0), 1, 1),""NO ENCONTRADO"")"),"")</f>
        <v/>
      </c>
      <c r="BH727" s="12" t="str">
        <f>IFERROR(__xludf.DUMMYFUNCTION("IFERROR(INDEX(QUERY(IMPORTRANGE(""1T7HG8KEs-Ob7f3M5atEVN9Yn7IeORGp0QGvggB62ELw"",""Maestro!A:I""),""SELECT Col7 WHERE Col3 = '""&amp;BD727&amp;""'"", 0), 1, 1),""NO ENCONTRADO"")"),"")</f>
        <v/>
      </c>
      <c r="BI727" s="16">
        <f t="shared" si="15"/>
        <v>0</v>
      </c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4"/>
      <c r="BW727" s="14"/>
      <c r="BX727" s="14"/>
      <c r="BY727" s="14"/>
      <c r="BZ727" s="14"/>
      <c r="CA727" s="14"/>
      <c r="CB727" s="14"/>
      <c r="CC727" s="14"/>
      <c r="CD727" s="14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</row>
    <row r="728">
      <c r="A728" s="12"/>
      <c r="B728" s="14"/>
      <c r="C728" s="14"/>
      <c r="D728" s="14"/>
      <c r="E728" s="12"/>
      <c r="F728" s="307"/>
      <c r="G728" s="307"/>
      <c r="H728" s="12"/>
      <c r="I728" s="30"/>
      <c r="J728" s="12"/>
      <c r="K728" s="12"/>
      <c r="L728" s="12"/>
      <c r="M728" s="12"/>
      <c r="N728" s="12"/>
      <c r="O728" s="308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4"/>
      <c r="BE728" s="12"/>
      <c r="BF728" s="12"/>
      <c r="BG728" s="12" t="str">
        <f>IFERROR(__xludf.DUMMYFUNCTION("IFERROR(INDEX(QUERY(IMPORTRANGE(""1T7HG8KEs-Ob7f3M5atEVN9Yn7IeORGp0QGvggB62ELw"",""Maestro!A:I""),""SELECT Col8 WHERE Col3 = '""&amp;BD728&amp;""'"", 0), 1, 1),""NO ENCONTRADO"")"),"")</f>
        <v/>
      </c>
      <c r="BH728" s="12" t="str">
        <f>IFERROR(__xludf.DUMMYFUNCTION("IFERROR(INDEX(QUERY(IMPORTRANGE(""1T7HG8KEs-Ob7f3M5atEVN9Yn7IeORGp0QGvggB62ELw"",""Maestro!A:I""),""SELECT Col7 WHERE Col3 = '""&amp;BD728&amp;""'"", 0), 1, 1),""NO ENCONTRADO"")"),"")</f>
        <v/>
      </c>
      <c r="BI728" s="16">
        <f t="shared" si="15"/>
        <v>0</v>
      </c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4"/>
      <c r="BW728" s="14"/>
      <c r="BX728" s="14"/>
      <c r="BY728" s="14"/>
      <c r="BZ728" s="14"/>
      <c r="CA728" s="14"/>
      <c r="CB728" s="14"/>
      <c r="CC728" s="14"/>
      <c r="CD728" s="14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</row>
    <row r="729">
      <c r="A729" s="12"/>
      <c r="B729" s="14"/>
      <c r="C729" s="14"/>
      <c r="D729" s="14"/>
      <c r="E729" s="12"/>
      <c r="F729" s="307"/>
      <c r="G729" s="307"/>
      <c r="H729" s="12"/>
      <c r="I729" s="30"/>
      <c r="J729" s="12"/>
      <c r="K729" s="12"/>
      <c r="L729" s="12"/>
      <c r="M729" s="12"/>
      <c r="N729" s="12"/>
      <c r="O729" s="308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4"/>
      <c r="BE729" s="12"/>
      <c r="BF729" s="12"/>
      <c r="BG729" s="12" t="str">
        <f>IFERROR(__xludf.DUMMYFUNCTION("IFERROR(INDEX(QUERY(IMPORTRANGE(""1T7HG8KEs-Ob7f3M5atEVN9Yn7IeORGp0QGvggB62ELw"",""Maestro!A:I""),""SELECT Col8 WHERE Col3 = '""&amp;BD729&amp;""'"", 0), 1, 1),""NO ENCONTRADO"")"),"")</f>
        <v/>
      </c>
      <c r="BH729" s="12" t="str">
        <f>IFERROR(__xludf.DUMMYFUNCTION("IFERROR(INDEX(QUERY(IMPORTRANGE(""1T7HG8KEs-Ob7f3M5atEVN9Yn7IeORGp0QGvggB62ELw"",""Maestro!A:I""),""SELECT Col7 WHERE Col3 = '""&amp;BD729&amp;""'"", 0), 1, 1),""NO ENCONTRADO"")"),"")</f>
        <v/>
      </c>
      <c r="BI729" s="16">
        <f t="shared" si="15"/>
        <v>0</v>
      </c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4"/>
      <c r="BW729" s="14"/>
      <c r="BX729" s="14"/>
      <c r="BY729" s="14"/>
      <c r="BZ729" s="14"/>
      <c r="CA729" s="14"/>
      <c r="CB729" s="14"/>
      <c r="CC729" s="14"/>
      <c r="CD729" s="14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</row>
    <row r="730">
      <c r="A730" s="12"/>
      <c r="B730" s="14"/>
      <c r="C730" s="14"/>
      <c r="D730" s="14"/>
      <c r="E730" s="12"/>
      <c r="F730" s="307"/>
      <c r="G730" s="307"/>
      <c r="H730" s="12"/>
      <c r="I730" s="30"/>
      <c r="J730" s="12"/>
      <c r="K730" s="12"/>
      <c r="L730" s="12"/>
      <c r="M730" s="12"/>
      <c r="N730" s="12"/>
      <c r="O730" s="308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4"/>
      <c r="BE730" s="12"/>
      <c r="BF730" s="12"/>
      <c r="BG730" s="12" t="str">
        <f>IFERROR(__xludf.DUMMYFUNCTION("IFERROR(INDEX(QUERY(IMPORTRANGE(""1T7HG8KEs-Ob7f3M5atEVN9Yn7IeORGp0QGvggB62ELw"",""Maestro!A:I""),""SELECT Col8 WHERE Col3 = '""&amp;BD730&amp;""'"", 0), 1, 1),""NO ENCONTRADO"")"),"")</f>
        <v/>
      </c>
      <c r="BH730" s="12" t="str">
        <f>IFERROR(__xludf.DUMMYFUNCTION("IFERROR(INDEX(QUERY(IMPORTRANGE(""1T7HG8KEs-Ob7f3M5atEVN9Yn7IeORGp0QGvggB62ELw"",""Maestro!A:I""),""SELECT Col7 WHERE Col3 = '""&amp;BD730&amp;""'"", 0), 1, 1),""NO ENCONTRADO"")"),"")</f>
        <v/>
      </c>
      <c r="BI730" s="16">
        <f t="shared" si="15"/>
        <v>0</v>
      </c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4"/>
      <c r="BW730" s="14"/>
      <c r="BX730" s="14"/>
      <c r="BY730" s="14"/>
      <c r="BZ730" s="14"/>
      <c r="CA730" s="14"/>
      <c r="CB730" s="14"/>
      <c r="CC730" s="14"/>
      <c r="CD730" s="14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</row>
    <row r="731">
      <c r="A731" s="12"/>
      <c r="B731" s="14"/>
      <c r="C731" s="14"/>
      <c r="D731" s="14"/>
      <c r="E731" s="12"/>
      <c r="F731" s="307"/>
      <c r="G731" s="307"/>
      <c r="H731" s="12"/>
      <c r="I731" s="30"/>
      <c r="J731" s="12"/>
      <c r="K731" s="12"/>
      <c r="L731" s="12"/>
      <c r="M731" s="12"/>
      <c r="N731" s="12"/>
      <c r="O731" s="308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4"/>
      <c r="BE731" s="12"/>
      <c r="BF731" s="12"/>
      <c r="BG731" s="12" t="str">
        <f>IFERROR(__xludf.DUMMYFUNCTION("IFERROR(INDEX(QUERY(IMPORTRANGE(""1T7HG8KEs-Ob7f3M5atEVN9Yn7IeORGp0QGvggB62ELw"",""Maestro!A:I""),""SELECT Col8 WHERE Col3 = '""&amp;BD731&amp;""'"", 0), 1, 1),""NO ENCONTRADO"")"),"")</f>
        <v/>
      </c>
      <c r="BH731" s="12" t="str">
        <f>IFERROR(__xludf.DUMMYFUNCTION("IFERROR(INDEX(QUERY(IMPORTRANGE(""1T7HG8KEs-Ob7f3M5atEVN9Yn7IeORGp0QGvggB62ELw"",""Maestro!A:I""),""SELECT Col7 WHERE Col3 = '""&amp;BD731&amp;""'"", 0), 1, 1),""NO ENCONTRADO"")"),"")</f>
        <v/>
      </c>
      <c r="BI731" s="16">
        <f t="shared" si="15"/>
        <v>0</v>
      </c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4"/>
      <c r="BW731" s="14"/>
      <c r="BX731" s="14"/>
      <c r="BY731" s="14"/>
      <c r="BZ731" s="14"/>
      <c r="CA731" s="14"/>
      <c r="CB731" s="14"/>
      <c r="CC731" s="14"/>
      <c r="CD731" s="14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</row>
    <row r="732">
      <c r="A732" s="12"/>
      <c r="B732" s="14"/>
      <c r="C732" s="14"/>
      <c r="D732" s="14"/>
      <c r="E732" s="12"/>
      <c r="F732" s="307"/>
      <c r="G732" s="307"/>
      <c r="H732" s="12"/>
      <c r="I732" s="30"/>
      <c r="J732" s="12"/>
      <c r="K732" s="12"/>
      <c r="L732" s="12"/>
      <c r="M732" s="12"/>
      <c r="N732" s="12"/>
      <c r="O732" s="308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4"/>
      <c r="BE732" s="12"/>
      <c r="BF732" s="12"/>
      <c r="BG732" s="12" t="str">
        <f>IFERROR(__xludf.DUMMYFUNCTION("IFERROR(INDEX(QUERY(IMPORTRANGE(""1T7HG8KEs-Ob7f3M5atEVN9Yn7IeORGp0QGvggB62ELw"",""Maestro!A:I""),""SELECT Col8 WHERE Col3 = '""&amp;BD732&amp;""'"", 0), 1, 1),""NO ENCONTRADO"")"),"")</f>
        <v/>
      </c>
      <c r="BH732" s="12" t="str">
        <f>IFERROR(__xludf.DUMMYFUNCTION("IFERROR(INDEX(QUERY(IMPORTRANGE(""1T7HG8KEs-Ob7f3M5atEVN9Yn7IeORGp0QGvggB62ELw"",""Maestro!A:I""),""SELECT Col7 WHERE Col3 = '""&amp;BD732&amp;""'"", 0), 1, 1),""NO ENCONTRADO"")"),"")</f>
        <v/>
      </c>
      <c r="BI732" s="16">
        <f t="shared" si="15"/>
        <v>0</v>
      </c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4"/>
      <c r="BW732" s="14"/>
      <c r="BX732" s="14"/>
      <c r="BY732" s="14"/>
      <c r="BZ732" s="14"/>
      <c r="CA732" s="14"/>
      <c r="CB732" s="14"/>
      <c r="CC732" s="14"/>
      <c r="CD732" s="14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</row>
    <row r="733">
      <c r="A733" s="12"/>
      <c r="B733" s="14"/>
      <c r="C733" s="14"/>
      <c r="D733" s="14"/>
      <c r="E733" s="12"/>
      <c r="F733" s="307"/>
      <c r="G733" s="307"/>
      <c r="H733" s="12"/>
      <c r="I733" s="30"/>
      <c r="J733" s="12"/>
      <c r="K733" s="12"/>
      <c r="L733" s="12"/>
      <c r="M733" s="12"/>
      <c r="N733" s="12"/>
      <c r="O733" s="308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4"/>
      <c r="BE733" s="12"/>
      <c r="BF733" s="12"/>
      <c r="BG733" s="12" t="str">
        <f>IFERROR(__xludf.DUMMYFUNCTION("IFERROR(INDEX(QUERY(IMPORTRANGE(""1T7HG8KEs-Ob7f3M5atEVN9Yn7IeORGp0QGvggB62ELw"",""Maestro!A:I""),""SELECT Col8 WHERE Col3 = '""&amp;BD733&amp;""'"", 0), 1, 1),""NO ENCONTRADO"")"),"")</f>
        <v/>
      </c>
      <c r="BH733" s="12" t="str">
        <f>IFERROR(__xludf.DUMMYFUNCTION("IFERROR(INDEX(QUERY(IMPORTRANGE(""1T7HG8KEs-Ob7f3M5atEVN9Yn7IeORGp0QGvggB62ELw"",""Maestro!A:I""),""SELECT Col7 WHERE Col3 = '""&amp;BD733&amp;""'"", 0), 1, 1),""NO ENCONTRADO"")"),"")</f>
        <v/>
      </c>
      <c r="BI733" s="16">
        <f t="shared" si="15"/>
        <v>0</v>
      </c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4"/>
      <c r="BW733" s="14"/>
      <c r="BX733" s="14"/>
      <c r="BY733" s="14"/>
      <c r="BZ733" s="14"/>
      <c r="CA733" s="14"/>
      <c r="CB733" s="14"/>
      <c r="CC733" s="14"/>
      <c r="CD733" s="14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</row>
    <row r="734">
      <c r="A734" s="12"/>
      <c r="B734" s="14"/>
      <c r="C734" s="14"/>
      <c r="D734" s="14"/>
      <c r="E734" s="12"/>
      <c r="F734" s="307"/>
      <c r="G734" s="307"/>
      <c r="H734" s="12"/>
      <c r="I734" s="30"/>
      <c r="J734" s="12"/>
      <c r="K734" s="12"/>
      <c r="L734" s="12"/>
      <c r="M734" s="12"/>
      <c r="N734" s="12"/>
      <c r="O734" s="308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4"/>
      <c r="BE734" s="12"/>
      <c r="BF734" s="12"/>
      <c r="BG734" s="12" t="str">
        <f>IFERROR(__xludf.DUMMYFUNCTION("IFERROR(INDEX(QUERY(IMPORTRANGE(""1T7HG8KEs-Ob7f3M5atEVN9Yn7IeORGp0QGvggB62ELw"",""Maestro!A:I""),""SELECT Col8 WHERE Col3 = '""&amp;BD734&amp;""'"", 0), 1, 1),""NO ENCONTRADO"")"),"")</f>
        <v/>
      </c>
      <c r="BH734" s="12" t="str">
        <f>IFERROR(__xludf.DUMMYFUNCTION("IFERROR(INDEX(QUERY(IMPORTRANGE(""1T7HG8KEs-Ob7f3M5atEVN9Yn7IeORGp0QGvggB62ELw"",""Maestro!A:I""),""SELECT Col7 WHERE Col3 = '""&amp;BD734&amp;""'"", 0), 1, 1),""NO ENCONTRADO"")"),"")</f>
        <v/>
      </c>
      <c r="BI734" s="16">
        <f t="shared" si="15"/>
        <v>0</v>
      </c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4"/>
      <c r="BW734" s="14"/>
      <c r="BX734" s="14"/>
      <c r="BY734" s="14"/>
      <c r="BZ734" s="14"/>
      <c r="CA734" s="14"/>
      <c r="CB734" s="14"/>
      <c r="CC734" s="14"/>
      <c r="CD734" s="14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</row>
    <row r="735">
      <c r="A735" s="12"/>
      <c r="B735" s="14"/>
      <c r="C735" s="14"/>
      <c r="D735" s="14"/>
      <c r="E735" s="12"/>
      <c r="F735" s="307"/>
      <c r="G735" s="307"/>
      <c r="H735" s="12"/>
      <c r="I735" s="30"/>
      <c r="J735" s="12"/>
      <c r="K735" s="12"/>
      <c r="L735" s="12"/>
      <c r="M735" s="12"/>
      <c r="N735" s="12"/>
      <c r="O735" s="308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4"/>
      <c r="BE735" s="12"/>
      <c r="BF735" s="12"/>
      <c r="BG735" s="12" t="str">
        <f>IFERROR(__xludf.DUMMYFUNCTION("IFERROR(INDEX(QUERY(IMPORTRANGE(""1T7HG8KEs-Ob7f3M5atEVN9Yn7IeORGp0QGvggB62ELw"",""Maestro!A:I""),""SELECT Col8 WHERE Col3 = '""&amp;BD735&amp;""'"", 0), 1, 1),""NO ENCONTRADO"")"),"")</f>
        <v/>
      </c>
      <c r="BH735" s="12" t="str">
        <f>IFERROR(__xludf.DUMMYFUNCTION("IFERROR(INDEX(QUERY(IMPORTRANGE(""1T7HG8KEs-Ob7f3M5atEVN9Yn7IeORGp0QGvggB62ELw"",""Maestro!A:I""),""SELECT Col7 WHERE Col3 = '""&amp;BD735&amp;""'"", 0), 1, 1),""NO ENCONTRADO"")"),"")</f>
        <v/>
      </c>
      <c r="BI735" s="16">
        <f t="shared" si="15"/>
        <v>0</v>
      </c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4"/>
      <c r="BW735" s="14"/>
      <c r="BX735" s="14"/>
      <c r="BY735" s="14"/>
      <c r="BZ735" s="14"/>
      <c r="CA735" s="14"/>
      <c r="CB735" s="14"/>
      <c r="CC735" s="14"/>
      <c r="CD735" s="14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</row>
    <row r="736">
      <c r="A736" s="12"/>
      <c r="B736" s="14"/>
      <c r="C736" s="14"/>
      <c r="D736" s="14"/>
      <c r="E736" s="12"/>
      <c r="F736" s="307"/>
      <c r="G736" s="307"/>
      <c r="H736" s="12"/>
      <c r="I736" s="30"/>
      <c r="J736" s="12"/>
      <c r="K736" s="12"/>
      <c r="L736" s="12"/>
      <c r="M736" s="12"/>
      <c r="N736" s="12"/>
      <c r="O736" s="308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4"/>
      <c r="BE736" s="12"/>
      <c r="BF736" s="12"/>
      <c r="BG736" s="12" t="str">
        <f>IFERROR(__xludf.DUMMYFUNCTION("IFERROR(INDEX(QUERY(IMPORTRANGE(""1T7HG8KEs-Ob7f3M5atEVN9Yn7IeORGp0QGvggB62ELw"",""Maestro!A:I""),""SELECT Col8 WHERE Col3 = '""&amp;BD736&amp;""'"", 0), 1, 1),""NO ENCONTRADO"")"),"")</f>
        <v/>
      </c>
      <c r="BH736" s="12" t="str">
        <f>IFERROR(__xludf.DUMMYFUNCTION("IFERROR(INDEX(QUERY(IMPORTRANGE(""1T7HG8KEs-Ob7f3M5atEVN9Yn7IeORGp0QGvggB62ELw"",""Maestro!A:I""),""SELECT Col7 WHERE Col3 = '""&amp;BD736&amp;""'"", 0), 1, 1),""NO ENCONTRADO"")"),"")</f>
        <v/>
      </c>
      <c r="BI736" s="16">
        <f t="shared" si="15"/>
        <v>0</v>
      </c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4"/>
      <c r="BW736" s="14"/>
      <c r="BX736" s="14"/>
      <c r="BY736" s="14"/>
      <c r="BZ736" s="14"/>
      <c r="CA736" s="14"/>
      <c r="CB736" s="14"/>
      <c r="CC736" s="14"/>
      <c r="CD736" s="14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</row>
    <row r="737">
      <c r="A737" s="12"/>
      <c r="B737" s="14"/>
      <c r="C737" s="14"/>
      <c r="D737" s="14"/>
      <c r="E737" s="12"/>
      <c r="F737" s="307"/>
      <c r="G737" s="307"/>
      <c r="H737" s="12"/>
      <c r="I737" s="30"/>
      <c r="J737" s="12"/>
      <c r="K737" s="12"/>
      <c r="L737" s="12"/>
      <c r="M737" s="12"/>
      <c r="N737" s="12"/>
      <c r="O737" s="308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4"/>
      <c r="BE737" s="12"/>
      <c r="BF737" s="12"/>
      <c r="BG737" s="12" t="str">
        <f>IFERROR(__xludf.DUMMYFUNCTION("IFERROR(INDEX(QUERY(IMPORTRANGE(""1T7HG8KEs-Ob7f3M5atEVN9Yn7IeORGp0QGvggB62ELw"",""Maestro!A:I""),""SELECT Col8 WHERE Col3 = '""&amp;BD737&amp;""'"", 0), 1, 1),""NO ENCONTRADO"")"),"")</f>
        <v/>
      </c>
      <c r="BH737" s="12" t="str">
        <f>IFERROR(__xludf.DUMMYFUNCTION("IFERROR(INDEX(QUERY(IMPORTRANGE(""1T7HG8KEs-Ob7f3M5atEVN9Yn7IeORGp0QGvggB62ELw"",""Maestro!A:I""),""SELECT Col7 WHERE Col3 = '""&amp;BD737&amp;""'"", 0), 1, 1),""NO ENCONTRADO"")"),"")</f>
        <v/>
      </c>
      <c r="BI737" s="16">
        <f t="shared" si="15"/>
        <v>0</v>
      </c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4"/>
      <c r="BW737" s="14"/>
      <c r="BX737" s="14"/>
      <c r="BY737" s="14"/>
      <c r="BZ737" s="14"/>
      <c r="CA737" s="14"/>
      <c r="CB737" s="14"/>
      <c r="CC737" s="14"/>
      <c r="CD737" s="14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</row>
    <row r="738">
      <c r="A738" s="12"/>
      <c r="B738" s="14"/>
      <c r="C738" s="14"/>
      <c r="D738" s="14"/>
      <c r="E738" s="12"/>
      <c r="F738" s="307"/>
      <c r="G738" s="307"/>
      <c r="H738" s="12"/>
      <c r="I738" s="30"/>
      <c r="J738" s="12"/>
      <c r="K738" s="12"/>
      <c r="L738" s="12"/>
      <c r="M738" s="12"/>
      <c r="N738" s="12"/>
      <c r="O738" s="308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4"/>
      <c r="BE738" s="12"/>
      <c r="BF738" s="12"/>
      <c r="BG738" s="12" t="str">
        <f>IFERROR(__xludf.DUMMYFUNCTION("IFERROR(INDEX(QUERY(IMPORTRANGE(""1T7HG8KEs-Ob7f3M5atEVN9Yn7IeORGp0QGvggB62ELw"",""Maestro!A:I""),""SELECT Col8 WHERE Col3 = '""&amp;BD738&amp;""'"", 0), 1, 1),""NO ENCONTRADO"")"),"")</f>
        <v/>
      </c>
      <c r="BH738" s="12" t="str">
        <f>IFERROR(__xludf.DUMMYFUNCTION("IFERROR(INDEX(QUERY(IMPORTRANGE(""1T7HG8KEs-Ob7f3M5atEVN9Yn7IeORGp0QGvggB62ELw"",""Maestro!A:I""),""SELECT Col7 WHERE Col3 = '""&amp;BD738&amp;""'"", 0), 1, 1),""NO ENCONTRADO"")"),"")</f>
        <v/>
      </c>
      <c r="BI738" s="16">
        <f t="shared" si="15"/>
        <v>0</v>
      </c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4"/>
      <c r="BW738" s="14"/>
      <c r="BX738" s="14"/>
      <c r="BY738" s="14"/>
      <c r="BZ738" s="14"/>
      <c r="CA738" s="14"/>
      <c r="CB738" s="14"/>
      <c r="CC738" s="14"/>
      <c r="CD738" s="14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</row>
    <row r="739">
      <c r="A739" s="12"/>
      <c r="B739" s="14"/>
      <c r="C739" s="14"/>
      <c r="D739" s="14"/>
      <c r="E739" s="12"/>
      <c r="F739" s="307"/>
      <c r="G739" s="307"/>
      <c r="H739" s="12"/>
      <c r="I739" s="30"/>
      <c r="J739" s="12"/>
      <c r="K739" s="12"/>
      <c r="L739" s="12"/>
      <c r="M739" s="12"/>
      <c r="N739" s="12"/>
      <c r="O739" s="308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4"/>
      <c r="BE739" s="12"/>
      <c r="BF739" s="12"/>
      <c r="BG739" s="12" t="str">
        <f>IFERROR(__xludf.DUMMYFUNCTION("IFERROR(INDEX(QUERY(IMPORTRANGE(""1T7HG8KEs-Ob7f3M5atEVN9Yn7IeORGp0QGvggB62ELw"",""Maestro!A:I""),""SELECT Col8 WHERE Col3 = '""&amp;BD739&amp;""'"", 0), 1, 1),""NO ENCONTRADO"")"),"")</f>
        <v/>
      </c>
      <c r="BH739" s="12" t="str">
        <f>IFERROR(__xludf.DUMMYFUNCTION("IFERROR(INDEX(QUERY(IMPORTRANGE(""1T7HG8KEs-Ob7f3M5atEVN9Yn7IeORGp0QGvggB62ELw"",""Maestro!A:I""),""SELECT Col7 WHERE Col3 = '""&amp;BD739&amp;""'"", 0), 1, 1),""NO ENCONTRADO"")"),"")</f>
        <v/>
      </c>
      <c r="BI739" s="16">
        <f t="shared" si="15"/>
        <v>0</v>
      </c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4"/>
      <c r="BW739" s="14"/>
      <c r="BX739" s="14"/>
      <c r="BY739" s="14"/>
      <c r="BZ739" s="14"/>
      <c r="CA739" s="14"/>
      <c r="CB739" s="14"/>
      <c r="CC739" s="14"/>
      <c r="CD739" s="14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</row>
    <row r="740">
      <c r="A740" s="12"/>
      <c r="B740" s="14"/>
      <c r="C740" s="14"/>
      <c r="D740" s="14"/>
      <c r="E740" s="12"/>
      <c r="F740" s="307"/>
      <c r="G740" s="307"/>
      <c r="H740" s="12"/>
      <c r="I740" s="30"/>
      <c r="J740" s="12"/>
      <c r="K740" s="12"/>
      <c r="L740" s="12"/>
      <c r="M740" s="12"/>
      <c r="N740" s="12"/>
      <c r="O740" s="308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4"/>
      <c r="BE740" s="12"/>
      <c r="BF740" s="12"/>
      <c r="BG740" s="12" t="str">
        <f>IFERROR(__xludf.DUMMYFUNCTION("IFERROR(INDEX(QUERY(IMPORTRANGE(""1T7HG8KEs-Ob7f3M5atEVN9Yn7IeORGp0QGvggB62ELw"",""Maestro!A:I""),""SELECT Col8 WHERE Col3 = '""&amp;BD740&amp;""'"", 0), 1, 1),""NO ENCONTRADO"")"),"")</f>
        <v/>
      </c>
      <c r="BH740" s="12" t="str">
        <f>IFERROR(__xludf.DUMMYFUNCTION("IFERROR(INDEX(QUERY(IMPORTRANGE(""1T7HG8KEs-Ob7f3M5atEVN9Yn7IeORGp0QGvggB62ELw"",""Maestro!A:I""),""SELECT Col7 WHERE Col3 = '""&amp;BD740&amp;""'"", 0), 1, 1),""NO ENCONTRADO"")"),"")</f>
        <v/>
      </c>
      <c r="BI740" s="16">
        <f t="shared" si="15"/>
        <v>0</v>
      </c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4"/>
      <c r="BW740" s="14"/>
      <c r="BX740" s="14"/>
      <c r="BY740" s="14"/>
      <c r="BZ740" s="14"/>
      <c r="CA740" s="14"/>
      <c r="CB740" s="14"/>
      <c r="CC740" s="14"/>
      <c r="CD740" s="14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</row>
    <row r="741">
      <c r="A741" s="12"/>
      <c r="B741" s="14"/>
      <c r="C741" s="14"/>
      <c r="D741" s="14"/>
      <c r="E741" s="12"/>
      <c r="F741" s="307"/>
      <c r="G741" s="307"/>
      <c r="H741" s="12"/>
      <c r="I741" s="30"/>
      <c r="J741" s="12"/>
      <c r="K741" s="12"/>
      <c r="L741" s="12"/>
      <c r="M741" s="12"/>
      <c r="N741" s="12"/>
      <c r="O741" s="308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4"/>
      <c r="BE741" s="12"/>
      <c r="BF741" s="12"/>
      <c r="BG741" s="12" t="str">
        <f>IFERROR(__xludf.DUMMYFUNCTION("IFERROR(INDEX(QUERY(IMPORTRANGE(""1T7HG8KEs-Ob7f3M5atEVN9Yn7IeORGp0QGvggB62ELw"",""Maestro!A:I""),""SELECT Col8 WHERE Col3 = '""&amp;BD741&amp;""'"", 0), 1, 1),""NO ENCONTRADO"")"),"")</f>
        <v/>
      </c>
      <c r="BH741" s="12" t="str">
        <f>IFERROR(__xludf.DUMMYFUNCTION("IFERROR(INDEX(QUERY(IMPORTRANGE(""1T7HG8KEs-Ob7f3M5atEVN9Yn7IeORGp0QGvggB62ELw"",""Maestro!A:I""),""SELECT Col7 WHERE Col3 = '""&amp;BD741&amp;""'"", 0), 1, 1),""NO ENCONTRADO"")"),"")</f>
        <v/>
      </c>
      <c r="BI741" s="16">
        <f t="shared" si="15"/>
        <v>0</v>
      </c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4"/>
      <c r="BW741" s="14"/>
      <c r="BX741" s="14"/>
      <c r="BY741" s="14"/>
      <c r="BZ741" s="14"/>
      <c r="CA741" s="14"/>
      <c r="CB741" s="14"/>
      <c r="CC741" s="14"/>
      <c r="CD741" s="14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</row>
    <row r="742">
      <c r="A742" s="12"/>
      <c r="B742" s="14"/>
      <c r="C742" s="14"/>
      <c r="D742" s="14"/>
      <c r="E742" s="12"/>
      <c r="F742" s="307"/>
      <c r="G742" s="307"/>
      <c r="H742" s="12"/>
      <c r="I742" s="30"/>
      <c r="J742" s="12"/>
      <c r="K742" s="12"/>
      <c r="L742" s="12"/>
      <c r="M742" s="12"/>
      <c r="N742" s="12"/>
      <c r="O742" s="308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4"/>
      <c r="BE742" s="12"/>
      <c r="BF742" s="12"/>
      <c r="BG742" s="12" t="str">
        <f>IFERROR(__xludf.DUMMYFUNCTION("IFERROR(INDEX(QUERY(IMPORTRANGE(""1T7HG8KEs-Ob7f3M5atEVN9Yn7IeORGp0QGvggB62ELw"",""Maestro!A:I""),""SELECT Col8 WHERE Col3 = '""&amp;BD742&amp;""'"", 0), 1, 1),""NO ENCONTRADO"")"),"")</f>
        <v/>
      </c>
      <c r="BH742" s="12" t="str">
        <f>IFERROR(__xludf.DUMMYFUNCTION("IFERROR(INDEX(QUERY(IMPORTRANGE(""1T7HG8KEs-Ob7f3M5atEVN9Yn7IeORGp0QGvggB62ELw"",""Maestro!A:I""),""SELECT Col7 WHERE Col3 = '""&amp;BD742&amp;""'"", 0), 1, 1),""NO ENCONTRADO"")"),"")</f>
        <v/>
      </c>
      <c r="BI742" s="16">
        <f t="shared" si="15"/>
        <v>0</v>
      </c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4"/>
      <c r="BW742" s="14"/>
      <c r="BX742" s="14"/>
      <c r="BY742" s="14"/>
      <c r="BZ742" s="14"/>
      <c r="CA742" s="14"/>
      <c r="CB742" s="14"/>
      <c r="CC742" s="14"/>
      <c r="CD742" s="14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</row>
    <row r="743">
      <c r="A743" s="12"/>
      <c r="B743" s="14"/>
      <c r="C743" s="14"/>
      <c r="D743" s="14"/>
      <c r="E743" s="12"/>
      <c r="F743" s="307"/>
      <c r="G743" s="307"/>
      <c r="H743" s="12"/>
      <c r="I743" s="30"/>
      <c r="J743" s="12"/>
      <c r="K743" s="12"/>
      <c r="L743" s="12"/>
      <c r="M743" s="12"/>
      <c r="N743" s="12"/>
      <c r="O743" s="308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4"/>
      <c r="BE743" s="12"/>
      <c r="BF743" s="12"/>
      <c r="BG743" s="12" t="str">
        <f>IFERROR(__xludf.DUMMYFUNCTION("IFERROR(INDEX(QUERY(IMPORTRANGE(""1T7HG8KEs-Ob7f3M5atEVN9Yn7IeORGp0QGvggB62ELw"",""Maestro!A:I""),""SELECT Col8 WHERE Col3 = '""&amp;BD743&amp;""'"", 0), 1, 1),""NO ENCONTRADO"")"),"")</f>
        <v/>
      </c>
      <c r="BH743" s="12" t="str">
        <f>IFERROR(__xludf.DUMMYFUNCTION("IFERROR(INDEX(QUERY(IMPORTRANGE(""1T7HG8KEs-Ob7f3M5atEVN9Yn7IeORGp0QGvggB62ELw"",""Maestro!A:I""),""SELECT Col7 WHERE Col3 = '""&amp;BD743&amp;""'"", 0), 1, 1),""NO ENCONTRADO"")"),"")</f>
        <v/>
      </c>
      <c r="BI743" s="16">
        <f t="shared" si="15"/>
        <v>0</v>
      </c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4"/>
      <c r="BW743" s="14"/>
      <c r="BX743" s="14"/>
      <c r="BY743" s="14"/>
      <c r="BZ743" s="14"/>
      <c r="CA743" s="14"/>
      <c r="CB743" s="14"/>
      <c r="CC743" s="14"/>
      <c r="CD743" s="14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</row>
    <row r="744">
      <c r="A744" s="12"/>
      <c r="B744" s="14"/>
      <c r="C744" s="14"/>
      <c r="D744" s="14"/>
      <c r="E744" s="12"/>
      <c r="F744" s="307"/>
      <c r="G744" s="307"/>
      <c r="H744" s="12"/>
      <c r="I744" s="30"/>
      <c r="J744" s="12"/>
      <c r="K744" s="12"/>
      <c r="L744" s="12"/>
      <c r="M744" s="12"/>
      <c r="N744" s="12"/>
      <c r="O744" s="308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4"/>
      <c r="BE744" s="12"/>
      <c r="BF744" s="12"/>
      <c r="BG744" s="12" t="str">
        <f>IFERROR(__xludf.DUMMYFUNCTION("IFERROR(INDEX(QUERY(IMPORTRANGE(""1T7HG8KEs-Ob7f3M5atEVN9Yn7IeORGp0QGvggB62ELw"",""Maestro!A:I""),""SELECT Col8 WHERE Col3 = '""&amp;BD744&amp;""'"", 0), 1, 1),""NO ENCONTRADO"")"),"")</f>
        <v/>
      </c>
      <c r="BH744" s="12" t="str">
        <f>IFERROR(__xludf.DUMMYFUNCTION("IFERROR(INDEX(QUERY(IMPORTRANGE(""1T7HG8KEs-Ob7f3M5atEVN9Yn7IeORGp0QGvggB62ELw"",""Maestro!A:I""),""SELECT Col7 WHERE Col3 = '""&amp;BD744&amp;""'"", 0), 1, 1),""NO ENCONTRADO"")"),"")</f>
        <v/>
      </c>
      <c r="BI744" s="16">
        <f t="shared" si="15"/>
        <v>0</v>
      </c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4"/>
      <c r="BW744" s="14"/>
      <c r="BX744" s="14"/>
      <c r="BY744" s="14"/>
      <c r="BZ744" s="14"/>
      <c r="CA744" s="14"/>
      <c r="CB744" s="14"/>
      <c r="CC744" s="14"/>
      <c r="CD744" s="14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</row>
    <row r="745">
      <c r="A745" s="12"/>
      <c r="B745" s="14"/>
      <c r="C745" s="14"/>
      <c r="D745" s="14"/>
      <c r="E745" s="12"/>
      <c r="F745" s="307"/>
      <c r="G745" s="307"/>
      <c r="H745" s="12"/>
      <c r="I745" s="30"/>
      <c r="J745" s="12"/>
      <c r="K745" s="12"/>
      <c r="L745" s="12"/>
      <c r="M745" s="12"/>
      <c r="N745" s="12"/>
      <c r="O745" s="308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4"/>
      <c r="BE745" s="12"/>
      <c r="BF745" s="12"/>
      <c r="BG745" s="12" t="str">
        <f>IFERROR(__xludf.DUMMYFUNCTION("IFERROR(INDEX(QUERY(IMPORTRANGE(""1T7HG8KEs-Ob7f3M5atEVN9Yn7IeORGp0QGvggB62ELw"",""Maestro!A:I""),""SELECT Col8 WHERE Col3 = '""&amp;BD745&amp;""'"", 0), 1, 1),""NO ENCONTRADO"")"),"")</f>
        <v/>
      </c>
      <c r="BH745" s="12" t="str">
        <f>IFERROR(__xludf.DUMMYFUNCTION("IFERROR(INDEX(QUERY(IMPORTRANGE(""1T7HG8KEs-Ob7f3M5atEVN9Yn7IeORGp0QGvggB62ELw"",""Maestro!A:I""),""SELECT Col7 WHERE Col3 = '""&amp;BD745&amp;""'"", 0), 1, 1),""NO ENCONTRADO"")"),"")</f>
        <v/>
      </c>
      <c r="BI745" s="16">
        <f t="shared" si="15"/>
        <v>0</v>
      </c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4"/>
      <c r="BW745" s="14"/>
      <c r="BX745" s="14"/>
      <c r="BY745" s="14"/>
      <c r="BZ745" s="14"/>
      <c r="CA745" s="14"/>
      <c r="CB745" s="14"/>
      <c r="CC745" s="14"/>
      <c r="CD745" s="14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</row>
    <row r="746">
      <c r="A746" s="12"/>
      <c r="B746" s="14"/>
      <c r="C746" s="14"/>
      <c r="D746" s="14"/>
      <c r="E746" s="12"/>
      <c r="F746" s="307"/>
      <c r="G746" s="307"/>
      <c r="H746" s="12"/>
      <c r="I746" s="30"/>
      <c r="J746" s="12"/>
      <c r="K746" s="12"/>
      <c r="L746" s="12"/>
      <c r="M746" s="12"/>
      <c r="N746" s="12"/>
      <c r="O746" s="308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4"/>
      <c r="BE746" s="12"/>
      <c r="BF746" s="12"/>
      <c r="BG746" s="12" t="str">
        <f>IFERROR(__xludf.DUMMYFUNCTION("IFERROR(INDEX(QUERY(IMPORTRANGE(""1T7HG8KEs-Ob7f3M5atEVN9Yn7IeORGp0QGvggB62ELw"",""Maestro!A:I""),""SELECT Col8 WHERE Col3 = '""&amp;BD746&amp;""'"", 0), 1, 1),""NO ENCONTRADO"")"),"")</f>
        <v/>
      </c>
      <c r="BH746" s="12" t="str">
        <f>IFERROR(__xludf.DUMMYFUNCTION("IFERROR(INDEX(QUERY(IMPORTRANGE(""1T7HG8KEs-Ob7f3M5atEVN9Yn7IeORGp0QGvggB62ELw"",""Maestro!A:I""),""SELECT Col7 WHERE Col3 = '""&amp;BD746&amp;""'"", 0), 1, 1),""NO ENCONTRADO"")"),"")</f>
        <v/>
      </c>
      <c r="BI746" s="16">
        <f t="shared" si="15"/>
        <v>0</v>
      </c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4"/>
      <c r="BW746" s="14"/>
      <c r="BX746" s="14"/>
      <c r="BY746" s="14"/>
      <c r="BZ746" s="14"/>
      <c r="CA746" s="14"/>
      <c r="CB746" s="14"/>
      <c r="CC746" s="14"/>
      <c r="CD746" s="14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</row>
    <row r="747">
      <c r="A747" s="12"/>
      <c r="B747" s="14"/>
      <c r="C747" s="14"/>
      <c r="D747" s="14"/>
      <c r="E747" s="12"/>
      <c r="F747" s="307"/>
      <c r="G747" s="307"/>
      <c r="H747" s="12"/>
      <c r="I747" s="30"/>
      <c r="J747" s="12"/>
      <c r="K747" s="12"/>
      <c r="L747" s="12"/>
      <c r="M747" s="12"/>
      <c r="N747" s="12"/>
      <c r="O747" s="308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4"/>
      <c r="BE747" s="12"/>
      <c r="BF747" s="12"/>
      <c r="BG747" s="12" t="str">
        <f>IFERROR(__xludf.DUMMYFUNCTION("IFERROR(INDEX(QUERY(IMPORTRANGE(""1T7HG8KEs-Ob7f3M5atEVN9Yn7IeORGp0QGvggB62ELw"",""Maestro!A:I""),""SELECT Col8 WHERE Col3 = '""&amp;BD747&amp;""'"", 0), 1, 1),""NO ENCONTRADO"")"),"")</f>
        <v/>
      </c>
      <c r="BH747" s="12" t="str">
        <f>IFERROR(__xludf.DUMMYFUNCTION("IFERROR(INDEX(QUERY(IMPORTRANGE(""1T7HG8KEs-Ob7f3M5atEVN9Yn7IeORGp0QGvggB62ELw"",""Maestro!A:I""),""SELECT Col7 WHERE Col3 = '""&amp;BD747&amp;""'"", 0), 1, 1),""NO ENCONTRADO"")"),"")</f>
        <v/>
      </c>
      <c r="BI747" s="16">
        <f t="shared" si="15"/>
        <v>0</v>
      </c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4"/>
      <c r="BW747" s="14"/>
      <c r="BX747" s="14"/>
      <c r="BY747" s="14"/>
      <c r="BZ747" s="14"/>
      <c r="CA747" s="14"/>
      <c r="CB747" s="14"/>
      <c r="CC747" s="14"/>
      <c r="CD747" s="14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</row>
    <row r="748">
      <c r="A748" s="12"/>
      <c r="B748" s="14"/>
      <c r="C748" s="14"/>
      <c r="D748" s="14"/>
      <c r="E748" s="12"/>
      <c r="F748" s="307"/>
      <c r="G748" s="307"/>
      <c r="H748" s="12"/>
      <c r="I748" s="30"/>
      <c r="J748" s="12"/>
      <c r="K748" s="12"/>
      <c r="L748" s="12"/>
      <c r="M748" s="12"/>
      <c r="N748" s="12"/>
      <c r="O748" s="308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4"/>
      <c r="BE748" s="12"/>
      <c r="BF748" s="12"/>
      <c r="BG748" s="12" t="str">
        <f>IFERROR(__xludf.DUMMYFUNCTION("IFERROR(INDEX(QUERY(IMPORTRANGE(""1T7HG8KEs-Ob7f3M5atEVN9Yn7IeORGp0QGvggB62ELw"",""Maestro!A:I""),""SELECT Col8 WHERE Col3 = '""&amp;BD748&amp;""'"", 0), 1, 1),""NO ENCONTRADO"")"),"")</f>
        <v/>
      </c>
      <c r="BH748" s="12" t="str">
        <f>IFERROR(__xludf.DUMMYFUNCTION("IFERROR(INDEX(QUERY(IMPORTRANGE(""1T7HG8KEs-Ob7f3M5atEVN9Yn7IeORGp0QGvggB62ELw"",""Maestro!A:I""),""SELECT Col7 WHERE Col3 = '""&amp;BD748&amp;""'"", 0), 1, 1),""NO ENCONTRADO"")"),"")</f>
        <v/>
      </c>
      <c r="BI748" s="16">
        <f t="shared" si="15"/>
        <v>0</v>
      </c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4"/>
      <c r="BW748" s="14"/>
      <c r="BX748" s="14"/>
      <c r="BY748" s="14"/>
      <c r="BZ748" s="14"/>
      <c r="CA748" s="14"/>
      <c r="CB748" s="14"/>
      <c r="CC748" s="14"/>
      <c r="CD748" s="14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</row>
    <row r="749">
      <c r="A749" s="12"/>
      <c r="B749" s="14"/>
      <c r="C749" s="14"/>
      <c r="D749" s="14"/>
      <c r="E749" s="12"/>
      <c r="F749" s="307"/>
      <c r="G749" s="307"/>
      <c r="H749" s="12"/>
      <c r="I749" s="30"/>
      <c r="J749" s="12"/>
      <c r="K749" s="12"/>
      <c r="L749" s="12"/>
      <c r="M749" s="12"/>
      <c r="N749" s="12"/>
      <c r="O749" s="308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4"/>
      <c r="BE749" s="12"/>
      <c r="BF749" s="12"/>
      <c r="BG749" s="12" t="str">
        <f>IFERROR(__xludf.DUMMYFUNCTION("IFERROR(INDEX(QUERY(IMPORTRANGE(""1T7HG8KEs-Ob7f3M5atEVN9Yn7IeORGp0QGvggB62ELw"",""Maestro!A:I""),""SELECT Col8 WHERE Col3 = '""&amp;BD749&amp;""'"", 0), 1, 1),""NO ENCONTRADO"")"),"")</f>
        <v/>
      </c>
      <c r="BH749" s="12" t="str">
        <f>IFERROR(__xludf.DUMMYFUNCTION("IFERROR(INDEX(QUERY(IMPORTRANGE(""1T7HG8KEs-Ob7f3M5atEVN9Yn7IeORGp0QGvggB62ELw"",""Maestro!A:I""),""SELECT Col7 WHERE Col3 = '""&amp;BD749&amp;""'"", 0), 1, 1),""NO ENCONTRADO"")"),"")</f>
        <v/>
      </c>
      <c r="BI749" s="16">
        <f t="shared" si="15"/>
        <v>0</v>
      </c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4"/>
      <c r="BW749" s="14"/>
      <c r="BX749" s="14"/>
      <c r="BY749" s="14"/>
      <c r="BZ749" s="14"/>
      <c r="CA749" s="14"/>
      <c r="CB749" s="14"/>
      <c r="CC749" s="14"/>
      <c r="CD749" s="14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</row>
    <row r="750">
      <c r="A750" s="12"/>
      <c r="B750" s="14"/>
      <c r="C750" s="14"/>
      <c r="D750" s="14"/>
      <c r="E750" s="12"/>
      <c r="F750" s="307"/>
      <c r="G750" s="307"/>
      <c r="H750" s="12"/>
      <c r="I750" s="30"/>
      <c r="J750" s="12"/>
      <c r="K750" s="12"/>
      <c r="L750" s="12"/>
      <c r="M750" s="12"/>
      <c r="N750" s="12"/>
      <c r="O750" s="308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4"/>
      <c r="BE750" s="12"/>
      <c r="BF750" s="12"/>
      <c r="BG750" s="12" t="str">
        <f>IFERROR(__xludf.DUMMYFUNCTION("IFERROR(INDEX(QUERY(IMPORTRANGE(""1T7HG8KEs-Ob7f3M5atEVN9Yn7IeORGp0QGvggB62ELw"",""Maestro!A:I""),""SELECT Col8 WHERE Col3 = '""&amp;BD750&amp;""'"", 0), 1, 1),""NO ENCONTRADO"")"),"")</f>
        <v/>
      </c>
      <c r="BH750" s="12" t="str">
        <f>IFERROR(__xludf.DUMMYFUNCTION("IFERROR(INDEX(QUERY(IMPORTRANGE(""1T7HG8KEs-Ob7f3M5atEVN9Yn7IeORGp0QGvggB62ELw"",""Maestro!A:I""),""SELECT Col7 WHERE Col3 = '""&amp;BD750&amp;""'"", 0), 1, 1),""NO ENCONTRADO"")"),"")</f>
        <v/>
      </c>
      <c r="BI750" s="16">
        <f t="shared" si="15"/>
        <v>0</v>
      </c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4"/>
      <c r="BW750" s="14"/>
      <c r="BX750" s="14"/>
      <c r="BY750" s="14"/>
      <c r="BZ750" s="14"/>
      <c r="CA750" s="14"/>
      <c r="CB750" s="14"/>
      <c r="CC750" s="14"/>
      <c r="CD750" s="14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</row>
    <row r="751">
      <c r="A751" s="12"/>
      <c r="B751" s="14"/>
      <c r="C751" s="14"/>
      <c r="D751" s="14"/>
      <c r="E751" s="12"/>
      <c r="F751" s="307"/>
      <c r="G751" s="307"/>
      <c r="H751" s="12"/>
      <c r="I751" s="30"/>
      <c r="J751" s="12"/>
      <c r="K751" s="12"/>
      <c r="L751" s="12"/>
      <c r="M751" s="12"/>
      <c r="N751" s="12"/>
      <c r="O751" s="308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4"/>
      <c r="BE751" s="12"/>
      <c r="BF751" s="12"/>
      <c r="BG751" s="12" t="str">
        <f>IFERROR(__xludf.DUMMYFUNCTION("IFERROR(INDEX(QUERY(IMPORTRANGE(""1T7HG8KEs-Ob7f3M5atEVN9Yn7IeORGp0QGvggB62ELw"",""Maestro!A:I""),""SELECT Col8 WHERE Col3 = '""&amp;BD751&amp;""'"", 0), 1, 1),""NO ENCONTRADO"")"),"")</f>
        <v/>
      </c>
      <c r="BH751" s="12" t="str">
        <f>IFERROR(__xludf.DUMMYFUNCTION("IFERROR(INDEX(QUERY(IMPORTRANGE(""1T7HG8KEs-Ob7f3M5atEVN9Yn7IeORGp0QGvggB62ELw"",""Maestro!A:I""),""SELECT Col7 WHERE Col3 = '""&amp;BD751&amp;""'"", 0), 1, 1),""NO ENCONTRADO"")"),"")</f>
        <v/>
      </c>
      <c r="BI751" s="16">
        <f t="shared" si="15"/>
        <v>0</v>
      </c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4"/>
      <c r="BW751" s="14"/>
      <c r="BX751" s="14"/>
      <c r="BY751" s="14"/>
      <c r="BZ751" s="14"/>
      <c r="CA751" s="14"/>
      <c r="CB751" s="14"/>
      <c r="CC751" s="14"/>
      <c r="CD751" s="14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</row>
    <row r="752">
      <c r="A752" s="12"/>
      <c r="B752" s="14"/>
      <c r="C752" s="14"/>
      <c r="D752" s="14"/>
      <c r="E752" s="12"/>
      <c r="F752" s="307"/>
      <c r="G752" s="307"/>
      <c r="H752" s="12"/>
      <c r="I752" s="30"/>
      <c r="J752" s="12"/>
      <c r="K752" s="12"/>
      <c r="L752" s="12"/>
      <c r="M752" s="12"/>
      <c r="N752" s="12"/>
      <c r="O752" s="308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4"/>
      <c r="BE752" s="12"/>
      <c r="BF752" s="12"/>
      <c r="BG752" s="12" t="str">
        <f>IFERROR(__xludf.DUMMYFUNCTION("IFERROR(INDEX(QUERY(IMPORTRANGE(""1T7HG8KEs-Ob7f3M5atEVN9Yn7IeORGp0QGvggB62ELw"",""Maestro!A:I""),""SELECT Col8 WHERE Col3 = '""&amp;BD752&amp;""'"", 0), 1, 1),""NO ENCONTRADO"")"),"")</f>
        <v/>
      </c>
      <c r="BH752" s="12" t="str">
        <f>IFERROR(__xludf.DUMMYFUNCTION("IFERROR(INDEX(QUERY(IMPORTRANGE(""1T7HG8KEs-Ob7f3M5atEVN9Yn7IeORGp0QGvggB62ELw"",""Maestro!A:I""),""SELECT Col7 WHERE Col3 = '""&amp;BD752&amp;""'"", 0), 1, 1),""NO ENCONTRADO"")"),"")</f>
        <v/>
      </c>
      <c r="BI752" s="16">
        <f t="shared" si="15"/>
        <v>0</v>
      </c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4"/>
      <c r="BW752" s="14"/>
      <c r="BX752" s="14"/>
      <c r="BY752" s="14"/>
      <c r="BZ752" s="14"/>
      <c r="CA752" s="14"/>
      <c r="CB752" s="14"/>
      <c r="CC752" s="14"/>
      <c r="CD752" s="14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</row>
    <row r="753">
      <c r="A753" s="12"/>
      <c r="B753" s="14"/>
      <c r="C753" s="14"/>
      <c r="D753" s="14"/>
      <c r="E753" s="12"/>
      <c r="F753" s="307"/>
      <c r="G753" s="307"/>
      <c r="H753" s="12"/>
      <c r="I753" s="30"/>
      <c r="J753" s="12"/>
      <c r="K753" s="12"/>
      <c r="L753" s="12"/>
      <c r="M753" s="12"/>
      <c r="N753" s="12"/>
      <c r="O753" s="308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4"/>
      <c r="BE753" s="12"/>
      <c r="BF753" s="12"/>
      <c r="BG753" s="12" t="str">
        <f>IFERROR(__xludf.DUMMYFUNCTION("IFERROR(INDEX(QUERY(IMPORTRANGE(""1T7HG8KEs-Ob7f3M5atEVN9Yn7IeORGp0QGvggB62ELw"",""Maestro!A:I""),""SELECT Col8 WHERE Col3 = '""&amp;BD753&amp;""'"", 0), 1, 1),""NO ENCONTRADO"")"),"")</f>
        <v/>
      </c>
      <c r="BH753" s="12" t="str">
        <f>IFERROR(__xludf.DUMMYFUNCTION("IFERROR(INDEX(QUERY(IMPORTRANGE(""1T7HG8KEs-Ob7f3M5atEVN9Yn7IeORGp0QGvggB62ELw"",""Maestro!A:I""),""SELECT Col7 WHERE Col3 = '""&amp;BD753&amp;""'"", 0), 1, 1),""NO ENCONTRADO"")"),"")</f>
        <v/>
      </c>
      <c r="BI753" s="16">
        <f t="shared" si="15"/>
        <v>0</v>
      </c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4"/>
      <c r="BW753" s="14"/>
      <c r="BX753" s="14"/>
      <c r="BY753" s="14"/>
      <c r="BZ753" s="14"/>
      <c r="CA753" s="14"/>
      <c r="CB753" s="14"/>
      <c r="CC753" s="14"/>
      <c r="CD753" s="14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</row>
    <row r="754">
      <c r="A754" s="12"/>
      <c r="B754" s="14"/>
      <c r="C754" s="14"/>
      <c r="D754" s="14"/>
      <c r="E754" s="12"/>
      <c r="F754" s="307"/>
      <c r="G754" s="307"/>
      <c r="H754" s="12"/>
      <c r="I754" s="30"/>
      <c r="J754" s="12"/>
      <c r="K754" s="12"/>
      <c r="L754" s="12"/>
      <c r="M754" s="12"/>
      <c r="N754" s="12"/>
      <c r="O754" s="308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4"/>
      <c r="BE754" s="12"/>
      <c r="BF754" s="12"/>
      <c r="BG754" s="12" t="str">
        <f>IFERROR(__xludf.DUMMYFUNCTION("IFERROR(INDEX(QUERY(IMPORTRANGE(""1T7HG8KEs-Ob7f3M5atEVN9Yn7IeORGp0QGvggB62ELw"",""Maestro!A:I""),""SELECT Col8 WHERE Col3 = '""&amp;BD754&amp;""'"", 0), 1, 1),""NO ENCONTRADO"")"),"")</f>
        <v/>
      </c>
      <c r="BH754" s="12" t="str">
        <f>IFERROR(__xludf.DUMMYFUNCTION("IFERROR(INDEX(QUERY(IMPORTRANGE(""1T7HG8KEs-Ob7f3M5atEVN9Yn7IeORGp0QGvggB62ELw"",""Maestro!A:I""),""SELECT Col7 WHERE Col3 = '""&amp;BD754&amp;""'"", 0), 1, 1),""NO ENCONTRADO"")"),"")</f>
        <v/>
      </c>
      <c r="BI754" s="16">
        <f t="shared" si="15"/>
        <v>0</v>
      </c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4"/>
      <c r="BW754" s="14"/>
      <c r="BX754" s="14"/>
      <c r="BY754" s="14"/>
      <c r="BZ754" s="14"/>
      <c r="CA754" s="14"/>
      <c r="CB754" s="14"/>
      <c r="CC754" s="14"/>
      <c r="CD754" s="14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</row>
    <row r="755">
      <c r="A755" s="12"/>
      <c r="B755" s="14"/>
      <c r="C755" s="14"/>
      <c r="D755" s="14"/>
      <c r="E755" s="12"/>
      <c r="F755" s="307"/>
      <c r="G755" s="307"/>
      <c r="H755" s="12"/>
      <c r="I755" s="30"/>
      <c r="J755" s="12"/>
      <c r="K755" s="12"/>
      <c r="L755" s="12"/>
      <c r="M755" s="12"/>
      <c r="N755" s="12"/>
      <c r="O755" s="308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4"/>
      <c r="BE755" s="12"/>
      <c r="BF755" s="12"/>
      <c r="BG755" s="12" t="str">
        <f>IFERROR(__xludf.DUMMYFUNCTION("IFERROR(INDEX(QUERY(IMPORTRANGE(""1T7HG8KEs-Ob7f3M5atEVN9Yn7IeORGp0QGvggB62ELw"",""Maestro!A:I""),""SELECT Col8 WHERE Col3 = '""&amp;BD755&amp;""'"", 0), 1, 1),""NO ENCONTRADO"")"),"")</f>
        <v/>
      </c>
      <c r="BH755" s="12" t="str">
        <f>IFERROR(__xludf.DUMMYFUNCTION("IFERROR(INDEX(QUERY(IMPORTRANGE(""1T7HG8KEs-Ob7f3M5atEVN9Yn7IeORGp0QGvggB62ELw"",""Maestro!A:I""),""SELECT Col7 WHERE Col3 = '""&amp;BD755&amp;""'"", 0), 1, 1),""NO ENCONTRADO"")"),"")</f>
        <v/>
      </c>
      <c r="BI755" s="16">
        <f t="shared" si="15"/>
        <v>0</v>
      </c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4"/>
      <c r="BW755" s="14"/>
      <c r="BX755" s="14"/>
      <c r="BY755" s="14"/>
      <c r="BZ755" s="14"/>
      <c r="CA755" s="14"/>
      <c r="CB755" s="14"/>
      <c r="CC755" s="14"/>
      <c r="CD755" s="14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</row>
    <row r="756">
      <c r="A756" s="12"/>
      <c r="B756" s="14"/>
      <c r="C756" s="14"/>
      <c r="D756" s="14"/>
      <c r="E756" s="12"/>
      <c r="F756" s="307"/>
      <c r="G756" s="307"/>
      <c r="H756" s="12"/>
      <c r="I756" s="30"/>
      <c r="J756" s="12"/>
      <c r="K756" s="12"/>
      <c r="L756" s="12"/>
      <c r="M756" s="12"/>
      <c r="N756" s="12"/>
      <c r="O756" s="308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4"/>
      <c r="BE756" s="12"/>
      <c r="BF756" s="12"/>
      <c r="BG756" s="12" t="str">
        <f>IFERROR(__xludf.DUMMYFUNCTION("IFERROR(INDEX(QUERY(IMPORTRANGE(""1T7HG8KEs-Ob7f3M5atEVN9Yn7IeORGp0QGvggB62ELw"",""Maestro!A:I""),""SELECT Col8 WHERE Col3 = '""&amp;BD756&amp;""'"", 0), 1, 1),""NO ENCONTRADO"")"),"")</f>
        <v/>
      </c>
      <c r="BH756" s="12" t="str">
        <f>IFERROR(__xludf.DUMMYFUNCTION("IFERROR(INDEX(QUERY(IMPORTRANGE(""1T7HG8KEs-Ob7f3M5atEVN9Yn7IeORGp0QGvggB62ELw"",""Maestro!A:I""),""SELECT Col7 WHERE Col3 = '""&amp;BD756&amp;""'"", 0), 1, 1),""NO ENCONTRADO"")"),"")</f>
        <v/>
      </c>
      <c r="BI756" s="16">
        <f t="shared" si="15"/>
        <v>0</v>
      </c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4"/>
      <c r="BW756" s="14"/>
      <c r="BX756" s="14"/>
      <c r="BY756" s="14"/>
      <c r="BZ756" s="14"/>
      <c r="CA756" s="14"/>
      <c r="CB756" s="14"/>
      <c r="CC756" s="14"/>
      <c r="CD756" s="14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</row>
    <row r="757">
      <c r="A757" s="12"/>
      <c r="B757" s="14"/>
      <c r="C757" s="14"/>
      <c r="D757" s="14"/>
      <c r="E757" s="12"/>
      <c r="F757" s="307"/>
      <c r="G757" s="307"/>
      <c r="H757" s="12"/>
      <c r="I757" s="30"/>
      <c r="J757" s="12"/>
      <c r="K757" s="12"/>
      <c r="L757" s="12"/>
      <c r="M757" s="12"/>
      <c r="N757" s="12"/>
      <c r="O757" s="308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4"/>
      <c r="BE757" s="12"/>
      <c r="BF757" s="12"/>
      <c r="BG757" s="12" t="str">
        <f>IFERROR(__xludf.DUMMYFUNCTION("IFERROR(INDEX(QUERY(IMPORTRANGE(""1T7HG8KEs-Ob7f3M5atEVN9Yn7IeORGp0QGvggB62ELw"",""Maestro!A:I""),""SELECT Col8 WHERE Col3 = '""&amp;BD757&amp;""'"", 0), 1, 1),""NO ENCONTRADO"")"),"")</f>
        <v/>
      </c>
      <c r="BH757" s="12" t="str">
        <f>IFERROR(__xludf.DUMMYFUNCTION("IFERROR(INDEX(QUERY(IMPORTRANGE(""1T7HG8KEs-Ob7f3M5atEVN9Yn7IeORGp0QGvggB62ELw"",""Maestro!A:I""),""SELECT Col7 WHERE Col3 = '""&amp;BD757&amp;""'"", 0), 1, 1),""NO ENCONTRADO"")"),"")</f>
        <v/>
      </c>
      <c r="BI757" s="16">
        <f t="shared" si="15"/>
        <v>0</v>
      </c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4"/>
      <c r="BW757" s="14"/>
      <c r="BX757" s="14"/>
      <c r="BY757" s="14"/>
      <c r="BZ757" s="14"/>
      <c r="CA757" s="14"/>
      <c r="CB757" s="14"/>
      <c r="CC757" s="14"/>
      <c r="CD757" s="14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</row>
    <row r="758">
      <c r="A758" s="12"/>
      <c r="B758" s="14"/>
      <c r="C758" s="14"/>
      <c r="D758" s="14"/>
      <c r="E758" s="12"/>
      <c r="F758" s="307"/>
      <c r="G758" s="307"/>
      <c r="H758" s="12"/>
      <c r="I758" s="30"/>
      <c r="J758" s="12"/>
      <c r="K758" s="12"/>
      <c r="L758" s="12"/>
      <c r="M758" s="12"/>
      <c r="N758" s="12"/>
      <c r="O758" s="308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4"/>
      <c r="BE758" s="12"/>
      <c r="BF758" s="12"/>
      <c r="BG758" s="12" t="str">
        <f>IFERROR(__xludf.DUMMYFUNCTION("IFERROR(INDEX(QUERY(IMPORTRANGE(""1T7HG8KEs-Ob7f3M5atEVN9Yn7IeORGp0QGvggB62ELw"",""Maestro!A:I""),""SELECT Col8 WHERE Col3 = '""&amp;BD758&amp;""'"", 0), 1, 1),""NO ENCONTRADO"")"),"")</f>
        <v/>
      </c>
      <c r="BH758" s="12" t="str">
        <f>IFERROR(__xludf.DUMMYFUNCTION("IFERROR(INDEX(QUERY(IMPORTRANGE(""1T7HG8KEs-Ob7f3M5atEVN9Yn7IeORGp0QGvggB62ELw"",""Maestro!A:I""),""SELECT Col7 WHERE Col3 = '""&amp;BD758&amp;""'"", 0), 1, 1),""NO ENCONTRADO"")"),"")</f>
        <v/>
      </c>
      <c r="BI758" s="16">
        <f t="shared" si="15"/>
        <v>0</v>
      </c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4"/>
      <c r="BW758" s="14"/>
      <c r="BX758" s="14"/>
      <c r="BY758" s="14"/>
      <c r="BZ758" s="14"/>
      <c r="CA758" s="14"/>
      <c r="CB758" s="14"/>
      <c r="CC758" s="14"/>
      <c r="CD758" s="14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</row>
    <row r="759">
      <c r="A759" s="12"/>
      <c r="B759" s="14"/>
      <c r="C759" s="14"/>
      <c r="D759" s="14"/>
      <c r="E759" s="12"/>
      <c r="F759" s="307"/>
      <c r="G759" s="307"/>
      <c r="H759" s="12"/>
      <c r="I759" s="30"/>
      <c r="J759" s="12"/>
      <c r="K759" s="12"/>
      <c r="L759" s="12"/>
      <c r="M759" s="12"/>
      <c r="N759" s="12"/>
      <c r="O759" s="308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4"/>
      <c r="BE759" s="12"/>
      <c r="BF759" s="12"/>
      <c r="BG759" s="12" t="str">
        <f>IFERROR(__xludf.DUMMYFUNCTION("IFERROR(INDEX(QUERY(IMPORTRANGE(""1T7HG8KEs-Ob7f3M5atEVN9Yn7IeORGp0QGvggB62ELw"",""Maestro!A:I""),""SELECT Col8 WHERE Col3 = '""&amp;BD759&amp;""'"", 0), 1, 1),""NO ENCONTRADO"")"),"")</f>
        <v/>
      </c>
      <c r="BH759" s="12" t="str">
        <f>IFERROR(__xludf.DUMMYFUNCTION("IFERROR(INDEX(QUERY(IMPORTRANGE(""1T7HG8KEs-Ob7f3M5atEVN9Yn7IeORGp0QGvggB62ELw"",""Maestro!A:I""),""SELECT Col7 WHERE Col3 = '""&amp;BD759&amp;""'"", 0), 1, 1),""NO ENCONTRADO"")"),"")</f>
        <v/>
      </c>
      <c r="BI759" s="16">
        <f t="shared" si="15"/>
        <v>0</v>
      </c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4"/>
      <c r="BW759" s="14"/>
      <c r="BX759" s="14"/>
      <c r="BY759" s="14"/>
      <c r="BZ759" s="14"/>
      <c r="CA759" s="14"/>
      <c r="CB759" s="14"/>
      <c r="CC759" s="14"/>
      <c r="CD759" s="14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</row>
    <row r="760">
      <c r="A760" s="12"/>
      <c r="B760" s="14"/>
      <c r="C760" s="14"/>
      <c r="D760" s="14"/>
      <c r="E760" s="12"/>
      <c r="F760" s="307"/>
      <c r="G760" s="307"/>
      <c r="H760" s="12"/>
      <c r="I760" s="30"/>
      <c r="J760" s="12"/>
      <c r="K760" s="12"/>
      <c r="L760" s="12"/>
      <c r="M760" s="12"/>
      <c r="N760" s="12"/>
      <c r="O760" s="308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4"/>
      <c r="BE760" s="12"/>
      <c r="BF760" s="12"/>
      <c r="BG760" s="12" t="str">
        <f>IFERROR(__xludf.DUMMYFUNCTION("IFERROR(INDEX(QUERY(IMPORTRANGE(""1T7HG8KEs-Ob7f3M5atEVN9Yn7IeORGp0QGvggB62ELw"",""Maestro!A:I""),""SELECT Col8 WHERE Col3 = '""&amp;BD760&amp;""'"", 0), 1, 1),""NO ENCONTRADO"")"),"")</f>
        <v/>
      </c>
      <c r="BH760" s="12" t="str">
        <f>IFERROR(__xludf.DUMMYFUNCTION("IFERROR(INDEX(QUERY(IMPORTRANGE(""1T7HG8KEs-Ob7f3M5atEVN9Yn7IeORGp0QGvggB62ELw"",""Maestro!A:I""),""SELECT Col7 WHERE Col3 = '""&amp;BD760&amp;""'"", 0), 1, 1),""NO ENCONTRADO"")"),"")</f>
        <v/>
      </c>
      <c r="BI760" s="16">
        <f t="shared" si="15"/>
        <v>0</v>
      </c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4"/>
      <c r="BW760" s="14"/>
      <c r="BX760" s="14"/>
      <c r="BY760" s="14"/>
      <c r="BZ760" s="14"/>
      <c r="CA760" s="14"/>
      <c r="CB760" s="14"/>
      <c r="CC760" s="14"/>
      <c r="CD760" s="14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</row>
    <row r="761">
      <c r="A761" s="12"/>
      <c r="B761" s="14"/>
      <c r="C761" s="14"/>
      <c r="D761" s="14"/>
      <c r="E761" s="12"/>
      <c r="F761" s="307"/>
      <c r="G761" s="307"/>
      <c r="H761" s="12"/>
      <c r="I761" s="30"/>
      <c r="J761" s="12"/>
      <c r="K761" s="12"/>
      <c r="L761" s="12"/>
      <c r="M761" s="12"/>
      <c r="N761" s="12"/>
      <c r="O761" s="308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4"/>
      <c r="BE761" s="12"/>
      <c r="BF761" s="12"/>
      <c r="BG761" s="12" t="str">
        <f>IFERROR(__xludf.DUMMYFUNCTION("IFERROR(INDEX(QUERY(IMPORTRANGE(""1T7HG8KEs-Ob7f3M5atEVN9Yn7IeORGp0QGvggB62ELw"",""Maestro!A:I""),""SELECT Col8 WHERE Col3 = '""&amp;BD761&amp;""'"", 0), 1, 1),""NO ENCONTRADO"")"),"")</f>
        <v/>
      </c>
      <c r="BH761" s="12" t="str">
        <f>IFERROR(__xludf.DUMMYFUNCTION("IFERROR(INDEX(QUERY(IMPORTRANGE(""1T7HG8KEs-Ob7f3M5atEVN9Yn7IeORGp0QGvggB62ELw"",""Maestro!A:I""),""SELECT Col7 WHERE Col3 = '""&amp;BD761&amp;""'"", 0), 1, 1),""NO ENCONTRADO"")"),"")</f>
        <v/>
      </c>
      <c r="BI761" s="16">
        <f t="shared" si="15"/>
        <v>0</v>
      </c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4"/>
      <c r="BW761" s="14"/>
      <c r="BX761" s="14"/>
      <c r="BY761" s="14"/>
      <c r="BZ761" s="14"/>
      <c r="CA761" s="14"/>
      <c r="CB761" s="14"/>
      <c r="CC761" s="14"/>
      <c r="CD761" s="14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</row>
    <row r="762">
      <c r="A762" s="12"/>
      <c r="B762" s="14"/>
      <c r="C762" s="14"/>
      <c r="D762" s="14"/>
      <c r="E762" s="12"/>
      <c r="F762" s="307"/>
      <c r="G762" s="307"/>
      <c r="H762" s="12"/>
      <c r="I762" s="30"/>
      <c r="J762" s="12"/>
      <c r="K762" s="12"/>
      <c r="L762" s="12"/>
      <c r="M762" s="12"/>
      <c r="N762" s="12"/>
      <c r="O762" s="308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4"/>
      <c r="BE762" s="12"/>
      <c r="BF762" s="12"/>
      <c r="BG762" s="12" t="str">
        <f>IFERROR(__xludf.DUMMYFUNCTION("IFERROR(INDEX(QUERY(IMPORTRANGE(""1T7HG8KEs-Ob7f3M5atEVN9Yn7IeORGp0QGvggB62ELw"",""Maestro!A:I""),""SELECT Col8 WHERE Col3 = '""&amp;BD762&amp;""'"", 0), 1, 1),""NO ENCONTRADO"")"),"")</f>
        <v/>
      </c>
      <c r="BH762" s="12" t="str">
        <f>IFERROR(__xludf.DUMMYFUNCTION("IFERROR(INDEX(QUERY(IMPORTRANGE(""1T7HG8KEs-Ob7f3M5atEVN9Yn7IeORGp0QGvggB62ELw"",""Maestro!A:I""),""SELECT Col7 WHERE Col3 = '""&amp;BD762&amp;""'"", 0), 1, 1),""NO ENCONTRADO"")"),"")</f>
        <v/>
      </c>
      <c r="BI762" s="16">
        <f t="shared" si="15"/>
        <v>0</v>
      </c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4"/>
      <c r="BW762" s="14"/>
      <c r="BX762" s="14"/>
      <c r="BY762" s="14"/>
      <c r="BZ762" s="14"/>
      <c r="CA762" s="14"/>
      <c r="CB762" s="14"/>
      <c r="CC762" s="14"/>
      <c r="CD762" s="14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</row>
    <row r="763">
      <c r="A763" s="12"/>
      <c r="B763" s="14"/>
      <c r="C763" s="14"/>
      <c r="D763" s="14"/>
      <c r="E763" s="12"/>
      <c r="F763" s="307"/>
      <c r="G763" s="307"/>
      <c r="H763" s="12"/>
      <c r="I763" s="30"/>
      <c r="J763" s="12"/>
      <c r="K763" s="12"/>
      <c r="L763" s="12"/>
      <c r="M763" s="12"/>
      <c r="N763" s="12"/>
      <c r="O763" s="308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4"/>
      <c r="BE763" s="12"/>
      <c r="BF763" s="12"/>
      <c r="BG763" s="12" t="str">
        <f>IFERROR(__xludf.DUMMYFUNCTION("IFERROR(INDEX(QUERY(IMPORTRANGE(""1T7HG8KEs-Ob7f3M5atEVN9Yn7IeORGp0QGvggB62ELw"",""Maestro!A:I""),""SELECT Col8 WHERE Col3 = '""&amp;BD763&amp;""'"", 0), 1, 1),""NO ENCONTRADO"")"),"")</f>
        <v/>
      </c>
      <c r="BH763" s="12" t="str">
        <f>IFERROR(__xludf.DUMMYFUNCTION("IFERROR(INDEX(QUERY(IMPORTRANGE(""1T7HG8KEs-Ob7f3M5atEVN9Yn7IeORGp0QGvggB62ELw"",""Maestro!A:I""),""SELECT Col7 WHERE Col3 = '""&amp;BD763&amp;""'"", 0), 1, 1),""NO ENCONTRADO"")"),"")</f>
        <v/>
      </c>
      <c r="BI763" s="16">
        <f t="shared" si="15"/>
        <v>0</v>
      </c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4"/>
      <c r="BW763" s="14"/>
      <c r="BX763" s="14"/>
      <c r="BY763" s="14"/>
      <c r="BZ763" s="14"/>
      <c r="CA763" s="14"/>
      <c r="CB763" s="14"/>
      <c r="CC763" s="14"/>
      <c r="CD763" s="14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</row>
    <row r="764">
      <c r="A764" s="12"/>
      <c r="B764" s="14"/>
      <c r="C764" s="14"/>
      <c r="D764" s="14"/>
      <c r="E764" s="12"/>
      <c r="F764" s="307"/>
      <c r="G764" s="307"/>
      <c r="H764" s="12"/>
      <c r="I764" s="30"/>
      <c r="J764" s="12"/>
      <c r="K764" s="12"/>
      <c r="L764" s="12"/>
      <c r="M764" s="12"/>
      <c r="N764" s="12"/>
      <c r="O764" s="308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4"/>
      <c r="BE764" s="12"/>
      <c r="BF764" s="12"/>
      <c r="BG764" s="12" t="str">
        <f>IFERROR(__xludf.DUMMYFUNCTION("IFERROR(INDEX(QUERY(IMPORTRANGE(""1T7HG8KEs-Ob7f3M5atEVN9Yn7IeORGp0QGvggB62ELw"",""Maestro!A:I""),""SELECT Col8 WHERE Col3 = '""&amp;BD764&amp;""'"", 0), 1, 1),""NO ENCONTRADO"")"),"")</f>
        <v/>
      </c>
      <c r="BH764" s="12" t="str">
        <f>IFERROR(__xludf.DUMMYFUNCTION("IFERROR(INDEX(QUERY(IMPORTRANGE(""1T7HG8KEs-Ob7f3M5atEVN9Yn7IeORGp0QGvggB62ELw"",""Maestro!A:I""),""SELECT Col7 WHERE Col3 = '""&amp;BD764&amp;""'"", 0), 1, 1),""NO ENCONTRADO"")"),"")</f>
        <v/>
      </c>
      <c r="BI764" s="16">
        <f t="shared" si="15"/>
        <v>0</v>
      </c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4"/>
      <c r="BW764" s="14"/>
      <c r="BX764" s="14"/>
      <c r="BY764" s="14"/>
      <c r="BZ764" s="14"/>
      <c r="CA764" s="14"/>
      <c r="CB764" s="14"/>
      <c r="CC764" s="14"/>
      <c r="CD764" s="14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</row>
    <row r="765">
      <c r="A765" s="12"/>
      <c r="B765" s="14"/>
      <c r="C765" s="14"/>
      <c r="D765" s="14"/>
      <c r="E765" s="12"/>
      <c r="F765" s="307"/>
      <c r="G765" s="307"/>
      <c r="H765" s="12"/>
      <c r="I765" s="30"/>
      <c r="J765" s="12"/>
      <c r="K765" s="12"/>
      <c r="L765" s="12"/>
      <c r="M765" s="12"/>
      <c r="N765" s="12"/>
      <c r="O765" s="308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4"/>
      <c r="BE765" s="12"/>
      <c r="BF765" s="12"/>
      <c r="BG765" s="12" t="str">
        <f>IFERROR(__xludf.DUMMYFUNCTION("IFERROR(INDEX(QUERY(IMPORTRANGE(""1T7HG8KEs-Ob7f3M5atEVN9Yn7IeORGp0QGvggB62ELw"",""Maestro!A:I""),""SELECT Col8 WHERE Col3 = '""&amp;BD765&amp;""'"", 0), 1, 1),""NO ENCONTRADO"")"),"")</f>
        <v/>
      </c>
      <c r="BH765" s="12" t="str">
        <f>IFERROR(__xludf.DUMMYFUNCTION("IFERROR(INDEX(QUERY(IMPORTRANGE(""1T7HG8KEs-Ob7f3M5atEVN9Yn7IeORGp0QGvggB62ELw"",""Maestro!A:I""),""SELECT Col7 WHERE Col3 = '""&amp;BD765&amp;""'"", 0), 1, 1),""NO ENCONTRADO"")"),"")</f>
        <v/>
      </c>
      <c r="BI765" s="16">
        <f t="shared" si="15"/>
        <v>0</v>
      </c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4"/>
      <c r="BW765" s="14"/>
      <c r="BX765" s="14"/>
      <c r="BY765" s="14"/>
      <c r="BZ765" s="14"/>
      <c r="CA765" s="14"/>
      <c r="CB765" s="14"/>
      <c r="CC765" s="14"/>
      <c r="CD765" s="14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</row>
    <row r="766">
      <c r="A766" s="12"/>
      <c r="B766" s="14"/>
      <c r="C766" s="14"/>
      <c r="D766" s="14"/>
      <c r="E766" s="12"/>
      <c r="F766" s="307"/>
      <c r="G766" s="307"/>
      <c r="H766" s="12"/>
      <c r="I766" s="30"/>
      <c r="J766" s="12"/>
      <c r="K766" s="12"/>
      <c r="L766" s="12"/>
      <c r="M766" s="12"/>
      <c r="N766" s="12"/>
      <c r="O766" s="308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4"/>
      <c r="BE766" s="12"/>
      <c r="BF766" s="12"/>
      <c r="BG766" s="12" t="str">
        <f>IFERROR(__xludf.DUMMYFUNCTION("IFERROR(INDEX(QUERY(IMPORTRANGE(""1T7HG8KEs-Ob7f3M5atEVN9Yn7IeORGp0QGvggB62ELw"",""Maestro!A:I""),""SELECT Col8 WHERE Col3 = '""&amp;BD766&amp;""'"", 0), 1, 1),""NO ENCONTRADO"")"),"")</f>
        <v/>
      </c>
      <c r="BH766" s="12" t="str">
        <f>IFERROR(__xludf.DUMMYFUNCTION("IFERROR(INDEX(QUERY(IMPORTRANGE(""1T7HG8KEs-Ob7f3M5atEVN9Yn7IeORGp0QGvggB62ELw"",""Maestro!A:I""),""SELECT Col7 WHERE Col3 = '""&amp;BD766&amp;""'"", 0), 1, 1),""NO ENCONTRADO"")"),"")</f>
        <v/>
      </c>
      <c r="BI766" s="16">
        <f t="shared" si="15"/>
        <v>0</v>
      </c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4"/>
      <c r="BW766" s="14"/>
      <c r="BX766" s="14"/>
      <c r="BY766" s="14"/>
      <c r="BZ766" s="14"/>
      <c r="CA766" s="14"/>
      <c r="CB766" s="14"/>
      <c r="CC766" s="14"/>
      <c r="CD766" s="14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</row>
    <row r="767">
      <c r="A767" s="12"/>
      <c r="B767" s="14"/>
      <c r="C767" s="14"/>
      <c r="D767" s="14"/>
      <c r="E767" s="12"/>
      <c r="F767" s="307"/>
      <c r="G767" s="307"/>
      <c r="H767" s="12"/>
      <c r="I767" s="30"/>
      <c r="J767" s="12"/>
      <c r="K767" s="12"/>
      <c r="L767" s="12"/>
      <c r="M767" s="12"/>
      <c r="N767" s="12"/>
      <c r="O767" s="308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4"/>
      <c r="BE767" s="12"/>
      <c r="BF767" s="12"/>
      <c r="BG767" s="12" t="str">
        <f>IFERROR(__xludf.DUMMYFUNCTION("IFERROR(INDEX(QUERY(IMPORTRANGE(""1T7HG8KEs-Ob7f3M5atEVN9Yn7IeORGp0QGvggB62ELw"",""Maestro!A:I""),""SELECT Col8 WHERE Col3 = '""&amp;BD767&amp;""'"", 0), 1, 1),""NO ENCONTRADO"")"),"")</f>
        <v/>
      </c>
      <c r="BH767" s="12" t="str">
        <f>IFERROR(__xludf.DUMMYFUNCTION("IFERROR(INDEX(QUERY(IMPORTRANGE(""1T7HG8KEs-Ob7f3M5atEVN9Yn7IeORGp0QGvggB62ELw"",""Maestro!A:I""),""SELECT Col7 WHERE Col3 = '""&amp;BD767&amp;""'"", 0), 1, 1),""NO ENCONTRADO"")"),"")</f>
        <v/>
      </c>
      <c r="BI767" s="16">
        <f t="shared" si="15"/>
        <v>0</v>
      </c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4"/>
      <c r="BW767" s="14"/>
      <c r="BX767" s="14"/>
      <c r="BY767" s="14"/>
      <c r="BZ767" s="14"/>
      <c r="CA767" s="14"/>
      <c r="CB767" s="14"/>
      <c r="CC767" s="14"/>
      <c r="CD767" s="14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</row>
    <row r="768">
      <c r="A768" s="12"/>
      <c r="B768" s="14"/>
      <c r="C768" s="14"/>
      <c r="D768" s="14"/>
      <c r="E768" s="12"/>
      <c r="F768" s="307"/>
      <c r="G768" s="307"/>
      <c r="H768" s="12"/>
      <c r="I768" s="30"/>
      <c r="J768" s="12"/>
      <c r="K768" s="12"/>
      <c r="L768" s="12"/>
      <c r="M768" s="12"/>
      <c r="N768" s="12"/>
      <c r="O768" s="308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4"/>
      <c r="BE768" s="12"/>
      <c r="BF768" s="12"/>
      <c r="BG768" s="12" t="str">
        <f>IFERROR(__xludf.DUMMYFUNCTION("IFERROR(INDEX(QUERY(IMPORTRANGE(""1T7HG8KEs-Ob7f3M5atEVN9Yn7IeORGp0QGvggB62ELw"",""Maestro!A:I""),""SELECT Col8 WHERE Col3 = '""&amp;BD768&amp;""'"", 0), 1, 1),""NO ENCONTRADO"")"),"")</f>
        <v/>
      </c>
      <c r="BH768" s="12" t="str">
        <f>IFERROR(__xludf.DUMMYFUNCTION("IFERROR(INDEX(QUERY(IMPORTRANGE(""1T7HG8KEs-Ob7f3M5atEVN9Yn7IeORGp0QGvggB62ELw"",""Maestro!A:I""),""SELECT Col7 WHERE Col3 = '""&amp;BD768&amp;""'"", 0), 1, 1),""NO ENCONTRADO"")"),"")</f>
        <v/>
      </c>
      <c r="BI768" s="16">
        <f t="shared" si="15"/>
        <v>0</v>
      </c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4"/>
      <c r="BW768" s="14"/>
      <c r="BX768" s="14"/>
      <c r="BY768" s="14"/>
      <c r="BZ768" s="14"/>
      <c r="CA768" s="14"/>
      <c r="CB768" s="14"/>
      <c r="CC768" s="14"/>
      <c r="CD768" s="14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</row>
    <row r="769">
      <c r="A769" s="12"/>
      <c r="B769" s="14"/>
      <c r="C769" s="14"/>
      <c r="D769" s="14"/>
      <c r="E769" s="12"/>
      <c r="F769" s="307"/>
      <c r="G769" s="307"/>
      <c r="H769" s="12"/>
      <c r="I769" s="30"/>
      <c r="J769" s="12"/>
      <c r="K769" s="12"/>
      <c r="L769" s="12"/>
      <c r="M769" s="12"/>
      <c r="N769" s="12"/>
      <c r="O769" s="308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4"/>
      <c r="BE769" s="12"/>
      <c r="BF769" s="12"/>
      <c r="BG769" s="12" t="str">
        <f>IFERROR(__xludf.DUMMYFUNCTION("IFERROR(INDEX(QUERY(IMPORTRANGE(""1T7HG8KEs-Ob7f3M5atEVN9Yn7IeORGp0QGvggB62ELw"",""Maestro!A:I""),""SELECT Col8 WHERE Col3 = '""&amp;BD769&amp;""'"", 0), 1, 1),""NO ENCONTRADO"")"),"")</f>
        <v/>
      </c>
      <c r="BH769" s="12" t="str">
        <f>IFERROR(__xludf.DUMMYFUNCTION("IFERROR(INDEX(QUERY(IMPORTRANGE(""1T7HG8KEs-Ob7f3M5atEVN9Yn7IeORGp0QGvggB62ELw"",""Maestro!A:I""),""SELECT Col7 WHERE Col3 = '""&amp;BD769&amp;""'"", 0), 1, 1),""NO ENCONTRADO"")"),"")</f>
        <v/>
      </c>
      <c r="BI769" s="16">
        <f t="shared" si="15"/>
        <v>0</v>
      </c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4"/>
      <c r="BW769" s="14"/>
      <c r="BX769" s="14"/>
      <c r="BY769" s="14"/>
      <c r="BZ769" s="14"/>
      <c r="CA769" s="14"/>
      <c r="CB769" s="14"/>
      <c r="CC769" s="14"/>
      <c r="CD769" s="14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</row>
    <row r="770">
      <c r="A770" s="12"/>
      <c r="B770" s="14"/>
      <c r="C770" s="14"/>
      <c r="D770" s="14"/>
      <c r="E770" s="12"/>
      <c r="F770" s="307"/>
      <c r="G770" s="307"/>
      <c r="H770" s="12"/>
      <c r="I770" s="30"/>
      <c r="J770" s="12"/>
      <c r="K770" s="12"/>
      <c r="L770" s="12"/>
      <c r="M770" s="12"/>
      <c r="N770" s="12"/>
      <c r="O770" s="308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4"/>
      <c r="BE770" s="12"/>
      <c r="BF770" s="12"/>
      <c r="BG770" s="12" t="str">
        <f>IFERROR(__xludf.DUMMYFUNCTION("IFERROR(INDEX(QUERY(IMPORTRANGE(""1T7HG8KEs-Ob7f3M5atEVN9Yn7IeORGp0QGvggB62ELw"",""Maestro!A:I""),""SELECT Col8 WHERE Col3 = '""&amp;BD770&amp;""'"", 0), 1, 1),""NO ENCONTRADO"")"),"")</f>
        <v/>
      </c>
      <c r="BH770" s="12" t="str">
        <f>IFERROR(__xludf.DUMMYFUNCTION("IFERROR(INDEX(QUERY(IMPORTRANGE(""1T7HG8KEs-Ob7f3M5atEVN9Yn7IeORGp0QGvggB62ELw"",""Maestro!A:I""),""SELECT Col7 WHERE Col3 = '""&amp;BD770&amp;""'"", 0), 1, 1),""NO ENCONTRADO"")"),"")</f>
        <v/>
      </c>
      <c r="BI770" s="16">
        <f t="shared" si="15"/>
        <v>0</v>
      </c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4"/>
      <c r="BW770" s="14"/>
      <c r="BX770" s="14"/>
      <c r="BY770" s="14"/>
      <c r="BZ770" s="14"/>
      <c r="CA770" s="14"/>
      <c r="CB770" s="14"/>
      <c r="CC770" s="14"/>
      <c r="CD770" s="14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</row>
    <row r="771">
      <c r="A771" s="12"/>
      <c r="B771" s="14"/>
      <c r="C771" s="14"/>
      <c r="D771" s="14"/>
      <c r="E771" s="12"/>
      <c r="F771" s="307"/>
      <c r="G771" s="307"/>
      <c r="H771" s="12"/>
      <c r="I771" s="30"/>
      <c r="J771" s="12"/>
      <c r="K771" s="12"/>
      <c r="L771" s="12"/>
      <c r="M771" s="12"/>
      <c r="N771" s="12"/>
      <c r="O771" s="308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4"/>
      <c r="BE771" s="12"/>
      <c r="BF771" s="12"/>
      <c r="BG771" s="12" t="str">
        <f>IFERROR(__xludf.DUMMYFUNCTION("IFERROR(INDEX(QUERY(IMPORTRANGE(""1T7HG8KEs-Ob7f3M5atEVN9Yn7IeORGp0QGvggB62ELw"",""Maestro!A:I""),""SELECT Col8 WHERE Col3 = '""&amp;BD771&amp;""'"", 0), 1, 1),""NO ENCONTRADO"")"),"")</f>
        <v/>
      </c>
      <c r="BH771" s="12" t="str">
        <f>IFERROR(__xludf.DUMMYFUNCTION("IFERROR(INDEX(QUERY(IMPORTRANGE(""1T7HG8KEs-Ob7f3M5atEVN9Yn7IeORGp0QGvggB62ELw"",""Maestro!A:I""),""SELECT Col7 WHERE Col3 = '""&amp;BD771&amp;""'"", 0), 1, 1),""NO ENCONTRADO"")"),"")</f>
        <v/>
      </c>
      <c r="BI771" s="16">
        <f t="shared" si="15"/>
        <v>0</v>
      </c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4"/>
      <c r="BW771" s="14"/>
      <c r="BX771" s="14"/>
      <c r="BY771" s="14"/>
      <c r="BZ771" s="14"/>
      <c r="CA771" s="14"/>
      <c r="CB771" s="14"/>
      <c r="CC771" s="14"/>
      <c r="CD771" s="14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</row>
    <row r="772">
      <c r="A772" s="12"/>
      <c r="B772" s="14"/>
      <c r="C772" s="14"/>
      <c r="D772" s="14"/>
      <c r="E772" s="12"/>
      <c r="F772" s="307"/>
      <c r="G772" s="307"/>
      <c r="H772" s="12"/>
      <c r="I772" s="30"/>
      <c r="J772" s="12"/>
      <c r="K772" s="12"/>
      <c r="L772" s="12"/>
      <c r="M772" s="12"/>
      <c r="N772" s="12"/>
      <c r="O772" s="308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4"/>
      <c r="BE772" s="12"/>
      <c r="BF772" s="12"/>
      <c r="BG772" s="12" t="str">
        <f>IFERROR(__xludf.DUMMYFUNCTION("IFERROR(INDEX(QUERY(IMPORTRANGE(""1T7HG8KEs-Ob7f3M5atEVN9Yn7IeORGp0QGvggB62ELw"",""Maestro!A:I""),""SELECT Col8 WHERE Col3 = '""&amp;BD772&amp;""'"", 0), 1, 1),""NO ENCONTRADO"")"),"")</f>
        <v/>
      </c>
      <c r="BH772" s="12" t="str">
        <f>IFERROR(__xludf.DUMMYFUNCTION("IFERROR(INDEX(QUERY(IMPORTRANGE(""1T7HG8KEs-Ob7f3M5atEVN9Yn7IeORGp0QGvggB62ELw"",""Maestro!A:I""),""SELECT Col7 WHERE Col3 = '""&amp;BD772&amp;""'"", 0), 1, 1),""NO ENCONTRADO"")"),"")</f>
        <v/>
      </c>
      <c r="BI772" s="16">
        <f t="shared" si="15"/>
        <v>0</v>
      </c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4"/>
      <c r="BW772" s="14"/>
      <c r="BX772" s="14"/>
      <c r="BY772" s="14"/>
      <c r="BZ772" s="14"/>
      <c r="CA772" s="14"/>
      <c r="CB772" s="14"/>
      <c r="CC772" s="14"/>
      <c r="CD772" s="14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</row>
    <row r="773">
      <c r="A773" s="12"/>
      <c r="B773" s="14"/>
      <c r="C773" s="14"/>
      <c r="D773" s="14"/>
      <c r="E773" s="12"/>
      <c r="F773" s="307"/>
      <c r="G773" s="307"/>
      <c r="H773" s="12"/>
      <c r="I773" s="30"/>
      <c r="J773" s="12"/>
      <c r="K773" s="12"/>
      <c r="L773" s="12"/>
      <c r="M773" s="12"/>
      <c r="N773" s="12"/>
      <c r="O773" s="308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4"/>
      <c r="BE773" s="12"/>
      <c r="BF773" s="12"/>
      <c r="BG773" s="12" t="str">
        <f>IFERROR(__xludf.DUMMYFUNCTION("IFERROR(INDEX(QUERY(IMPORTRANGE(""1T7HG8KEs-Ob7f3M5atEVN9Yn7IeORGp0QGvggB62ELw"",""Maestro!A:I""),""SELECT Col8 WHERE Col3 = '""&amp;BD773&amp;""'"", 0), 1, 1),""NO ENCONTRADO"")"),"")</f>
        <v/>
      </c>
      <c r="BH773" s="12" t="str">
        <f>IFERROR(__xludf.DUMMYFUNCTION("IFERROR(INDEX(QUERY(IMPORTRANGE(""1T7HG8KEs-Ob7f3M5atEVN9Yn7IeORGp0QGvggB62ELw"",""Maestro!A:I""),""SELECT Col7 WHERE Col3 = '""&amp;BD773&amp;""'"", 0), 1, 1),""NO ENCONTRADO"")"),"")</f>
        <v/>
      </c>
      <c r="BI773" s="16">
        <f t="shared" si="15"/>
        <v>0</v>
      </c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4"/>
      <c r="BW773" s="14"/>
      <c r="BX773" s="14"/>
      <c r="BY773" s="14"/>
      <c r="BZ773" s="14"/>
      <c r="CA773" s="14"/>
      <c r="CB773" s="14"/>
      <c r="CC773" s="14"/>
      <c r="CD773" s="14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</row>
    <row r="774">
      <c r="A774" s="12"/>
      <c r="B774" s="14"/>
      <c r="C774" s="14"/>
      <c r="D774" s="14"/>
      <c r="E774" s="12"/>
      <c r="F774" s="307"/>
      <c r="G774" s="307"/>
      <c r="H774" s="12"/>
      <c r="I774" s="30"/>
      <c r="J774" s="12"/>
      <c r="K774" s="12"/>
      <c r="L774" s="12"/>
      <c r="M774" s="12"/>
      <c r="N774" s="12"/>
      <c r="O774" s="308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4"/>
      <c r="BE774" s="12"/>
      <c r="BF774" s="12"/>
      <c r="BG774" s="12" t="str">
        <f>IFERROR(__xludf.DUMMYFUNCTION("IFERROR(INDEX(QUERY(IMPORTRANGE(""1T7HG8KEs-Ob7f3M5atEVN9Yn7IeORGp0QGvggB62ELw"",""Maestro!A:I""),""SELECT Col8 WHERE Col3 = '""&amp;BD774&amp;""'"", 0), 1, 1),""NO ENCONTRADO"")"),"")</f>
        <v/>
      </c>
      <c r="BH774" s="12" t="str">
        <f>IFERROR(__xludf.DUMMYFUNCTION("IFERROR(INDEX(QUERY(IMPORTRANGE(""1T7HG8KEs-Ob7f3M5atEVN9Yn7IeORGp0QGvggB62ELw"",""Maestro!A:I""),""SELECT Col7 WHERE Col3 = '""&amp;BD774&amp;""'"", 0), 1, 1),""NO ENCONTRADO"")"),"")</f>
        <v/>
      </c>
      <c r="BI774" s="16">
        <f t="shared" si="15"/>
        <v>0</v>
      </c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4"/>
      <c r="BW774" s="14"/>
      <c r="BX774" s="14"/>
      <c r="BY774" s="14"/>
      <c r="BZ774" s="14"/>
      <c r="CA774" s="14"/>
      <c r="CB774" s="14"/>
      <c r="CC774" s="14"/>
      <c r="CD774" s="14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</row>
    <row r="775">
      <c r="A775" s="12"/>
      <c r="B775" s="14"/>
      <c r="C775" s="14"/>
      <c r="D775" s="14"/>
      <c r="E775" s="12"/>
      <c r="F775" s="307"/>
      <c r="G775" s="307"/>
      <c r="H775" s="12"/>
      <c r="I775" s="30"/>
      <c r="J775" s="12"/>
      <c r="K775" s="12"/>
      <c r="L775" s="12"/>
      <c r="M775" s="12"/>
      <c r="N775" s="12"/>
      <c r="O775" s="308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4"/>
      <c r="BE775" s="12"/>
      <c r="BF775" s="12"/>
      <c r="BG775" s="12" t="str">
        <f>IFERROR(__xludf.DUMMYFUNCTION("IFERROR(INDEX(QUERY(IMPORTRANGE(""1T7HG8KEs-Ob7f3M5atEVN9Yn7IeORGp0QGvggB62ELw"",""Maestro!A:I""),""SELECT Col8 WHERE Col3 = '""&amp;BD775&amp;""'"", 0), 1, 1),""NO ENCONTRADO"")"),"")</f>
        <v/>
      </c>
      <c r="BH775" s="12" t="str">
        <f>IFERROR(__xludf.DUMMYFUNCTION("IFERROR(INDEX(QUERY(IMPORTRANGE(""1T7HG8KEs-Ob7f3M5atEVN9Yn7IeORGp0QGvggB62ELw"",""Maestro!A:I""),""SELECT Col7 WHERE Col3 = '""&amp;BD775&amp;""'"", 0), 1, 1),""NO ENCONTRADO"")"),"")</f>
        <v/>
      </c>
      <c r="BI775" s="16">
        <f t="shared" si="15"/>
        <v>0</v>
      </c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4"/>
      <c r="BW775" s="14"/>
      <c r="BX775" s="14"/>
      <c r="BY775" s="14"/>
      <c r="BZ775" s="14"/>
      <c r="CA775" s="14"/>
      <c r="CB775" s="14"/>
      <c r="CC775" s="14"/>
      <c r="CD775" s="14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</row>
    <row r="776">
      <c r="A776" s="12"/>
      <c r="B776" s="14"/>
      <c r="C776" s="14"/>
      <c r="D776" s="14"/>
      <c r="E776" s="12"/>
      <c r="F776" s="307"/>
      <c r="G776" s="307"/>
      <c r="H776" s="12"/>
      <c r="I776" s="30"/>
      <c r="J776" s="12"/>
      <c r="K776" s="12"/>
      <c r="L776" s="12"/>
      <c r="M776" s="12"/>
      <c r="N776" s="12"/>
      <c r="O776" s="308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4"/>
      <c r="BE776" s="12"/>
      <c r="BF776" s="12"/>
      <c r="BG776" s="12" t="str">
        <f>IFERROR(__xludf.DUMMYFUNCTION("IFERROR(INDEX(QUERY(IMPORTRANGE(""1T7HG8KEs-Ob7f3M5atEVN9Yn7IeORGp0QGvggB62ELw"",""Maestro!A:I""),""SELECT Col8 WHERE Col3 = '""&amp;BD776&amp;""'"", 0), 1, 1),""NO ENCONTRADO"")"),"")</f>
        <v/>
      </c>
      <c r="BH776" s="12" t="str">
        <f>IFERROR(__xludf.DUMMYFUNCTION("IFERROR(INDEX(QUERY(IMPORTRANGE(""1T7HG8KEs-Ob7f3M5atEVN9Yn7IeORGp0QGvggB62ELw"",""Maestro!A:I""),""SELECT Col7 WHERE Col3 = '""&amp;BD776&amp;""'"", 0), 1, 1),""NO ENCONTRADO"")"),"")</f>
        <v/>
      </c>
      <c r="BI776" s="16">
        <f t="shared" si="15"/>
        <v>0</v>
      </c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4"/>
      <c r="BW776" s="14"/>
      <c r="BX776" s="14"/>
      <c r="BY776" s="14"/>
      <c r="BZ776" s="14"/>
      <c r="CA776" s="14"/>
      <c r="CB776" s="14"/>
      <c r="CC776" s="14"/>
      <c r="CD776" s="14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</row>
    <row r="777">
      <c r="A777" s="12"/>
      <c r="B777" s="14"/>
      <c r="C777" s="14"/>
      <c r="D777" s="14"/>
      <c r="E777" s="12"/>
      <c r="F777" s="307"/>
      <c r="G777" s="307"/>
      <c r="H777" s="12"/>
      <c r="I777" s="30"/>
      <c r="J777" s="12"/>
      <c r="K777" s="12"/>
      <c r="L777" s="12"/>
      <c r="M777" s="12"/>
      <c r="N777" s="12"/>
      <c r="O777" s="308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4"/>
      <c r="BE777" s="12"/>
      <c r="BF777" s="12"/>
      <c r="BG777" s="12" t="str">
        <f>IFERROR(__xludf.DUMMYFUNCTION("IFERROR(INDEX(QUERY(IMPORTRANGE(""1T7HG8KEs-Ob7f3M5atEVN9Yn7IeORGp0QGvggB62ELw"",""Maestro!A:I""),""SELECT Col8 WHERE Col3 = '""&amp;BD777&amp;""'"", 0), 1, 1),""NO ENCONTRADO"")"),"")</f>
        <v/>
      </c>
      <c r="BH777" s="12" t="str">
        <f>IFERROR(__xludf.DUMMYFUNCTION("IFERROR(INDEX(QUERY(IMPORTRANGE(""1T7HG8KEs-Ob7f3M5atEVN9Yn7IeORGp0QGvggB62ELw"",""Maestro!A:I""),""SELECT Col7 WHERE Col3 = '""&amp;BD777&amp;""'"", 0), 1, 1),""NO ENCONTRADO"")"),"")</f>
        <v/>
      </c>
      <c r="BI777" s="16">
        <f t="shared" si="15"/>
        <v>0</v>
      </c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4"/>
      <c r="BW777" s="14"/>
      <c r="BX777" s="14"/>
      <c r="BY777" s="14"/>
      <c r="BZ777" s="14"/>
      <c r="CA777" s="14"/>
      <c r="CB777" s="14"/>
      <c r="CC777" s="14"/>
      <c r="CD777" s="14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</row>
    <row r="778">
      <c r="A778" s="12"/>
      <c r="B778" s="14"/>
      <c r="C778" s="14"/>
      <c r="D778" s="14"/>
      <c r="E778" s="12"/>
      <c r="F778" s="307"/>
      <c r="G778" s="307"/>
      <c r="H778" s="12"/>
      <c r="I778" s="30"/>
      <c r="J778" s="12"/>
      <c r="K778" s="12"/>
      <c r="L778" s="12"/>
      <c r="M778" s="12"/>
      <c r="N778" s="12"/>
      <c r="O778" s="308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4"/>
      <c r="BE778" s="12"/>
      <c r="BF778" s="12"/>
      <c r="BG778" s="12" t="str">
        <f>IFERROR(__xludf.DUMMYFUNCTION("IFERROR(INDEX(QUERY(IMPORTRANGE(""1T7HG8KEs-Ob7f3M5atEVN9Yn7IeORGp0QGvggB62ELw"",""Maestro!A:I""),""SELECT Col8 WHERE Col3 = '""&amp;BD778&amp;""'"", 0), 1, 1),""NO ENCONTRADO"")"),"")</f>
        <v/>
      </c>
      <c r="BH778" s="12" t="str">
        <f>IFERROR(__xludf.DUMMYFUNCTION("IFERROR(INDEX(QUERY(IMPORTRANGE(""1T7HG8KEs-Ob7f3M5atEVN9Yn7IeORGp0QGvggB62ELw"",""Maestro!A:I""),""SELECT Col7 WHERE Col3 = '""&amp;BD778&amp;""'"", 0), 1, 1),""NO ENCONTRADO"")"),"")</f>
        <v/>
      </c>
      <c r="BI778" s="16">
        <f t="shared" si="15"/>
        <v>0</v>
      </c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4"/>
      <c r="BW778" s="14"/>
      <c r="BX778" s="14"/>
      <c r="BY778" s="14"/>
      <c r="BZ778" s="14"/>
      <c r="CA778" s="14"/>
      <c r="CB778" s="14"/>
      <c r="CC778" s="14"/>
      <c r="CD778" s="14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</row>
    <row r="779">
      <c r="A779" s="12"/>
      <c r="B779" s="14"/>
      <c r="C779" s="14"/>
      <c r="D779" s="14"/>
      <c r="E779" s="12"/>
      <c r="F779" s="307"/>
      <c r="G779" s="307"/>
      <c r="H779" s="12"/>
      <c r="I779" s="30"/>
      <c r="J779" s="12"/>
      <c r="K779" s="12"/>
      <c r="L779" s="12"/>
      <c r="M779" s="12"/>
      <c r="N779" s="12"/>
      <c r="O779" s="308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4"/>
      <c r="BE779" s="12"/>
      <c r="BF779" s="12"/>
      <c r="BG779" s="12" t="str">
        <f>IFERROR(__xludf.DUMMYFUNCTION("IFERROR(INDEX(QUERY(IMPORTRANGE(""1T7HG8KEs-Ob7f3M5atEVN9Yn7IeORGp0QGvggB62ELw"",""Maestro!A:I""),""SELECT Col8 WHERE Col3 = '""&amp;BD779&amp;""'"", 0), 1, 1),""NO ENCONTRADO"")"),"")</f>
        <v/>
      </c>
      <c r="BH779" s="12" t="str">
        <f>IFERROR(__xludf.DUMMYFUNCTION("IFERROR(INDEX(QUERY(IMPORTRANGE(""1T7HG8KEs-Ob7f3M5atEVN9Yn7IeORGp0QGvggB62ELw"",""Maestro!A:I""),""SELECT Col7 WHERE Col3 = '""&amp;BD779&amp;""'"", 0), 1, 1),""NO ENCONTRADO"")"),"")</f>
        <v/>
      </c>
      <c r="BI779" s="16">
        <f t="shared" si="15"/>
        <v>0</v>
      </c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4"/>
      <c r="BW779" s="14"/>
      <c r="BX779" s="14"/>
      <c r="BY779" s="14"/>
      <c r="BZ779" s="14"/>
      <c r="CA779" s="14"/>
      <c r="CB779" s="14"/>
      <c r="CC779" s="14"/>
      <c r="CD779" s="14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</row>
    <row r="780">
      <c r="A780" s="12"/>
      <c r="B780" s="14"/>
      <c r="C780" s="14"/>
      <c r="D780" s="14"/>
      <c r="E780" s="12"/>
      <c r="F780" s="307"/>
      <c r="G780" s="307"/>
      <c r="H780" s="12"/>
      <c r="I780" s="30"/>
      <c r="J780" s="12"/>
      <c r="K780" s="12"/>
      <c r="L780" s="12"/>
      <c r="M780" s="12"/>
      <c r="N780" s="12"/>
      <c r="O780" s="308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4"/>
      <c r="BE780" s="12"/>
      <c r="BF780" s="12"/>
      <c r="BG780" s="12" t="str">
        <f>IFERROR(__xludf.DUMMYFUNCTION("IFERROR(INDEX(QUERY(IMPORTRANGE(""1T7HG8KEs-Ob7f3M5atEVN9Yn7IeORGp0QGvggB62ELw"",""Maestro!A:I""),""SELECT Col8 WHERE Col3 = '""&amp;BD780&amp;""'"", 0), 1, 1),""NO ENCONTRADO"")"),"")</f>
        <v/>
      </c>
      <c r="BH780" s="12" t="str">
        <f>IFERROR(__xludf.DUMMYFUNCTION("IFERROR(INDEX(QUERY(IMPORTRANGE(""1T7HG8KEs-Ob7f3M5atEVN9Yn7IeORGp0QGvggB62ELw"",""Maestro!A:I""),""SELECT Col7 WHERE Col3 = '""&amp;BD780&amp;""'"", 0), 1, 1),""NO ENCONTRADO"")"),"")</f>
        <v/>
      </c>
      <c r="BI780" s="16">
        <f t="shared" si="15"/>
        <v>0</v>
      </c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4"/>
      <c r="BW780" s="14"/>
      <c r="BX780" s="14"/>
      <c r="BY780" s="14"/>
      <c r="BZ780" s="14"/>
      <c r="CA780" s="14"/>
      <c r="CB780" s="14"/>
      <c r="CC780" s="14"/>
      <c r="CD780" s="14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</row>
    <row r="781">
      <c r="A781" s="12"/>
      <c r="B781" s="14"/>
      <c r="C781" s="14"/>
      <c r="D781" s="14"/>
      <c r="E781" s="12"/>
      <c r="F781" s="307"/>
      <c r="G781" s="307"/>
      <c r="H781" s="12"/>
      <c r="I781" s="30"/>
      <c r="J781" s="12"/>
      <c r="K781" s="12"/>
      <c r="L781" s="12"/>
      <c r="M781" s="12"/>
      <c r="N781" s="12"/>
      <c r="O781" s="308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4"/>
      <c r="BE781" s="12"/>
      <c r="BF781" s="12"/>
      <c r="BG781" s="12" t="str">
        <f>IFERROR(__xludf.DUMMYFUNCTION("IFERROR(INDEX(QUERY(IMPORTRANGE(""1T7HG8KEs-Ob7f3M5atEVN9Yn7IeORGp0QGvggB62ELw"",""Maestro!A:I""),""SELECT Col8 WHERE Col3 = '""&amp;BD781&amp;""'"", 0), 1, 1),""NO ENCONTRADO"")"),"")</f>
        <v/>
      </c>
      <c r="BH781" s="12" t="str">
        <f>IFERROR(__xludf.DUMMYFUNCTION("IFERROR(INDEX(QUERY(IMPORTRANGE(""1T7HG8KEs-Ob7f3M5atEVN9Yn7IeORGp0QGvggB62ELw"",""Maestro!A:I""),""SELECT Col7 WHERE Col3 = '""&amp;BD781&amp;""'"", 0), 1, 1),""NO ENCONTRADO"")"),"")</f>
        <v/>
      </c>
      <c r="BI781" s="16">
        <f t="shared" si="15"/>
        <v>0</v>
      </c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4"/>
      <c r="BW781" s="14"/>
      <c r="BX781" s="14"/>
      <c r="BY781" s="14"/>
      <c r="BZ781" s="14"/>
      <c r="CA781" s="14"/>
      <c r="CB781" s="14"/>
      <c r="CC781" s="14"/>
      <c r="CD781" s="14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</row>
    <row r="782">
      <c r="A782" s="12"/>
      <c r="B782" s="14"/>
      <c r="C782" s="14"/>
      <c r="D782" s="14"/>
      <c r="E782" s="12"/>
      <c r="F782" s="307"/>
      <c r="G782" s="307"/>
      <c r="H782" s="12"/>
      <c r="I782" s="30"/>
      <c r="J782" s="12"/>
      <c r="K782" s="12"/>
      <c r="L782" s="12"/>
      <c r="M782" s="12"/>
      <c r="N782" s="12"/>
      <c r="O782" s="308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4"/>
      <c r="BE782" s="12"/>
      <c r="BF782" s="12"/>
      <c r="BG782" s="12" t="str">
        <f>IFERROR(__xludf.DUMMYFUNCTION("IFERROR(INDEX(QUERY(IMPORTRANGE(""1T7HG8KEs-Ob7f3M5atEVN9Yn7IeORGp0QGvggB62ELw"",""Maestro!A:I""),""SELECT Col8 WHERE Col3 = '""&amp;BD782&amp;""'"", 0), 1, 1),""NO ENCONTRADO"")"),"")</f>
        <v/>
      </c>
      <c r="BH782" s="12" t="str">
        <f>IFERROR(__xludf.DUMMYFUNCTION("IFERROR(INDEX(QUERY(IMPORTRANGE(""1T7HG8KEs-Ob7f3M5atEVN9Yn7IeORGp0QGvggB62ELw"",""Maestro!A:I""),""SELECT Col7 WHERE Col3 = '""&amp;BD782&amp;""'"", 0), 1, 1),""NO ENCONTRADO"")"),"")</f>
        <v/>
      </c>
      <c r="BI782" s="16">
        <f t="shared" si="15"/>
        <v>0</v>
      </c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4"/>
      <c r="BW782" s="14"/>
      <c r="BX782" s="14"/>
      <c r="BY782" s="14"/>
      <c r="BZ782" s="14"/>
      <c r="CA782" s="14"/>
      <c r="CB782" s="14"/>
      <c r="CC782" s="14"/>
      <c r="CD782" s="14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</row>
    <row r="783">
      <c r="A783" s="12"/>
      <c r="B783" s="14"/>
      <c r="C783" s="14"/>
      <c r="D783" s="14"/>
      <c r="E783" s="12"/>
      <c r="F783" s="307"/>
      <c r="G783" s="307"/>
      <c r="H783" s="12"/>
      <c r="I783" s="30"/>
      <c r="J783" s="12"/>
      <c r="K783" s="12"/>
      <c r="L783" s="12"/>
      <c r="M783" s="12"/>
      <c r="N783" s="12"/>
      <c r="O783" s="308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4"/>
      <c r="BE783" s="12"/>
      <c r="BF783" s="12"/>
      <c r="BG783" s="12" t="str">
        <f>IFERROR(__xludf.DUMMYFUNCTION("IFERROR(INDEX(QUERY(IMPORTRANGE(""1T7HG8KEs-Ob7f3M5atEVN9Yn7IeORGp0QGvggB62ELw"",""Maestro!A:I""),""SELECT Col8 WHERE Col3 = '""&amp;BD783&amp;""'"", 0), 1, 1),""NO ENCONTRADO"")"),"")</f>
        <v/>
      </c>
      <c r="BH783" s="12" t="str">
        <f>IFERROR(__xludf.DUMMYFUNCTION("IFERROR(INDEX(QUERY(IMPORTRANGE(""1T7HG8KEs-Ob7f3M5atEVN9Yn7IeORGp0QGvggB62ELw"",""Maestro!A:I""),""SELECT Col7 WHERE Col3 = '""&amp;BD783&amp;""'"", 0), 1, 1),""NO ENCONTRADO"")"),"")</f>
        <v/>
      </c>
      <c r="BI783" s="16">
        <f t="shared" si="15"/>
        <v>0</v>
      </c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4"/>
      <c r="BW783" s="14"/>
      <c r="BX783" s="14"/>
      <c r="BY783" s="14"/>
      <c r="BZ783" s="14"/>
      <c r="CA783" s="14"/>
      <c r="CB783" s="14"/>
      <c r="CC783" s="14"/>
      <c r="CD783" s="14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</row>
    <row r="784">
      <c r="A784" s="12"/>
      <c r="B784" s="14"/>
      <c r="C784" s="14"/>
      <c r="D784" s="14"/>
      <c r="E784" s="12"/>
      <c r="F784" s="307"/>
      <c r="G784" s="307"/>
      <c r="H784" s="12"/>
      <c r="I784" s="30"/>
      <c r="J784" s="12"/>
      <c r="K784" s="12"/>
      <c r="L784" s="12"/>
      <c r="M784" s="12"/>
      <c r="N784" s="12"/>
      <c r="O784" s="308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4"/>
      <c r="BE784" s="12"/>
      <c r="BF784" s="12"/>
      <c r="BG784" s="12" t="str">
        <f>IFERROR(__xludf.DUMMYFUNCTION("IFERROR(INDEX(QUERY(IMPORTRANGE(""1T7HG8KEs-Ob7f3M5atEVN9Yn7IeORGp0QGvggB62ELw"",""Maestro!A:I""),""SELECT Col8 WHERE Col3 = '""&amp;BD784&amp;""'"", 0), 1, 1),""NO ENCONTRADO"")"),"")</f>
        <v/>
      </c>
      <c r="BH784" s="12" t="str">
        <f>IFERROR(__xludf.DUMMYFUNCTION("IFERROR(INDEX(QUERY(IMPORTRANGE(""1T7HG8KEs-Ob7f3M5atEVN9Yn7IeORGp0QGvggB62ELw"",""Maestro!A:I""),""SELECT Col7 WHERE Col3 = '""&amp;BD784&amp;""'"", 0), 1, 1),""NO ENCONTRADO"")"),"")</f>
        <v/>
      </c>
      <c r="BI784" s="16">
        <f t="shared" si="15"/>
        <v>0</v>
      </c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4"/>
      <c r="BW784" s="14"/>
      <c r="BX784" s="14"/>
      <c r="BY784" s="14"/>
      <c r="BZ784" s="14"/>
      <c r="CA784" s="14"/>
      <c r="CB784" s="14"/>
      <c r="CC784" s="14"/>
      <c r="CD784" s="14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</row>
    <row r="785">
      <c r="A785" s="12"/>
      <c r="B785" s="14"/>
      <c r="C785" s="14"/>
      <c r="D785" s="14"/>
      <c r="E785" s="12"/>
      <c r="F785" s="307"/>
      <c r="G785" s="307"/>
      <c r="H785" s="12"/>
      <c r="I785" s="30"/>
      <c r="J785" s="12"/>
      <c r="K785" s="12"/>
      <c r="L785" s="12"/>
      <c r="M785" s="12"/>
      <c r="N785" s="12"/>
      <c r="O785" s="308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4"/>
      <c r="BE785" s="12"/>
      <c r="BF785" s="12"/>
      <c r="BG785" s="12" t="str">
        <f>IFERROR(__xludf.DUMMYFUNCTION("IFERROR(INDEX(QUERY(IMPORTRANGE(""1T7HG8KEs-Ob7f3M5atEVN9Yn7IeORGp0QGvggB62ELw"",""Maestro!A:I""),""SELECT Col8 WHERE Col3 = '""&amp;BD785&amp;""'"", 0), 1, 1),""NO ENCONTRADO"")"),"")</f>
        <v/>
      </c>
      <c r="BH785" s="12" t="str">
        <f>IFERROR(__xludf.DUMMYFUNCTION("IFERROR(INDEX(QUERY(IMPORTRANGE(""1T7HG8KEs-Ob7f3M5atEVN9Yn7IeORGp0QGvggB62ELw"",""Maestro!A:I""),""SELECT Col7 WHERE Col3 = '""&amp;BD785&amp;""'"", 0), 1, 1),""NO ENCONTRADO"")"),"")</f>
        <v/>
      </c>
      <c r="BI785" s="16">
        <f t="shared" si="15"/>
        <v>0</v>
      </c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4"/>
      <c r="BW785" s="14"/>
      <c r="BX785" s="14"/>
      <c r="BY785" s="14"/>
      <c r="BZ785" s="14"/>
      <c r="CA785" s="14"/>
      <c r="CB785" s="14"/>
      <c r="CC785" s="14"/>
      <c r="CD785" s="14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</row>
    <row r="786">
      <c r="A786" s="12"/>
      <c r="B786" s="14"/>
      <c r="C786" s="14"/>
      <c r="D786" s="14"/>
      <c r="E786" s="12"/>
      <c r="F786" s="307"/>
      <c r="G786" s="307"/>
      <c r="H786" s="12"/>
      <c r="I786" s="30"/>
      <c r="J786" s="12"/>
      <c r="K786" s="12"/>
      <c r="L786" s="12"/>
      <c r="M786" s="12"/>
      <c r="N786" s="12"/>
      <c r="O786" s="308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4"/>
      <c r="BE786" s="12"/>
      <c r="BF786" s="12"/>
      <c r="BG786" s="12" t="str">
        <f>IFERROR(__xludf.DUMMYFUNCTION("IFERROR(INDEX(QUERY(IMPORTRANGE(""1T7HG8KEs-Ob7f3M5atEVN9Yn7IeORGp0QGvggB62ELw"",""Maestro!A:I""),""SELECT Col8 WHERE Col3 = '""&amp;BD786&amp;""'"", 0), 1, 1),""NO ENCONTRADO"")"),"")</f>
        <v/>
      </c>
      <c r="BH786" s="12" t="str">
        <f>IFERROR(__xludf.DUMMYFUNCTION("IFERROR(INDEX(QUERY(IMPORTRANGE(""1T7HG8KEs-Ob7f3M5atEVN9Yn7IeORGp0QGvggB62ELw"",""Maestro!A:I""),""SELECT Col7 WHERE Col3 = '""&amp;BD786&amp;""'"", 0), 1, 1),""NO ENCONTRADO"")"),"")</f>
        <v/>
      </c>
      <c r="BI786" s="16">
        <f t="shared" si="15"/>
        <v>0</v>
      </c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4"/>
      <c r="BW786" s="14"/>
      <c r="BX786" s="14"/>
      <c r="BY786" s="14"/>
      <c r="BZ786" s="14"/>
      <c r="CA786" s="14"/>
      <c r="CB786" s="14"/>
      <c r="CC786" s="14"/>
      <c r="CD786" s="14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</row>
    <row r="787">
      <c r="A787" s="12"/>
      <c r="B787" s="14"/>
      <c r="C787" s="14"/>
      <c r="D787" s="14"/>
      <c r="E787" s="12"/>
      <c r="F787" s="307"/>
      <c r="G787" s="307"/>
      <c r="H787" s="12"/>
      <c r="I787" s="30"/>
      <c r="J787" s="12"/>
      <c r="K787" s="12"/>
      <c r="L787" s="12"/>
      <c r="M787" s="12"/>
      <c r="N787" s="12"/>
      <c r="O787" s="308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4"/>
      <c r="BE787" s="12"/>
      <c r="BF787" s="12"/>
      <c r="BG787" s="12" t="str">
        <f>IFERROR(__xludf.DUMMYFUNCTION("IFERROR(INDEX(QUERY(IMPORTRANGE(""1T7HG8KEs-Ob7f3M5atEVN9Yn7IeORGp0QGvggB62ELw"",""Maestro!A:I""),""SELECT Col8 WHERE Col3 = '""&amp;BD787&amp;""'"", 0), 1, 1),""NO ENCONTRADO"")"),"")</f>
        <v/>
      </c>
      <c r="BH787" s="12" t="str">
        <f>IFERROR(__xludf.DUMMYFUNCTION("IFERROR(INDEX(QUERY(IMPORTRANGE(""1T7HG8KEs-Ob7f3M5atEVN9Yn7IeORGp0QGvggB62ELw"",""Maestro!A:I""),""SELECT Col7 WHERE Col3 = '""&amp;BD787&amp;""'"", 0), 1, 1),""NO ENCONTRADO"")"),"")</f>
        <v/>
      </c>
      <c r="BI787" s="16">
        <f t="shared" si="15"/>
        <v>0</v>
      </c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4"/>
      <c r="BW787" s="14"/>
      <c r="BX787" s="14"/>
      <c r="BY787" s="14"/>
      <c r="BZ787" s="14"/>
      <c r="CA787" s="14"/>
      <c r="CB787" s="14"/>
      <c r="CC787" s="14"/>
      <c r="CD787" s="14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</row>
    <row r="788">
      <c r="A788" s="12"/>
      <c r="B788" s="14"/>
      <c r="C788" s="14"/>
      <c r="D788" s="14"/>
      <c r="E788" s="12"/>
      <c r="F788" s="307"/>
      <c r="G788" s="307"/>
      <c r="H788" s="12"/>
      <c r="I788" s="30"/>
      <c r="J788" s="12"/>
      <c r="K788" s="12"/>
      <c r="L788" s="12"/>
      <c r="M788" s="12"/>
      <c r="N788" s="12"/>
      <c r="O788" s="308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4"/>
      <c r="BE788" s="12"/>
      <c r="BF788" s="12"/>
      <c r="BG788" s="12" t="str">
        <f>IFERROR(__xludf.DUMMYFUNCTION("IFERROR(INDEX(QUERY(IMPORTRANGE(""1T7HG8KEs-Ob7f3M5atEVN9Yn7IeORGp0QGvggB62ELw"",""Maestro!A:I""),""SELECT Col8 WHERE Col3 = '""&amp;BD788&amp;""'"", 0), 1, 1),""NO ENCONTRADO"")"),"")</f>
        <v/>
      </c>
      <c r="BH788" s="12" t="str">
        <f>IFERROR(__xludf.DUMMYFUNCTION("IFERROR(INDEX(QUERY(IMPORTRANGE(""1T7HG8KEs-Ob7f3M5atEVN9Yn7IeORGp0QGvggB62ELw"",""Maestro!A:I""),""SELECT Col7 WHERE Col3 = '""&amp;BD788&amp;""'"", 0), 1, 1),""NO ENCONTRADO"")"),"")</f>
        <v/>
      </c>
      <c r="BI788" s="16">
        <f t="shared" si="15"/>
        <v>0</v>
      </c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4"/>
      <c r="BW788" s="14"/>
      <c r="BX788" s="14"/>
      <c r="BY788" s="14"/>
      <c r="BZ788" s="14"/>
      <c r="CA788" s="14"/>
      <c r="CB788" s="14"/>
      <c r="CC788" s="14"/>
      <c r="CD788" s="14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</row>
    <row r="789">
      <c r="A789" s="12"/>
      <c r="B789" s="14"/>
      <c r="C789" s="14"/>
      <c r="D789" s="14"/>
      <c r="E789" s="12"/>
      <c r="F789" s="307"/>
      <c r="G789" s="307"/>
      <c r="H789" s="12"/>
      <c r="I789" s="30"/>
      <c r="J789" s="12"/>
      <c r="K789" s="12"/>
      <c r="L789" s="12"/>
      <c r="M789" s="12"/>
      <c r="N789" s="12"/>
      <c r="O789" s="308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4"/>
      <c r="BE789" s="12"/>
      <c r="BF789" s="12"/>
      <c r="BG789" s="12" t="str">
        <f>IFERROR(__xludf.DUMMYFUNCTION("IFERROR(INDEX(QUERY(IMPORTRANGE(""1T7HG8KEs-Ob7f3M5atEVN9Yn7IeORGp0QGvggB62ELw"",""Maestro!A:I""),""SELECT Col8 WHERE Col3 = '""&amp;BD789&amp;""'"", 0), 1, 1),""NO ENCONTRADO"")"),"")</f>
        <v/>
      </c>
      <c r="BH789" s="12" t="str">
        <f>IFERROR(__xludf.DUMMYFUNCTION("IFERROR(INDEX(QUERY(IMPORTRANGE(""1T7HG8KEs-Ob7f3M5atEVN9Yn7IeORGp0QGvggB62ELw"",""Maestro!A:I""),""SELECT Col7 WHERE Col3 = '""&amp;BD789&amp;""'"", 0), 1, 1),""NO ENCONTRADO"")"),"")</f>
        <v/>
      </c>
      <c r="BI789" s="16">
        <f t="shared" si="15"/>
        <v>0</v>
      </c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4"/>
      <c r="BW789" s="14"/>
      <c r="BX789" s="14"/>
      <c r="BY789" s="14"/>
      <c r="BZ789" s="14"/>
      <c r="CA789" s="14"/>
      <c r="CB789" s="14"/>
      <c r="CC789" s="14"/>
      <c r="CD789" s="14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</row>
    <row r="790">
      <c r="A790" s="12"/>
      <c r="B790" s="14"/>
      <c r="C790" s="14"/>
      <c r="D790" s="14"/>
      <c r="E790" s="12"/>
      <c r="F790" s="307"/>
      <c r="G790" s="307"/>
      <c r="H790" s="12"/>
      <c r="I790" s="30"/>
      <c r="J790" s="12"/>
      <c r="K790" s="12"/>
      <c r="L790" s="12"/>
      <c r="M790" s="12"/>
      <c r="N790" s="12"/>
      <c r="O790" s="308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4"/>
      <c r="BE790" s="12"/>
      <c r="BF790" s="12"/>
      <c r="BG790" s="12" t="str">
        <f>IFERROR(__xludf.DUMMYFUNCTION("IFERROR(INDEX(QUERY(IMPORTRANGE(""1T7HG8KEs-Ob7f3M5atEVN9Yn7IeORGp0QGvggB62ELw"",""Maestro!A:I""),""SELECT Col8 WHERE Col3 = '""&amp;BD790&amp;""'"", 0), 1, 1),""NO ENCONTRADO"")"),"")</f>
        <v/>
      </c>
      <c r="BH790" s="12" t="str">
        <f>IFERROR(__xludf.DUMMYFUNCTION("IFERROR(INDEX(QUERY(IMPORTRANGE(""1T7HG8KEs-Ob7f3M5atEVN9Yn7IeORGp0QGvggB62ELw"",""Maestro!A:I""),""SELECT Col7 WHERE Col3 = '""&amp;BD790&amp;""'"", 0), 1, 1),""NO ENCONTRADO"")"),"")</f>
        <v/>
      </c>
      <c r="BI790" s="16">
        <f t="shared" si="15"/>
        <v>0</v>
      </c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4"/>
      <c r="BW790" s="14"/>
      <c r="BX790" s="14"/>
      <c r="BY790" s="14"/>
      <c r="BZ790" s="14"/>
      <c r="CA790" s="14"/>
      <c r="CB790" s="14"/>
      <c r="CC790" s="14"/>
      <c r="CD790" s="14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</row>
    <row r="791">
      <c r="A791" s="12"/>
      <c r="B791" s="14"/>
      <c r="C791" s="14"/>
      <c r="D791" s="14"/>
      <c r="E791" s="12"/>
      <c r="F791" s="307"/>
      <c r="G791" s="307"/>
      <c r="H791" s="12"/>
      <c r="I791" s="30"/>
      <c r="J791" s="12"/>
      <c r="K791" s="12"/>
      <c r="L791" s="12"/>
      <c r="M791" s="12"/>
      <c r="N791" s="12"/>
      <c r="O791" s="308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4"/>
      <c r="BE791" s="12"/>
      <c r="BF791" s="12"/>
      <c r="BG791" s="12" t="str">
        <f>IFERROR(__xludf.DUMMYFUNCTION("IFERROR(INDEX(QUERY(IMPORTRANGE(""1T7HG8KEs-Ob7f3M5atEVN9Yn7IeORGp0QGvggB62ELw"",""Maestro!A:I""),""SELECT Col8 WHERE Col3 = '""&amp;BD791&amp;""'"", 0), 1, 1),""NO ENCONTRADO"")"),"")</f>
        <v/>
      </c>
      <c r="BH791" s="12" t="str">
        <f>IFERROR(__xludf.DUMMYFUNCTION("IFERROR(INDEX(QUERY(IMPORTRANGE(""1T7HG8KEs-Ob7f3M5atEVN9Yn7IeORGp0QGvggB62ELw"",""Maestro!A:I""),""SELECT Col7 WHERE Col3 = '""&amp;BD791&amp;""'"", 0), 1, 1),""NO ENCONTRADO"")"),"")</f>
        <v/>
      </c>
      <c r="BI791" s="16">
        <f t="shared" si="15"/>
        <v>0</v>
      </c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4"/>
      <c r="BW791" s="14"/>
      <c r="BX791" s="14"/>
      <c r="BY791" s="14"/>
      <c r="BZ791" s="14"/>
      <c r="CA791" s="14"/>
      <c r="CB791" s="14"/>
      <c r="CC791" s="14"/>
      <c r="CD791" s="14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</row>
    <row r="792">
      <c r="A792" s="12"/>
      <c r="B792" s="14"/>
      <c r="C792" s="14"/>
      <c r="D792" s="14"/>
      <c r="E792" s="12"/>
      <c r="F792" s="307"/>
      <c r="G792" s="307"/>
      <c r="H792" s="12"/>
      <c r="I792" s="30"/>
      <c r="J792" s="12"/>
      <c r="K792" s="12"/>
      <c r="L792" s="12"/>
      <c r="M792" s="12"/>
      <c r="N792" s="12"/>
      <c r="O792" s="308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4"/>
      <c r="BE792" s="12"/>
      <c r="BF792" s="12"/>
      <c r="BG792" s="12" t="str">
        <f>IFERROR(__xludf.DUMMYFUNCTION("IFERROR(INDEX(QUERY(IMPORTRANGE(""1T7HG8KEs-Ob7f3M5atEVN9Yn7IeORGp0QGvggB62ELw"",""Maestro!A:I""),""SELECT Col8 WHERE Col3 = '""&amp;BD792&amp;""'"", 0), 1, 1),""NO ENCONTRADO"")"),"")</f>
        <v/>
      </c>
      <c r="BH792" s="12" t="str">
        <f>IFERROR(__xludf.DUMMYFUNCTION("IFERROR(INDEX(QUERY(IMPORTRANGE(""1T7HG8KEs-Ob7f3M5atEVN9Yn7IeORGp0QGvggB62ELw"",""Maestro!A:I""),""SELECT Col7 WHERE Col3 = '""&amp;BD792&amp;""'"", 0), 1, 1),""NO ENCONTRADO"")"),"")</f>
        <v/>
      </c>
      <c r="BI792" s="16">
        <f t="shared" si="15"/>
        <v>0</v>
      </c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4"/>
      <c r="BW792" s="14"/>
      <c r="BX792" s="14"/>
      <c r="BY792" s="14"/>
      <c r="BZ792" s="14"/>
      <c r="CA792" s="14"/>
      <c r="CB792" s="14"/>
      <c r="CC792" s="14"/>
      <c r="CD792" s="14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</row>
    <row r="793">
      <c r="A793" s="12"/>
      <c r="B793" s="14"/>
      <c r="C793" s="14"/>
      <c r="D793" s="14"/>
      <c r="E793" s="12"/>
      <c r="F793" s="307"/>
      <c r="G793" s="307"/>
      <c r="H793" s="12"/>
      <c r="I793" s="30"/>
      <c r="J793" s="12"/>
      <c r="K793" s="12"/>
      <c r="L793" s="12"/>
      <c r="M793" s="12"/>
      <c r="N793" s="12"/>
      <c r="O793" s="308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4"/>
      <c r="BE793" s="12"/>
      <c r="BF793" s="12"/>
      <c r="BG793" s="12" t="str">
        <f>IFERROR(__xludf.DUMMYFUNCTION("IFERROR(INDEX(QUERY(IMPORTRANGE(""1T7HG8KEs-Ob7f3M5atEVN9Yn7IeORGp0QGvggB62ELw"",""Maestro!A:I""),""SELECT Col8 WHERE Col3 = '""&amp;BD793&amp;""'"", 0), 1, 1),""NO ENCONTRADO"")"),"")</f>
        <v/>
      </c>
      <c r="BH793" s="12" t="str">
        <f>IFERROR(__xludf.DUMMYFUNCTION("IFERROR(INDEX(QUERY(IMPORTRANGE(""1T7HG8KEs-Ob7f3M5atEVN9Yn7IeORGp0QGvggB62ELw"",""Maestro!A:I""),""SELECT Col7 WHERE Col3 = '""&amp;BD793&amp;""'"", 0), 1, 1),""NO ENCONTRADO"")"),"")</f>
        <v/>
      </c>
      <c r="BI793" s="16">
        <f t="shared" si="15"/>
        <v>0</v>
      </c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4"/>
      <c r="BW793" s="14"/>
      <c r="BX793" s="14"/>
      <c r="BY793" s="14"/>
      <c r="BZ793" s="14"/>
      <c r="CA793" s="14"/>
      <c r="CB793" s="14"/>
      <c r="CC793" s="14"/>
      <c r="CD793" s="14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</row>
    <row r="794">
      <c r="A794" s="12"/>
      <c r="B794" s="14"/>
      <c r="C794" s="14"/>
      <c r="D794" s="14"/>
      <c r="E794" s="12"/>
      <c r="F794" s="307"/>
      <c r="G794" s="307"/>
      <c r="H794" s="12"/>
      <c r="I794" s="30"/>
      <c r="J794" s="12"/>
      <c r="K794" s="12"/>
      <c r="L794" s="12"/>
      <c r="M794" s="12"/>
      <c r="N794" s="12"/>
      <c r="O794" s="308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4"/>
      <c r="BE794" s="12"/>
      <c r="BF794" s="12"/>
      <c r="BG794" s="12" t="str">
        <f>IFERROR(__xludf.DUMMYFUNCTION("IFERROR(INDEX(QUERY(IMPORTRANGE(""1T7HG8KEs-Ob7f3M5atEVN9Yn7IeORGp0QGvggB62ELw"",""Maestro!A:I""),""SELECT Col8 WHERE Col3 = '""&amp;BD794&amp;""'"", 0), 1, 1),""NO ENCONTRADO"")"),"")</f>
        <v/>
      </c>
      <c r="BH794" s="12" t="str">
        <f>IFERROR(__xludf.DUMMYFUNCTION("IFERROR(INDEX(QUERY(IMPORTRANGE(""1T7HG8KEs-Ob7f3M5atEVN9Yn7IeORGp0QGvggB62ELw"",""Maestro!A:I""),""SELECT Col7 WHERE Col3 = '""&amp;BD794&amp;""'"", 0), 1, 1),""NO ENCONTRADO"")"),"")</f>
        <v/>
      </c>
      <c r="BI794" s="16">
        <f t="shared" si="15"/>
        <v>0</v>
      </c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4"/>
      <c r="BW794" s="14"/>
      <c r="BX794" s="14"/>
      <c r="BY794" s="14"/>
      <c r="BZ794" s="14"/>
      <c r="CA794" s="14"/>
      <c r="CB794" s="14"/>
      <c r="CC794" s="14"/>
      <c r="CD794" s="14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</row>
    <row r="795">
      <c r="A795" s="12"/>
      <c r="B795" s="14"/>
      <c r="C795" s="14"/>
      <c r="D795" s="14"/>
      <c r="E795" s="12"/>
      <c r="F795" s="307"/>
      <c r="G795" s="307"/>
      <c r="H795" s="12"/>
      <c r="I795" s="30"/>
      <c r="J795" s="12"/>
      <c r="K795" s="12"/>
      <c r="L795" s="12"/>
      <c r="M795" s="12"/>
      <c r="N795" s="12"/>
      <c r="O795" s="308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4"/>
      <c r="BE795" s="12"/>
      <c r="BF795" s="12"/>
      <c r="BG795" s="12" t="str">
        <f>IFERROR(__xludf.DUMMYFUNCTION("IFERROR(INDEX(QUERY(IMPORTRANGE(""1T7HG8KEs-Ob7f3M5atEVN9Yn7IeORGp0QGvggB62ELw"",""Maestro!A:I""),""SELECT Col8 WHERE Col3 = '""&amp;BD795&amp;""'"", 0), 1, 1),""NO ENCONTRADO"")"),"")</f>
        <v/>
      </c>
      <c r="BH795" s="12" t="str">
        <f>IFERROR(__xludf.DUMMYFUNCTION("IFERROR(INDEX(QUERY(IMPORTRANGE(""1T7HG8KEs-Ob7f3M5atEVN9Yn7IeORGp0QGvggB62ELw"",""Maestro!A:I""),""SELECT Col7 WHERE Col3 = '""&amp;BD795&amp;""'"", 0), 1, 1),""NO ENCONTRADO"")"),"")</f>
        <v/>
      </c>
      <c r="BI795" s="16">
        <f t="shared" si="15"/>
        <v>0</v>
      </c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4"/>
      <c r="BW795" s="14"/>
      <c r="BX795" s="14"/>
      <c r="BY795" s="14"/>
      <c r="BZ795" s="14"/>
      <c r="CA795" s="14"/>
      <c r="CB795" s="14"/>
      <c r="CC795" s="14"/>
      <c r="CD795" s="14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</row>
    <row r="796">
      <c r="A796" s="12"/>
      <c r="B796" s="14"/>
      <c r="C796" s="14"/>
      <c r="D796" s="14"/>
      <c r="E796" s="12"/>
      <c r="F796" s="307"/>
      <c r="G796" s="307"/>
      <c r="H796" s="12"/>
      <c r="I796" s="30"/>
      <c r="J796" s="12"/>
      <c r="K796" s="12"/>
      <c r="L796" s="12"/>
      <c r="M796" s="12"/>
      <c r="N796" s="12"/>
      <c r="O796" s="308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4"/>
      <c r="BE796" s="12"/>
      <c r="BF796" s="12"/>
      <c r="BG796" s="12" t="str">
        <f>IFERROR(__xludf.DUMMYFUNCTION("IFERROR(INDEX(QUERY(IMPORTRANGE(""1T7HG8KEs-Ob7f3M5atEVN9Yn7IeORGp0QGvggB62ELw"",""Maestro!A:I""),""SELECT Col8 WHERE Col3 = '""&amp;BD796&amp;""'"", 0), 1, 1),""NO ENCONTRADO"")"),"")</f>
        <v/>
      </c>
      <c r="BH796" s="12" t="str">
        <f>IFERROR(__xludf.DUMMYFUNCTION("IFERROR(INDEX(QUERY(IMPORTRANGE(""1T7HG8KEs-Ob7f3M5atEVN9Yn7IeORGp0QGvggB62ELw"",""Maestro!A:I""),""SELECT Col7 WHERE Col3 = '""&amp;BD796&amp;""'"", 0), 1, 1),""NO ENCONTRADO"")"),"")</f>
        <v/>
      </c>
      <c r="BI796" s="16">
        <f t="shared" si="15"/>
        <v>0</v>
      </c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4"/>
      <c r="BW796" s="14"/>
      <c r="BX796" s="14"/>
      <c r="BY796" s="14"/>
      <c r="BZ796" s="14"/>
      <c r="CA796" s="14"/>
      <c r="CB796" s="14"/>
      <c r="CC796" s="14"/>
      <c r="CD796" s="14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</row>
    <row r="797">
      <c r="A797" s="12"/>
      <c r="B797" s="14"/>
      <c r="C797" s="14"/>
      <c r="D797" s="14"/>
      <c r="E797" s="12"/>
      <c r="F797" s="307"/>
      <c r="G797" s="307"/>
      <c r="H797" s="12"/>
      <c r="I797" s="30"/>
      <c r="J797" s="12"/>
      <c r="K797" s="12"/>
      <c r="L797" s="12"/>
      <c r="M797" s="12"/>
      <c r="N797" s="12"/>
      <c r="O797" s="308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4"/>
      <c r="BE797" s="12"/>
      <c r="BF797" s="12"/>
      <c r="BG797" s="12" t="str">
        <f>IFERROR(__xludf.DUMMYFUNCTION("IFERROR(INDEX(QUERY(IMPORTRANGE(""1T7HG8KEs-Ob7f3M5atEVN9Yn7IeORGp0QGvggB62ELw"",""Maestro!A:I""),""SELECT Col8 WHERE Col3 = '""&amp;BD797&amp;""'"", 0), 1, 1),""NO ENCONTRADO"")"),"")</f>
        <v/>
      </c>
      <c r="BH797" s="12" t="str">
        <f>IFERROR(__xludf.DUMMYFUNCTION("IFERROR(INDEX(QUERY(IMPORTRANGE(""1T7HG8KEs-Ob7f3M5atEVN9Yn7IeORGp0QGvggB62ELw"",""Maestro!A:I""),""SELECT Col7 WHERE Col3 = '""&amp;BD797&amp;""'"", 0), 1, 1),""NO ENCONTRADO"")"),"")</f>
        <v/>
      </c>
      <c r="BI797" s="16">
        <f t="shared" si="15"/>
        <v>0</v>
      </c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4"/>
      <c r="BW797" s="14"/>
      <c r="BX797" s="14"/>
      <c r="BY797" s="14"/>
      <c r="BZ797" s="14"/>
      <c r="CA797" s="14"/>
      <c r="CB797" s="14"/>
      <c r="CC797" s="14"/>
      <c r="CD797" s="14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</row>
    <row r="798">
      <c r="A798" s="12"/>
      <c r="B798" s="14"/>
      <c r="C798" s="14"/>
      <c r="D798" s="14"/>
      <c r="E798" s="12"/>
      <c r="F798" s="307"/>
      <c r="G798" s="307"/>
      <c r="H798" s="12"/>
      <c r="I798" s="30"/>
      <c r="J798" s="12"/>
      <c r="K798" s="12"/>
      <c r="L798" s="12"/>
      <c r="M798" s="12"/>
      <c r="N798" s="12"/>
      <c r="O798" s="308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4"/>
      <c r="BE798" s="12"/>
      <c r="BF798" s="12"/>
      <c r="BG798" s="12" t="str">
        <f>IFERROR(__xludf.DUMMYFUNCTION("IFERROR(INDEX(QUERY(IMPORTRANGE(""1T7HG8KEs-Ob7f3M5atEVN9Yn7IeORGp0QGvggB62ELw"",""Maestro!A:I""),""SELECT Col8 WHERE Col3 = '""&amp;BD798&amp;""'"", 0), 1, 1),""NO ENCONTRADO"")"),"")</f>
        <v/>
      </c>
      <c r="BH798" s="12" t="str">
        <f>IFERROR(__xludf.DUMMYFUNCTION("IFERROR(INDEX(QUERY(IMPORTRANGE(""1T7HG8KEs-Ob7f3M5atEVN9Yn7IeORGp0QGvggB62ELw"",""Maestro!A:I""),""SELECT Col7 WHERE Col3 = '""&amp;BD798&amp;""'"", 0), 1, 1),""NO ENCONTRADO"")"),"")</f>
        <v/>
      </c>
      <c r="BI798" s="16">
        <f t="shared" si="15"/>
        <v>0</v>
      </c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4"/>
      <c r="BW798" s="14"/>
      <c r="BX798" s="14"/>
      <c r="BY798" s="14"/>
      <c r="BZ798" s="14"/>
      <c r="CA798" s="14"/>
      <c r="CB798" s="14"/>
      <c r="CC798" s="14"/>
      <c r="CD798" s="14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</row>
    <row r="799">
      <c r="A799" s="12"/>
      <c r="B799" s="14"/>
      <c r="C799" s="14"/>
      <c r="D799" s="14"/>
      <c r="E799" s="12"/>
      <c r="F799" s="307"/>
      <c r="G799" s="307"/>
      <c r="H799" s="12"/>
      <c r="I799" s="30"/>
      <c r="J799" s="12"/>
      <c r="K799" s="12"/>
      <c r="L799" s="12"/>
      <c r="M799" s="12"/>
      <c r="N799" s="12"/>
      <c r="O799" s="308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4"/>
      <c r="BE799" s="12"/>
      <c r="BF799" s="12"/>
      <c r="BG799" s="12" t="str">
        <f>IFERROR(__xludf.DUMMYFUNCTION("IFERROR(INDEX(QUERY(IMPORTRANGE(""1T7HG8KEs-Ob7f3M5atEVN9Yn7IeORGp0QGvggB62ELw"",""Maestro!A:I""),""SELECT Col8 WHERE Col3 = '""&amp;BD799&amp;""'"", 0), 1, 1),""NO ENCONTRADO"")"),"")</f>
        <v/>
      </c>
      <c r="BH799" s="12" t="str">
        <f>IFERROR(__xludf.DUMMYFUNCTION("IFERROR(INDEX(QUERY(IMPORTRANGE(""1T7HG8KEs-Ob7f3M5atEVN9Yn7IeORGp0QGvggB62ELw"",""Maestro!A:I""),""SELECT Col7 WHERE Col3 = '""&amp;BD799&amp;""'"", 0), 1, 1),""NO ENCONTRADO"")"),"")</f>
        <v/>
      </c>
      <c r="BI799" s="16">
        <f t="shared" si="15"/>
        <v>0</v>
      </c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4"/>
      <c r="BW799" s="14"/>
      <c r="BX799" s="14"/>
      <c r="BY799" s="14"/>
      <c r="BZ799" s="14"/>
      <c r="CA799" s="14"/>
      <c r="CB799" s="14"/>
      <c r="CC799" s="14"/>
      <c r="CD799" s="14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</row>
    <row r="800">
      <c r="A800" s="12"/>
      <c r="B800" s="14"/>
      <c r="C800" s="14"/>
      <c r="D800" s="14"/>
      <c r="E800" s="12"/>
      <c r="F800" s="307"/>
      <c r="G800" s="307"/>
      <c r="H800" s="12"/>
      <c r="I800" s="30"/>
      <c r="J800" s="12"/>
      <c r="K800" s="12"/>
      <c r="L800" s="12"/>
      <c r="M800" s="12"/>
      <c r="N800" s="12"/>
      <c r="O800" s="308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4"/>
      <c r="BE800" s="12"/>
      <c r="BF800" s="12"/>
      <c r="BG800" s="12" t="str">
        <f>IFERROR(__xludf.DUMMYFUNCTION("IFERROR(INDEX(QUERY(IMPORTRANGE(""1T7HG8KEs-Ob7f3M5atEVN9Yn7IeORGp0QGvggB62ELw"",""Maestro!A:I""),""SELECT Col8 WHERE Col3 = '""&amp;BD800&amp;""'"", 0), 1, 1),""NO ENCONTRADO"")"),"")</f>
        <v/>
      </c>
      <c r="BH800" s="12" t="str">
        <f>IFERROR(__xludf.DUMMYFUNCTION("IFERROR(INDEX(QUERY(IMPORTRANGE(""1T7HG8KEs-Ob7f3M5atEVN9Yn7IeORGp0QGvggB62ELw"",""Maestro!A:I""),""SELECT Col7 WHERE Col3 = '""&amp;BD800&amp;""'"", 0), 1, 1),""NO ENCONTRADO"")"),"")</f>
        <v/>
      </c>
      <c r="BI800" s="16">
        <f t="shared" si="15"/>
        <v>0</v>
      </c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4"/>
      <c r="BW800" s="14"/>
      <c r="BX800" s="14"/>
      <c r="BY800" s="14"/>
      <c r="BZ800" s="14"/>
      <c r="CA800" s="14"/>
      <c r="CB800" s="14"/>
      <c r="CC800" s="14"/>
      <c r="CD800" s="14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</row>
    <row r="801">
      <c r="A801" s="12"/>
      <c r="B801" s="14"/>
      <c r="C801" s="14"/>
      <c r="D801" s="14"/>
      <c r="E801" s="12"/>
      <c r="F801" s="307"/>
      <c r="G801" s="307"/>
      <c r="H801" s="12"/>
      <c r="I801" s="30"/>
      <c r="J801" s="12"/>
      <c r="K801" s="12"/>
      <c r="L801" s="12"/>
      <c r="M801" s="12"/>
      <c r="N801" s="12"/>
      <c r="O801" s="308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4"/>
      <c r="BE801" s="12"/>
      <c r="BF801" s="12"/>
      <c r="BG801" s="12" t="str">
        <f>IFERROR(__xludf.DUMMYFUNCTION("IFERROR(INDEX(QUERY(IMPORTRANGE(""1T7HG8KEs-Ob7f3M5atEVN9Yn7IeORGp0QGvggB62ELw"",""Maestro!A:I""),""SELECT Col8 WHERE Col3 = '""&amp;BD801&amp;""'"", 0), 1, 1),""NO ENCONTRADO"")"),"")</f>
        <v/>
      </c>
      <c r="BH801" s="12" t="str">
        <f>IFERROR(__xludf.DUMMYFUNCTION("IFERROR(INDEX(QUERY(IMPORTRANGE(""1T7HG8KEs-Ob7f3M5atEVN9Yn7IeORGp0QGvggB62ELw"",""Maestro!A:I""),""SELECT Col7 WHERE Col3 = '""&amp;BD801&amp;""'"", 0), 1, 1),""NO ENCONTRADO"")"),"")</f>
        <v/>
      </c>
      <c r="BI801" s="16">
        <f t="shared" si="15"/>
        <v>0</v>
      </c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4"/>
      <c r="BW801" s="14"/>
      <c r="BX801" s="14"/>
      <c r="BY801" s="14"/>
      <c r="BZ801" s="14"/>
      <c r="CA801" s="14"/>
      <c r="CB801" s="14"/>
      <c r="CC801" s="14"/>
      <c r="CD801" s="14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</row>
    <row r="802">
      <c r="A802" s="12"/>
      <c r="B802" s="14"/>
      <c r="C802" s="14"/>
      <c r="D802" s="14"/>
      <c r="E802" s="12"/>
      <c r="F802" s="307"/>
      <c r="G802" s="307"/>
      <c r="H802" s="12"/>
      <c r="I802" s="30"/>
      <c r="J802" s="12"/>
      <c r="K802" s="12"/>
      <c r="L802" s="12"/>
      <c r="M802" s="12"/>
      <c r="N802" s="12"/>
      <c r="O802" s="308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4"/>
      <c r="BE802" s="12"/>
      <c r="BF802" s="12"/>
      <c r="BG802" s="12" t="str">
        <f>IFERROR(__xludf.DUMMYFUNCTION("IFERROR(INDEX(QUERY(IMPORTRANGE(""1T7HG8KEs-Ob7f3M5atEVN9Yn7IeORGp0QGvggB62ELw"",""Maestro!A:I""),""SELECT Col8 WHERE Col3 = '""&amp;BD802&amp;""'"", 0), 1, 1),""NO ENCONTRADO"")"),"")</f>
        <v/>
      </c>
      <c r="BH802" s="12" t="str">
        <f>IFERROR(__xludf.DUMMYFUNCTION("IFERROR(INDEX(QUERY(IMPORTRANGE(""1T7HG8KEs-Ob7f3M5atEVN9Yn7IeORGp0QGvggB62ELw"",""Maestro!A:I""),""SELECT Col7 WHERE Col3 = '""&amp;BD802&amp;""'"", 0), 1, 1),""NO ENCONTRADO"")"),"")</f>
        <v/>
      </c>
      <c r="BI802" s="16">
        <f t="shared" si="15"/>
        <v>0</v>
      </c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4"/>
      <c r="BW802" s="14"/>
      <c r="BX802" s="14"/>
      <c r="BY802" s="14"/>
      <c r="BZ802" s="14"/>
      <c r="CA802" s="14"/>
      <c r="CB802" s="14"/>
      <c r="CC802" s="14"/>
      <c r="CD802" s="14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</row>
    <row r="803">
      <c r="A803" s="12"/>
      <c r="B803" s="14"/>
      <c r="C803" s="14"/>
      <c r="D803" s="14"/>
      <c r="E803" s="12"/>
      <c r="F803" s="307"/>
      <c r="G803" s="307"/>
      <c r="H803" s="12"/>
      <c r="I803" s="30"/>
      <c r="J803" s="12"/>
      <c r="K803" s="12"/>
      <c r="L803" s="12"/>
      <c r="M803" s="12"/>
      <c r="N803" s="12"/>
      <c r="O803" s="308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4"/>
      <c r="BE803" s="12"/>
      <c r="BF803" s="12"/>
      <c r="BG803" s="12" t="str">
        <f>IFERROR(__xludf.DUMMYFUNCTION("IFERROR(INDEX(QUERY(IMPORTRANGE(""1T7HG8KEs-Ob7f3M5atEVN9Yn7IeORGp0QGvggB62ELw"",""Maestro!A:I""),""SELECT Col8 WHERE Col3 = '""&amp;BD803&amp;""'"", 0), 1, 1),""NO ENCONTRADO"")"),"")</f>
        <v/>
      </c>
      <c r="BH803" s="12" t="str">
        <f>IFERROR(__xludf.DUMMYFUNCTION("IFERROR(INDEX(QUERY(IMPORTRANGE(""1T7HG8KEs-Ob7f3M5atEVN9Yn7IeORGp0QGvggB62ELw"",""Maestro!A:I""),""SELECT Col7 WHERE Col3 = '""&amp;BD803&amp;""'"", 0), 1, 1),""NO ENCONTRADO"")"),"")</f>
        <v/>
      </c>
      <c r="BI803" s="16">
        <f t="shared" si="15"/>
        <v>0</v>
      </c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4"/>
      <c r="BW803" s="14"/>
      <c r="BX803" s="14"/>
      <c r="BY803" s="14"/>
      <c r="BZ803" s="14"/>
      <c r="CA803" s="14"/>
      <c r="CB803" s="14"/>
      <c r="CC803" s="14"/>
      <c r="CD803" s="14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</row>
    <row r="804">
      <c r="A804" s="12"/>
      <c r="B804" s="14"/>
      <c r="C804" s="14"/>
      <c r="D804" s="14"/>
      <c r="E804" s="12"/>
      <c r="F804" s="307"/>
      <c r="G804" s="307"/>
      <c r="H804" s="12"/>
      <c r="I804" s="30"/>
      <c r="J804" s="12"/>
      <c r="K804" s="12"/>
      <c r="L804" s="12"/>
      <c r="M804" s="12"/>
      <c r="N804" s="12"/>
      <c r="O804" s="308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4"/>
      <c r="BE804" s="12"/>
      <c r="BF804" s="12"/>
      <c r="BG804" s="12" t="str">
        <f>IFERROR(__xludf.DUMMYFUNCTION("IFERROR(INDEX(QUERY(IMPORTRANGE(""1T7HG8KEs-Ob7f3M5atEVN9Yn7IeORGp0QGvggB62ELw"",""Maestro!A:I""),""SELECT Col8 WHERE Col3 = '""&amp;BD804&amp;""'"", 0), 1, 1),""NO ENCONTRADO"")"),"")</f>
        <v/>
      </c>
      <c r="BH804" s="12" t="str">
        <f>IFERROR(__xludf.DUMMYFUNCTION("IFERROR(INDEX(QUERY(IMPORTRANGE(""1T7HG8KEs-Ob7f3M5atEVN9Yn7IeORGp0QGvggB62ELw"",""Maestro!A:I""),""SELECT Col7 WHERE Col3 = '""&amp;BD804&amp;""'"", 0), 1, 1),""NO ENCONTRADO"")"),"")</f>
        <v/>
      </c>
      <c r="BI804" s="16">
        <f t="shared" si="15"/>
        <v>0</v>
      </c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4"/>
      <c r="BW804" s="14"/>
      <c r="BX804" s="14"/>
      <c r="BY804" s="14"/>
      <c r="BZ804" s="14"/>
      <c r="CA804" s="14"/>
      <c r="CB804" s="14"/>
      <c r="CC804" s="14"/>
      <c r="CD804" s="14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</row>
    <row r="805">
      <c r="A805" s="12"/>
      <c r="B805" s="14"/>
      <c r="C805" s="14"/>
      <c r="D805" s="14"/>
      <c r="E805" s="12"/>
      <c r="F805" s="307"/>
      <c r="G805" s="307"/>
      <c r="H805" s="12"/>
      <c r="I805" s="30"/>
      <c r="J805" s="12"/>
      <c r="K805" s="12"/>
      <c r="L805" s="12"/>
      <c r="M805" s="12"/>
      <c r="N805" s="12"/>
      <c r="O805" s="308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4"/>
      <c r="BE805" s="12"/>
      <c r="BF805" s="12"/>
      <c r="BG805" s="12" t="str">
        <f>IFERROR(__xludf.DUMMYFUNCTION("IFERROR(INDEX(QUERY(IMPORTRANGE(""1T7HG8KEs-Ob7f3M5atEVN9Yn7IeORGp0QGvggB62ELw"",""Maestro!A:I""),""SELECT Col8 WHERE Col3 = '""&amp;BD805&amp;""'"", 0), 1, 1),""NO ENCONTRADO"")"),"")</f>
        <v/>
      </c>
      <c r="BH805" s="12" t="str">
        <f>IFERROR(__xludf.DUMMYFUNCTION("IFERROR(INDEX(QUERY(IMPORTRANGE(""1T7HG8KEs-Ob7f3M5atEVN9Yn7IeORGp0QGvggB62ELw"",""Maestro!A:I""),""SELECT Col7 WHERE Col3 = '""&amp;BD805&amp;""'"", 0), 1, 1),""NO ENCONTRADO"")"),"")</f>
        <v/>
      </c>
      <c r="BI805" s="16">
        <f t="shared" si="15"/>
        <v>0</v>
      </c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4"/>
      <c r="BW805" s="14"/>
      <c r="BX805" s="14"/>
      <c r="BY805" s="14"/>
      <c r="BZ805" s="14"/>
      <c r="CA805" s="14"/>
      <c r="CB805" s="14"/>
      <c r="CC805" s="14"/>
      <c r="CD805" s="14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</row>
    <row r="806">
      <c r="A806" s="12"/>
      <c r="B806" s="14"/>
      <c r="C806" s="14"/>
      <c r="D806" s="14"/>
      <c r="E806" s="12"/>
      <c r="F806" s="307"/>
      <c r="G806" s="307"/>
      <c r="H806" s="12"/>
      <c r="I806" s="30"/>
      <c r="J806" s="12"/>
      <c r="K806" s="12"/>
      <c r="L806" s="12"/>
      <c r="M806" s="12"/>
      <c r="N806" s="12"/>
      <c r="O806" s="308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4"/>
      <c r="BE806" s="12"/>
      <c r="BF806" s="12"/>
      <c r="BG806" s="12" t="str">
        <f>IFERROR(__xludf.DUMMYFUNCTION("IFERROR(INDEX(QUERY(IMPORTRANGE(""1T7HG8KEs-Ob7f3M5atEVN9Yn7IeORGp0QGvggB62ELw"",""Maestro!A:I""),""SELECT Col8 WHERE Col3 = '""&amp;BD806&amp;""'"", 0), 1, 1),""NO ENCONTRADO"")"),"")</f>
        <v/>
      </c>
      <c r="BH806" s="12" t="str">
        <f>IFERROR(__xludf.DUMMYFUNCTION("IFERROR(INDEX(QUERY(IMPORTRANGE(""1T7HG8KEs-Ob7f3M5atEVN9Yn7IeORGp0QGvggB62ELw"",""Maestro!A:I""),""SELECT Col7 WHERE Col3 = '""&amp;BD806&amp;""'"", 0), 1, 1),""NO ENCONTRADO"")"),"")</f>
        <v/>
      </c>
      <c r="BI806" s="16">
        <f t="shared" si="15"/>
        <v>0</v>
      </c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4"/>
      <c r="BW806" s="14"/>
      <c r="BX806" s="14"/>
      <c r="BY806" s="14"/>
      <c r="BZ806" s="14"/>
      <c r="CA806" s="14"/>
      <c r="CB806" s="14"/>
      <c r="CC806" s="14"/>
      <c r="CD806" s="14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</row>
    <row r="807">
      <c r="A807" s="12"/>
      <c r="B807" s="14"/>
      <c r="C807" s="14"/>
      <c r="D807" s="14"/>
      <c r="E807" s="12"/>
      <c r="F807" s="307"/>
      <c r="G807" s="307"/>
      <c r="H807" s="12"/>
      <c r="I807" s="30"/>
      <c r="J807" s="12"/>
      <c r="K807" s="12"/>
      <c r="L807" s="12"/>
      <c r="M807" s="12"/>
      <c r="N807" s="12"/>
      <c r="O807" s="308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4"/>
      <c r="BE807" s="12"/>
      <c r="BF807" s="12"/>
      <c r="BG807" s="12" t="str">
        <f>IFERROR(__xludf.DUMMYFUNCTION("IFERROR(INDEX(QUERY(IMPORTRANGE(""1T7HG8KEs-Ob7f3M5atEVN9Yn7IeORGp0QGvggB62ELw"",""Maestro!A:I""),""SELECT Col8 WHERE Col3 = '""&amp;BD807&amp;""'"", 0), 1, 1),""NO ENCONTRADO"")"),"")</f>
        <v/>
      </c>
      <c r="BH807" s="12" t="str">
        <f>IFERROR(__xludf.DUMMYFUNCTION("IFERROR(INDEX(QUERY(IMPORTRANGE(""1T7HG8KEs-Ob7f3M5atEVN9Yn7IeORGp0QGvggB62ELw"",""Maestro!A:I""),""SELECT Col7 WHERE Col3 = '""&amp;BD807&amp;""'"", 0), 1, 1),""NO ENCONTRADO"")"),"")</f>
        <v/>
      </c>
      <c r="BI807" s="16">
        <f t="shared" si="15"/>
        <v>0</v>
      </c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4"/>
      <c r="BW807" s="14"/>
      <c r="BX807" s="14"/>
      <c r="BY807" s="14"/>
      <c r="BZ807" s="14"/>
      <c r="CA807" s="14"/>
      <c r="CB807" s="14"/>
      <c r="CC807" s="14"/>
      <c r="CD807" s="14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</row>
    <row r="808">
      <c r="A808" s="12"/>
      <c r="B808" s="14"/>
      <c r="C808" s="14"/>
      <c r="D808" s="14"/>
      <c r="E808" s="12"/>
      <c r="F808" s="307"/>
      <c r="G808" s="307"/>
      <c r="H808" s="12"/>
      <c r="I808" s="30"/>
      <c r="J808" s="12"/>
      <c r="K808" s="12"/>
      <c r="L808" s="12"/>
      <c r="M808" s="12"/>
      <c r="N808" s="12"/>
      <c r="O808" s="308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4"/>
      <c r="BE808" s="12"/>
      <c r="BF808" s="12"/>
      <c r="BG808" s="12" t="str">
        <f>IFERROR(__xludf.DUMMYFUNCTION("IFERROR(INDEX(QUERY(IMPORTRANGE(""1T7HG8KEs-Ob7f3M5atEVN9Yn7IeORGp0QGvggB62ELw"",""Maestro!A:I""),""SELECT Col8 WHERE Col3 = '""&amp;BD808&amp;""'"", 0), 1, 1),""NO ENCONTRADO"")"),"")</f>
        <v/>
      </c>
      <c r="BH808" s="12" t="str">
        <f>IFERROR(__xludf.DUMMYFUNCTION("IFERROR(INDEX(QUERY(IMPORTRANGE(""1T7HG8KEs-Ob7f3M5atEVN9Yn7IeORGp0QGvggB62ELw"",""Maestro!A:I""),""SELECT Col7 WHERE Col3 = '""&amp;BD808&amp;""'"", 0), 1, 1),""NO ENCONTRADO"")"),"")</f>
        <v/>
      </c>
      <c r="BI808" s="16">
        <f t="shared" si="15"/>
        <v>0</v>
      </c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4"/>
      <c r="BW808" s="14"/>
      <c r="BX808" s="14"/>
      <c r="BY808" s="14"/>
      <c r="BZ808" s="14"/>
      <c r="CA808" s="14"/>
      <c r="CB808" s="14"/>
      <c r="CC808" s="14"/>
      <c r="CD808" s="14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</row>
    <row r="809">
      <c r="A809" s="12"/>
      <c r="B809" s="14"/>
      <c r="C809" s="14"/>
      <c r="D809" s="14"/>
      <c r="E809" s="12"/>
      <c r="F809" s="307"/>
      <c r="G809" s="307"/>
      <c r="H809" s="12"/>
      <c r="I809" s="30"/>
      <c r="J809" s="12"/>
      <c r="K809" s="12"/>
      <c r="L809" s="12"/>
      <c r="M809" s="12"/>
      <c r="N809" s="12"/>
      <c r="O809" s="308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4"/>
      <c r="BE809" s="12"/>
      <c r="BF809" s="12"/>
      <c r="BG809" s="12" t="str">
        <f>IFERROR(__xludf.DUMMYFUNCTION("IFERROR(INDEX(QUERY(IMPORTRANGE(""1T7HG8KEs-Ob7f3M5atEVN9Yn7IeORGp0QGvggB62ELw"",""Maestro!A:I""),""SELECT Col8 WHERE Col3 = '""&amp;BD809&amp;""'"", 0), 1, 1),""NO ENCONTRADO"")"),"")</f>
        <v/>
      </c>
      <c r="BH809" s="12" t="str">
        <f>IFERROR(__xludf.DUMMYFUNCTION("IFERROR(INDEX(QUERY(IMPORTRANGE(""1T7HG8KEs-Ob7f3M5atEVN9Yn7IeORGp0QGvggB62ELw"",""Maestro!A:I""),""SELECT Col7 WHERE Col3 = '""&amp;BD809&amp;""'"", 0), 1, 1),""NO ENCONTRADO"")"),"")</f>
        <v/>
      </c>
      <c r="BI809" s="16">
        <f t="shared" si="15"/>
        <v>0</v>
      </c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4"/>
      <c r="BW809" s="14"/>
      <c r="BX809" s="14"/>
      <c r="BY809" s="14"/>
      <c r="BZ809" s="14"/>
      <c r="CA809" s="14"/>
      <c r="CB809" s="14"/>
      <c r="CC809" s="14"/>
      <c r="CD809" s="14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</row>
    <row r="810">
      <c r="A810" s="12"/>
      <c r="B810" s="14"/>
      <c r="C810" s="14"/>
      <c r="D810" s="14"/>
      <c r="E810" s="12"/>
      <c r="F810" s="307"/>
      <c r="G810" s="307"/>
      <c r="H810" s="12"/>
      <c r="I810" s="30"/>
      <c r="J810" s="12"/>
      <c r="K810" s="12"/>
      <c r="L810" s="12"/>
      <c r="M810" s="12"/>
      <c r="N810" s="12"/>
      <c r="O810" s="308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4"/>
      <c r="BE810" s="12"/>
      <c r="BF810" s="12"/>
      <c r="BG810" s="12" t="str">
        <f>IFERROR(__xludf.DUMMYFUNCTION("IFERROR(INDEX(QUERY(IMPORTRANGE(""1T7HG8KEs-Ob7f3M5atEVN9Yn7IeORGp0QGvggB62ELw"",""Maestro!A:I""),""SELECT Col8 WHERE Col3 = '""&amp;BD810&amp;""'"", 0), 1, 1),""NO ENCONTRADO"")"),"")</f>
        <v/>
      </c>
      <c r="BH810" s="12" t="str">
        <f>IFERROR(__xludf.DUMMYFUNCTION("IFERROR(INDEX(QUERY(IMPORTRANGE(""1T7HG8KEs-Ob7f3M5atEVN9Yn7IeORGp0QGvggB62ELw"",""Maestro!A:I""),""SELECT Col7 WHERE Col3 = '""&amp;BD810&amp;""'"", 0), 1, 1),""NO ENCONTRADO"")"),"")</f>
        <v/>
      </c>
      <c r="BI810" s="16">
        <f t="shared" si="15"/>
        <v>0</v>
      </c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4"/>
      <c r="BW810" s="14"/>
      <c r="BX810" s="14"/>
      <c r="BY810" s="14"/>
      <c r="BZ810" s="14"/>
      <c r="CA810" s="14"/>
      <c r="CB810" s="14"/>
      <c r="CC810" s="14"/>
      <c r="CD810" s="14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</row>
    <row r="811">
      <c r="A811" s="12"/>
      <c r="B811" s="14"/>
      <c r="C811" s="14"/>
      <c r="D811" s="14"/>
      <c r="E811" s="12"/>
      <c r="F811" s="307"/>
      <c r="G811" s="307"/>
      <c r="H811" s="12"/>
      <c r="I811" s="30"/>
      <c r="J811" s="12"/>
      <c r="K811" s="12"/>
      <c r="L811" s="12"/>
      <c r="M811" s="12"/>
      <c r="N811" s="12"/>
      <c r="O811" s="308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4"/>
      <c r="BE811" s="12"/>
      <c r="BF811" s="12"/>
      <c r="BG811" s="12" t="str">
        <f>IFERROR(__xludf.DUMMYFUNCTION("IFERROR(INDEX(QUERY(IMPORTRANGE(""1T7HG8KEs-Ob7f3M5atEVN9Yn7IeORGp0QGvggB62ELw"",""Maestro!A:I""),""SELECT Col8 WHERE Col3 = '""&amp;BD811&amp;""'"", 0), 1, 1),""NO ENCONTRADO"")"),"")</f>
        <v/>
      </c>
      <c r="BH811" s="12" t="str">
        <f>IFERROR(__xludf.DUMMYFUNCTION("IFERROR(INDEX(QUERY(IMPORTRANGE(""1T7HG8KEs-Ob7f3M5atEVN9Yn7IeORGp0QGvggB62ELw"",""Maestro!A:I""),""SELECT Col7 WHERE Col3 = '""&amp;BD811&amp;""'"", 0), 1, 1),""NO ENCONTRADO"")"),"")</f>
        <v/>
      </c>
      <c r="BI811" s="16">
        <f t="shared" si="15"/>
        <v>0</v>
      </c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4"/>
      <c r="BW811" s="14"/>
      <c r="BX811" s="14"/>
      <c r="BY811" s="14"/>
      <c r="BZ811" s="14"/>
      <c r="CA811" s="14"/>
      <c r="CB811" s="14"/>
      <c r="CC811" s="14"/>
      <c r="CD811" s="14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</row>
    <row r="812">
      <c r="A812" s="12"/>
      <c r="B812" s="14"/>
      <c r="C812" s="14"/>
      <c r="D812" s="14"/>
      <c r="E812" s="12"/>
      <c r="F812" s="307"/>
      <c r="G812" s="307"/>
      <c r="H812" s="12"/>
      <c r="I812" s="30"/>
      <c r="J812" s="12"/>
      <c r="K812" s="12"/>
      <c r="L812" s="12"/>
      <c r="M812" s="12"/>
      <c r="N812" s="12"/>
      <c r="O812" s="308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4"/>
      <c r="BE812" s="12"/>
      <c r="BF812" s="12"/>
      <c r="BG812" s="12" t="str">
        <f>IFERROR(__xludf.DUMMYFUNCTION("IFERROR(INDEX(QUERY(IMPORTRANGE(""1T7HG8KEs-Ob7f3M5atEVN9Yn7IeORGp0QGvggB62ELw"",""Maestro!A:I""),""SELECT Col8 WHERE Col3 = '""&amp;BD812&amp;""'"", 0), 1, 1),""NO ENCONTRADO"")"),"")</f>
        <v/>
      </c>
      <c r="BH812" s="12" t="str">
        <f>IFERROR(__xludf.DUMMYFUNCTION("IFERROR(INDEX(QUERY(IMPORTRANGE(""1T7HG8KEs-Ob7f3M5atEVN9Yn7IeORGp0QGvggB62ELw"",""Maestro!A:I""),""SELECT Col7 WHERE Col3 = '""&amp;BD812&amp;""'"", 0), 1, 1),""NO ENCONTRADO"")"),"")</f>
        <v/>
      </c>
      <c r="BI812" s="16">
        <f t="shared" si="15"/>
        <v>0</v>
      </c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4"/>
      <c r="BW812" s="14"/>
      <c r="BX812" s="14"/>
      <c r="BY812" s="14"/>
      <c r="BZ812" s="14"/>
      <c r="CA812" s="14"/>
      <c r="CB812" s="14"/>
      <c r="CC812" s="14"/>
      <c r="CD812" s="14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</row>
    <row r="813">
      <c r="A813" s="12"/>
      <c r="B813" s="14"/>
      <c r="C813" s="14"/>
      <c r="D813" s="14"/>
      <c r="E813" s="12"/>
      <c r="F813" s="307"/>
      <c r="G813" s="307"/>
      <c r="H813" s="12"/>
      <c r="I813" s="30"/>
      <c r="J813" s="12"/>
      <c r="K813" s="12"/>
      <c r="L813" s="12"/>
      <c r="M813" s="12"/>
      <c r="N813" s="12"/>
      <c r="O813" s="308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4"/>
      <c r="BE813" s="12"/>
      <c r="BF813" s="12"/>
      <c r="BG813" s="12" t="str">
        <f>IFERROR(__xludf.DUMMYFUNCTION("IFERROR(INDEX(QUERY(IMPORTRANGE(""1T7HG8KEs-Ob7f3M5atEVN9Yn7IeORGp0QGvggB62ELw"",""Maestro!A:I""),""SELECT Col8 WHERE Col3 = '""&amp;BD813&amp;""'"", 0), 1, 1),""NO ENCONTRADO"")"),"")</f>
        <v/>
      </c>
      <c r="BH813" s="12" t="str">
        <f>IFERROR(__xludf.DUMMYFUNCTION("IFERROR(INDEX(QUERY(IMPORTRANGE(""1T7HG8KEs-Ob7f3M5atEVN9Yn7IeORGp0QGvggB62ELw"",""Maestro!A:I""),""SELECT Col7 WHERE Col3 = '""&amp;BD813&amp;""'"", 0), 1, 1),""NO ENCONTRADO"")"),"")</f>
        <v/>
      </c>
      <c r="BI813" s="16">
        <f t="shared" si="15"/>
        <v>0</v>
      </c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4"/>
      <c r="BW813" s="14"/>
      <c r="BX813" s="14"/>
      <c r="BY813" s="14"/>
      <c r="BZ813" s="14"/>
      <c r="CA813" s="14"/>
      <c r="CB813" s="14"/>
      <c r="CC813" s="14"/>
      <c r="CD813" s="14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</row>
    <row r="814">
      <c r="A814" s="12"/>
      <c r="B814" s="14"/>
      <c r="C814" s="14"/>
      <c r="D814" s="14"/>
      <c r="E814" s="12"/>
      <c r="F814" s="307"/>
      <c r="G814" s="307"/>
      <c r="H814" s="12"/>
      <c r="I814" s="30"/>
      <c r="J814" s="12"/>
      <c r="K814" s="12"/>
      <c r="L814" s="12"/>
      <c r="M814" s="12"/>
      <c r="N814" s="12"/>
      <c r="O814" s="308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4"/>
      <c r="BE814" s="12"/>
      <c r="BF814" s="12"/>
      <c r="BG814" s="12" t="str">
        <f>IFERROR(__xludf.DUMMYFUNCTION("IFERROR(INDEX(QUERY(IMPORTRANGE(""1T7HG8KEs-Ob7f3M5atEVN9Yn7IeORGp0QGvggB62ELw"",""Maestro!A:I""),""SELECT Col8 WHERE Col3 = '""&amp;BD814&amp;""'"", 0), 1, 1),""NO ENCONTRADO"")"),"")</f>
        <v/>
      </c>
      <c r="BH814" s="12" t="str">
        <f>IFERROR(__xludf.DUMMYFUNCTION("IFERROR(INDEX(QUERY(IMPORTRANGE(""1T7HG8KEs-Ob7f3M5atEVN9Yn7IeORGp0QGvggB62ELw"",""Maestro!A:I""),""SELECT Col7 WHERE Col3 = '""&amp;BD814&amp;""'"", 0), 1, 1),""NO ENCONTRADO"")"),"")</f>
        <v/>
      </c>
      <c r="BI814" s="16">
        <f t="shared" si="15"/>
        <v>0</v>
      </c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4"/>
      <c r="BW814" s="14"/>
      <c r="BX814" s="14"/>
      <c r="BY814" s="14"/>
      <c r="BZ814" s="14"/>
      <c r="CA814" s="14"/>
      <c r="CB814" s="14"/>
      <c r="CC814" s="14"/>
      <c r="CD814" s="14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</row>
    <row r="815">
      <c r="A815" s="12"/>
      <c r="B815" s="14"/>
      <c r="C815" s="14"/>
      <c r="D815" s="14"/>
      <c r="E815" s="12"/>
      <c r="F815" s="307"/>
      <c r="G815" s="307"/>
      <c r="H815" s="12"/>
      <c r="I815" s="30"/>
      <c r="J815" s="12"/>
      <c r="K815" s="12"/>
      <c r="L815" s="12"/>
      <c r="M815" s="12"/>
      <c r="N815" s="12"/>
      <c r="O815" s="308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4"/>
      <c r="BE815" s="12"/>
      <c r="BF815" s="12"/>
      <c r="BG815" s="12" t="str">
        <f>IFERROR(__xludf.DUMMYFUNCTION("IFERROR(INDEX(QUERY(IMPORTRANGE(""1T7HG8KEs-Ob7f3M5atEVN9Yn7IeORGp0QGvggB62ELw"",""Maestro!A:I""),""SELECT Col8 WHERE Col3 = '""&amp;BD815&amp;""'"", 0), 1, 1),""NO ENCONTRADO"")"),"")</f>
        <v/>
      </c>
      <c r="BH815" s="12" t="str">
        <f>IFERROR(__xludf.DUMMYFUNCTION("IFERROR(INDEX(QUERY(IMPORTRANGE(""1T7HG8KEs-Ob7f3M5atEVN9Yn7IeORGp0QGvggB62ELw"",""Maestro!A:I""),""SELECT Col7 WHERE Col3 = '""&amp;BD815&amp;""'"", 0), 1, 1),""NO ENCONTRADO"")"),"")</f>
        <v/>
      </c>
      <c r="BI815" s="16">
        <f t="shared" si="15"/>
        <v>0</v>
      </c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4"/>
      <c r="BW815" s="14"/>
      <c r="BX815" s="14"/>
      <c r="BY815" s="14"/>
      <c r="BZ815" s="14"/>
      <c r="CA815" s="14"/>
      <c r="CB815" s="14"/>
      <c r="CC815" s="14"/>
      <c r="CD815" s="14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</row>
    <row r="816">
      <c r="A816" s="12"/>
      <c r="B816" s="14"/>
      <c r="C816" s="14"/>
      <c r="D816" s="14"/>
      <c r="E816" s="12"/>
      <c r="F816" s="307"/>
      <c r="G816" s="307"/>
      <c r="H816" s="12"/>
      <c r="I816" s="30"/>
      <c r="J816" s="12"/>
      <c r="K816" s="12"/>
      <c r="L816" s="12"/>
      <c r="M816" s="12"/>
      <c r="N816" s="12"/>
      <c r="O816" s="308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4"/>
      <c r="BE816" s="12"/>
      <c r="BF816" s="12"/>
      <c r="BG816" s="12" t="str">
        <f>IFERROR(__xludf.DUMMYFUNCTION("IFERROR(INDEX(QUERY(IMPORTRANGE(""1T7HG8KEs-Ob7f3M5atEVN9Yn7IeORGp0QGvggB62ELw"",""Maestro!A:I""),""SELECT Col8 WHERE Col3 = '""&amp;BD816&amp;""'"", 0), 1, 1),""NO ENCONTRADO"")"),"")</f>
        <v/>
      </c>
      <c r="BH816" s="12" t="str">
        <f>IFERROR(__xludf.DUMMYFUNCTION("IFERROR(INDEX(QUERY(IMPORTRANGE(""1T7HG8KEs-Ob7f3M5atEVN9Yn7IeORGp0QGvggB62ELw"",""Maestro!A:I""),""SELECT Col7 WHERE Col3 = '""&amp;BD816&amp;""'"", 0), 1, 1),""NO ENCONTRADO"")"),"")</f>
        <v/>
      </c>
      <c r="BI816" s="16">
        <f t="shared" si="15"/>
        <v>0</v>
      </c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4"/>
      <c r="BW816" s="14"/>
      <c r="BX816" s="14"/>
      <c r="BY816" s="14"/>
      <c r="BZ816" s="14"/>
      <c r="CA816" s="14"/>
      <c r="CB816" s="14"/>
      <c r="CC816" s="14"/>
      <c r="CD816" s="14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</row>
    <row r="817">
      <c r="A817" s="12"/>
      <c r="B817" s="14"/>
      <c r="C817" s="14"/>
      <c r="D817" s="14"/>
      <c r="E817" s="12"/>
      <c r="F817" s="307"/>
      <c r="G817" s="307"/>
      <c r="H817" s="12"/>
      <c r="I817" s="30"/>
      <c r="J817" s="12"/>
      <c r="K817" s="12"/>
      <c r="L817" s="12"/>
      <c r="M817" s="12"/>
      <c r="N817" s="12"/>
      <c r="O817" s="308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4"/>
      <c r="BE817" s="12"/>
      <c r="BF817" s="12"/>
      <c r="BG817" s="12" t="str">
        <f>IFERROR(__xludf.DUMMYFUNCTION("IFERROR(INDEX(QUERY(IMPORTRANGE(""1T7HG8KEs-Ob7f3M5atEVN9Yn7IeORGp0QGvggB62ELw"",""Maestro!A:I""),""SELECT Col8 WHERE Col3 = '""&amp;BD817&amp;""'"", 0), 1, 1),""NO ENCONTRADO"")"),"")</f>
        <v/>
      </c>
      <c r="BH817" s="12" t="str">
        <f>IFERROR(__xludf.DUMMYFUNCTION("IFERROR(INDEX(QUERY(IMPORTRANGE(""1T7HG8KEs-Ob7f3M5atEVN9Yn7IeORGp0QGvggB62ELw"",""Maestro!A:I""),""SELECT Col7 WHERE Col3 = '""&amp;BD817&amp;""'"", 0), 1, 1),""NO ENCONTRADO"")"),"")</f>
        <v/>
      </c>
      <c r="BI817" s="16">
        <f t="shared" si="15"/>
        <v>0</v>
      </c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4"/>
      <c r="BW817" s="14"/>
      <c r="BX817" s="14"/>
      <c r="BY817" s="14"/>
      <c r="BZ817" s="14"/>
      <c r="CA817" s="14"/>
      <c r="CB817" s="14"/>
      <c r="CC817" s="14"/>
      <c r="CD817" s="14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</row>
    <row r="818">
      <c r="A818" s="12"/>
      <c r="B818" s="14"/>
      <c r="C818" s="14"/>
      <c r="D818" s="14"/>
      <c r="E818" s="12"/>
      <c r="F818" s="307"/>
      <c r="G818" s="307"/>
      <c r="H818" s="12"/>
      <c r="I818" s="30"/>
      <c r="J818" s="12"/>
      <c r="K818" s="12"/>
      <c r="L818" s="12"/>
      <c r="M818" s="12"/>
      <c r="N818" s="12"/>
      <c r="O818" s="308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4"/>
      <c r="BE818" s="12"/>
      <c r="BF818" s="12"/>
      <c r="BG818" s="12" t="str">
        <f>IFERROR(__xludf.DUMMYFUNCTION("IFERROR(INDEX(QUERY(IMPORTRANGE(""1T7HG8KEs-Ob7f3M5atEVN9Yn7IeORGp0QGvggB62ELw"",""Maestro!A:I""),""SELECT Col8 WHERE Col3 = '""&amp;BD818&amp;""'"", 0), 1, 1),""NO ENCONTRADO"")"),"")</f>
        <v/>
      </c>
      <c r="BH818" s="12" t="str">
        <f>IFERROR(__xludf.DUMMYFUNCTION("IFERROR(INDEX(QUERY(IMPORTRANGE(""1T7HG8KEs-Ob7f3M5atEVN9Yn7IeORGp0QGvggB62ELw"",""Maestro!A:I""),""SELECT Col7 WHERE Col3 = '""&amp;BD818&amp;""'"", 0), 1, 1),""NO ENCONTRADO"")"),"")</f>
        <v/>
      </c>
      <c r="BI818" s="16">
        <f t="shared" si="15"/>
        <v>0</v>
      </c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4"/>
      <c r="BW818" s="14"/>
      <c r="BX818" s="14"/>
      <c r="BY818" s="14"/>
      <c r="BZ818" s="14"/>
      <c r="CA818" s="14"/>
      <c r="CB818" s="14"/>
      <c r="CC818" s="14"/>
      <c r="CD818" s="14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</row>
    <row r="819">
      <c r="A819" s="12"/>
      <c r="B819" s="14"/>
      <c r="C819" s="14"/>
      <c r="D819" s="14"/>
      <c r="E819" s="12"/>
      <c r="F819" s="307"/>
      <c r="G819" s="307"/>
      <c r="H819" s="12"/>
      <c r="I819" s="30"/>
      <c r="J819" s="12"/>
      <c r="K819" s="12"/>
      <c r="L819" s="12"/>
      <c r="M819" s="12"/>
      <c r="N819" s="12"/>
      <c r="O819" s="308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4"/>
      <c r="BE819" s="12"/>
      <c r="BF819" s="12"/>
      <c r="BG819" s="12" t="str">
        <f>IFERROR(__xludf.DUMMYFUNCTION("IFERROR(INDEX(QUERY(IMPORTRANGE(""1T7HG8KEs-Ob7f3M5atEVN9Yn7IeORGp0QGvggB62ELw"",""Maestro!A:I""),""SELECT Col8 WHERE Col3 = '""&amp;BD819&amp;""'"", 0), 1, 1),""NO ENCONTRADO"")"),"")</f>
        <v/>
      </c>
      <c r="BH819" s="12" t="str">
        <f>IFERROR(__xludf.DUMMYFUNCTION("IFERROR(INDEX(QUERY(IMPORTRANGE(""1T7HG8KEs-Ob7f3M5atEVN9Yn7IeORGp0QGvggB62ELw"",""Maestro!A:I""),""SELECT Col7 WHERE Col3 = '""&amp;BD819&amp;""'"", 0), 1, 1),""NO ENCONTRADO"")"),"")</f>
        <v/>
      </c>
      <c r="BI819" s="16">
        <f t="shared" si="15"/>
        <v>0</v>
      </c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4"/>
      <c r="BW819" s="14"/>
      <c r="BX819" s="14"/>
      <c r="BY819" s="14"/>
      <c r="BZ819" s="14"/>
      <c r="CA819" s="14"/>
      <c r="CB819" s="14"/>
      <c r="CC819" s="14"/>
      <c r="CD819" s="14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</row>
    <row r="820">
      <c r="A820" s="12"/>
      <c r="B820" s="14"/>
      <c r="C820" s="14"/>
      <c r="D820" s="14"/>
      <c r="E820" s="12"/>
      <c r="F820" s="307"/>
      <c r="G820" s="307"/>
      <c r="H820" s="12"/>
      <c r="I820" s="30"/>
      <c r="J820" s="12"/>
      <c r="K820" s="12"/>
      <c r="L820" s="12"/>
      <c r="M820" s="12"/>
      <c r="N820" s="12"/>
      <c r="O820" s="308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4"/>
      <c r="BE820" s="12"/>
      <c r="BF820" s="12"/>
      <c r="BG820" s="12" t="str">
        <f>IFERROR(__xludf.DUMMYFUNCTION("IFERROR(INDEX(QUERY(IMPORTRANGE(""1T7HG8KEs-Ob7f3M5atEVN9Yn7IeORGp0QGvggB62ELw"",""Maestro!A:I""),""SELECT Col8 WHERE Col3 = '""&amp;BD820&amp;""'"", 0), 1, 1),""NO ENCONTRADO"")"),"")</f>
        <v/>
      </c>
      <c r="BH820" s="12" t="str">
        <f>IFERROR(__xludf.DUMMYFUNCTION("IFERROR(INDEX(QUERY(IMPORTRANGE(""1T7HG8KEs-Ob7f3M5atEVN9Yn7IeORGp0QGvggB62ELw"",""Maestro!A:I""),""SELECT Col7 WHERE Col3 = '""&amp;BD820&amp;""'"", 0), 1, 1),""NO ENCONTRADO"")"),"")</f>
        <v/>
      </c>
      <c r="BI820" s="16">
        <f t="shared" si="15"/>
        <v>0</v>
      </c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4"/>
      <c r="BW820" s="14"/>
      <c r="BX820" s="14"/>
      <c r="BY820" s="14"/>
      <c r="BZ820" s="14"/>
      <c r="CA820" s="14"/>
      <c r="CB820" s="14"/>
      <c r="CC820" s="14"/>
      <c r="CD820" s="14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</row>
    <row r="821">
      <c r="A821" s="12"/>
      <c r="B821" s="14"/>
      <c r="C821" s="14"/>
      <c r="D821" s="14"/>
      <c r="E821" s="12"/>
      <c r="F821" s="307"/>
      <c r="G821" s="307"/>
      <c r="H821" s="12"/>
      <c r="I821" s="30"/>
      <c r="J821" s="12"/>
      <c r="K821" s="12"/>
      <c r="L821" s="12"/>
      <c r="M821" s="12"/>
      <c r="N821" s="12"/>
      <c r="O821" s="308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4"/>
      <c r="BE821" s="12"/>
      <c r="BF821" s="12"/>
      <c r="BG821" s="12" t="str">
        <f>IFERROR(__xludf.DUMMYFUNCTION("IFERROR(INDEX(QUERY(IMPORTRANGE(""1T7HG8KEs-Ob7f3M5atEVN9Yn7IeORGp0QGvggB62ELw"",""Maestro!A:I""),""SELECT Col8 WHERE Col3 = '""&amp;BD821&amp;""'"", 0), 1, 1),""NO ENCONTRADO"")"),"")</f>
        <v/>
      </c>
      <c r="BH821" s="12" t="str">
        <f>IFERROR(__xludf.DUMMYFUNCTION("IFERROR(INDEX(QUERY(IMPORTRANGE(""1T7HG8KEs-Ob7f3M5atEVN9Yn7IeORGp0QGvggB62ELw"",""Maestro!A:I""),""SELECT Col7 WHERE Col3 = '""&amp;BD821&amp;""'"", 0), 1, 1),""NO ENCONTRADO"")"),"")</f>
        <v/>
      </c>
      <c r="BI821" s="16">
        <f t="shared" si="15"/>
        <v>0</v>
      </c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4"/>
      <c r="BW821" s="14"/>
      <c r="BX821" s="14"/>
      <c r="BY821" s="14"/>
      <c r="BZ821" s="14"/>
      <c r="CA821" s="14"/>
      <c r="CB821" s="14"/>
      <c r="CC821" s="14"/>
      <c r="CD821" s="14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</row>
    <row r="822">
      <c r="A822" s="12"/>
      <c r="B822" s="14"/>
      <c r="C822" s="14"/>
      <c r="D822" s="14"/>
      <c r="E822" s="12"/>
      <c r="F822" s="307"/>
      <c r="G822" s="307"/>
      <c r="H822" s="12"/>
      <c r="I822" s="30"/>
      <c r="J822" s="12"/>
      <c r="K822" s="12"/>
      <c r="L822" s="12"/>
      <c r="M822" s="12"/>
      <c r="N822" s="12"/>
      <c r="O822" s="308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4"/>
      <c r="BE822" s="12"/>
      <c r="BF822" s="12"/>
      <c r="BG822" s="12" t="str">
        <f>IFERROR(__xludf.DUMMYFUNCTION("IFERROR(INDEX(QUERY(IMPORTRANGE(""1T7HG8KEs-Ob7f3M5atEVN9Yn7IeORGp0QGvggB62ELw"",""Maestro!A:I""),""SELECT Col8 WHERE Col3 = '""&amp;BD822&amp;""'"", 0), 1, 1),""NO ENCONTRADO"")"),"")</f>
        <v/>
      </c>
      <c r="BH822" s="12" t="str">
        <f>IFERROR(__xludf.DUMMYFUNCTION("IFERROR(INDEX(QUERY(IMPORTRANGE(""1T7HG8KEs-Ob7f3M5atEVN9Yn7IeORGp0QGvggB62ELw"",""Maestro!A:I""),""SELECT Col7 WHERE Col3 = '""&amp;BD822&amp;""'"", 0), 1, 1),""NO ENCONTRADO"")"),"")</f>
        <v/>
      </c>
      <c r="BI822" s="16">
        <f t="shared" si="15"/>
        <v>0</v>
      </c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4"/>
      <c r="BW822" s="14"/>
      <c r="BX822" s="14"/>
      <c r="BY822" s="14"/>
      <c r="BZ822" s="14"/>
      <c r="CA822" s="14"/>
      <c r="CB822" s="14"/>
      <c r="CC822" s="14"/>
      <c r="CD822" s="14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</row>
    <row r="823">
      <c r="A823" s="12"/>
      <c r="B823" s="14"/>
      <c r="C823" s="14"/>
      <c r="D823" s="14"/>
      <c r="E823" s="12"/>
      <c r="F823" s="307"/>
      <c r="G823" s="307"/>
      <c r="H823" s="12"/>
      <c r="I823" s="30"/>
      <c r="J823" s="12"/>
      <c r="K823" s="12"/>
      <c r="L823" s="12"/>
      <c r="M823" s="12"/>
      <c r="N823" s="12"/>
      <c r="O823" s="308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4"/>
      <c r="BE823" s="12"/>
      <c r="BF823" s="12"/>
      <c r="BG823" s="12" t="str">
        <f>IFERROR(__xludf.DUMMYFUNCTION("IFERROR(INDEX(QUERY(IMPORTRANGE(""1T7HG8KEs-Ob7f3M5atEVN9Yn7IeORGp0QGvggB62ELw"",""Maestro!A:I""),""SELECT Col8 WHERE Col3 = '""&amp;BD823&amp;""'"", 0), 1, 1),""NO ENCONTRADO"")"),"")</f>
        <v/>
      </c>
      <c r="BH823" s="12" t="str">
        <f>IFERROR(__xludf.DUMMYFUNCTION("IFERROR(INDEX(QUERY(IMPORTRANGE(""1T7HG8KEs-Ob7f3M5atEVN9Yn7IeORGp0QGvggB62ELw"",""Maestro!A:I""),""SELECT Col7 WHERE Col3 = '""&amp;BD823&amp;""'"", 0), 1, 1),""NO ENCONTRADO"")"),"")</f>
        <v/>
      </c>
      <c r="BI823" s="16">
        <f t="shared" si="15"/>
        <v>0</v>
      </c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4"/>
      <c r="BW823" s="14"/>
      <c r="BX823" s="14"/>
      <c r="BY823" s="14"/>
      <c r="BZ823" s="14"/>
      <c r="CA823" s="14"/>
      <c r="CB823" s="14"/>
      <c r="CC823" s="14"/>
      <c r="CD823" s="14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</row>
    <row r="824">
      <c r="A824" s="12"/>
      <c r="B824" s="14"/>
      <c r="C824" s="14"/>
      <c r="D824" s="14"/>
      <c r="E824" s="12"/>
      <c r="F824" s="307"/>
      <c r="G824" s="307"/>
      <c r="H824" s="12"/>
      <c r="I824" s="30"/>
      <c r="J824" s="12"/>
      <c r="K824" s="12"/>
      <c r="L824" s="12"/>
      <c r="M824" s="12"/>
      <c r="N824" s="12"/>
      <c r="O824" s="308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4"/>
      <c r="BE824" s="12"/>
      <c r="BF824" s="12"/>
      <c r="BG824" s="12" t="str">
        <f>IFERROR(__xludf.DUMMYFUNCTION("IFERROR(INDEX(QUERY(IMPORTRANGE(""1T7HG8KEs-Ob7f3M5atEVN9Yn7IeORGp0QGvggB62ELw"",""Maestro!A:I""),""SELECT Col8 WHERE Col3 = '""&amp;BD824&amp;""'"", 0), 1, 1),""NO ENCONTRADO"")"),"")</f>
        <v/>
      </c>
      <c r="BH824" s="12" t="str">
        <f>IFERROR(__xludf.DUMMYFUNCTION("IFERROR(INDEX(QUERY(IMPORTRANGE(""1T7HG8KEs-Ob7f3M5atEVN9Yn7IeORGp0QGvggB62ELw"",""Maestro!A:I""),""SELECT Col7 WHERE Col3 = '""&amp;BD824&amp;""'"", 0), 1, 1),""NO ENCONTRADO"")"),"")</f>
        <v/>
      </c>
      <c r="BI824" s="16">
        <f t="shared" si="15"/>
        <v>0</v>
      </c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4"/>
      <c r="BW824" s="14"/>
      <c r="BX824" s="14"/>
      <c r="BY824" s="14"/>
      <c r="BZ824" s="14"/>
      <c r="CA824" s="14"/>
      <c r="CB824" s="14"/>
      <c r="CC824" s="14"/>
      <c r="CD824" s="14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</row>
    <row r="825">
      <c r="A825" s="12"/>
      <c r="B825" s="14"/>
      <c r="C825" s="14"/>
      <c r="D825" s="14"/>
      <c r="E825" s="12"/>
      <c r="F825" s="307"/>
      <c r="G825" s="307"/>
      <c r="H825" s="12"/>
      <c r="I825" s="30"/>
      <c r="J825" s="12"/>
      <c r="K825" s="12"/>
      <c r="L825" s="12"/>
      <c r="M825" s="12"/>
      <c r="N825" s="12"/>
      <c r="O825" s="308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4"/>
      <c r="BE825" s="12"/>
      <c r="BF825" s="12"/>
      <c r="BG825" s="12" t="str">
        <f>IFERROR(__xludf.DUMMYFUNCTION("IFERROR(INDEX(QUERY(IMPORTRANGE(""1T7HG8KEs-Ob7f3M5atEVN9Yn7IeORGp0QGvggB62ELw"",""Maestro!A:I""),""SELECT Col8 WHERE Col3 = '""&amp;BD825&amp;""'"", 0), 1, 1),""NO ENCONTRADO"")"),"")</f>
        <v/>
      </c>
      <c r="BH825" s="12" t="str">
        <f>IFERROR(__xludf.DUMMYFUNCTION("IFERROR(INDEX(QUERY(IMPORTRANGE(""1T7HG8KEs-Ob7f3M5atEVN9Yn7IeORGp0QGvggB62ELw"",""Maestro!A:I""),""SELECT Col7 WHERE Col3 = '""&amp;BD825&amp;""'"", 0), 1, 1),""NO ENCONTRADO"")"),"")</f>
        <v/>
      </c>
      <c r="BI825" s="16">
        <f t="shared" si="15"/>
        <v>0</v>
      </c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4"/>
      <c r="BW825" s="14"/>
      <c r="BX825" s="14"/>
      <c r="BY825" s="14"/>
      <c r="BZ825" s="14"/>
      <c r="CA825" s="14"/>
      <c r="CB825" s="14"/>
      <c r="CC825" s="14"/>
      <c r="CD825" s="14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</row>
    <row r="826">
      <c r="A826" s="12"/>
      <c r="B826" s="14"/>
      <c r="C826" s="14"/>
      <c r="D826" s="14"/>
      <c r="E826" s="12"/>
      <c r="F826" s="307"/>
      <c r="G826" s="307"/>
      <c r="H826" s="12"/>
      <c r="I826" s="30"/>
      <c r="J826" s="12"/>
      <c r="K826" s="12"/>
      <c r="L826" s="12"/>
      <c r="M826" s="12"/>
      <c r="N826" s="12"/>
      <c r="O826" s="308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4"/>
      <c r="BE826" s="12"/>
      <c r="BF826" s="12"/>
      <c r="BG826" s="12" t="str">
        <f>IFERROR(__xludf.DUMMYFUNCTION("IFERROR(INDEX(QUERY(IMPORTRANGE(""1T7HG8KEs-Ob7f3M5atEVN9Yn7IeORGp0QGvggB62ELw"",""Maestro!A:I""),""SELECT Col8 WHERE Col3 = '""&amp;BD826&amp;""'"", 0), 1, 1),""NO ENCONTRADO"")"),"")</f>
        <v/>
      </c>
      <c r="BH826" s="12" t="str">
        <f>IFERROR(__xludf.DUMMYFUNCTION("IFERROR(INDEX(QUERY(IMPORTRANGE(""1T7HG8KEs-Ob7f3M5atEVN9Yn7IeORGp0QGvggB62ELw"",""Maestro!A:I""),""SELECT Col7 WHERE Col3 = '""&amp;BD826&amp;""'"", 0), 1, 1),""NO ENCONTRADO"")"),"")</f>
        <v/>
      </c>
      <c r="BI826" s="16">
        <f t="shared" si="15"/>
        <v>0</v>
      </c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4"/>
      <c r="BW826" s="14"/>
      <c r="BX826" s="14"/>
      <c r="BY826" s="14"/>
      <c r="BZ826" s="14"/>
      <c r="CA826" s="14"/>
      <c r="CB826" s="14"/>
      <c r="CC826" s="14"/>
      <c r="CD826" s="14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</row>
    <row r="827">
      <c r="A827" s="12"/>
      <c r="B827" s="14"/>
      <c r="C827" s="14"/>
      <c r="D827" s="14"/>
      <c r="E827" s="12"/>
      <c r="F827" s="307"/>
      <c r="G827" s="307"/>
      <c r="H827" s="12"/>
      <c r="I827" s="30"/>
      <c r="J827" s="12"/>
      <c r="K827" s="12"/>
      <c r="L827" s="12"/>
      <c r="M827" s="12"/>
      <c r="N827" s="12"/>
      <c r="O827" s="308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4"/>
      <c r="BE827" s="12"/>
      <c r="BF827" s="12"/>
      <c r="BG827" s="12" t="str">
        <f>IFERROR(__xludf.DUMMYFUNCTION("IFERROR(INDEX(QUERY(IMPORTRANGE(""1T7HG8KEs-Ob7f3M5atEVN9Yn7IeORGp0QGvggB62ELw"",""Maestro!A:I""),""SELECT Col8 WHERE Col3 = '""&amp;BD827&amp;""'"", 0), 1, 1),""NO ENCONTRADO"")"),"")</f>
        <v/>
      </c>
      <c r="BH827" s="12" t="str">
        <f>IFERROR(__xludf.DUMMYFUNCTION("IFERROR(INDEX(QUERY(IMPORTRANGE(""1T7HG8KEs-Ob7f3M5atEVN9Yn7IeORGp0QGvggB62ELw"",""Maestro!A:I""),""SELECT Col7 WHERE Col3 = '""&amp;BD827&amp;""'"", 0), 1, 1),""NO ENCONTRADO"")"),"")</f>
        <v/>
      </c>
      <c r="BI827" s="16">
        <f t="shared" si="15"/>
        <v>0</v>
      </c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4"/>
      <c r="BW827" s="14"/>
      <c r="BX827" s="14"/>
      <c r="BY827" s="14"/>
      <c r="BZ827" s="14"/>
      <c r="CA827" s="14"/>
      <c r="CB827" s="14"/>
      <c r="CC827" s="14"/>
      <c r="CD827" s="14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</row>
    <row r="828">
      <c r="A828" s="12"/>
      <c r="B828" s="14"/>
      <c r="C828" s="14"/>
      <c r="D828" s="14"/>
      <c r="E828" s="12"/>
      <c r="F828" s="307"/>
      <c r="G828" s="307"/>
      <c r="H828" s="12"/>
      <c r="I828" s="30"/>
      <c r="J828" s="12"/>
      <c r="K828" s="12"/>
      <c r="L828" s="12"/>
      <c r="M828" s="12"/>
      <c r="N828" s="12"/>
      <c r="O828" s="308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4"/>
      <c r="BE828" s="12"/>
      <c r="BF828" s="12"/>
      <c r="BG828" s="12" t="str">
        <f>IFERROR(__xludf.DUMMYFUNCTION("IFERROR(INDEX(QUERY(IMPORTRANGE(""1T7HG8KEs-Ob7f3M5atEVN9Yn7IeORGp0QGvggB62ELw"",""Maestro!A:I""),""SELECT Col8 WHERE Col3 = '""&amp;BD828&amp;""'"", 0), 1, 1),""NO ENCONTRADO"")"),"")</f>
        <v/>
      </c>
      <c r="BH828" s="12" t="str">
        <f>IFERROR(__xludf.DUMMYFUNCTION("IFERROR(INDEX(QUERY(IMPORTRANGE(""1T7HG8KEs-Ob7f3M5atEVN9Yn7IeORGp0QGvggB62ELw"",""Maestro!A:I""),""SELECT Col7 WHERE Col3 = '""&amp;BD828&amp;""'"", 0), 1, 1),""NO ENCONTRADO"")"),"")</f>
        <v/>
      </c>
      <c r="BI828" s="16">
        <f t="shared" si="15"/>
        <v>0</v>
      </c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4"/>
      <c r="BW828" s="14"/>
      <c r="BX828" s="14"/>
      <c r="BY828" s="14"/>
      <c r="BZ828" s="14"/>
      <c r="CA828" s="14"/>
      <c r="CB828" s="14"/>
      <c r="CC828" s="14"/>
      <c r="CD828" s="14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</row>
    <row r="829">
      <c r="A829" s="12"/>
      <c r="B829" s="14"/>
      <c r="C829" s="14"/>
      <c r="D829" s="14"/>
      <c r="E829" s="12"/>
      <c r="F829" s="307"/>
      <c r="G829" s="307"/>
      <c r="H829" s="12"/>
      <c r="I829" s="30"/>
      <c r="J829" s="12"/>
      <c r="K829" s="12"/>
      <c r="L829" s="12"/>
      <c r="M829" s="12"/>
      <c r="N829" s="12"/>
      <c r="O829" s="308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4"/>
      <c r="BE829" s="12"/>
      <c r="BF829" s="12"/>
      <c r="BG829" s="12" t="str">
        <f>IFERROR(__xludf.DUMMYFUNCTION("IFERROR(INDEX(QUERY(IMPORTRANGE(""1T7HG8KEs-Ob7f3M5atEVN9Yn7IeORGp0QGvggB62ELw"",""Maestro!A:I""),""SELECT Col8 WHERE Col3 = '""&amp;BD829&amp;""'"", 0), 1, 1),""NO ENCONTRADO"")"),"")</f>
        <v/>
      </c>
      <c r="BH829" s="12" t="str">
        <f>IFERROR(__xludf.DUMMYFUNCTION("IFERROR(INDEX(QUERY(IMPORTRANGE(""1T7HG8KEs-Ob7f3M5atEVN9Yn7IeORGp0QGvggB62ELw"",""Maestro!A:I""),""SELECT Col7 WHERE Col3 = '""&amp;BD829&amp;""'"", 0), 1, 1),""NO ENCONTRADO"")"),"")</f>
        <v/>
      </c>
      <c r="BI829" s="16">
        <f t="shared" si="15"/>
        <v>0</v>
      </c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4"/>
      <c r="BW829" s="14"/>
      <c r="BX829" s="14"/>
      <c r="BY829" s="14"/>
      <c r="BZ829" s="14"/>
      <c r="CA829" s="14"/>
      <c r="CB829" s="14"/>
      <c r="CC829" s="14"/>
      <c r="CD829" s="14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</row>
    <row r="830">
      <c r="A830" s="12"/>
      <c r="B830" s="14"/>
      <c r="C830" s="14"/>
      <c r="D830" s="14"/>
      <c r="E830" s="12"/>
      <c r="F830" s="307"/>
      <c r="G830" s="307"/>
      <c r="H830" s="12"/>
      <c r="I830" s="30"/>
      <c r="J830" s="12"/>
      <c r="K830" s="12"/>
      <c r="L830" s="12"/>
      <c r="M830" s="12"/>
      <c r="N830" s="12"/>
      <c r="O830" s="308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4"/>
      <c r="BE830" s="12"/>
      <c r="BF830" s="12"/>
      <c r="BG830" s="12" t="str">
        <f>IFERROR(__xludf.DUMMYFUNCTION("IFERROR(INDEX(QUERY(IMPORTRANGE(""1T7HG8KEs-Ob7f3M5atEVN9Yn7IeORGp0QGvggB62ELw"",""Maestro!A:I""),""SELECT Col8 WHERE Col3 = '""&amp;BD830&amp;""'"", 0), 1, 1),""NO ENCONTRADO"")"),"")</f>
        <v/>
      </c>
      <c r="BH830" s="12" t="str">
        <f>IFERROR(__xludf.DUMMYFUNCTION("IFERROR(INDEX(QUERY(IMPORTRANGE(""1T7HG8KEs-Ob7f3M5atEVN9Yn7IeORGp0QGvggB62ELw"",""Maestro!A:I""),""SELECT Col7 WHERE Col3 = '""&amp;BD830&amp;""'"", 0), 1, 1),""NO ENCONTRADO"")"),"")</f>
        <v/>
      </c>
      <c r="BI830" s="16">
        <f t="shared" si="15"/>
        <v>0</v>
      </c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4"/>
      <c r="BW830" s="14"/>
      <c r="BX830" s="14"/>
      <c r="BY830" s="14"/>
      <c r="BZ830" s="14"/>
      <c r="CA830" s="14"/>
      <c r="CB830" s="14"/>
      <c r="CC830" s="14"/>
      <c r="CD830" s="14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</row>
    <row r="831">
      <c r="A831" s="12"/>
      <c r="B831" s="14"/>
      <c r="C831" s="14"/>
      <c r="D831" s="14"/>
      <c r="E831" s="12"/>
      <c r="F831" s="307"/>
      <c r="G831" s="307"/>
      <c r="H831" s="12"/>
      <c r="I831" s="30"/>
      <c r="J831" s="12"/>
      <c r="K831" s="12"/>
      <c r="L831" s="12"/>
      <c r="M831" s="12"/>
      <c r="N831" s="12"/>
      <c r="O831" s="308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4"/>
      <c r="BE831" s="12"/>
      <c r="BF831" s="12"/>
      <c r="BG831" s="12" t="str">
        <f>IFERROR(__xludf.DUMMYFUNCTION("IFERROR(INDEX(QUERY(IMPORTRANGE(""1T7HG8KEs-Ob7f3M5atEVN9Yn7IeORGp0QGvggB62ELw"",""Maestro!A:I""),""SELECT Col8 WHERE Col3 = '""&amp;BD831&amp;""'"", 0), 1, 1),""NO ENCONTRADO"")"),"")</f>
        <v/>
      </c>
      <c r="BH831" s="12" t="str">
        <f>IFERROR(__xludf.DUMMYFUNCTION("IFERROR(INDEX(QUERY(IMPORTRANGE(""1T7HG8KEs-Ob7f3M5atEVN9Yn7IeORGp0QGvggB62ELw"",""Maestro!A:I""),""SELECT Col7 WHERE Col3 = '""&amp;BD831&amp;""'"", 0), 1, 1),""NO ENCONTRADO"")"),"")</f>
        <v/>
      </c>
      <c r="BI831" s="16">
        <f t="shared" si="15"/>
        <v>0</v>
      </c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4"/>
      <c r="BW831" s="14"/>
      <c r="BX831" s="14"/>
      <c r="BY831" s="14"/>
      <c r="BZ831" s="14"/>
      <c r="CA831" s="14"/>
      <c r="CB831" s="14"/>
      <c r="CC831" s="14"/>
      <c r="CD831" s="14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</row>
    <row r="832">
      <c r="A832" s="12"/>
      <c r="B832" s="14"/>
      <c r="C832" s="14"/>
      <c r="D832" s="14"/>
      <c r="E832" s="12"/>
      <c r="F832" s="307"/>
      <c r="G832" s="307"/>
      <c r="H832" s="12"/>
      <c r="I832" s="30"/>
      <c r="J832" s="12"/>
      <c r="K832" s="12"/>
      <c r="L832" s="12"/>
      <c r="M832" s="12"/>
      <c r="N832" s="12"/>
      <c r="O832" s="308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4"/>
      <c r="BE832" s="12"/>
      <c r="BF832" s="12"/>
      <c r="BG832" s="12" t="str">
        <f>IFERROR(__xludf.DUMMYFUNCTION("IFERROR(INDEX(QUERY(IMPORTRANGE(""1T7HG8KEs-Ob7f3M5atEVN9Yn7IeORGp0QGvggB62ELw"",""Maestro!A:I""),""SELECT Col8 WHERE Col3 = '""&amp;BD832&amp;""'"", 0), 1, 1),""NO ENCONTRADO"")"),"")</f>
        <v/>
      </c>
      <c r="BH832" s="12" t="str">
        <f>IFERROR(__xludf.DUMMYFUNCTION("IFERROR(INDEX(QUERY(IMPORTRANGE(""1T7HG8KEs-Ob7f3M5atEVN9Yn7IeORGp0QGvggB62ELw"",""Maestro!A:I""),""SELECT Col7 WHERE Col3 = '""&amp;BD832&amp;""'"", 0), 1, 1),""NO ENCONTRADO"")"),"")</f>
        <v/>
      </c>
      <c r="BI832" s="16">
        <f t="shared" si="15"/>
        <v>0</v>
      </c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4"/>
      <c r="BW832" s="14"/>
      <c r="BX832" s="14"/>
      <c r="BY832" s="14"/>
      <c r="BZ832" s="14"/>
      <c r="CA832" s="14"/>
      <c r="CB832" s="14"/>
      <c r="CC832" s="14"/>
      <c r="CD832" s="14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</row>
    <row r="833">
      <c r="A833" s="12"/>
      <c r="B833" s="14"/>
      <c r="C833" s="14"/>
      <c r="D833" s="14"/>
      <c r="E833" s="12"/>
      <c r="F833" s="307"/>
      <c r="G833" s="307"/>
      <c r="H833" s="12"/>
      <c r="I833" s="30"/>
      <c r="J833" s="12"/>
      <c r="K833" s="12"/>
      <c r="L833" s="12"/>
      <c r="M833" s="12"/>
      <c r="N833" s="12"/>
      <c r="O833" s="308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4"/>
      <c r="BE833" s="12"/>
      <c r="BF833" s="12"/>
      <c r="BG833" s="12" t="str">
        <f>IFERROR(__xludf.DUMMYFUNCTION("IFERROR(INDEX(QUERY(IMPORTRANGE(""1T7HG8KEs-Ob7f3M5atEVN9Yn7IeORGp0QGvggB62ELw"",""Maestro!A:I""),""SELECT Col8 WHERE Col3 = '""&amp;BD833&amp;""'"", 0), 1, 1),""NO ENCONTRADO"")"),"")</f>
        <v/>
      </c>
      <c r="BH833" s="12" t="str">
        <f>IFERROR(__xludf.DUMMYFUNCTION("IFERROR(INDEX(QUERY(IMPORTRANGE(""1T7HG8KEs-Ob7f3M5atEVN9Yn7IeORGp0QGvggB62ELw"",""Maestro!A:I""),""SELECT Col7 WHERE Col3 = '""&amp;BD833&amp;""'"", 0), 1, 1),""NO ENCONTRADO"")"),"")</f>
        <v/>
      </c>
      <c r="BI833" s="16">
        <f t="shared" si="15"/>
        <v>0</v>
      </c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4"/>
      <c r="BW833" s="14"/>
      <c r="BX833" s="14"/>
      <c r="BY833" s="14"/>
      <c r="BZ833" s="14"/>
      <c r="CA833" s="14"/>
      <c r="CB833" s="14"/>
      <c r="CC833" s="14"/>
      <c r="CD833" s="14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</row>
    <row r="834">
      <c r="A834" s="12"/>
      <c r="B834" s="14"/>
      <c r="C834" s="14"/>
      <c r="D834" s="14"/>
      <c r="E834" s="12"/>
      <c r="F834" s="307"/>
      <c r="G834" s="307"/>
      <c r="H834" s="12"/>
      <c r="I834" s="30"/>
      <c r="J834" s="12"/>
      <c r="K834" s="12"/>
      <c r="L834" s="12"/>
      <c r="M834" s="12"/>
      <c r="N834" s="12"/>
      <c r="O834" s="308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4"/>
      <c r="BE834" s="12"/>
      <c r="BF834" s="12"/>
      <c r="BG834" s="12" t="str">
        <f>IFERROR(__xludf.DUMMYFUNCTION("IFERROR(INDEX(QUERY(IMPORTRANGE(""1T7HG8KEs-Ob7f3M5atEVN9Yn7IeORGp0QGvggB62ELw"",""Maestro!A:I""),""SELECT Col8 WHERE Col3 = '""&amp;BD834&amp;""'"", 0), 1, 1),""NO ENCONTRADO"")"),"")</f>
        <v/>
      </c>
      <c r="BH834" s="12" t="str">
        <f>IFERROR(__xludf.DUMMYFUNCTION("IFERROR(INDEX(QUERY(IMPORTRANGE(""1T7HG8KEs-Ob7f3M5atEVN9Yn7IeORGp0QGvggB62ELw"",""Maestro!A:I""),""SELECT Col7 WHERE Col3 = '""&amp;BD834&amp;""'"", 0), 1, 1),""NO ENCONTRADO"")"),"")</f>
        <v/>
      </c>
      <c r="BI834" s="16">
        <f t="shared" si="15"/>
        <v>0</v>
      </c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4"/>
      <c r="BW834" s="14"/>
      <c r="BX834" s="14"/>
      <c r="BY834" s="14"/>
      <c r="BZ834" s="14"/>
      <c r="CA834" s="14"/>
      <c r="CB834" s="14"/>
      <c r="CC834" s="14"/>
      <c r="CD834" s="14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</row>
    <row r="835">
      <c r="A835" s="12"/>
      <c r="B835" s="14"/>
      <c r="C835" s="14"/>
      <c r="D835" s="14"/>
      <c r="E835" s="12"/>
      <c r="F835" s="307"/>
      <c r="G835" s="307"/>
      <c r="H835" s="12"/>
      <c r="I835" s="30"/>
      <c r="J835" s="12"/>
      <c r="K835" s="12"/>
      <c r="L835" s="12"/>
      <c r="M835" s="12"/>
      <c r="N835" s="12"/>
      <c r="O835" s="308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4"/>
      <c r="BE835" s="12"/>
      <c r="BF835" s="12"/>
      <c r="BG835" s="12" t="str">
        <f>IFERROR(__xludf.DUMMYFUNCTION("IFERROR(INDEX(QUERY(IMPORTRANGE(""1T7HG8KEs-Ob7f3M5atEVN9Yn7IeORGp0QGvggB62ELw"",""Maestro!A:I""),""SELECT Col8 WHERE Col3 = '""&amp;BD835&amp;""'"", 0), 1, 1),""NO ENCONTRADO"")"),"")</f>
        <v/>
      </c>
      <c r="BH835" s="12" t="str">
        <f>IFERROR(__xludf.DUMMYFUNCTION("IFERROR(INDEX(QUERY(IMPORTRANGE(""1T7HG8KEs-Ob7f3M5atEVN9Yn7IeORGp0QGvggB62ELw"",""Maestro!A:I""),""SELECT Col7 WHERE Col3 = '""&amp;BD835&amp;""'"", 0), 1, 1),""NO ENCONTRADO"")"),"")</f>
        <v/>
      </c>
      <c r="BI835" s="16">
        <f t="shared" si="15"/>
        <v>0</v>
      </c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4"/>
      <c r="BW835" s="14"/>
      <c r="BX835" s="14"/>
      <c r="BY835" s="14"/>
      <c r="BZ835" s="14"/>
      <c r="CA835" s="14"/>
      <c r="CB835" s="14"/>
      <c r="CC835" s="14"/>
      <c r="CD835" s="14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</row>
    <row r="836">
      <c r="A836" s="12"/>
      <c r="B836" s="14"/>
      <c r="C836" s="14"/>
      <c r="D836" s="14"/>
      <c r="E836" s="12"/>
      <c r="F836" s="307"/>
      <c r="G836" s="307"/>
      <c r="H836" s="12"/>
      <c r="I836" s="30"/>
      <c r="J836" s="12"/>
      <c r="K836" s="12"/>
      <c r="L836" s="12"/>
      <c r="M836" s="12"/>
      <c r="N836" s="12"/>
      <c r="O836" s="308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4"/>
      <c r="BE836" s="12"/>
      <c r="BF836" s="12"/>
      <c r="BG836" s="12" t="str">
        <f>IFERROR(__xludf.DUMMYFUNCTION("IFERROR(INDEX(QUERY(IMPORTRANGE(""1T7HG8KEs-Ob7f3M5atEVN9Yn7IeORGp0QGvggB62ELw"",""Maestro!A:I""),""SELECT Col8 WHERE Col3 = '""&amp;BD836&amp;""'"", 0), 1, 1),""NO ENCONTRADO"")"),"")</f>
        <v/>
      </c>
      <c r="BH836" s="12" t="str">
        <f>IFERROR(__xludf.DUMMYFUNCTION("IFERROR(INDEX(QUERY(IMPORTRANGE(""1T7HG8KEs-Ob7f3M5atEVN9Yn7IeORGp0QGvggB62ELw"",""Maestro!A:I""),""SELECT Col7 WHERE Col3 = '""&amp;BD836&amp;""'"", 0), 1, 1),""NO ENCONTRADO"")"),"")</f>
        <v/>
      </c>
      <c r="BI836" s="16">
        <f t="shared" si="15"/>
        <v>0</v>
      </c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4"/>
      <c r="BW836" s="14"/>
      <c r="BX836" s="14"/>
      <c r="BY836" s="14"/>
      <c r="BZ836" s="14"/>
      <c r="CA836" s="14"/>
      <c r="CB836" s="14"/>
      <c r="CC836" s="14"/>
      <c r="CD836" s="14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</row>
    <row r="837">
      <c r="A837" s="12"/>
      <c r="B837" s="14"/>
      <c r="C837" s="14"/>
      <c r="D837" s="14"/>
      <c r="E837" s="12"/>
      <c r="F837" s="307"/>
      <c r="G837" s="307"/>
      <c r="H837" s="12"/>
      <c r="I837" s="30"/>
      <c r="J837" s="12"/>
      <c r="K837" s="12"/>
      <c r="L837" s="12"/>
      <c r="M837" s="12"/>
      <c r="N837" s="12"/>
      <c r="O837" s="308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4"/>
      <c r="BE837" s="12"/>
      <c r="BF837" s="12"/>
      <c r="BG837" s="12" t="str">
        <f>IFERROR(__xludf.DUMMYFUNCTION("IFERROR(INDEX(QUERY(IMPORTRANGE(""1T7HG8KEs-Ob7f3M5atEVN9Yn7IeORGp0QGvggB62ELw"",""Maestro!A:I""),""SELECT Col8 WHERE Col3 = '""&amp;BD837&amp;""'"", 0), 1, 1),""NO ENCONTRADO"")"),"")</f>
        <v/>
      </c>
      <c r="BH837" s="12" t="str">
        <f>IFERROR(__xludf.DUMMYFUNCTION("IFERROR(INDEX(QUERY(IMPORTRANGE(""1T7HG8KEs-Ob7f3M5atEVN9Yn7IeORGp0QGvggB62ELw"",""Maestro!A:I""),""SELECT Col7 WHERE Col3 = '""&amp;BD837&amp;""'"", 0), 1, 1),""NO ENCONTRADO"")"),"")</f>
        <v/>
      </c>
      <c r="BI837" s="16">
        <f t="shared" si="15"/>
        <v>0</v>
      </c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4"/>
      <c r="BW837" s="14"/>
      <c r="BX837" s="14"/>
      <c r="BY837" s="14"/>
      <c r="BZ837" s="14"/>
      <c r="CA837" s="14"/>
      <c r="CB837" s="14"/>
      <c r="CC837" s="14"/>
      <c r="CD837" s="14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</row>
    <row r="838">
      <c r="A838" s="12"/>
      <c r="B838" s="14"/>
      <c r="C838" s="14"/>
      <c r="D838" s="14"/>
      <c r="E838" s="12"/>
      <c r="F838" s="307"/>
      <c r="G838" s="307"/>
      <c r="H838" s="12"/>
      <c r="I838" s="30"/>
      <c r="J838" s="12"/>
      <c r="K838" s="12"/>
      <c r="L838" s="12"/>
      <c r="M838" s="12"/>
      <c r="N838" s="12"/>
      <c r="O838" s="308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4"/>
      <c r="BE838" s="12"/>
      <c r="BF838" s="12"/>
      <c r="BG838" s="12" t="str">
        <f>IFERROR(__xludf.DUMMYFUNCTION("IFERROR(INDEX(QUERY(IMPORTRANGE(""1T7HG8KEs-Ob7f3M5atEVN9Yn7IeORGp0QGvggB62ELw"",""Maestro!A:I""),""SELECT Col8 WHERE Col3 = '""&amp;BD838&amp;""'"", 0), 1, 1),""NO ENCONTRADO"")"),"")</f>
        <v/>
      </c>
      <c r="BH838" s="12" t="str">
        <f>IFERROR(__xludf.DUMMYFUNCTION("IFERROR(INDEX(QUERY(IMPORTRANGE(""1T7HG8KEs-Ob7f3M5atEVN9Yn7IeORGp0QGvggB62ELw"",""Maestro!A:I""),""SELECT Col7 WHERE Col3 = '""&amp;BD838&amp;""'"", 0), 1, 1),""NO ENCONTRADO"")"),"")</f>
        <v/>
      </c>
      <c r="BI838" s="16">
        <f t="shared" si="15"/>
        <v>0</v>
      </c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4"/>
      <c r="BW838" s="14"/>
      <c r="BX838" s="14"/>
      <c r="BY838" s="14"/>
      <c r="BZ838" s="14"/>
      <c r="CA838" s="14"/>
      <c r="CB838" s="14"/>
      <c r="CC838" s="14"/>
      <c r="CD838" s="14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</row>
    <row r="839">
      <c r="A839" s="12"/>
      <c r="B839" s="14"/>
      <c r="C839" s="14"/>
      <c r="D839" s="14"/>
      <c r="E839" s="12"/>
      <c r="F839" s="307"/>
      <c r="G839" s="307"/>
      <c r="H839" s="12"/>
      <c r="I839" s="30"/>
      <c r="J839" s="12"/>
      <c r="K839" s="12"/>
      <c r="L839" s="12"/>
      <c r="M839" s="12"/>
      <c r="N839" s="12"/>
      <c r="O839" s="308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4"/>
      <c r="BE839" s="12"/>
      <c r="BF839" s="12"/>
      <c r="BG839" s="12" t="str">
        <f>IFERROR(__xludf.DUMMYFUNCTION("IFERROR(INDEX(QUERY(IMPORTRANGE(""1T7HG8KEs-Ob7f3M5atEVN9Yn7IeORGp0QGvggB62ELw"",""Maestro!A:I""),""SELECT Col8 WHERE Col3 = '""&amp;BD839&amp;""'"", 0), 1, 1),""NO ENCONTRADO"")"),"")</f>
        <v/>
      </c>
      <c r="BH839" s="12" t="str">
        <f>IFERROR(__xludf.DUMMYFUNCTION("IFERROR(INDEX(QUERY(IMPORTRANGE(""1T7HG8KEs-Ob7f3M5atEVN9Yn7IeORGp0QGvggB62ELw"",""Maestro!A:I""),""SELECT Col7 WHERE Col3 = '""&amp;BD839&amp;""'"", 0), 1, 1),""NO ENCONTRADO"")"),"")</f>
        <v/>
      </c>
      <c r="BI839" s="16">
        <f t="shared" si="15"/>
        <v>0</v>
      </c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4"/>
      <c r="BW839" s="14"/>
      <c r="BX839" s="14"/>
      <c r="BY839" s="14"/>
      <c r="BZ839" s="14"/>
      <c r="CA839" s="14"/>
      <c r="CB839" s="14"/>
      <c r="CC839" s="14"/>
      <c r="CD839" s="14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</row>
    <row r="840">
      <c r="A840" s="12"/>
      <c r="B840" s="14"/>
      <c r="C840" s="14"/>
      <c r="D840" s="14"/>
      <c r="E840" s="12"/>
      <c r="F840" s="307"/>
      <c r="G840" s="307"/>
      <c r="H840" s="12"/>
      <c r="I840" s="30"/>
      <c r="J840" s="12"/>
      <c r="K840" s="12"/>
      <c r="L840" s="12"/>
      <c r="M840" s="12"/>
      <c r="N840" s="12"/>
      <c r="O840" s="308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4"/>
      <c r="BE840" s="12"/>
      <c r="BF840" s="12"/>
      <c r="BG840" s="12" t="str">
        <f>IFERROR(__xludf.DUMMYFUNCTION("IFERROR(INDEX(QUERY(IMPORTRANGE(""1T7HG8KEs-Ob7f3M5atEVN9Yn7IeORGp0QGvggB62ELw"",""Maestro!A:I""),""SELECT Col8 WHERE Col3 = '""&amp;BD840&amp;""'"", 0), 1, 1),""NO ENCONTRADO"")"),"")</f>
        <v/>
      </c>
      <c r="BH840" s="12" t="str">
        <f>IFERROR(__xludf.DUMMYFUNCTION("IFERROR(INDEX(QUERY(IMPORTRANGE(""1T7HG8KEs-Ob7f3M5atEVN9Yn7IeORGp0QGvggB62ELw"",""Maestro!A:I""),""SELECT Col7 WHERE Col3 = '""&amp;BD840&amp;""'"", 0), 1, 1),""NO ENCONTRADO"")"),"")</f>
        <v/>
      </c>
      <c r="BI840" s="16">
        <f t="shared" si="15"/>
        <v>0</v>
      </c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4"/>
      <c r="BW840" s="14"/>
      <c r="BX840" s="14"/>
      <c r="BY840" s="14"/>
      <c r="BZ840" s="14"/>
      <c r="CA840" s="14"/>
      <c r="CB840" s="14"/>
      <c r="CC840" s="14"/>
      <c r="CD840" s="14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</row>
    <row r="841">
      <c r="A841" s="12"/>
      <c r="B841" s="14"/>
      <c r="C841" s="14"/>
      <c r="D841" s="14"/>
      <c r="E841" s="12"/>
      <c r="F841" s="307"/>
      <c r="G841" s="307"/>
      <c r="H841" s="12"/>
      <c r="I841" s="30"/>
      <c r="J841" s="12"/>
      <c r="K841" s="12"/>
      <c r="L841" s="12"/>
      <c r="M841" s="12"/>
      <c r="N841" s="12"/>
      <c r="O841" s="308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4"/>
      <c r="BE841" s="12"/>
      <c r="BF841" s="12"/>
      <c r="BG841" s="12" t="str">
        <f>IFERROR(__xludf.DUMMYFUNCTION("IFERROR(INDEX(QUERY(IMPORTRANGE(""1T7HG8KEs-Ob7f3M5atEVN9Yn7IeORGp0QGvggB62ELw"",""Maestro!A:I""),""SELECT Col8 WHERE Col3 = '""&amp;BD841&amp;""'"", 0), 1, 1),""NO ENCONTRADO"")"),"")</f>
        <v/>
      </c>
      <c r="BH841" s="12" t="str">
        <f>IFERROR(__xludf.DUMMYFUNCTION("IFERROR(INDEX(QUERY(IMPORTRANGE(""1T7HG8KEs-Ob7f3M5atEVN9Yn7IeORGp0QGvggB62ELw"",""Maestro!A:I""),""SELECT Col7 WHERE Col3 = '""&amp;BD841&amp;""'"", 0), 1, 1),""NO ENCONTRADO"")"),"")</f>
        <v/>
      </c>
      <c r="BI841" s="16">
        <f t="shared" si="15"/>
        <v>0</v>
      </c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4"/>
      <c r="BW841" s="14"/>
      <c r="BX841" s="14"/>
      <c r="BY841" s="14"/>
      <c r="BZ841" s="14"/>
      <c r="CA841" s="14"/>
      <c r="CB841" s="14"/>
      <c r="CC841" s="14"/>
      <c r="CD841" s="14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</row>
    <row r="842">
      <c r="A842" s="12"/>
      <c r="B842" s="14"/>
      <c r="C842" s="14"/>
      <c r="D842" s="14"/>
      <c r="E842" s="12"/>
      <c r="F842" s="307"/>
      <c r="G842" s="307"/>
      <c r="H842" s="12"/>
      <c r="I842" s="30"/>
      <c r="J842" s="12"/>
      <c r="K842" s="12"/>
      <c r="L842" s="12"/>
      <c r="M842" s="12"/>
      <c r="N842" s="12"/>
      <c r="O842" s="308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4"/>
      <c r="BE842" s="12"/>
      <c r="BF842" s="12"/>
      <c r="BG842" s="12" t="str">
        <f>IFERROR(__xludf.DUMMYFUNCTION("IFERROR(INDEX(QUERY(IMPORTRANGE(""1T7HG8KEs-Ob7f3M5atEVN9Yn7IeORGp0QGvggB62ELw"",""Maestro!A:I""),""SELECT Col8 WHERE Col3 = '""&amp;BD842&amp;""'"", 0), 1, 1),""NO ENCONTRADO"")"),"")</f>
        <v/>
      </c>
      <c r="BH842" s="12" t="str">
        <f>IFERROR(__xludf.DUMMYFUNCTION("IFERROR(INDEX(QUERY(IMPORTRANGE(""1T7HG8KEs-Ob7f3M5atEVN9Yn7IeORGp0QGvggB62ELw"",""Maestro!A:I""),""SELECT Col7 WHERE Col3 = '""&amp;BD842&amp;""'"", 0), 1, 1),""NO ENCONTRADO"")"),"")</f>
        <v/>
      </c>
      <c r="BI842" s="16">
        <f t="shared" si="15"/>
        <v>0</v>
      </c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4"/>
      <c r="BW842" s="14"/>
      <c r="BX842" s="14"/>
      <c r="BY842" s="14"/>
      <c r="BZ842" s="14"/>
      <c r="CA842" s="14"/>
      <c r="CB842" s="14"/>
      <c r="CC842" s="14"/>
      <c r="CD842" s="14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</row>
    <row r="843">
      <c r="A843" s="12"/>
      <c r="B843" s="14"/>
      <c r="C843" s="14"/>
      <c r="D843" s="14"/>
      <c r="E843" s="12"/>
      <c r="F843" s="307"/>
      <c r="G843" s="307"/>
      <c r="H843" s="12"/>
      <c r="I843" s="30"/>
      <c r="J843" s="12"/>
      <c r="K843" s="12"/>
      <c r="L843" s="12"/>
      <c r="M843" s="12"/>
      <c r="N843" s="12"/>
      <c r="O843" s="308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4"/>
      <c r="BE843" s="12"/>
      <c r="BF843" s="12"/>
      <c r="BG843" s="12" t="str">
        <f>IFERROR(__xludf.DUMMYFUNCTION("IFERROR(INDEX(QUERY(IMPORTRANGE(""1T7HG8KEs-Ob7f3M5atEVN9Yn7IeORGp0QGvggB62ELw"",""Maestro!A:I""),""SELECT Col8 WHERE Col3 = '""&amp;BD843&amp;""'"", 0), 1, 1),""NO ENCONTRADO"")"),"")</f>
        <v/>
      </c>
      <c r="BH843" s="12" t="str">
        <f>IFERROR(__xludf.DUMMYFUNCTION("IFERROR(INDEX(QUERY(IMPORTRANGE(""1T7HG8KEs-Ob7f3M5atEVN9Yn7IeORGp0QGvggB62ELw"",""Maestro!A:I""),""SELECT Col7 WHERE Col3 = '""&amp;BD843&amp;""'"", 0), 1, 1),""NO ENCONTRADO"")"),"")</f>
        <v/>
      </c>
      <c r="BI843" s="16">
        <f t="shared" si="15"/>
        <v>0</v>
      </c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4"/>
      <c r="BW843" s="14"/>
      <c r="BX843" s="14"/>
      <c r="BY843" s="14"/>
      <c r="BZ843" s="14"/>
      <c r="CA843" s="14"/>
      <c r="CB843" s="14"/>
      <c r="CC843" s="14"/>
      <c r="CD843" s="14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</row>
    <row r="844">
      <c r="A844" s="12"/>
      <c r="B844" s="14"/>
      <c r="C844" s="14"/>
      <c r="D844" s="14"/>
      <c r="E844" s="12"/>
      <c r="F844" s="307"/>
      <c r="G844" s="307"/>
      <c r="H844" s="12"/>
      <c r="I844" s="30"/>
      <c r="J844" s="12"/>
      <c r="K844" s="12"/>
      <c r="L844" s="12"/>
      <c r="M844" s="12"/>
      <c r="N844" s="12"/>
      <c r="O844" s="308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4"/>
      <c r="BE844" s="12"/>
      <c r="BF844" s="12"/>
      <c r="BG844" s="12" t="str">
        <f>IFERROR(__xludf.DUMMYFUNCTION("IFERROR(INDEX(QUERY(IMPORTRANGE(""1T7HG8KEs-Ob7f3M5atEVN9Yn7IeORGp0QGvggB62ELw"",""Maestro!A:I""),""SELECT Col8 WHERE Col3 = '""&amp;BD844&amp;""'"", 0), 1, 1),""NO ENCONTRADO"")"),"")</f>
        <v/>
      </c>
      <c r="BH844" s="12" t="str">
        <f>IFERROR(__xludf.DUMMYFUNCTION("IFERROR(INDEX(QUERY(IMPORTRANGE(""1T7HG8KEs-Ob7f3M5atEVN9Yn7IeORGp0QGvggB62ELw"",""Maestro!A:I""),""SELECT Col7 WHERE Col3 = '""&amp;BD844&amp;""'"", 0), 1, 1),""NO ENCONTRADO"")"),"")</f>
        <v/>
      </c>
      <c r="BI844" s="16">
        <f t="shared" si="15"/>
        <v>0</v>
      </c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4"/>
      <c r="BW844" s="14"/>
      <c r="BX844" s="14"/>
      <c r="BY844" s="14"/>
      <c r="BZ844" s="14"/>
      <c r="CA844" s="14"/>
      <c r="CB844" s="14"/>
      <c r="CC844" s="14"/>
      <c r="CD844" s="14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</row>
    <row r="845">
      <c r="A845" s="12"/>
      <c r="B845" s="14"/>
      <c r="C845" s="14"/>
      <c r="D845" s="14"/>
      <c r="E845" s="12"/>
      <c r="F845" s="307"/>
      <c r="G845" s="307"/>
      <c r="H845" s="12"/>
      <c r="I845" s="30"/>
      <c r="J845" s="12"/>
      <c r="K845" s="12"/>
      <c r="L845" s="12"/>
      <c r="M845" s="12"/>
      <c r="N845" s="12"/>
      <c r="O845" s="308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4"/>
      <c r="BE845" s="12"/>
      <c r="BF845" s="12"/>
      <c r="BG845" s="12" t="str">
        <f>IFERROR(__xludf.DUMMYFUNCTION("IFERROR(INDEX(QUERY(IMPORTRANGE(""1T7HG8KEs-Ob7f3M5atEVN9Yn7IeORGp0QGvggB62ELw"",""Maestro!A:I""),""SELECT Col8 WHERE Col3 = '""&amp;BD845&amp;""'"", 0), 1, 1),""NO ENCONTRADO"")"),"")</f>
        <v/>
      </c>
      <c r="BH845" s="12" t="str">
        <f>IFERROR(__xludf.DUMMYFUNCTION("IFERROR(INDEX(QUERY(IMPORTRANGE(""1T7HG8KEs-Ob7f3M5atEVN9Yn7IeORGp0QGvggB62ELw"",""Maestro!A:I""),""SELECT Col7 WHERE Col3 = '""&amp;BD845&amp;""'"", 0), 1, 1),""NO ENCONTRADO"")"),"")</f>
        <v/>
      </c>
      <c r="BI845" s="16">
        <f t="shared" si="15"/>
        <v>0</v>
      </c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4"/>
      <c r="BW845" s="14"/>
      <c r="BX845" s="14"/>
      <c r="BY845" s="14"/>
      <c r="BZ845" s="14"/>
      <c r="CA845" s="14"/>
      <c r="CB845" s="14"/>
      <c r="CC845" s="14"/>
      <c r="CD845" s="14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</row>
    <row r="846">
      <c r="A846" s="12"/>
      <c r="B846" s="14"/>
      <c r="C846" s="14"/>
      <c r="D846" s="14"/>
      <c r="E846" s="12"/>
      <c r="F846" s="307"/>
      <c r="G846" s="307"/>
      <c r="H846" s="12"/>
      <c r="I846" s="30"/>
      <c r="J846" s="12"/>
      <c r="K846" s="12"/>
      <c r="L846" s="12"/>
      <c r="M846" s="12"/>
      <c r="N846" s="12"/>
      <c r="O846" s="308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4"/>
      <c r="BE846" s="12"/>
      <c r="BF846" s="12"/>
      <c r="BG846" s="12" t="str">
        <f>IFERROR(__xludf.DUMMYFUNCTION("IFERROR(INDEX(QUERY(IMPORTRANGE(""1T7HG8KEs-Ob7f3M5atEVN9Yn7IeORGp0QGvggB62ELw"",""Maestro!A:I""),""SELECT Col8 WHERE Col3 = '""&amp;BD846&amp;""'"", 0), 1, 1),""NO ENCONTRADO"")"),"")</f>
        <v/>
      </c>
      <c r="BH846" s="12" t="str">
        <f>IFERROR(__xludf.DUMMYFUNCTION("IFERROR(INDEX(QUERY(IMPORTRANGE(""1T7HG8KEs-Ob7f3M5atEVN9Yn7IeORGp0QGvggB62ELw"",""Maestro!A:I""),""SELECT Col7 WHERE Col3 = '""&amp;BD846&amp;""'"", 0), 1, 1),""NO ENCONTRADO"")"),"")</f>
        <v/>
      </c>
      <c r="BI846" s="16">
        <f t="shared" si="15"/>
        <v>0</v>
      </c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4"/>
      <c r="BW846" s="14"/>
      <c r="BX846" s="14"/>
      <c r="BY846" s="14"/>
      <c r="BZ846" s="14"/>
      <c r="CA846" s="14"/>
      <c r="CB846" s="14"/>
      <c r="CC846" s="14"/>
      <c r="CD846" s="14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</row>
    <row r="847">
      <c r="A847" s="12"/>
      <c r="B847" s="14"/>
      <c r="C847" s="14"/>
      <c r="D847" s="14"/>
      <c r="E847" s="12"/>
      <c r="F847" s="307"/>
      <c r="G847" s="307"/>
      <c r="H847" s="12"/>
      <c r="I847" s="30"/>
      <c r="J847" s="12"/>
      <c r="K847" s="12"/>
      <c r="L847" s="12"/>
      <c r="M847" s="12"/>
      <c r="N847" s="12"/>
      <c r="O847" s="308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4"/>
      <c r="BE847" s="12"/>
      <c r="BF847" s="12"/>
      <c r="BG847" s="12" t="str">
        <f>IFERROR(__xludf.DUMMYFUNCTION("IFERROR(INDEX(QUERY(IMPORTRANGE(""1T7HG8KEs-Ob7f3M5atEVN9Yn7IeORGp0QGvggB62ELw"",""Maestro!A:I""),""SELECT Col8 WHERE Col3 = '""&amp;BD847&amp;""'"", 0), 1, 1),""NO ENCONTRADO"")"),"")</f>
        <v/>
      </c>
      <c r="BH847" s="12" t="str">
        <f>IFERROR(__xludf.DUMMYFUNCTION("IFERROR(INDEX(QUERY(IMPORTRANGE(""1T7HG8KEs-Ob7f3M5atEVN9Yn7IeORGp0QGvggB62ELw"",""Maestro!A:I""),""SELECT Col7 WHERE Col3 = '""&amp;BD847&amp;""'"", 0), 1, 1),""NO ENCONTRADO"")"),"")</f>
        <v/>
      </c>
      <c r="BI847" s="16">
        <f t="shared" si="15"/>
        <v>0</v>
      </c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4"/>
      <c r="BW847" s="14"/>
      <c r="BX847" s="14"/>
      <c r="BY847" s="14"/>
      <c r="BZ847" s="14"/>
      <c r="CA847" s="14"/>
      <c r="CB847" s="14"/>
      <c r="CC847" s="14"/>
      <c r="CD847" s="14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</row>
    <row r="848">
      <c r="A848" s="12"/>
      <c r="B848" s="14"/>
      <c r="C848" s="14"/>
      <c r="D848" s="14"/>
      <c r="E848" s="12"/>
      <c r="F848" s="307"/>
      <c r="G848" s="307"/>
      <c r="H848" s="12"/>
      <c r="I848" s="30"/>
      <c r="J848" s="12"/>
      <c r="K848" s="12"/>
      <c r="L848" s="12"/>
      <c r="M848" s="12"/>
      <c r="N848" s="12"/>
      <c r="O848" s="308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4"/>
      <c r="BE848" s="12"/>
      <c r="BF848" s="12"/>
      <c r="BG848" s="12" t="str">
        <f>IFERROR(__xludf.DUMMYFUNCTION("IFERROR(INDEX(QUERY(IMPORTRANGE(""1T7HG8KEs-Ob7f3M5atEVN9Yn7IeORGp0QGvggB62ELw"",""Maestro!A:I""),""SELECT Col8 WHERE Col3 = '""&amp;BD848&amp;""'"", 0), 1, 1),""NO ENCONTRADO"")"),"")</f>
        <v/>
      </c>
      <c r="BH848" s="12" t="str">
        <f>IFERROR(__xludf.DUMMYFUNCTION("IFERROR(INDEX(QUERY(IMPORTRANGE(""1T7HG8KEs-Ob7f3M5atEVN9Yn7IeORGp0QGvggB62ELw"",""Maestro!A:I""),""SELECT Col7 WHERE Col3 = '""&amp;BD848&amp;""'"", 0), 1, 1),""NO ENCONTRADO"")"),"")</f>
        <v/>
      </c>
      <c r="BI848" s="16">
        <f t="shared" si="15"/>
        <v>0</v>
      </c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4"/>
      <c r="BW848" s="14"/>
      <c r="BX848" s="14"/>
      <c r="BY848" s="14"/>
      <c r="BZ848" s="14"/>
      <c r="CA848" s="14"/>
      <c r="CB848" s="14"/>
      <c r="CC848" s="14"/>
      <c r="CD848" s="14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</row>
    <row r="849">
      <c r="A849" s="12"/>
      <c r="B849" s="14"/>
      <c r="C849" s="14"/>
      <c r="D849" s="14"/>
      <c r="E849" s="12"/>
      <c r="F849" s="307"/>
      <c r="G849" s="307"/>
      <c r="H849" s="12"/>
      <c r="I849" s="30"/>
      <c r="J849" s="12"/>
      <c r="K849" s="12"/>
      <c r="L849" s="12"/>
      <c r="M849" s="12"/>
      <c r="N849" s="12"/>
      <c r="O849" s="308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4"/>
      <c r="BE849" s="12"/>
      <c r="BF849" s="12"/>
      <c r="BG849" s="12" t="str">
        <f>IFERROR(__xludf.DUMMYFUNCTION("IFERROR(INDEX(QUERY(IMPORTRANGE(""1T7HG8KEs-Ob7f3M5atEVN9Yn7IeORGp0QGvggB62ELw"",""Maestro!A:I""),""SELECT Col8 WHERE Col3 = '""&amp;BD849&amp;""'"", 0), 1, 1),""NO ENCONTRADO"")"),"")</f>
        <v/>
      </c>
      <c r="BH849" s="12" t="str">
        <f>IFERROR(__xludf.DUMMYFUNCTION("IFERROR(INDEX(QUERY(IMPORTRANGE(""1T7HG8KEs-Ob7f3M5atEVN9Yn7IeORGp0QGvggB62ELw"",""Maestro!A:I""),""SELECT Col7 WHERE Col3 = '""&amp;BD849&amp;""'"", 0), 1, 1),""NO ENCONTRADO"")"),"")</f>
        <v/>
      </c>
      <c r="BI849" s="16">
        <f t="shared" si="15"/>
        <v>0</v>
      </c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4"/>
      <c r="BW849" s="14"/>
      <c r="BX849" s="14"/>
      <c r="BY849" s="14"/>
      <c r="BZ849" s="14"/>
      <c r="CA849" s="14"/>
      <c r="CB849" s="14"/>
      <c r="CC849" s="14"/>
      <c r="CD849" s="14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</row>
    <row r="850">
      <c r="A850" s="12"/>
      <c r="B850" s="14"/>
      <c r="C850" s="14"/>
      <c r="D850" s="14"/>
      <c r="E850" s="12"/>
      <c r="F850" s="307"/>
      <c r="G850" s="307"/>
      <c r="H850" s="12"/>
      <c r="I850" s="30"/>
      <c r="J850" s="12"/>
      <c r="K850" s="12"/>
      <c r="L850" s="12"/>
      <c r="M850" s="12"/>
      <c r="N850" s="12"/>
      <c r="O850" s="308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4"/>
      <c r="BE850" s="12"/>
      <c r="BF850" s="12"/>
      <c r="BG850" s="12" t="str">
        <f>IFERROR(__xludf.DUMMYFUNCTION("IFERROR(INDEX(QUERY(IMPORTRANGE(""1T7HG8KEs-Ob7f3M5atEVN9Yn7IeORGp0QGvggB62ELw"",""Maestro!A:I""),""SELECT Col8 WHERE Col3 = '""&amp;BD850&amp;""'"", 0), 1, 1),""NO ENCONTRADO"")"),"")</f>
        <v/>
      </c>
      <c r="BH850" s="12" t="str">
        <f>IFERROR(__xludf.DUMMYFUNCTION("IFERROR(INDEX(QUERY(IMPORTRANGE(""1T7HG8KEs-Ob7f3M5atEVN9Yn7IeORGp0QGvggB62ELw"",""Maestro!A:I""),""SELECT Col7 WHERE Col3 = '""&amp;BD850&amp;""'"", 0), 1, 1),""NO ENCONTRADO"")"),"")</f>
        <v/>
      </c>
      <c r="BI850" s="16">
        <f t="shared" si="15"/>
        <v>0</v>
      </c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4"/>
      <c r="BW850" s="14"/>
      <c r="BX850" s="14"/>
      <c r="BY850" s="14"/>
      <c r="BZ850" s="14"/>
      <c r="CA850" s="14"/>
      <c r="CB850" s="14"/>
      <c r="CC850" s="14"/>
      <c r="CD850" s="14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</row>
    <row r="851">
      <c r="A851" s="12"/>
      <c r="B851" s="14"/>
      <c r="C851" s="14"/>
      <c r="D851" s="14"/>
      <c r="E851" s="12"/>
      <c r="F851" s="307"/>
      <c r="G851" s="307"/>
      <c r="H851" s="12"/>
      <c r="I851" s="30"/>
      <c r="J851" s="12"/>
      <c r="K851" s="12"/>
      <c r="L851" s="12"/>
      <c r="M851" s="12"/>
      <c r="N851" s="12"/>
      <c r="O851" s="308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4"/>
      <c r="BE851" s="12"/>
      <c r="BF851" s="12"/>
      <c r="BG851" s="12" t="str">
        <f>IFERROR(__xludf.DUMMYFUNCTION("IFERROR(INDEX(QUERY(IMPORTRANGE(""1T7HG8KEs-Ob7f3M5atEVN9Yn7IeORGp0QGvggB62ELw"",""Maestro!A:I""),""SELECT Col8 WHERE Col3 = '""&amp;BD851&amp;""'"", 0), 1, 1),""NO ENCONTRADO"")"),"")</f>
        <v/>
      </c>
      <c r="BH851" s="12" t="str">
        <f>IFERROR(__xludf.DUMMYFUNCTION("IFERROR(INDEX(QUERY(IMPORTRANGE(""1T7HG8KEs-Ob7f3M5atEVN9Yn7IeORGp0QGvggB62ELw"",""Maestro!A:I""),""SELECT Col7 WHERE Col3 = '""&amp;BD851&amp;""'"", 0), 1, 1),""NO ENCONTRADO"")"),"")</f>
        <v/>
      </c>
      <c r="BI851" s="16">
        <f t="shared" si="15"/>
        <v>0</v>
      </c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4"/>
      <c r="BW851" s="14"/>
      <c r="BX851" s="14"/>
      <c r="BY851" s="14"/>
      <c r="BZ851" s="14"/>
      <c r="CA851" s="14"/>
      <c r="CB851" s="14"/>
      <c r="CC851" s="14"/>
      <c r="CD851" s="14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</row>
    <row r="852">
      <c r="A852" s="12"/>
      <c r="B852" s="14"/>
      <c r="C852" s="14"/>
      <c r="D852" s="14"/>
      <c r="E852" s="12"/>
      <c r="F852" s="307"/>
      <c r="G852" s="307"/>
      <c r="H852" s="12"/>
      <c r="I852" s="30"/>
      <c r="J852" s="12"/>
      <c r="K852" s="12"/>
      <c r="L852" s="12"/>
      <c r="M852" s="12"/>
      <c r="N852" s="12"/>
      <c r="O852" s="308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4"/>
      <c r="BE852" s="12"/>
      <c r="BF852" s="12"/>
      <c r="BG852" s="12" t="str">
        <f>IFERROR(__xludf.DUMMYFUNCTION("IFERROR(INDEX(QUERY(IMPORTRANGE(""1T7HG8KEs-Ob7f3M5atEVN9Yn7IeORGp0QGvggB62ELw"",""Maestro!A:I""),""SELECT Col8 WHERE Col3 = '""&amp;BD852&amp;""'"", 0), 1, 1),""NO ENCONTRADO"")"),"")</f>
        <v/>
      </c>
      <c r="BH852" s="12" t="str">
        <f>IFERROR(__xludf.DUMMYFUNCTION("IFERROR(INDEX(QUERY(IMPORTRANGE(""1T7HG8KEs-Ob7f3M5atEVN9Yn7IeORGp0QGvggB62ELw"",""Maestro!A:I""),""SELECT Col7 WHERE Col3 = '""&amp;BD852&amp;""'"", 0), 1, 1),""NO ENCONTRADO"")"),"")</f>
        <v/>
      </c>
      <c r="BI852" s="16">
        <f t="shared" si="15"/>
        <v>0</v>
      </c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4"/>
      <c r="BW852" s="14"/>
      <c r="BX852" s="14"/>
      <c r="BY852" s="14"/>
      <c r="BZ852" s="14"/>
      <c r="CA852" s="14"/>
      <c r="CB852" s="14"/>
      <c r="CC852" s="14"/>
      <c r="CD852" s="14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</row>
    <row r="853">
      <c r="A853" s="12"/>
      <c r="B853" s="14"/>
      <c r="C853" s="14"/>
      <c r="D853" s="14"/>
      <c r="E853" s="12"/>
      <c r="F853" s="307"/>
      <c r="G853" s="307"/>
      <c r="H853" s="12"/>
      <c r="I853" s="30"/>
      <c r="J853" s="12"/>
      <c r="K853" s="12"/>
      <c r="L853" s="12"/>
      <c r="M853" s="12"/>
      <c r="N853" s="12"/>
      <c r="O853" s="308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4"/>
      <c r="BE853" s="12"/>
      <c r="BF853" s="12"/>
      <c r="BG853" s="12" t="str">
        <f>IFERROR(__xludf.DUMMYFUNCTION("IFERROR(INDEX(QUERY(IMPORTRANGE(""1T7HG8KEs-Ob7f3M5atEVN9Yn7IeORGp0QGvggB62ELw"",""Maestro!A:I""),""SELECT Col8 WHERE Col3 = '""&amp;BD853&amp;""'"", 0), 1, 1),""NO ENCONTRADO"")"),"")</f>
        <v/>
      </c>
      <c r="BH853" s="12" t="str">
        <f>IFERROR(__xludf.DUMMYFUNCTION("IFERROR(INDEX(QUERY(IMPORTRANGE(""1T7HG8KEs-Ob7f3M5atEVN9Yn7IeORGp0QGvggB62ELw"",""Maestro!A:I""),""SELECT Col7 WHERE Col3 = '""&amp;BD853&amp;""'"", 0), 1, 1),""NO ENCONTRADO"")"),"")</f>
        <v/>
      </c>
      <c r="BI853" s="16">
        <f t="shared" si="15"/>
        <v>0</v>
      </c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4"/>
      <c r="BW853" s="14"/>
      <c r="BX853" s="14"/>
      <c r="BY853" s="14"/>
      <c r="BZ853" s="14"/>
      <c r="CA853" s="14"/>
      <c r="CB853" s="14"/>
      <c r="CC853" s="14"/>
      <c r="CD853" s="14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</row>
    <row r="854">
      <c r="A854" s="12"/>
      <c r="B854" s="14"/>
      <c r="C854" s="14"/>
      <c r="D854" s="14"/>
      <c r="E854" s="12"/>
      <c r="F854" s="307"/>
      <c r="G854" s="307"/>
      <c r="H854" s="12"/>
      <c r="I854" s="30"/>
      <c r="J854" s="12"/>
      <c r="K854" s="12"/>
      <c r="L854" s="12"/>
      <c r="M854" s="12"/>
      <c r="N854" s="12"/>
      <c r="O854" s="308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4"/>
      <c r="BE854" s="12"/>
      <c r="BF854" s="12"/>
      <c r="BG854" s="12" t="str">
        <f>IFERROR(__xludf.DUMMYFUNCTION("IFERROR(INDEX(QUERY(IMPORTRANGE(""1T7HG8KEs-Ob7f3M5atEVN9Yn7IeORGp0QGvggB62ELw"",""Maestro!A:I""),""SELECT Col8 WHERE Col3 = '""&amp;BD854&amp;""'"", 0), 1, 1),""NO ENCONTRADO"")"),"")</f>
        <v/>
      </c>
      <c r="BH854" s="12" t="str">
        <f>IFERROR(__xludf.DUMMYFUNCTION("IFERROR(INDEX(QUERY(IMPORTRANGE(""1T7HG8KEs-Ob7f3M5atEVN9Yn7IeORGp0QGvggB62ELw"",""Maestro!A:I""),""SELECT Col7 WHERE Col3 = '""&amp;BD854&amp;""'"", 0), 1, 1),""NO ENCONTRADO"")"),"")</f>
        <v/>
      </c>
      <c r="BI854" s="16">
        <f t="shared" si="15"/>
        <v>0</v>
      </c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4"/>
      <c r="BW854" s="14"/>
      <c r="BX854" s="14"/>
      <c r="BY854" s="14"/>
      <c r="BZ854" s="14"/>
      <c r="CA854" s="14"/>
      <c r="CB854" s="14"/>
      <c r="CC854" s="14"/>
      <c r="CD854" s="14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</row>
    <row r="855">
      <c r="A855" s="12"/>
      <c r="B855" s="14"/>
      <c r="C855" s="14"/>
      <c r="D855" s="14"/>
      <c r="E855" s="12"/>
      <c r="F855" s="307"/>
      <c r="G855" s="307"/>
      <c r="H855" s="12"/>
      <c r="I855" s="30"/>
      <c r="J855" s="12"/>
      <c r="K855" s="12"/>
      <c r="L855" s="12"/>
      <c r="M855" s="12"/>
      <c r="N855" s="12"/>
      <c r="O855" s="308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4"/>
      <c r="BE855" s="12"/>
      <c r="BF855" s="12"/>
      <c r="BG855" s="12" t="str">
        <f>IFERROR(__xludf.DUMMYFUNCTION("IFERROR(INDEX(QUERY(IMPORTRANGE(""1T7HG8KEs-Ob7f3M5atEVN9Yn7IeORGp0QGvggB62ELw"",""Maestro!A:I""),""SELECT Col8 WHERE Col3 = '""&amp;BD855&amp;""'"", 0), 1, 1),""NO ENCONTRADO"")"),"")</f>
        <v/>
      </c>
      <c r="BH855" s="12" t="str">
        <f>IFERROR(__xludf.DUMMYFUNCTION("IFERROR(INDEX(QUERY(IMPORTRANGE(""1T7HG8KEs-Ob7f3M5atEVN9Yn7IeORGp0QGvggB62ELw"",""Maestro!A:I""),""SELECT Col7 WHERE Col3 = '""&amp;BD855&amp;""'"", 0), 1, 1),""NO ENCONTRADO"")"),"")</f>
        <v/>
      </c>
      <c r="BI855" s="16">
        <f t="shared" si="15"/>
        <v>0</v>
      </c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4"/>
      <c r="BW855" s="14"/>
      <c r="BX855" s="14"/>
      <c r="BY855" s="14"/>
      <c r="BZ855" s="14"/>
      <c r="CA855" s="14"/>
      <c r="CB855" s="14"/>
      <c r="CC855" s="14"/>
      <c r="CD855" s="14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</row>
    <row r="856">
      <c r="A856" s="12"/>
      <c r="B856" s="14"/>
      <c r="C856" s="14"/>
      <c r="D856" s="14"/>
      <c r="E856" s="12"/>
      <c r="F856" s="307"/>
      <c r="G856" s="307"/>
      <c r="H856" s="12"/>
      <c r="I856" s="30"/>
      <c r="J856" s="12"/>
      <c r="K856" s="12"/>
      <c r="L856" s="12"/>
      <c r="M856" s="12"/>
      <c r="N856" s="12"/>
      <c r="O856" s="308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4"/>
      <c r="BE856" s="12"/>
      <c r="BF856" s="12"/>
      <c r="BG856" s="12" t="str">
        <f>IFERROR(__xludf.DUMMYFUNCTION("IFERROR(INDEX(QUERY(IMPORTRANGE(""1T7HG8KEs-Ob7f3M5atEVN9Yn7IeORGp0QGvggB62ELw"",""Maestro!A:I""),""SELECT Col8 WHERE Col3 = '""&amp;BD856&amp;""'"", 0), 1, 1),""NO ENCONTRADO"")"),"")</f>
        <v/>
      </c>
      <c r="BH856" s="12" t="str">
        <f>IFERROR(__xludf.DUMMYFUNCTION("IFERROR(INDEX(QUERY(IMPORTRANGE(""1T7HG8KEs-Ob7f3M5atEVN9Yn7IeORGp0QGvggB62ELw"",""Maestro!A:I""),""SELECT Col7 WHERE Col3 = '""&amp;BD856&amp;""'"", 0), 1, 1),""NO ENCONTRADO"")"),"")</f>
        <v/>
      </c>
      <c r="BI856" s="16">
        <f t="shared" si="15"/>
        <v>0</v>
      </c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4"/>
      <c r="BW856" s="14"/>
      <c r="BX856" s="14"/>
      <c r="BY856" s="14"/>
      <c r="BZ856" s="14"/>
      <c r="CA856" s="14"/>
      <c r="CB856" s="14"/>
      <c r="CC856" s="14"/>
      <c r="CD856" s="14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</row>
    <row r="857">
      <c r="A857" s="12"/>
      <c r="B857" s="14"/>
      <c r="C857" s="14"/>
      <c r="D857" s="14"/>
      <c r="E857" s="12"/>
      <c r="F857" s="307"/>
      <c r="G857" s="307"/>
      <c r="H857" s="12"/>
      <c r="I857" s="30"/>
      <c r="J857" s="12"/>
      <c r="K857" s="12"/>
      <c r="L857" s="12"/>
      <c r="M857" s="12"/>
      <c r="N857" s="12"/>
      <c r="O857" s="308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4"/>
      <c r="BE857" s="12"/>
      <c r="BF857" s="12"/>
      <c r="BG857" s="12" t="str">
        <f>IFERROR(__xludf.DUMMYFUNCTION("IFERROR(INDEX(QUERY(IMPORTRANGE(""1T7HG8KEs-Ob7f3M5atEVN9Yn7IeORGp0QGvggB62ELw"",""Maestro!A:I""),""SELECT Col8 WHERE Col3 = '""&amp;BD857&amp;""'"", 0), 1, 1),""NO ENCONTRADO"")"),"")</f>
        <v/>
      </c>
      <c r="BH857" s="12" t="str">
        <f>IFERROR(__xludf.DUMMYFUNCTION("IFERROR(INDEX(QUERY(IMPORTRANGE(""1T7HG8KEs-Ob7f3M5atEVN9Yn7IeORGp0QGvggB62ELw"",""Maestro!A:I""),""SELECT Col7 WHERE Col3 = '""&amp;BD857&amp;""'"", 0), 1, 1),""NO ENCONTRADO"")"),"")</f>
        <v/>
      </c>
      <c r="BI857" s="16">
        <f t="shared" si="15"/>
        <v>0</v>
      </c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4"/>
      <c r="BW857" s="14"/>
      <c r="BX857" s="14"/>
      <c r="BY857" s="14"/>
      <c r="BZ857" s="14"/>
      <c r="CA857" s="14"/>
      <c r="CB857" s="14"/>
      <c r="CC857" s="14"/>
      <c r="CD857" s="14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</row>
    <row r="858">
      <c r="A858" s="12"/>
      <c r="B858" s="14"/>
      <c r="C858" s="14"/>
      <c r="D858" s="14"/>
      <c r="E858" s="12"/>
      <c r="F858" s="307"/>
      <c r="G858" s="307"/>
      <c r="H858" s="12"/>
      <c r="I858" s="30"/>
      <c r="J858" s="12"/>
      <c r="K858" s="12"/>
      <c r="L858" s="12"/>
      <c r="M858" s="12"/>
      <c r="N858" s="12"/>
      <c r="O858" s="308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4"/>
      <c r="BE858" s="12"/>
      <c r="BF858" s="12"/>
      <c r="BG858" s="12" t="str">
        <f>IFERROR(__xludf.DUMMYFUNCTION("IFERROR(INDEX(QUERY(IMPORTRANGE(""1T7HG8KEs-Ob7f3M5atEVN9Yn7IeORGp0QGvggB62ELw"",""Maestro!A:I""),""SELECT Col8 WHERE Col3 = '""&amp;BD858&amp;""'"", 0), 1, 1),""NO ENCONTRADO"")"),"")</f>
        <v/>
      </c>
      <c r="BH858" s="12" t="str">
        <f>IFERROR(__xludf.DUMMYFUNCTION("IFERROR(INDEX(QUERY(IMPORTRANGE(""1T7HG8KEs-Ob7f3M5atEVN9Yn7IeORGp0QGvggB62ELw"",""Maestro!A:I""),""SELECT Col7 WHERE Col3 = '""&amp;BD858&amp;""'"", 0), 1, 1),""NO ENCONTRADO"")"),"")</f>
        <v/>
      </c>
      <c r="BI858" s="16">
        <f t="shared" si="15"/>
        <v>0</v>
      </c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4"/>
      <c r="BW858" s="14"/>
      <c r="BX858" s="14"/>
      <c r="BY858" s="14"/>
      <c r="BZ858" s="14"/>
      <c r="CA858" s="14"/>
      <c r="CB858" s="14"/>
      <c r="CC858" s="14"/>
      <c r="CD858" s="14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</row>
    <row r="859">
      <c r="A859" s="12"/>
      <c r="B859" s="14"/>
      <c r="C859" s="14"/>
      <c r="D859" s="14"/>
      <c r="E859" s="12"/>
      <c r="F859" s="307"/>
      <c r="G859" s="307"/>
      <c r="H859" s="12"/>
      <c r="I859" s="30"/>
      <c r="J859" s="12"/>
      <c r="K859" s="12"/>
      <c r="L859" s="12"/>
      <c r="M859" s="12"/>
      <c r="N859" s="12"/>
      <c r="O859" s="308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4"/>
      <c r="BE859" s="12"/>
      <c r="BF859" s="12"/>
      <c r="BG859" s="12" t="str">
        <f>IFERROR(__xludf.DUMMYFUNCTION("IFERROR(INDEX(QUERY(IMPORTRANGE(""1T7HG8KEs-Ob7f3M5atEVN9Yn7IeORGp0QGvggB62ELw"",""Maestro!A:I""),""SELECT Col8 WHERE Col3 = '""&amp;BD859&amp;""'"", 0), 1, 1),""NO ENCONTRADO"")"),"")</f>
        <v/>
      </c>
      <c r="BH859" s="12" t="str">
        <f>IFERROR(__xludf.DUMMYFUNCTION("IFERROR(INDEX(QUERY(IMPORTRANGE(""1T7HG8KEs-Ob7f3M5atEVN9Yn7IeORGp0QGvggB62ELw"",""Maestro!A:I""),""SELECT Col7 WHERE Col3 = '""&amp;BD859&amp;""'"", 0), 1, 1),""NO ENCONTRADO"")"),"")</f>
        <v/>
      </c>
      <c r="BI859" s="16">
        <f t="shared" si="15"/>
        <v>0</v>
      </c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4"/>
      <c r="BW859" s="14"/>
      <c r="BX859" s="14"/>
      <c r="BY859" s="14"/>
      <c r="BZ859" s="14"/>
      <c r="CA859" s="14"/>
      <c r="CB859" s="14"/>
      <c r="CC859" s="14"/>
      <c r="CD859" s="14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</row>
    <row r="860">
      <c r="A860" s="12"/>
      <c r="B860" s="14"/>
      <c r="C860" s="14"/>
      <c r="D860" s="14"/>
      <c r="E860" s="12"/>
      <c r="F860" s="307"/>
      <c r="G860" s="307"/>
      <c r="H860" s="12"/>
      <c r="I860" s="30"/>
      <c r="J860" s="12"/>
      <c r="K860" s="12"/>
      <c r="L860" s="12"/>
      <c r="M860" s="12"/>
      <c r="N860" s="12"/>
      <c r="O860" s="308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4"/>
      <c r="BE860" s="12"/>
      <c r="BF860" s="12"/>
      <c r="BG860" s="12" t="str">
        <f>IFERROR(__xludf.DUMMYFUNCTION("IFERROR(INDEX(QUERY(IMPORTRANGE(""1T7HG8KEs-Ob7f3M5atEVN9Yn7IeORGp0QGvggB62ELw"",""Maestro!A:I""),""SELECT Col8 WHERE Col3 = '""&amp;BD860&amp;""'"", 0), 1, 1),""NO ENCONTRADO"")"),"")</f>
        <v/>
      </c>
      <c r="BH860" s="12" t="str">
        <f>IFERROR(__xludf.DUMMYFUNCTION("IFERROR(INDEX(QUERY(IMPORTRANGE(""1T7HG8KEs-Ob7f3M5atEVN9Yn7IeORGp0QGvggB62ELw"",""Maestro!A:I""),""SELECT Col7 WHERE Col3 = '""&amp;BD860&amp;""'"", 0), 1, 1),""NO ENCONTRADO"")"),"")</f>
        <v/>
      </c>
      <c r="BI860" s="16">
        <f t="shared" si="15"/>
        <v>0</v>
      </c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4"/>
      <c r="BW860" s="14"/>
      <c r="BX860" s="14"/>
      <c r="BY860" s="14"/>
      <c r="BZ860" s="14"/>
      <c r="CA860" s="14"/>
      <c r="CB860" s="14"/>
      <c r="CC860" s="14"/>
      <c r="CD860" s="14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</row>
    <row r="861">
      <c r="A861" s="12"/>
      <c r="B861" s="14"/>
      <c r="C861" s="14"/>
      <c r="D861" s="14"/>
      <c r="E861" s="12"/>
      <c r="F861" s="307"/>
      <c r="G861" s="307"/>
      <c r="H861" s="12"/>
      <c r="I861" s="30"/>
      <c r="J861" s="12"/>
      <c r="K861" s="12"/>
      <c r="L861" s="12"/>
      <c r="M861" s="12"/>
      <c r="N861" s="12"/>
      <c r="O861" s="308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4"/>
      <c r="BE861" s="12"/>
      <c r="BF861" s="12"/>
      <c r="BG861" s="12" t="str">
        <f>IFERROR(__xludf.DUMMYFUNCTION("IFERROR(INDEX(QUERY(IMPORTRANGE(""1T7HG8KEs-Ob7f3M5atEVN9Yn7IeORGp0QGvggB62ELw"",""Maestro!A:I""),""SELECT Col8 WHERE Col3 = '""&amp;BD861&amp;""'"", 0), 1, 1),""NO ENCONTRADO"")"),"")</f>
        <v/>
      </c>
      <c r="BH861" s="12" t="str">
        <f>IFERROR(__xludf.DUMMYFUNCTION("IFERROR(INDEX(QUERY(IMPORTRANGE(""1T7HG8KEs-Ob7f3M5atEVN9Yn7IeORGp0QGvggB62ELw"",""Maestro!A:I""),""SELECT Col7 WHERE Col3 = '""&amp;BD861&amp;""'"", 0), 1, 1),""NO ENCONTRADO"")"),"")</f>
        <v/>
      </c>
      <c r="BI861" s="16">
        <f t="shared" si="15"/>
        <v>0</v>
      </c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4"/>
      <c r="BW861" s="14"/>
      <c r="BX861" s="14"/>
      <c r="BY861" s="14"/>
      <c r="BZ861" s="14"/>
      <c r="CA861" s="14"/>
      <c r="CB861" s="14"/>
      <c r="CC861" s="14"/>
      <c r="CD861" s="14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</row>
    <row r="862">
      <c r="A862" s="12"/>
      <c r="B862" s="14"/>
      <c r="C862" s="14"/>
      <c r="D862" s="14"/>
      <c r="E862" s="12"/>
      <c r="F862" s="307"/>
      <c r="G862" s="307"/>
      <c r="H862" s="12"/>
      <c r="I862" s="30"/>
      <c r="J862" s="12"/>
      <c r="K862" s="12"/>
      <c r="L862" s="12"/>
      <c r="M862" s="12"/>
      <c r="N862" s="12"/>
      <c r="O862" s="308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4"/>
      <c r="BE862" s="12"/>
      <c r="BF862" s="12"/>
      <c r="BG862" s="12" t="str">
        <f>IFERROR(__xludf.DUMMYFUNCTION("IFERROR(INDEX(QUERY(IMPORTRANGE(""1T7HG8KEs-Ob7f3M5atEVN9Yn7IeORGp0QGvggB62ELw"",""Maestro!A:I""),""SELECT Col8 WHERE Col3 = '""&amp;BD862&amp;""'"", 0), 1, 1),""NO ENCONTRADO"")"),"")</f>
        <v/>
      </c>
      <c r="BH862" s="12" t="str">
        <f>IFERROR(__xludf.DUMMYFUNCTION("IFERROR(INDEX(QUERY(IMPORTRANGE(""1T7HG8KEs-Ob7f3M5atEVN9Yn7IeORGp0QGvggB62ELw"",""Maestro!A:I""),""SELECT Col7 WHERE Col3 = '""&amp;BD862&amp;""'"", 0), 1, 1),""NO ENCONTRADO"")"),"")</f>
        <v/>
      </c>
      <c r="BI862" s="16">
        <f t="shared" si="15"/>
        <v>0</v>
      </c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4"/>
      <c r="BW862" s="14"/>
      <c r="BX862" s="14"/>
      <c r="BY862" s="14"/>
      <c r="BZ862" s="14"/>
      <c r="CA862" s="14"/>
      <c r="CB862" s="14"/>
      <c r="CC862" s="14"/>
      <c r="CD862" s="14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</row>
    <row r="863">
      <c r="A863" s="12"/>
      <c r="B863" s="14"/>
      <c r="C863" s="14"/>
      <c r="D863" s="14"/>
      <c r="E863" s="12"/>
      <c r="F863" s="307"/>
      <c r="G863" s="307"/>
      <c r="H863" s="12"/>
      <c r="I863" s="30"/>
      <c r="J863" s="12"/>
      <c r="K863" s="12"/>
      <c r="L863" s="12"/>
      <c r="M863" s="12"/>
      <c r="N863" s="12"/>
      <c r="O863" s="308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4"/>
      <c r="BE863" s="12"/>
      <c r="BF863" s="12"/>
      <c r="BG863" s="12" t="str">
        <f>IFERROR(__xludf.DUMMYFUNCTION("IFERROR(INDEX(QUERY(IMPORTRANGE(""1T7HG8KEs-Ob7f3M5atEVN9Yn7IeORGp0QGvggB62ELw"",""Maestro!A:I""),""SELECT Col8 WHERE Col3 = '""&amp;BD863&amp;""'"", 0), 1, 1),""NO ENCONTRADO"")"),"")</f>
        <v/>
      </c>
      <c r="BH863" s="12" t="str">
        <f>IFERROR(__xludf.DUMMYFUNCTION("IFERROR(INDEX(QUERY(IMPORTRANGE(""1T7HG8KEs-Ob7f3M5atEVN9Yn7IeORGp0QGvggB62ELw"",""Maestro!A:I""),""SELECT Col7 WHERE Col3 = '""&amp;BD863&amp;""'"", 0), 1, 1),""NO ENCONTRADO"")"),"")</f>
        <v/>
      </c>
      <c r="BI863" s="16">
        <f t="shared" si="15"/>
        <v>0</v>
      </c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4"/>
      <c r="BW863" s="14"/>
      <c r="BX863" s="14"/>
      <c r="BY863" s="14"/>
      <c r="BZ863" s="14"/>
      <c r="CA863" s="14"/>
      <c r="CB863" s="14"/>
      <c r="CC863" s="14"/>
      <c r="CD863" s="14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</row>
    <row r="864">
      <c r="A864" s="12"/>
      <c r="B864" s="14"/>
      <c r="C864" s="14"/>
      <c r="D864" s="14"/>
      <c r="E864" s="12"/>
      <c r="F864" s="307"/>
      <c r="G864" s="307"/>
      <c r="H864" s="12"/>
      <c r="I864" s="30"/>
      <c r="J864" s="12"/>
      <c r="K864" s="12"/>
      <c r="L864" s="12"/>
      <c r="M864" s="12"/>
      <c r="N864" s="12"/>
      <c r="O864" s="308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4"/>
      <c r="BE864" s="12"/>
      <c r="BF864" s="12"/>
      <c r="BG864" s="12" t="str">
        <f>IFERROR(__xludf.DUMMYFUNCTION("IFERROR(INDEX(QUERY(IMPORTRANGE(""1T7HG8KEs-Ob7f3M5atEVN9Yn7IeORGp0QGvggB62ELw"",""Maestro!A:I""),""SELECT Col8 WHERE Col3 = '""&amp;BD864&amp;""'"", 0), 1, 1),""NO ENCONTRADO"")"),"")</f>
        <v/>
      </c>
      <c r="BH864" s="12" t="str">
        <f>IFERROR(__xludf.DUMMYFUNCTION("IFERROR(INDEX(QUERY(IMPORTRANGE(""1T7HG8KEs-Ob7f3M5atEVN9Yn7IeORGp0QGvggB62ELw"",""Maestro!A:I""),""SELECT Col7 WHERE Col3 = '""&amp;BD864&amp;""'"", 0), 1, 1),""NO ENCONTRADO"")"),"")</f>
        <v/>
      </c>
      <c r="BI864" s="16">
        <f t="shared" si="15"/>
        <v>0</v>
      </c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4"/>
      <c r="BW864" s="14"/>
      <c r="BX864" s="14"/>
      <c r="BY864" s="14"/>
      <c r="BZ864" s="14"/>
      <c r="CA864" s="14"/>
      <c r="CB864" s="14"/>
      <c r="CC864" s="14"/>
      <c r="CD864" s="14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</row>
    <row r="865">
      <c r="A865" s="12"/>
      <c r="B865" s="14"/>
      <c r="C865" s="14"/>
      <c r="D865" s="14"/>
      <c r="E865" s="12"/>
      <c r="F865" s="307"/>
      <c r="G865" s="307"/>
      <c r="H865" s="12"/>
      <c r="I865" s="30"/>
      <c r="J865" s="12"/>
      <c r="K865" s="12"/>
      <c r="L865" s="12"/>
      <c r="M865" s="12"/>
      <c r="N865" s="12"/>
      <c r="O865" s="308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4"/>
      <c r="BE865" s="12"/>
      <c r="BF865" s="12"/>
      <c r="BG865" s="12" t="str">
        <f>IFERROR(__xludf.DUMMYFUNCTION("IFERROR(INDEX(QUERY(IMPORTRANGE(""1T7HG8KEs-Ob7f3M5atEVN9Yn7IeORGp0QGvggB62ELw"",""Maestro!A:I""),""SELECT Col8 WHERE Col3 = '""&amp;BD865&amp;""'"", 0), 1, 1),""NO ENCONTRADO"")"),"")</f>
        <v/>
      </c>
      <c r="BH865" s="12" t="str">
        <f>IFERROR(__xludf.DUMMYFUNCTION("IFERROR(INDEX(QUERY(IMPORTRANGE(""1T7HG8KEs-Ob7f3M5atEVN9Yn7IeORGp0QGvggB62ELw"",""Maestro!A:I""),""SELECT Col7 WHERE Col3 = '""&amp;BD865&amp;""'"", 0), 1, 1),""NO ENCONTRADO"")"),"")</f>
        <v/>
      </c>
      <c r="BI865" s="16">
        <f t="shared" si="15"/>
        <v>0</v>
      </c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4"/>
      <c r="BW865" s="14"/>
      <c r="BX865" s="14"/>
      <c r="BY865" s="14"/>
      <c r="BZ865" s="14"/>
      <c r="CA865" s="14"/>
      <c r="CB865" s="14"/>
      <c r="CC865" s="14"/>
      <c r="CD865" s="14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</row>
    <row r="866">
      <c r="A866" s="12"/>
      <c r="B866" s="14"/>
      <c r="C866" s="14"/>
      <c r="D866" s="14"/>
      <c r="E866" s="12"/>
      <c r="F866" s="307"/>
      <c r="G866" s="307"/>
      <c r="H866" s="12"/>
      <c r="I866" s="30"/>
      <c r="J866" s="12"/>
      <c r="K866" s="12"/>
      <c r="L866" s="12"/>
      <c r="M866" s="12"/>
      <c r="N866" s="12"/>
      <c r="O866" s="308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4"/>
      <c r="BE866" s="12"/>
      <c r="BF866" s="12"/>
      <c r="BG866" s="12" t="str">
        <f>IFERROR(__xludf.DUMMYFUNCTION("IFERROR(INDEX(QUERY(IMPORTRANGE(""1T7HG8KEs-Ob7f3M5atEVN9Yn7IeORGp0QGvggB62ELw"",""Maestro!A:I""),""SELECT Col8 WHERE Col3 = '""&amp;BD866&amp;""'"", 0), 1, 1),""NO ENCONTRADO"")"),"")</f>
        <v/>
      </c>
      <c r="BH866" s="12" t="str">
        <f>IFERROR(__xludf.DUMMYFUNCTION("IFERROR(INDEX(QUERY(IMPORTRANGE(""1T7HG8KEs-Ob7f3M5atEVN9Yn7IeORGp0QGvggB62ELw"",""Maestro!A:I""),""SELECT Col7 WHERE Col3 = '""&amp;BD866&amp;""'"", 0), 1, 1),""NO ENCONTRADO"")"),"")</f>
        <v/>
      </c>
      <c r="BI866" s="16">
        <f t="shared" si="15"/>
        <v>0</v>
      </c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4"/>
      <c r="BW866" s="14"/>
      <c r="BX866" s="14"/>
      <c r="BY866" s="14"/>
      <c r="BZ866" s="14"/>
      <c r="CA866" s="14"/>
      <c r="CB866" s="14"/>
      <c r="CC866" s="14"/>
      <c r="CD866" s="14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</row>
    <row r="867">
      <c r="A867" s="12"/>
      <c r="B867" s="14"/>
      <c r="C867" s="14"/>
      <c r="D867" s="14"/>
      <c r="E867" s="12"/>
      <c r="F867" s="307"/>
      <c r="G867" s="307"/>
      <c r="H867" s="12"/>
      <c r="I867" s="30"/>
      <c r="J867" s="12"/>
      <c r="K867" s="12"/>
      <c r="L867" s="12"/>
      <c r="M867" s="12"/>
      <c r="N867" s="12"/>
      <c r="O867" s="308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4"/>
      <c r="BE867" s="12"/>
      <c r="BF867" s="12"/>
      <c r="BG867" s="12" t="str">
        <f>IFERROR(__xludf.DUMMYFUNCTION("IFERROR(INDEX(QUERY(IMPORTRANGE(""1T7HG8KEs-Ob7f3M5atEVN9Yn7IeORGp0QGvggB62ELw"",""Maestro!A:I""),""SELECT Col8 WHERE Col3 = '""&amp;BD867&amp;""'"", 0), 1, 1),""NO ENCONTRADO"")"),"")</f>
        <v/>
      </c>
      <c r="BH867" s="12" t="str">
        <f>IFERROR(__xludf.DUMMYFUNCTION("IFERROR(INDEX(QUERY(IMPORTRANGE(""1T7HG8KEs-Ob7f3M5atEVN9Yn7IeORGp0QGvggB62ELw"",""Maestro!A:I""),""SELECT Col7 WHERE Col3 = '""&amp;BD867&amp;""'"", 0), 1, 1),""NO ENCONTRADO"")"),"")</f>
        <v/>
      </c>
      <c r="BI867" s="16">
        <f t="shared" si="15"/>
        <v>0</v>
      </c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4"/>
      <c r="BW867" s="14"/>
      <c r="BX867" s="14"/>
      <c r="BY867" s="14"/>
      <c r="BZ867" s="14"/>
      <c r="CA867" s="14"/>
      <c r="CB867" s="14"/>
      <c r="CC867" s="14"/>
      <c r="CD867" s="14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</row>
    <row r="868">
      <c r="A868" s="12"/>
      <c r="B868" s="14"/>
      <c r="C868" s="14"/>
      <c r="D868" s="14"/>
      <c r="E868" s="12"/>
      <c r="F868" s="307"/>
      <c r="G868" s="307"/>
      <c r="H868" s="12"/>
      <c r="I868" s="30"/>
      <c r="J868" s="12"/>
      <c r="K868" s="12"/>
      <c r="L868" s="12"/>
      <c r="M868" s="12"/>
      <c r="N868" s="12"/>
      <c r="O868" s="308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4"/>
      <c r="BE868" s="12"/>
      <c r="BF868" s="12"/>
      <c r="BG868" s="12" t="str">
        <f>IFERROR(__xludf.DUMMYFUNCTION("IFERROR(INDEX(QUERY(IMPORTRANGE(""1T7HG8KEs-Ob7f3M5atEVN9Yn7IeORGp0QGvggB62ELw"",""Maestro!A:I""),""SELECT Col8 WHERE Col3 = '""&amp;BD868&amp;""'"", 0), 1, 1),""NO ENCONTRADO"")"),"")</f>
        <v/>
      </c>
      <c r="BH868" s="12" t="str">
        <f>IFERROR(__xludf.DUMMYFUNCTION("IFERROR(INDEX(QUERY(IMPORTRANGE(""1T7HG8KEs-Ob7f3M5atEVN9Yn7IeORGp0QGvggB62ELw"",""Maestro!A:I""),""SELECT Col7 WHERE Col3 = '""&amp;BD868&amp;""'"", 0), 1, 1),""NO ENCONTRADO"")"),"")</f>
        <v/>
      </c>
      <c r="BI868" s="16">
        <f t="shared" si="15"/>
        <v>0</v>
      </c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4"/>
      <c r="BW868" s="14"/>
      <c r="BX868" s="14"/>
      <c r="BY868" s="14"/>
      <c r="BZ868" s="14"/>
      <c r="CA868" s="14"/>
      <c r="CB868" s="14"/>
      <c r="CC868" s="14"/>
      <c r="CD868" s="14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</row>
    <row r="869">
      <c r="A869" s="12"/>
      <c r="B869" s="14"/>
      <c r="C869" s="14"/>
      <c r="D869" s="14"/>
      <c r="E869" s="12"/>
      <c r="F869" s="307"/>
      <c r="G869" s="307"/>
      <c r="H869" s="12"/>
      <c r="I869" s="30"/>
      <c r="J869" s="12"/>
      <c r="K869" s="12"/>
      <c r="L869" s="12"/>
      <c r="M869" s="12"/>
      <c r="N869" s="12"/>
      <c r="O869" s="308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4"/>
      <c r="BE869" s="12"/>
      <c r="BF869" s="12"/>
      <c r="BG869" s="12" t="str">
        <f>IFERROR(__xludf.DUMMYFUNCTION("IFERROR(INDEX(QUERY(IMPORTRANGE(""1T7HG8KEs-Ob7f3M5atEVN9Yn7IeORGp0QGvggB62ELw"",""Maestro!A:I""),""SELECT Col8 WHERE Col3 = '""&amp;BD869&amp;""'"", 0), 1, 1),""NO ENCONTRADO"")"),"")</f>
        <v/>
      </c>
      <c r="BH869" s="12" t="str">
        <f>IFERROR(__xludf.DUMMYFUNCTION("IFERROR(INDEX(QUERY(IMPORTRANGE(""1T7HG8KEs-Ob7f3M5atEVN9Yn7IeORGp0QGvggB62ELw"",""Maestro!A:I""),""SELECT Col7 WHERE Col3 = '""&amp;BD869&amp;""'"", 0), 1, 1),""NO ENCONTRADO"")"),"")</f>
        <v/>
      </c>
      <c r="BI869" s="16">
        <f t="shared" si="15"/>
        <v>0</v>
      </c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4"/>
      <c r="BW869" s="14"/>
      <c r="BX869" s="14"/>
      <c r="BY869" s="14"/>
      <c r="BZ869" s="14"/>
      <c r="CA869" s="14"/>
      <c r="CB869" s="14"/>
      <c r="CC869" s="14"/>
      <c r="CD869" s="14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</row>
    <row r="870">
      <c r="A870" s="12"/>
      <c r="B870" s="14"/>
      <c r="C870" s="14"/>
      <c r="D870" s="14"/>
      <c r="E870" s="12"/>
      <c r="F870" s="307"/>
      <c r="G870" s="307"/>
      <c r="H870" s="12"/>
      <c r="I870" s="30"/>
      <c r="J870" s="12"/>
      <c r="K870" s="12"/>
      <c r="L870" s="12"/>
      <c r="M870" s="12"/>
      <c r="N870" s="12"/>
      <c r="O870" s="308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4"/>
      <c r="BE870" s="12"/>
      <c r="BF870" s="12"/>
      <c r="BG870" s="12" t="str">
        <f>IFERROR(__xludf.DUMMYFUNCTION("IFERROR(INDEX(QUERY(IMPORTRANGE(""1T7HG8KEs-Ob7f3M5atEVN9Yn7IeORGp0QGvggB62ELw"",""Maestro!A:I""),""SELECT Col8 WHERE Col3 = '""&amp;BD870&amp;""'"", 0), 1, 1),""NO ENCONTRADO"")"),"")</f>
        <v/>
      </c>
      <c r="BH870" s="12" t="str">
        <f>IFERROR(__xludf.DUMMYFUNCTION("IFERROR(INDEX(QUERY(IMPORTRANGE(""1T7HG8KEs-Ob7f3M5atEVN9Yn7IeORGp0QGvggB62ELw"",""Maestro!A:I""),""SELECT Col7 WHERE Col3 = '""&amp;BD870&amp;""'"", 0), 1, 1),""NO ENCONTRADO"")"),"")</f>
        <v/>
      </c>
      <c r="BI870" s="16">
        <f t="shared" si="15"/>
        <v>0</v>
      </c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4"/>
      <c r="BW870" s="14"/>
      <c r="BX870" s="14"/>
      <c r="BY870" s="14"/>
      <c r="BZ870" s="14"/>
      <c r="CA870" s="14"/>
      <c r="CB870" s="14"/>
      <c r="CC870" s="14"/>
      <c r="CD870" s="14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</row>
    <row r="871">
      <c r="A871" s="12"/>
      <c r="B871" s="14"/>
      <c r="C871" s="14"/>
      <c r="D871" s="14"/>
      <c r="E871" s="12"/>
      <c r="F871" s="307"/>
      <c r="G871" s="307"/>
      <c r="H871" s="12"/>
      <c r="I871" s="30"/>
      <c r="J871" s="12"/>
      <c r="K871" s="12"/>
      <c r="L871" s="12"/>
      <c r="M871" s="12"/>
      <c r="N871" s="12"/>
      <c r="O871" s="308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4"/>
      <c r="BE871" s="12"/>
      <c r="BF871" s="12"/>
      <c r="BG871" s="12" t="str">
        <f>IFERROR(__xludf.DUMMYFUNCTION("IFERROR(INDEX(QUERY(IMPORTRANGE(""1T7HG8KEs-Ob7f3M5atEVN9Yn7IeORGp0QGvggB62ELw"",""Maestro!A:I""),""SELECT Col8 WHERE Col3 = '""&amp;BD871&amp;""'"", 0), 1, 1),""NO ENCONTRADO"")"),"")</f>
        <v/>
      </c>
      <c r="BH871" s="12" t="str">
        <f>IFERROR(__xludf.DUMMYFUNCTION("IFERROR(INDEX(QUERY(IMPORTRANGE(""1T7HG8KEs-Ob7f3M5atEVN9Yn7IeORGp0QGvggB62ELw"",""Maestro!A:I""),""SELECT Col7 WHERE Col3 = '""&amp;BD871&amp;""'"", 0), 1, 1),""NO ENCONTRADO"")"),"")</f>
        <v/>
      </c>
      <c r="BI871" s="16">
        <f t="shared" si="15"/>
        <v>0</v>
      </c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4"/>
      <c r="BW871" s="14"/>
      <c r="BX871" s="14"/>
      <c r="BY871" s="14"/>
      <c r="BZ871" s="14"/>
      <c r="CA871" s="14"/>
      <c r="CB871" s="14"/>
      <c r="CC871" s="14"/>
      <c r="CD871" s="14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</row>
    <row r="872">
      <c r="A872" s="12"/>
      <c r="B872" s="14"/>
      <c r="C872" s="14"/>
      <c r="D872" s="14"/>
      <c r="E872" s="12"/>
      <c r="F872" s="307"/>
      <c r="G872" s="307"/>
      <c r="H872" s="12"/>
      <c r="I872" s="30"/>
      <c r="J872" s="12"/>
      <c r="K872" s="12"/>
      <c r="L872" s="12"/>
      <c r="M872" s="12"/>
      <c r="N872" s="12"/>
      <c r="O872" s="308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4"/>
      <c r="BE872" s="12"/>
      <c r="BF872" s="12"/>
      <c r="BG872" s="12" t="str">
        <f>IFERROR(__xludf.DUMMYFUNCTION("IFERROR(INDEX(QUERY(IMPORTRANGE(""1T7HG8KEs-Ob7f3M5atEVN9Yn7IeORGp0QGvggB62ELw"",""Maestro!A:I""),""SELECT Col8 WHERE Col3 = '""&amp;BD872&amp;""'"", 0), 1, 1),""NO ENCONTRADO"")"),"")</f>
        <v/>
      </c>
      <c r="BH872" s="12" t="str">
        <f>IFERROR(__xludf.DUMMYFUNCTION("IFERROR(INDEX(QUERY(IMPORTRANGE(""1T7HG8KEs-Ob7f3M5atEVN9Yn7IeORGp0QGvggB62ELw"",""Maestro!A:I""),""SELECT Col7 WHERE Col3 = '""&amp;BD872&amp;""'"", 0), 1, 1),""NO ENCONTRADO"")"),"")</f>
        <v/>
      </c>
      <c r="BI872" s="16">
        <f t="shared" si="15"/>
        <v>0</v>
      </c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4"/>
      <c r="BW872" s="14"/>
      <c r="BX872" s="14"/>
      <c r="BY872" s="14"/>
      <c r="BZ872" s="14"/>
      <c r="CA872" s="14"/>
      <c r="CB872" s="14"/>
      <c r="CC872" s="14"/>
      <c r="CD872" s="14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</row>
    <row r="873">
      <c r="A873" s="12"/>
      <c r="B873" s="14"/>
      <c r="C873" s="14"/>
      <c r="D873" s="14"/>
      <c r="E873" s="12"/>
      <c r="F873" s="307"/>
      <c r="G873" s="307"/>
      <c r="H873" s="12"/>
      <c r="I873" s="30"/>
      <c r="J873" s="12"/>
      <c r="K873" s="12"/>
      <c r="L873" s="12"/>
      <c r="M873" s="12"/>
      <c r="N873" s="12"/>
      <c r="O873" s="308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4"/>
      <c r="BE873" s="12"/>
      <c r="BF873" s="12"/>
      <c r="BG873" s="12" t="str">
        <f>IFERROR(__xludf.DUMMYFUNCTION("IFERROR(INDEX(QUERY(IMPORTRANGE(""1T7HG8KEs-Ob7f3M5atEVN9Yn7IeORGp0QGvggB62ELw"",""Maestro!A:I""),""SELECT Col8 WHERE Col3 = '""&amp;BD873&amp;""'"", 0), 1, 1),""NO ENCONTRADO"")"),"")</f>
        <v/>
      </c>
      <c r="BH873" s="12" t="str">
        <f>IFERROR(__xludf.DUMMYFUNCTION("IFERROR(INDEX(QUERY(IMPORTRANGE(""1T7HG8KEs-Ob7f3M5atEVN9Yn7IeORGp0QGvggB62ELw"",""Maestro!A:I""),""SELECT Col7 WHERE Col3 = '""&amp;BD873&amp;""'"", 0), 1, 1),""NO ENCONTRADO"")"),"")</f>
        <v/>
      </c>
      <c r="BI873" s="16">
        <f t="shared" si="15"/>
        <v>0</v>
      </c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4"/>
      <c r="BW873" s="14"/>
      <c r="BX873" s="14"/>
      <c r="BY873" s="14"/>
      <c r="BZ873" s="14"/>
      <c r="CA873" s="14"/>
      <c r="CB873" s="14"/>
      <c r="CC873" s="14"/>
      <c r="CD873" s="14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</row>
    <row r="874">
      <c r="A874" s="12"/>
      <c r="B874" s="14"/>
      <c r="C874" s="14"/>
      <c r="D874" s="14"/>
      <c r="E874" s="12"/>
      <c r="F874" s="307"/>
      <c r="G874" s="307"/>
      <c r="H874" s="12"/>
      <c r="I874" s="30"/>
      <c r="J874" s="12"/>
      <c r="K874" s="12"/>
      <c r="L874" s="12"/>
      <c r="M874" s="12"/>
      <c r="N874" s="12"/>
      <c r="O874" s="308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4"/>
      <c r="BE874" s="12"/>
      <c r="BF874" s="12"/>
      <c r="BG874" s="12" t="str">
        <f>IFERROR(__xludf.DUMMYFUNCTION("IFERROR(INDEX(QUERY(IMPORTRANGE(""1T7HG8KEs-Ob7f3M5atEVN9Yn7IeORGp0QGvggB62ELw"",""Maestro!A:I""),""SELECT Col8 WHERE Col3 = '""&amp;BD874&amp;""'"", 0), 1, 1),""NO ENCONTRADO"")"),"")</f>
        <v/>
      </c>
      <c r="BH874" s="12" t="str">
        <f>IFERROR(__xludf.DUMMYFUNCTION("IFERROR(INDEX(QUERY(IMPORTRANGE(""1T7HG8KEs-Ob7f3M5atEVN9Yn7IeORGp0QGvggB62ELw"",""Maestro!A:I""),""SELECT Col7 WHERE Col3 = '""&amp;BD874&amp;""'"", 0), 1, 1),""NO ENCONTRADO"")"),"")</f>
        <v/>
      </c>
      <c r="BI874" s="16">
        <f t="shared" si="15"/>
        <v>0</v>
      </c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4"/>
      <c r="BW874" s="14"/>
      <c r="BX874" s="14"/>
      <c r="BY874" s="14"/>
      <c r="BZ874" s="14"/>
      <c r="CA874" s="14"/>
      <c r="CB874" s="14"/>
      <c r="CC874" s="14"/>
      <c r="CD874" s="14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</row>
    <row r="875">
      <c r="A875" s="12"/>
      <c r="B875" s="14"/>
      <c r="C875" s="14"/>
      <c r="D875" s="14"/>
      <c r="E875" s="12"/>
      <c r="F875" s="307"/>
      <c r="G875" s="307"/>
      <c r="H875" s="12"/>
      <c r="I875" s="30"/>
      <c r="J875" s="12"/>
      <c r="K875" s="12"/>
      <c r="L875" s="12"/>
      <c r="M875" s="12"/>
      <c r="N875" s="12"/>
      <c r="O875" s="308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4"/>
      <c r="BE875" s="12"/>
      <c r="BF875" s="12"/>
      <c r="BG875" s="12" t="str">
        <f>IFERROR(__xludf.DUMMYFUNCTION("IFERROR(INDEX(QUERY(IMPORTRANGE(""1T7HG8KEs-Ob7f3M5atEVN9Yn7IeORGp0QGvggB62ELw"",""Maestro!A:I""),""SELECT Col8 WHERE Col3 = '""&amp;BD875&amp;""'"", 0), 1, 1),""NO ENCONTRADO"")"),"")</f>
        <v/>
      </c>
      <c r="BH875" s="12" t="str">
        <f>IFERROR(__xludf.DUMMYFUNCTION("IFERROR(INDEX(QUERY(IMPORTRANGE(""1T7HG8KEs-Ob7f3M5atEVN9Yn7IeORGp0QGvggB62ELw"",""Maestro!A:I""),""SELECT Col7 WHERE Col3 = '""&amp;BD875&amp;""'"", 0), 1, 1),""NO ENCONTRADO"")"),"")</f>
        <v/>
      </c>
      <c r="BI875" s="16">
        <f t="shared" si="15"/>
        <v>0</v>
      </c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4"/>
      <c r="BW875" s="14"/>
      <c r="BX875" s="14"/>
      <c r="BY875" s="14"/>
      <c r="BZ875" s="14"/>
      <c r="CA875" s="14"/>
      <c r="CB875" s="14"/>
      <c r="CC875" s="14"/>
      <c r="CD875" s="14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</row>
    <row r="876">
      <c r="A876" s="12"/>
      <c r="B876" s="14"/>
      <c r="C876" s="14"/>
      <c r="D876" s="14"/>
      <c r="E876" s="12"/>
      <c r="F876" s="307"/>
      <c r="G876" s="307"/>
      <c r="H876" s="12"/>
      <c r="I876" s="30"/>
      <c r="J876" s="12"/>
      <c r="K876" s="12"/>
      <c r="L876" s="12"/>
      <c r="M876" s="12"/>
      <c r="N876" s="12"/>
      <c r="O876" s="308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4"/>
      <c r="BE876" s="12"/>
      <c r="BF876" s="12"/>
      <c r="BG876" s="12" t="str">
        <f>IFERROR(__xludf.DUMMYFUNCTION("IFERROR(INDEX(QUERY(IMPORTRANGE(""1T7HG8KEs-Ob7f3M5atEVN9Yn7IeORGp0QGvggB62ELw"",""Maestro!A:I""),""SELECT Col8 WHERE Col3 = '""&amp;BD876&amp;""'"", 0), 1, 1),""NO ENCONTRADO"")"),"")</f>
        <v/>
      </c>
      <c r="BH876" s="12" t="str">
        <f>IFERROR(__xludf.DUMMYFUNCTION("IFERROR(INDEX(QUERY(IMPORTRANGE(""1T7HG8KEs-Ob7f3M5atEVN9Yn7IeORGp0QGvggB62ELw"",""Maestro!A:I""),""SELECT Col7 WHERE Col3 = '""&amp;BD876&amp;""'"", 0), 1, 1),""NO ENCONTRADO"")"),"")</f>
        <v/>
      </c>
      <c r="BI876" s="16">
        <f t="shared" si="15"/>
        <v>0</v>
      </c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4"/>
      <c r="BW876" s="14"/>
      <c r="BX876" s="14"/>
      <c r="BY876" s="14"/>
      <c r="BZ876" s="14"/>
      <c r="CA876" s="14"/>
      <c r="CB876" s="14"/>
      <c r="CC876" s="14"/>
      <c r="CD876" s="14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</row>
    <row r="877">
      <c r="A877" s="12"/>
      <c r="B877" s="14"/>
      <c r="C877" s="14"/>
      <c r="D877" s="14"/>
      <c r="E877" s="12"/>
      <c r="F877" s="307"/>
      <c r="G877" s="307"/>
      <c r="H877" s="12"/>
      <c r="I877" s="30"/>
      <c r="J877" s="12"/>
      <c r="K877" s="12"/>
      <c r="L877" s="12"/>
      <c r="M877" s="12"/>
      <c r="N877" s="12"/>
      <c r="O877" s="308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4"/>
      <c r="BE877" s="12"/>
      <c r="BF877" s="12"/>
      <c r="BG877" s="12" t="str">
        <f>IFERROR(__xludf.DUMMYFUNCTION("IFERROR(INDEX(QUERY(IMPORTRANGE(""1T7HG8KEs-Ob7f3M5atEVN9Yn7IeORGp0QGvggB62ELw"",""Maestro!A:I""),""SELECT Col8 WHERE Col3 = '""&amp;BD877&amp;""'"", 0), 1, 1),""NO ENCONTRADO"")"),"")</f>
        <v/>
      </c>
      <c r="BH877" s="12" t="str">
        <f>IFERROR(__xludf.DUMMYFUNCTION("IFERROR(INDEX(QUERY(IMPORTRANGE(""1T7HG8KEs-Ob7f3M5atEVN9Yn7IeORGp0QGvggB62ELw"",""Maestro!A:I""),""SELECT Col7 WHERE Col3 = '""&amp;BD877&amp;""'"", 0), 1, 1),""NO ENCONTRADO"")"),"")</f>
        <v/>
      </c>
      <c r="BI877" s="16">
        <f t="shared" si="15"/>
        <v>0</v>
      </c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4"/>
      <c r="BW877" s="14"/>
      <c r="BX877" s="14"/>
      <c r="BY877" s="14"/>
      <c r="BZ877" s="14"/>
      <c r="CA877" s="14"/>
      <c r="CB877" s="14"/>
      <c r="CC877" s="14"/>
      <c r="CD877" s="14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</row>
    <row r="878">
      <c r="A878" s="12"/>
      <c r="B878" s="14"/>
      <c r="C878" s="14"/>
      <c r="D878" s="14"/>
      <c r="E878" s="12"/>
      <c r="F878" s="307"/>
      <c r="G878" s="307"/>
      <c r="H878" s="12"/>
      <c r="I878" s="30"/>
      <c r="J878" s="12"/>
      <c r="K878" s="12"/>
      <c r="L878" s="12"/>
      <c r="M878" s="12"/>
      <c r="N878" s="12"/>
      <c r="O878" s="308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4"/>
      <c r="BE878" s="12"/>
      <c r="BF878" s="12"/>
      <c r="BG878" s="12" t="str">
        <f>IFERROR(__xludf.DUMMYFUNCTION("IFERROR(INDEX(QUERY(IMPORTRANGE(""1T7HG8KEs-Ob7f3M5atEVN9Yn7IeORGp0QGvggB62ELw"",""Maestro!A:I""),""SELECT Col8 WHERE Col3 = '""&amp;BD878&amp;""'"", 0), 1, 1),""NO ENCONTRADO"")"),"")</f>
        <v/>
      </c>
      <c r="BH878" s="12" t="str">
        <f>IFERROR(__xludf.DUMMYFUNCTION("IFERROR(INDEX(QUERY(IMPORTRANGE(""1T7HG8KEs-Ob7f3M5atEVN9Yn7IeORGp0QGvggB62ELw"",""Maestro!A:I""),""SELECT Col7 WHERE Col3 = '""&amp;BD878&amp;""'"", 0), 1, 1),""NO ENCONTRADO"")"),"")</f>
        <v/>
      </c>
      <c r="BI878" s="16">
        <f t="shared" si="15"/>
        <v>0</v>
      </c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4"/>
      <c r="BW878" s="14"/>
      <c r="BX878" s="14"/>
      <c r="BY878" s="14"/>
      <c r="BZ878" s="14"/>
      <c r="CA878" s="14"/>
      <c r="CB878" s="14"/>
      <c r="CC878" s="14"/>
      <c r="CD878" s="14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</row>
    <row r="879">
      <c r="A879" s="12"/>
      <c r="B879" s="14"/>
      <c r="C879" s="14"/>
      <c r="D879" s="14"/>
      <c r="E879" s="12"/>
      <c r="F879" s="307"/>
      <c r="G879" s="307"/>
      <c r="H879" s="12"/>
      <c r="I879" s="30"/>
      <c r="J879" s="12"/>
      <c r="K879" s="12"/>
      <c r="L879" s="12"/>
      <c r="M879" s="12"/>
      <c r="N879" s="12"/>
      <c r="O879" s="308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4"/>
      <c r="BE879" s="12"/>
      <c r="BF879" s="12"/>
      <c r="BG879" s="12" t="str">
        <f>IFERROR(__xludf.DUMMYFUNCTION("IFERROR(INDEX(QUERY(IMPORTRANGE(""1T7HG8KEs-Ob7f3M5atEVN9Yn7IeORGp0QGvggB62ELw"",""Maestro!A:I""),""SELECT Col8 WHERE Col3 = '""&amp;BD879&amp;""'"", 0), 1, 1),""NO ENCONTRADO"")"),"")</f>
        <v/>
      </c>
      <c r="BH879" s="12" t="str">
        <f>IFERROR(__xludf.DUMMYFUNCTION("IFERROR(INDEX(QUERY(IMPORTRANGE(""1T7HG8KEs-Ob7f3M5atEVN9Yn7IeORGp0QGvggB62ELw"",""Maestro!A:I""),""SELECT Col7 WHERE Col3 = '""&amp;BD879&amp;""'"", 0), 1, 1),""NO ENCONTRADO"")"),"")</f>
        <v/>
      </c>
      <c r="BI879" s="16">
        <f t="shared" si="15"/>
        <v>0</v>
      </c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4"/>
      <c r="BW879" s="14"/>
      <c r="BX879" s="14"/>
      <c r="BY879" s="14"/>
      <c r="BZ879" s="14"/>
      <c r="CA879" s="14"/>
      <c r="CB879" s="14"/>
      <c r="CC879" s="14"/>
      <c r="CD879" s="14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</row>
    <row r="880">
      <c r="A880" s="12"/>
      <c r="B880" s="14"/>
      <c r="C880" s="14"/>
      <c r="D880" s="14"/>
      <c r="E880" s="12"/>
      <c r="F880" s="307"/>
      <c r="G880" s="307"/>
      <c r="H880" s="12"/>
      <c r="I880" s="30"/>
      <c r="J880" s="12"/>
      <c r="K880" s="12"/>
      <c r="L880" s="12"/>
      <c r="M880" s="12"/>
      <c r="N880" s="12"/>
      <c r="O880" s="308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4"/>
      <c r="BE880" s="12"/>
      <c r="BF880" s="12"/>
      <c r="BG880" s="12" t="str">
        <f>IFERROR(__xludf.DUMMYFUNCTION("IFERROR(INDEX(QUERY(IMPORTRANGE(""1T7HG8KEs-Ob7f3M5atEVN9Yn7IeORGp0QGvggB62ELw"",""Maestro!A:I""),""SELECT Col8 WHERE Col3 = '""&amp;BD880&amp;""'"", 0), 1, 1),""NO ENCONTRADO"")"),"")</f>
        <v/>
      </c>
      <c r="BH880" s="12" t="str">
        <f>IFERROR(__xludf.DUMMYFUNCTION("IFERROR(INDEX(QUERY(IMPORTRANGE(""1T7HG8KEs-Ob7f3M5atEVN9Yn7IeORGp0QGvggB62ELw"",""Maestro!A:I""),""SELECT Col7 WHERE Col3 = '""&amp;BD880&amp;""'"", 0), 1, 1),""NO ENCONTRADO"")"),"")</f>
        <v/>
      </c>
      <c r="BI880" s="16">
        <f t="shared" si="15"/>
        <v>0</v>
      </c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4"/>
      <c r="BW880" s="14"/>
      <c r="BX880" s="14"/>
      <c r="BY880" s="14"/>
      <c r="BZ880" s="14"/>
      <c r="CA880" s="14"/>
      <c r="CB880" s="14"/>
      <c r="CC880" s="14"/>
      <c r="CD880" s="14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</row>
    <row r="881">
      <c r="A881" s="12"/>
      <c r="B881" s="14"/>
      <c r="C881" s="14"/>
      <c r="D881" s="14"/>
      <c r="E881" s="12"/>
      <c r="F881" s="307"/>
      <c r="G881" s="307"/>
      <c r="H881" s="12"/>
      <c r="I881" s="30"/>
      <c r="J881" s="12"/>
      <c r="K881" s="12"/>
      <c r="L881" s="12"/>
      <c r="M881" s="12"/>
      <c r="N881" s="12"/>
      <c r="O881" s="308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4"/>
      <c r="BE881" s="12"/>
      <c r="BF881" s="12"/>
      <c r="BG881" s="12" t="str">
        <f>IFERROR(__xludf.DUMMYFUNCTION("IFERROR(INDEX(QUERY(IMPORTRANGE(""1T7HG8KEs-Ob7f3M5atEVN9Yn7IeORGp0QGvggB62ELw"",""Maestro!A:I""),""SELECT Col8 WHERE Col3 = '""&amp;BD881&amp;""'"", 0), 1, 1),""NO ENCONTRADO"")"),"")</f>
        <v/>
      </c>
      <c r="BH881" s="12" t="str">
        <f>IFERROR(__xludf.DUMMYFUNCTION("IFERROR(INDEX(QUERY(IMPORTRANGE(""1T7HG8KEs-Ob7f3M5atEVN9Yn7IeORGp0QGvggB62ELw"",""Maestro!A:I""),""SELECT Col7 WHERE Col3 = '""&amp;BD881&amp;""'"", 0), 1, 1),""NO ENCONTRADO"")"),"")</f>
        <v/>
      </c>
      <c r="BI881" s="16">
        <f t="shared" si="15"/>
        <v>0</v>
      </c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4"/>
      <c r="BW881" s="14"/>
      <c r="BX881" s="14"/>
      <c r="BY881" s="14"/>
      <c r="BZ881" s="14"/>
      <c r="CA881" s="14"/>
      <c r="CB881" s="14"/>
      <c r="CC881" s="14"/>
      <c r="CD881" s="14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</row>
    <row r="882">
      <c r="A882" s="12"/>
      <c r="B882" s="14"/>
      <c r="C882" s="14"/>
      <c r="D882" s="14"/>
      <c r="E882" s="12"/>
      <c r="F882" s="307"/>
      <c r="G882" s="307"/>
      <c r="H882" s="12"/>
      <c r="I882" s="30"/>
      <c r="J882" s="12"/>
      <c r="K882" s="12"/>
      <c r="L882" s="12"/>
      <c r="M882" s="12"/>
      <c r="N882" s="12"/>
      <c r="O882" s="308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4"/>
      <c r="BE882" s="12"/>
      <c r="BF882" s="12"/>
      <c r="BG882" s="12" t="str">
        <f>IFERROR(__xludf.DUMMYFUNCTION("IFERROR(INDEX(QUERY(IMPORTRANGE(""1T7HG8KEs-Ob7f3M5atEVN9Yn7IeORGp0QGvggB62ELw"",""Maestro!A:I""),""SELECT Col8 WHERE Col3 = '""&amp;BD882&amp;""'"", 0), 1, 1),""NO ENCONTRADO"")"),"")</f>
        <v/>
      </c>
      <c r="BH882" s="12" t="str">
        <f>IFERROR(__xludf.DUMMYFUNCTION("IFERROR(INDEX(QUERY(IMPORTRANGE(""1T7HG8KEs-Ob7f3M5atEVN9Yn7IeORGp0QGvggB62ELw"",""Maestro!A:I""),""SELECT Col7 WHERE Col3 = '""&amp;BD882&amp;""'"", 0), 1, 1),""NO ENCONTRADO"")"),"")</f>
        <v/>
      </c>
      <c r="BI882" s="16">
        <f t="shared" si="15"/>
        <v>0</v>
      </c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4"/>
      <c r="BW882" s="14"/>
      <c r="BX882" s="14"/>
      <c r="BY882" s="14"/>
      <c r="BZ882" s="14"/>
      <c r="CA882" s="14"/>
      <c r="CB882" s="14"/>
      <c r="CC882" s="14"/>
      <c r="CD882" s="14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</row>
    <row r="883">
      <c r="A883" s="12"/>
      <c r="B883" s="14"/>
      <c r="C883" s="14"/>
      <c r="D883" s="14"/>
      <c r="E883" s="12"/>
      <c r="F883" s="307"/>
      <c r="G883" s="307"/>
      <c r="H883" s="12"/>
      <c r="I883" s="30"/>
      <c r="J883" s="12"/>
      <c r="K883" s="12"/>
      <c r="L883" s="12"/>
      <c r="M883" s="12"/>
      <c r="N883" s="12"/>
      <c r="O883" s="308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4"/>
      <c r="BE883" s="12"/>
      <c r="BF883" s="12"/>
      <c r="BG883" s="12" t="str">
        <f>IFERROR(__xludf.DUMMYFUNCTION("IFERROR(INDEX(QUERY(IMPORTRANGE(""1T7HG8KEs-Ob7f3M5atEVN9Yn7IeORGp0QGvggB62ELw"",""Maestro!A:I""),""SELECT Col8 WHERE Col3 = '""&amp;BD883&amp;""'"", 0), 1, 1),""NO ENCONTRADO"")"),"")</f>
        <v/>
      </c>
      <c r="BH883" s="12" t="str">
        <f>IFERROR(__xludf.DUMMYFUNCTION("IFERROR(INDEX(QUERY(IMPORTRANGE(""1T7HG8KEs-Ob7f3M5atEVN9Yn7IeORGp0QGvggB62ELw"",""Maestro!A:I""),""SELECT Col7 WHERE Col3 = '""&amp;BD883&amp;""'"", 0), 1, 1),""NO ENCONTRADO"")"),"")</f>
        <v/>
      </c>
      <c r="BI883" s="16">
        <f t="shared" si="15"/>
        <v>0</v>
      </c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4"/>
      <c r="BW883" s="14"/>
      <c r="BX883" s="14"/>
      <c r="BY883" s="14"/>
      <c r="BZ883" s="14"/>
      <c r="CA883" s="14"/>
      <c r="CB883" s="14"/>
      <c r="CC883" s="14"/>
      <c r="CD883" s="14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</row>
    <row r="884">
      <c r="A884" s="12"/>
      <c r="B884" s="14"/>
      <c r="C884" s="14"/>
      <c r="D884" s="14"/>
      <c r="E884" s="12"/>
      <c r="F884" s="307"/>
      <c r="G884" s="307"/>
      <c r="H884" s="12"/>
      <c r="I884" s="30"/>
      <c r="J884" s="12"/>
      <c r="K884" s="12"/>
      <c r="L884" s="12"/>
      <c r="M884" s="12"/>
      <c r="N884" s="12"/>
      <c r="O884" s="308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4"/>
      <c r="BE884" s="12"/>
      <c r="BF884" s="12"/>
      <c r="BG884" s="12" t="str">
        <f>IFERROR(__xludf.DUMMYFUNCTION("IFERROR(INDEX(QUERY(IMPORTRANGE(""1T7HG8KEs-Ob7f3M5atEVN9Yn7IeORGp0QGvggB62ELw"",""Maestro!A:I""),""SELECT Col8 WHERE Col3 = '""&amp;BD884&amp;""'"", 0), 1, 1),""NO ENCONTRADO"")"),"")</f>
        <v/>
      </c>
      <c r="BH884" s="12" t="str">
        <f>IFERROR(__xludf.DUMMYFUNCTION("IFERROR(INDEX(QUERY(IMPORTRANGE(""1T7HG8KEs-Ob7f3M5atEVN9Yn7IeORGp0QGvggB62ELw"",""Maestro!A:I""),""SELECT Col7 WHERE Col3 = '""&amp;BD884&amp;""'"", 0), 1, 1),""NO ENCONTRADO"")"),"")</f>
        <v/>
      </c>
      <c r="BI884" s="16">
        <f t="shared" si="15"/>
        <v>0</v>
      </c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4"/>
      <c r="BW884" s="14"/>
      <c r="BX884" s="14"/>
      <c r="BY884" s="14"/>
      <c r="BZ884" s="14"/>
      <c r="CA884" s="14"/>
      <c r="CB884" s="14"/>
      <c r="CC884" s="14"/>
      <c r="CD884" s="14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</row>
    <row r="885">
      <c r="A885" s="12"/>
      <c r="B885" s="14"/>
      <c r="C885" s="14"/>
      <c r="D885" s="14"/>
      <c r="E885" s="12"/>
      <c r="F885" s="307"/>
      <c r="G885" s="307"/>
      <c r="H885" s="12"/>
      <c r="I885" s="30"/>
      <c r="J885" s="12"/>
      <c r="K885" s="12"/>
      <c r="L885" s="12"/>
      <c r="M885" s="12"/>
      <c r="N885" s="12"/>
      <c r="O885" s="308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4"/>
      <c r="BE885" s="12"/>
      <c r="BF885" s="12"/>
      <c r="BG885" s="12" t="str">
        <f>IFERROR(__xludf.DUMMYFUNCTION("IFERROR(INDEX(QUERY(IMPORTRANGE(""1T7HG8KEs-Ob7f3M5atEVN9Yn7IeORGp0QGvggB62ELw"",""Maestro!A:I""),""SELECT Col8 WHERE Col3 = '""&amp;BD885&amp;""'"", 0), 1, 1),""NO ENCONTRADO"")"),"")</f>
        <v/>
      </c>
      <c r="BH885" s="12" t="str">
        <f>IFERROR(__xludf.DUMMYFUNCTION("IFERROR(INDEX(QUERY(IMPORTRANGE(""1T7HG8KEs-Ob7f3M5atEVN9Yn7IeORGp0QGvggB62ELw"",""Maestro!A:I""),""SELECT Col7 WHERE Col3 = '""&amp;BD885&amp;""'"", 0), 1, 1),""NO ENCONTRADO"")"),"")</f>
        <v/>
      </c>
      <c r="BI885" s="16">
        <f t="shared" si="15"/>
        <v>0</v>
      </c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4"/>
      <c r="BW885" s="14"/>
      <c r="BX885" s="14"/>
      <c r="BY885" s="14"/>
      <c r="BZ885" s="14"/>
      <c r="CA885" s="14"/>
      <c r="CB885" s="14"/>
      <c r="CC885" s="14"/>
      <c r="CD885" s="14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</row>
    <row r="886">
      <c r="A886" s="12"/>
      <c r="B886" s="14"/>
      <c r="C886" s="14"/>
      <c r="D886" s="14"/>
      <c r="E886" s="12"/>
      <c r="F886" s="307"/>
      <c r="G886" s="307"/>
      <c r="H886" s="12"/>
      <c r="I886" s="30"/>
      <c r="J886" s="12"/>
      <c r="K886" s="12"/>
      <c r="L886" s="12"/>
      <c r="M886" s="12"/>
      <c r="N886" s="12"/>
      <c r="O886" s="308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4"/>
      <c r="BE886" s="12"/>
      <c r="BF886" s="12"/>
      <c r="BG886" s="12" t="str">
        <f>IFERROR(__xludf.DUMMYFUNCTION("IFERROR(INDEX(QUERY(IMPORTRANGE(""1T7HG8KEs-Ob7f3M5atEVN9Yn7IeORGp0QGvggB62ELw"",""Maestro!A:I""),""SELECT Col8 WHERE Col3 = '""&amp;BD886&amp;""'"", 0), 1, 1),""NO ENCONTRADO"")"),"")</f>
        <v/>
      </c>
      <c r="BH886" s="12" t="str">
        <f>IFERROR(__xludf.DUMMYFUNCTION("IFERROR(INDEX(QUERY(IMPORTRANGE(""1T7HG8KEs-Ob7f3M5atEVN9Yn7IeORGp0QGvggB62ELw"",""Maestro!A:I""),""SELECT Col7 WHERE Col3 = '""&amp;BD886&amp;""'"", 0), 1, 1),""NO ENCONTRADO"")"),"")</f>
        <v/>
      </c>
      <c r="BI886" s="16">
        <f t="shared" si="15"/>
        <v>0</v>
      </c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4"/>
      <c r="BW886" s="14"/>
      <c r="BX886" s="14"/>
      <c r="BY886" s="14"/>
      <c r="BZ886" s="14"/>
      <c r="CA886" s="14"/>
      <c r="CB886" s="14"/>
      <c r="CC886" s="14"/>
      <c r="CD886" s="14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</row>
    <row r="887">
      <c r="A887" s="12"/>
      <c r="B887" s="14"/>
      <c r="C887" s="14"/>
      <c r="D887" s="14"/>
      <c r="E887" s="12"/>
      <c r="F887" s="307"/>
      <c r="G887" s="307"/>
      <c r="H887" s="12"/>
      <c r="I887" s="30"/>
      <c r="J887" s="12"/>
      <c r="K887" s="12"/>
      <c r="L887" s="12"/>
      <c r="M887" s="12"/>
      <c r="N887" s="12"/>
      <c r="O887" s="308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4"/>
      <c r="BE887" s="12"/>
      <c r="BF887" s="12"/>
      <c r="BG887" s="12" t="str">
        <f>IFERROR(__xludf.DUMMYFUNCTION("IFERROR(INDEX(QUERY(IMPORTRANGE(""1T7HG8KEs-Ob7f3M5atEVN9Yn7IeORGp0QGvggB62ELw"",""Maestro!A:I""),""SELECT Col8 WHERE Col3 = '""&amp;BD887&amp;""'"", 0), 1, 1),""NO ENCONTRADO"")"),"")</f>
        <v/>
      </c>
      <c r="BH887" s="12" t="str">
        <f>IFERROR(__xludf.DUMMYFUNCTION("IFERROR(INDEX(QUERY(IMPORTRANGE(""1T7HG8KEs-Ob7f3M5atEVN9Yn7IeORGp0QGvggB62ELw"",""Maestro!A:I""),""SELECT Col7 WHERE Col3 = '""&amp;BD887&amp;""'"", 0), 1, 1),""NO ENCONTRADO"")"),"")</f>
        <v/>
      </c>
      <c r="BI887" s="16">
        <f t="shared" si="15"/>
        <v>0</v>
      </c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4"/>
      <c r="BW887" s="14"/>
      <c r="BX887" s="14"/>
      <c r="BY887" s="14"/>
      <c r="BZ887" s="14"/>
      <c r="CA887" s="14"/>
      <c r="CB887" s="14"/>
      <c r="CC887" s="14"/>
      <c r="CD887" s="14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</row>
    <row r="888">
      <c r="A888" s="12"/>
      <c r="B888" s="14"/>
      <c r="C888" s="14"/>
      <c r="D888" s="14"/>
      <c r="E888" s="12"/>
      <c r="F888" s="307"/>
      <c r="G888" s="307"/>
      <c r="H888" s="12"/>
      <c r="I888" s="30"/>
      <c r="J888" s="12"/>
      <c r="K888" s="12"/>
      <c r="L888" s="12"/>
      <c r="M888" s="12"/>
      <c r="N888" s="12"/>
      <c r="O888" s="308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4"/>
      <c r="BE888" s="12"/>
      <c r="BF888" s="12"/>
      <c r="BG888" s="12" t="str">
        <f>IFERROR(__xludf.DUMMYFUNCTION("IFERROR(INDEX(QUERY(IMPORTRANGE(""1T7HG8KEs-Ob7f3M5atEVN9Yn7IeORGp0QGvggB62ELw"",""Maestro!A:I""),""SELECT Col8 WHERE Col3 = '""&amp;BD888&amp;""'"", 0), 1, 1),""NO ENCONTRADO"")"),"")</f>
        <v/>
      </c>
      <c r="BH888" s="12" t="str">
        <f>IFERROR(__xludf.DUMMYFUNCTION("IFERROR(INDEX(QUERY(IMPORTRANGE(""1T7HG8KEs-Ob7f3M5atEVN9Yn7IeORGp0QGvggB62ELw"",""Maestro!A:I""),""SELECT Col7 WHERE Col3 = '""&amp;BD888&amp;""'"", 0), 1, 1),""NO ENCONTRADO"")"),"")</f>
        <v/>
      </c>
      <c r="BI888" s="16">
        <f t="shared" si="15"/>
        <v>0</v>
      </c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4"/>
      <c r="BW888" s="14"/>
      <c r="BX888" s="14"/>
      <c r="BY888" s="14"/>
      <c r="BZ888" s="14"/>
      <c r="CA888" s="14"/>
      <c r="CB888" s="14"/>
      <c r="CC888" s="14"/>
      <c r="CD888" s="14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</row>
    <row r="889">
      <c r="A889" s="12"/>
      <c r="B889" s="14"/>
      <c r="C889" s="14"/>
      <c r="D889" s="14"/>
      <c r="E889" s="12"/>
      <c r="F889" s="307"/>
      <c r="G889" s="307"/>
      <c r="H889" s="12"/>
      <c r="I889" s="30"/>
      <c r="J889" s="12"/>
      <c r="K889" s="12"/>
      <c r="L889" s="12"/>
      <c r="M889" s="12"/>
      <c r="N889" s="12"/>
      <c r="O889" s="308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4"/>
      <c r="BE889" s="12"/>
      <c r="BF889" s="12"/>
      <c r="BG889" s="12" t="str">
        <f>IFERROR(__xludf.DUMMYFUNCTION("IFERROR(INDEX(QUERY(IMPORTRANGE(""1T7HG8KEs-Ob7f3M5atEVN9Yn7IeORGp0QGvggB62ELw"",""Maestro!A:I""),""SELECT Col8 WHERE Col3 = '""&amp;BD889&amp;""'"", 0), 1, 1),""NO ENCONTRADO"")"),"")</f>
        <v/>
      </c>
      <c r="BH889" s="12" t="str">
        <f>IFERROR(__xludf.DUMMYFUNCTION("IFERROR(INDEX(QUERY(IMPORTRANGE(""1T7HG8KEs-Ob7f3M5atEVN9Yn7IeORGp0QGvggB62ELw"",""Maestro!A:I""),""SELECT Col7 WHERE Col3 = '""&amp;BD889&amp;""'"", 0), 1, 1),""NO ENCONTRADO"")"),"")</f>
        <v/>
      </c>
      <c r="BI889" s="16">
        <f t="shared" si="15"/>
        <v>0</v>
      </c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4"/>
      <c r="BW889" s="14"/>
      <c r="BX889" s="14"/>
      <c r="BY889" s="14"/>
      <c r="BZ889" s="14"/>
      <c r="CA889" s="14"/>
      <c r="CB889" s="14"/>
      <c r="CC889" s="14"/>
      <c r="CD889" s="14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</row>
    <row r="890">
      <c r="A890" s="12"/>
      <c r="B890" s="14"/>
      <c r="C890" s="14"/>
      <c r="D890" s="14"/>
      <c r="E890" s="12"/>
      <c r="F890" s="307"/>
      <c r="G890" s="307"/>
      <c r="H890" s="12"/>
      <c r="I890" s="30"/>
      <c r="J890" s="12"/>
      <c r="K890" s="12"/>
      <c r="L890" s="12"/>
      <c r="M890" s="12"/>
      <c r="N890" s="12"/>
      <c r="O890" s="308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4"/>
      <c r="BE890" s="12"/>
      <c r="BF890" s="12"/>
      <c r="BG890" s="12" t="str">
        <f>IFERROR(__xludf.DUMMYFUNCTION("IFERROR(INDEX(QUERY(IMPORTRANGE(""1T7HG8KEs-Ob7f3M5atEVN9Yn7IeORGp0QGvggB62ELw"",""Maestro!A:I""),""SELECT Col8 WHERE Col3 = '""&amp;BD890&amp;""'"", 0), 1, 1),""NO ENCONTRADO"")"),"")</f>
        <v/>
      </c>
      <c r="BH890" s="12" t="str">
        <f>IFERROR(__xludf.DUMMYFUNCTION("IFERROR(INDEX(QUERY(IMPORTRANGE(""1T7HG8KEs-Ob7f3M5atEVN9Yn7IeORGp0QGvggB62ELw"",""Maestro!A:I""),""SELECT Col7 WHERE Col3 = '""&amp;BD890&amp;""'"", 0), 1, 1),""NO ENCONTRADO"")"),"")</f>
        <v/>
      </c>
      <c r="BI890" s="16">
        <f t="shared" si="15"/>
        <v>0</v>
      </c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4"/>
      <c r="BW890" s="14"/>
      <c r="BX890" s="14"/>
      <c r="BY890" s="14"/>
      <c r="BZ890" s="14"/>
      <c r="CA890" s="14"/>
      <c r="CB890" s="14"/>
      <c r="CC890" s="14"/>
      <c r="CD890" s="14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</row>
    <row r="891">
      <c r="A891" s="12"/>
      <c r="B891" s="14"/>
      <c r="C891" s="14"/>
      <c r="D891" s="14"/>
      <c r="E891" s="12"/>
      <c r="F891" s="307"/>
      <c r="G891" s="307"/>
      <c r="H891" s="12"/>
      <c r="I891" s="30"/>
      <c r="J891" s="12"/>
      <c r="K891" s="12"/>
      <c r="L891" s="12"/>
      <c r="M891" s="12"/>
      <c r="N891" s="12"/>
      <c r="O891" s="308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4"/>
      <c r="BE891" s="12"/>
      <c r="BF891" s="12"/>
      <c r="BG891" s="12" t="str">
        <f>IFERROR(__xludf.DUMMYFUNCTION("IFERROR(INDEX(QUERY(IMPORTRANGE(""1T7HG8KEs-Ob7f3M5atEVN9Yn7IeORGp0QGvggB62ELw"",""Maestro!A:I""),""SELECT Col8 WHERE Col3 = '""&amp;BD891&amp;""'"", 0), 1, 1),""NO ENCONTRADO"")"),"")</f>
        <v/>
      </c>
      <c r="BH891" s="12" t="str">
        <f>IFERROR(__xludf.DUMMYFUNCTION("IFERROR(INDEX(QUERY(IMPORTRANGE(""1T7HG8KEs-Ob7f3M5atEVN9Yn7IeORGp0QGvggB62ELw"",""Maestro!A:I""),""SELECT Col7 WHERE Col3 = '""&amp;BD891&amp;""'"", 0), 1, 1),""NO ENCONTRADO"")"),"")</f>
        <v/>
      </c>
      <c r="BI891" s="16">
        <f t="shared" si="15"/>
        <v>0</v>
      </c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4"/>
      <c r="BW891" s="14"/>
      <c r="BX891" s="14"/>
      <c r="BY891" s="14"/>
      <c r="BZ891" s="14"/>
      <c r="CA891" s="14"/>
      <c r="CB891" s="14"/>
      <c r="CC891" s="14"/>
      <c r="CD891" s="14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</row>
    <row r="892">
      <c r="A892" s="12"/>
      <c r="B892" s="14"/>
      <c r="C892" s="14"/>
      <c r="D892" s="14"/>
      <c r="E892" s="12"/>
      <c r="F892" s="307"/>
      <c r="G892" s="307"/>
      <c r="H892" s="12"/>
      <c r="I892" s="30"/>
      <c r="J892" s="12"/>
      <c r="K892" s="12"/>
      <c r="L892" s="12"/>
      <c r="M892" s="12"/>
      <c r="N892" s="12"/>
      <c r="O892" s="308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4"/>
      <c r="BE892" s="12"/>
      <c r="BF892" s="12"/>
      <c r="BG892" s="12" t="str">
        <f>IFERROR(__xludf.DUMMYFUNCTION("IFERROR(INDEX(QUERY(IMPORTRANGE(""1T7HG8KEs-Ob7f3M5atEVN9Yn7IeORGp0QGvggB62ELw"",""Maestro!A:I""),""SELECT Col8 WHERE Col3 = '""&amp;BD892&amp;""'"", 0), 1, 1),""NO ENCONTRADO"")"),"")</f>
        <v/>
      </c>
      <c r="BH892" s="12" t="str">
        <f>IFERROR(__xludf.DUMMYFUNCTION("IFERROR(INDEX(QUERY(IMPORTRANGE(""1T7HG8KEs-Ob7f3M5atEVN9Yn7IeORGp0QGvggB62ELw"",""Maestro!A:I""),""SELECT Col7 WHERE Col3 = '""&amp;BD892&amp;""'"", 0), 1, 1),""NO ENCONTRADO"")"),"")</f>
        <v/>
      </c>
      <c r="BI892" s="16">
        <f t="shared" si="15"/>
        <v>0</v>
      </c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4"/>
      <c r="BW892" s="14"/>
      <c r="BX892" s="14"/>
      <c r="BY892" s="14"/>
      <c r="BZ892" s="14"/>
      <c r="CA892" s="14"/>
      <c r="CB892" s="14"/>
      <c r="CC892" s="14"/>
      <c r="CD892" s="14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</row>
    <row r="893">
      <c r="A893" s="12"/>
      <c r="B893" s="14"/>
      <c r="C893" s="14"/>
      <c r="D893" s="14"/>
      <c r="E893" s="12"/>
      <c r="F893" s="307"/>
      <c r="G893" s="307"/>
      <c r="H893" s="12"/>
      <c r="I893" s="30"/>
      <c r="J893" s="12"/>
      <c r="K893" s="12"/>
      <c r="L893" s="12"/>
      <c r="M893" s="12"/>
      <c r="N893" s="12"/>
      <c r="O893" s="308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4"/>
      <c r="BE893" s="12"/>
      <c r="BF893" s="12"/>
      <c r="BG893" s="12" t="str">
        <f>IFERROR(__xludf.DUMMYFUNCTION("IFERROR(INDEX(QUERY(IMPORTRANGE(""1T7HG8KEs-Ob7f3M5atEVN9Yn7IeORGp0QGvggB62ELw"",""Maestro!A:I""),""SELECT Col8 WHERE Col3 = '""&amp;BD893&amp;""'"", 0), 1, 1),""NO ENCONTRADO"")"),"")</f>
        <v/>
      </c>
      <c r="BH893" s="12" t="str">
        <f>IFERROR(__xludf.DUMMYFUNCTION("IFERROR(INDEX(QUERY(IMPORTRANGE(""1T7HG8KEs-Ob7f3M5atEVN9Yn7IeORGp0QGvggB62ELw"",""Maestro!A:I""),""SELECT Col7 WHERE Col3 = '""&amp;BD893&amp;""'"", 0), 1, 1),""NO ENCONTRADO"")"),"")</f>
        <v/>
      </c>
      <c r="BI893" s="16">
        <f t="shared" si="15"/>
        <v>0</v>
      </c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4"/>
      <c r="BW893" s="14"/>
      <c r="BX893" s="14"/>
      <c r="BY893" s="14"/>
      <c r="BZ893" s="14"/>
      <c r="CA893" s="14"/>
      <c r="CB893" s="14"/>
      <c r="CC893" s="14"/>
      <c r="CD893" s="14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</row>
    <row r="894">
      <c r="A894" s="12"/>
      <c r="B894" s="14"/>
      <c r="C894" s="14"/>
      <c r="D894" s="14"/>
      <c r="E894" s="12"/>
      <c r="F894" s="307"/>
      <c r="G894" s="307"/>
      <c r="H894" s="12"/>
      <c r="I894" s="30"/>
      <c r="J894" s="12"/>
      <c r="K894" s="12"/>
      <c r="L894" s="12"/>
      <c r="M894" s="12"/>
      <c r="N894" s="12"/>
      <c r="O894" s="308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4"/>
      <c r="BE894" s="12"/>
      <c r="BF894" s="12"/>
      <c r="BG894" s="12" t="str">
        <f>IFERROR(__xludf.DUMMYFUNCTION("IFERROR(INDEX(QUERY(IMPORTRANGE(""1T7HG8KEs-Ob7f3M5atEVN9Yn7IeORGp0QGvggB62ELw"",""Maestro!A:I""),""SELECT Col8 WHERE Col3 = '""&amp;BD894&amp;""'"", 0), 1, 1),""NO ENCONTRADO"")"),"")</f>
        <v/>
      </c>
      <c r="BH894" s="12" t="str">
        <f>IFERROR(__xludf.DUMMYFUNCTION("IFERROR(INDEX(QUERY(IMPORTRANGE(""1T7HG8KEs-Ob7f3M5atEVN9Yn7IeORGp0QGvggB62ELw"",""Maestro!A:I""),""SELECT Col7 WHERE Col3 = '""&amp;BD894&amp;""'"", 0), 1, 1),""NO ENCONTRADO"")"),"")</f>
        <v/>
      </c>
      <c r="BI894" s="16">
        <f t="shared" si="15"/>
        <v>0</v>
      </c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4"/>
      <c r="BW894" s="14"/>
      <c r="BX894" s="14"/>
      <c r="BY894" s="14"/>
      <c r="BZ894" s="14"/>
      <c r="CA894" s="14"/>
      <c r="CB894" s="14"/>
      <c r="CC894" s="14"/>
      <c r="CD894" s="14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</row>
    <row r="895">
      <c r="A895" s="12"/>
      <c r="B895" s="14"/>
      <c r="C895" s="14"/>
      <c r="D895" s="14"/>
      <c r="E895" s="12"/>
      <c r="F895" s="307"/>
      <c r="G895" s="307"/>
      <c r="H895" s="12"/>
      <c r="I895" s="30"/>
      <c r="J895" s="12"/>
      <c r="K895" s="12"/>
      <c r="L895" s="12"/>
      <c r="M895" s="12"/>
      <c r="N895" s="12"/>
      <c r="O895" s="308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4"/>
      <c r="BE895" s="12"/>
      <c r="BF895" s="12"/>
      <c r="BG895" s="12" t="str">
        <f>IFERROR(__xludf.DUMMYFUNCTION("IFERROR(INDEX(QUERY(IMPORTRANGE(""1T7HG8KEs-Ob7f3M5atEVN9Yn7IeORGp0QGvggB62ELw"",""Maestro!A:I""),""SELECT Col8 WHERE Col3 = '""&amp;BD895&amp;""'"", 0), 1, 1),""NO ENCONTRADO"")"),"")</f>
        <v/>
      </c>
      <c r="BH895" s="12" t="str">
        <f>IFERROR(__xludf.DUMMYFUNCTION("IFERROR(INDEX(QUERY(IMPORTRANGE(""1T7HG8KEs-Ob7f3M5atEVN9Yn7IeORGp0QGvggB62ELw"",""Maestro!A:I""),""SELECT Col7 WHERE Col3 = '""&amp;BD895&amp;""'"", 0), 1, 1),""NO ENCONTRADO"")"),"")</f>
        <v/>
      </c>
      <c r="BI895" s="16">
        <f t="shared" si="15"/>
        <v>0</v>
      </c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4"/>
      <c r="BW895" s="14"/>
      <c r="BX895" s="14"/>
      <c r="BY895" s="14"/>
      <c r="BZ895" s="14"/>
      <c r="CA895" s="14"/>
      <c r="CB895" s="14"/>
      <c r="CC895" s="14"/>
      <c r="CD895" s="14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</row>
    <row r="896">
      <c r="A896" s="12"/>
      <c r="B896" s="14"/>
      <c r="C896" s="14"/>
      <c r="D896" s="14"/>
      <c r="E896" s="12"/>
      <c r="F896" s="307"/>
      <c r="G896" s="307"/>
      <c r="H896" s="12"/>
      <c r="I896" s="30"/>
      <c r="J896" s="12"/>
      <c r="K896" s="12"/>
      <c r="L896" s="12"/>
      <c r="M896" s="12"/>
      <c r="N896" s="12"/>
      <c r="O896" s="308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4"/>
      <c r="BE896" s="12"/>
      <c r="BF896" s="12"/>
      <c r="BG896" s="12" t="str">
        <f>IFERROR(__xludf.DUMMYFUNCTION("IFERROR(INDEX(QUERY(IMPORTRANGE(""1T7HG8KEs-Ob7f3M5atEVN9Yn7IeORGp0QGvggB62ELw"",""Maestro!A:I""),""SELECT Col8 WHERE Col3 = '""&amp;BD896&amp;""'"", 0), 1, 1),""NO ENCONTRADO"")"),"")</f>
        <v/>
      </c>
      <c r="BH896" s="12" t="str">
        <f>IFERROR(__xludf.DUMMYFUNCTION("IFERROR(INDEX(QUERY(IMPORTRANGE(""1T7HG8KEs-Ob7f3M5atEVN9Yn7IeORGp0QGvggB62ELw"",""Maestro!A:I""),""SELECT Col7 WHERE Col3 = '""&amp;BD896&amp;""'"", 0), 1, 1),""NO ENCONTRADO"")"),"")</f>
        <v/>
      </c>
      <c r="BI896" s="16">
        <f t="shared" si="15"/>
        <v>0</v>
      </c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4"/>
      <c r="BW896" s="14"/>
      <c r="BX896" s="14"/>
      <c r="BY896" s="14"/>
      <c r="BZ896" s="14"/>
      <c r="CA896" s="14"/>
      <c r="CB896" s="14"/>
      <c r="CC896" s="14"/>
      <c r="CD896" s="14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</row>
    <row r="897">
      <c r="A897" s="12"/>
      <c r="B897" s="14"/>
      <c r="C897" s="14"/>
      <c r="D897" s="14"/>
      <c r="E897" s="12"/>
      <c r="F897" s="307"/>
      <c r="G897" s="307"/>
      <c r="H897" s="12"/>
      <c r="I897" s="30"/>
      <c r="J897" s="12"/>
      <c r="K897" s="12"/>
      <c r="L897" s="12"/>
      <c r="M897" s="12"/>
      <c r="N897" s="12"/>
      <c r="O897" s="308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4"/>
      <c r="BE897" s="12"/>
      <c r="BF897" s="12"/>
      <c r="BG897" s="12" t="str">
        <f>IFERROR(__xludf.DUMMYFUNCTION("IFERROR(INDEX(QUERY(IMPORTRANGE(""1T7HG8KEs-Ob7f3M5atEVN9Yn7IeORGp0QGvggB62ELw"",""Maestro!A:I""),""SELECT Col8 WHERE Col3 = '""&amp;BD897&amp;""'"", 0), 1, 1),""NO ENCONTRADO"")"),"")</f>
        <v/>
      </c>
      <c r="BH897" s="12" t="str">
        <f>IFERROR(__xludf.DUMMYFUNCTION("IFERROR(INDEX(QUERY(IMPORTRANGE(""1T7HG8KEs-Ob7f3M5atEVN9Yn7IeORGp0QGvggB62ELw"",""Maestro!A:I""),""SELECT Col7 WHERE Col3 = '""&amp;BD897&amp;""'"", 0), 1, 1),""NO ENCONTRADO"")"),"")</f>
        <v/>
      </c>
      <c r="BI897" s="16">
        <f t="shared" si="15"/>
        <v>0</v>
      </c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4"/>
      <c r="BW897" s="14"/>
      <c r="BX897" s="14"/>
      <c r="BY897" s="14"/>
      <c r="BZ897" s="14"/>
      <c r="CA897" s="14"/>
      <c r="CB897" s="14"/>
      <c r="CC897" s="14"/>
      <c r="CD897" s="14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</row>
    <row r="898">
      <c r="A898" s="12"/>
      <c r="B898" s="14"/>
      <c r="C898" s="14"/>
      <c r="D898" s="14"/>
      <c r="E898" s="12"/>
      <c r="F898" s="307"/>
      <c r="G898" s="307"/>
      <c r="H898" s="12"/>
      <c r="I898" s="30"/>
      <c r="J898" s="12"/>
      <c r="K898" s="12"/>
      <c r="L898" s="12"/>
      <c r="M898" s="12"/>
      <c r="N898" s="12"/>
      <c r="O898" s="308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4"/>
      <c r="BE898" s="12"/>
      <c r="BF898" s="12"/>
      <c r="BG898" s="12" t="str">
        <f>IFERROR(__xludf.DUMMYFUNCTION("IFERROR(INDEX(QUERY(IMPORTRANGE(""1T7HG8KEs-Ob7f3M5atEVN9Yn7IeORGp0QGvggB62ELw"",""Maestro!A:I""),""SELECT Col8 WHERE Col3 = '""&amp;BD898&amp;""'"", 0), 1, 1),""NO ENCONTRADO"")"),"")</f>
        <v/>
      </c>
      <c r="BH898" s="12" t="str">
        <f>IFERROR(__xludf.DUMMYFUNCTION("IFERROR(INDEX(QUERY(IMPORTRANGE(""1T7HG8KEs-Ob7f3M5atEVN9Yn7IeORGp0QGvggB62ELw"",""Maestro!A:I""),""SELECT Col7 WHERE Col3 = '""&amp;BD898&amp;""'"", 0), 1, 1),""NO ENCONTRADO"")"),"")</f>
        <v/>
      </c>
      <c r="BI898" s="16">
        <f t="shared" si="15"/>
        <v>0</v>
      </c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4"/>
      <c r="BW898" s="14"/>
      <c r="BX898" s="14"/>
      <c r="BY898" s="14"/>
      <c r="BZ898" s="14"/>
      <c r="CA898" s="14"/>
      <c r="CB898" s="14"/>
      <c r="CC898" s="14"/>
      <c r="CD898" s="14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</row>
    <row r="899">
      <c r="A899" s="12"/>
      <c r="B899" s="14"/>
      <c r="C899" s="14"/>
      <c r="D899" s="14"/>
      <c r="E899" s="12"/>
      <c r="F899" s="307"/>
      <c r="G899" s="307"/>
      <c r="H899" s="12"/>
      <c r="I899" s="30"/>
      <c r="J899" s="12"/>
      <c r="K899" s="12"/>
      <c r="L899" s="12"/>
      <c r="M899" s="12"/>
      <c r="N899" s="12"/>
      <c r="O899" s="308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4"/>
      <c r="BE899" s="12"/>
      <c r="BF899" s="12"/>
      <c r="BG899" s="12" t="str">
        <f>IFERROR(__xludf.DUMMYFUNCTION("IFERROR(INDEX(QUERY(IMPORTRANGE(""1T7HG8KEs-Ob7f3M5atEVN9Yn7IeORGp0QGvggB62ELw"",""Maestro!A:I""),""SELECT Col8 WHERE Col3 = '""&amp;BD899&amp;""'"", 0), 1, 1),""NO ENCONTRADO"")"),"")</f>
        <v/>
      </c>
      <c r="BH899" s="12" t="str">
        <f>IFERROR(__xludf.DUMMYFUNCTION("IFERROR(INDEX(QUERY(IMPORTRANGE(""1T7HG8KEs-Ob7f3M5atEVN9Yn7IeORGp0QGvggB62ELw"",""Maestro!A:I""),""SELECT Col7 WHERE Col3 = '""&amp;BD899&amp;""'"", 0), 1, 1),""NO ENCONTRADO"")"),"")</f>
        <v/>
      </c>
      <c r="BI899" s="16">
        <f t="shared" si="15"/>
        <v>0</v>
      </c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4"/>
      <c r="BW899" s="14"/>
      <c r="BX899" s="14"/>
      <c r="BY899" s="14"/>
      <c r="BZ899" s="14"/>
      <c r="CA899" s="14"/>
      <c r="CB899" s="14"/>
      <c r="CC899" s="14"/>
      <c r="CD899" s="14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</row>
    <row r="900">
      <c r="A900" s="12"/>
      <c r="B900" s="14"/>
      <c r="C900" s="14"/>
      <c r="D900" s="14"/>
      <c r="E900" s="12"/>
      <c r="F900" s="307"/>
      <c r="G900" s="307"/>
      <c r="H900" s="12"/>
      <c r="I900" s="30"/>
      <c r="J900" s="12"/>
      <c r="K900" s="12"/>
      <c r="L900" s="12"/>
      <c r="M900" s="12"/>
      <c r="N900" s="12"/>
      <c r="O900" s="308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4"/>
      <c r="BE900" s="12"/>
      <c r="BF900" s="12"/>
      <c r="BG900" s="12" t="str">
        <f>IFERROR(__xludf.DUMMYFUNCTION("IFERROR(INDEX(QUERY(IMPORTRANGE(""1T7HG8KEs-Ob7f3M5atEVN9Yn7IeORGp0QGvggB62ELw"",""Maestro!A:I""),""SELECT Col8 WHERE Col3 = '""&amp;BD900&amp;""'"", 0), 1, 1),""NO ENCONTRADO"")"),"")</f>
        <v/>
      </c>
      <c r="BH900" s="12" t="str">
        <f>IFERROR(__xludf.DUMMYFUNCTION("IFERROR(INDEX(QUERY(IMPORTRANGE(""1T7HG8KEs-Ob7f3M5atEVN9Yn7IeORGp0QGvggB62ELw"",""Maestro!A:I""),""SELECT Col7 WHERE Col3 = '""&amp;BD900&amp;""'"", 0), 1, 1),""NO ENCONTRADO"")"),"")</f>
        <v/>
      </c>
      <c r="BI900" s="16">
        <f t="shared" si="15"/>
        <v>0</v>
      </c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4"/>
      <c r="BW900" s="14"/>
      <c r="BX900" s="14"/>
      <c r="BY900" s="14"/>
      <c r="BZ900" s="14"/>
      <c r="CA900" s="14"/>
      <c r="CB900" s="14"/>
      <c r="CC900" s="14"/>
      <c r="CD900" s="14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</row>
    <row r="901">
      <c r="A901" s="12"/>
      <c r="B901" s="14"/>
      <c r="C901" s="14"/>
      <c r="D901" s="14"/>
      <c r="E901" s="12"/>
      <c r="F901" s="307"/>
      <c r="G901" s="307"/>
      <c r="H901" s="12"/>
      <c r="I901" s="30"/>
      <c r="J901" s="12"/>
      <c r="K901" s="12"/>
      <c r="L901" s="12"/>
      <c r="M901" s="12"/>
      <c r="N901" s="12"/>
      <c r="O901" s="308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4"/>
      <c r="BE901" s="12"/>
      <c r="BF901" s="12"/>
      <c r="BG901" s="12" t="str">
        <f>IFERROR(__xludf.DUMMYFUNCTION("IFERROR(INDEX(QUERY(IMPORTRANGE(""1T7HG8KEs-Ob7f3M5atEVN9Yn7IeORGp0QGvggB62ELw"",""Maestro!A:I""),""SELECT Col8 WHERE Col3 = '""&amp;BD901&amp;""'"", 0), 1, 1),""NO ENCONTRADO"")"),"")</f>
        <v/>
      </c>
      <c r="BH901" s="12" t="str">
        <f>IFERROR(__xludf.DUMMYFUNCTION("IFERROR(INDEX(QUERY(IMPORTRANGE(""1T7HG8KEs-Ob7f3M5atEVN9Yn7IeORGp0QGvggB62ELw"",""Maestro!A:I""),""SELECT Col7 WHERE Col3 = '""&amp;BD901&amp;""'"", 0), 1, 1),""NO ENCONTRADO"")"),"")</f>
        <v/>
      </c>
      <c r="BI901" s="16">
        <f t="shared" si="15"/>
        <v>0</v>
      </c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4"/>
      <c r="BW901" s="14"/>
      <c r="BX901" s="14"/>
      <c r="BY901" s="14"/>
      <c r="BZ901" s="14"/>
      <c r="CA901" s="14"/>
      <c r="CB901" s="14"/>
      <c r="CC901" s="14"/>
      <c r="CD901" s="14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</row>
    <row r="902">
      <c r="A902" s="12"/>
      <c r="B902" s="14"/>
      <c r="C902" s="14"/>
      <c r="D902" s="14"/>
      <c r="E902" s="12"/>
      <c r="F902" s="307"/>
      <c r="G902" s="307"/>
      <c r="H902" s="12"/>
      <c r="I902" s="30"/>
      <c r="J902" s="12"/>
      <c r="K902" s="12"/>
      <c r="L902" s="12"/>
      <c r="M902" s="12"/>
      <c r="N902" s="12"/>
      <c r="O902" s="308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4"/>
      <c r="BE902" s="12"/>
      <c r="BF902" s="12"/>
      <c r="BG902" s="12" t="str">
        <f>IFERROR(__xludf.DUMMYFUNCTION("IFERROR(INDEX(QUERY(IMPORTRANGE(""1T7HG8KEs-Ob7f3M5atEVN9Yn7IeORGp0QGvggB62ELw"",""Maestro!A:I""),""SELECT Col8 WHERE Col3 = '""&amp;BD902&amp;""'"", 0), 1, 1),""NO ENCONTRADO"")"),"")</f>
        <v/>
      </c>
      <c r="BH902" s="12" t="str">
        <f>IFERROR(__xludf.DUMMYFUNCTION("IFERROR(INDEX(QUERY(IMPORTRANGE(""1T7HG8KEs-Ob7f3M5atEVN9Yn7IeORGp0QGvggB62ELw"",""Maestro!A:I""),""SELECT Col7 WHERE Col3 = '""&amp;BD902&amp;""'"", 0), 1, 1),""NO ENCONTRADO"")"),"")</f>
        <v/>
      </c>
      <c r="BI902" s="16">
        <f t="shared" si="15"/>
        <v>0</v>
      </c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4"/>
      <c r="BW902" s="14"/>
      <c r="BX902" s="14"/>
      <c r="BY902" s="14"/>
      <c r="BZ902" s="14"/>
      <c r="CA902" s="14"/>
      <c r="CB902" s="14"/>
      <c r="CC902" s="14"/>
      <c r="CD902" s="14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</row>
    <row r="903">
      <c r="A903" s="12"/>
      <c r="B903" s="14"/>
      <c r="C903" s="14"/>
      <c r="D903" s="14"/>
      <c r="E903" s="12"/>
      <c r="F903" s="307"/>
      <c r="G903" s="307"/>
      <c r="H903" s="12"/>
      <c r="I903" s="30"/>
      <c r="J903" s="12"/>
      <c r="K903" s="12"/>
      <c r="L903" s="12"/>
      <c r="M903" s="12"/>
      <c r="N903" s="12"/>
      <c r="O903" s="308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4"/>
      <c r="BE903" s="12"/>
      <c r="BF903" s="12"/>
      <c r="BG903" s="12" t="str">
        <f>IFERROR(__xludf.DUMMYFUNCTION("IFERROR(INDEX(QUERY(IMPORTRANGE(""1T7HG8KEs-Ob7f3M5atEVN9Yn7IeORGp0QGvggB62ELw"",""Maestro!A:I""),""SELECT Col8 WHERE Col3 = '""&amp;BD903&amp;""'"", 0), 1, 1),""NO ENCONTRADO"")"),"")</f>
        <v/>
      </c>
      <c r="BH903" s="12" t="str">
        <f>IFERROR(__xludf.DUMMYFUNCTION("IFERROR(INDEX(QUERY(IMPORTRANGE(""1T7HG8KEs-Ob7f3M5atEVN9Yn7IeORGp0QGvggB62ELw"",""Maestro!A:I""),""SELECT Col7 WHERE Col3 = '""&amp;BD903&amp;""'"", 0), 1, 1),""NO ENCONTRADO"")"),"")</f>
        <v/>
      </c>
      <c r="BI903" s="16">
        <f t="shared" si="15"/>
        <v>0</v>
      </c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4"/>
      <c r="BW903" s="14"/>
      <c r="BX903" s="14"/>
      <c r="BY903" s="14"/>
      <c r="BZ903" s="14"/>
      <c r="CA903" s="14"/>
      <c r="CB903" s="14"/>
      <c r="CC903" s="14"/>
      <c r="CD903" s="14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</row>
    <row r="904">
      <c r="A904" s="12"/>
      <c r="B904" s="14"/>
      <c r="C904" s="14"/>
      <c r="D904" s="14"/>
      <c r="E904" s="12"/>
      <c r="F904" s="307"/>
      <c r="G904" s="307"/>
      <c r="H904" s="12"/>
      <c r="I904" s="30"/>
      <c r="J904" s="12"/>
      <c r="K904" s="12"/>
      <c r="L904" s="12"/>
      <c r="M904" s="12"/>
      <c r="N904" s="12"/>
      <c r="O904" s="308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4"/>
      <c r="BE904" s="12"/>
      <c r="BF904" s="12"/>
      <c r="BG904" s="12" t="str">
        <f>IFERROR(__xludf.DUMMYFUNCTION("IFERROR(INDEX(QUERY(IMPORTRANGE(""1T7HG8KEs-Ob7f3M5atEVN9Yn7IeORGp0QGvggB62ELw"",""Maestro!A:I""),""SELECT Col8 WHERE Col3 = '""&amp;BD904&amp;""'"", 0), 1, 1),""NO ENCONTRADO"")"),"")</f>
        <v/>
      </c>
      <c r="BH904" s="12" t="str">
        <f>IFERROR(__xludf.DUMMYFUNCTION("IFERROR(INDEX(QUERY(IMPORTRANGE(""1T7HG8KEs-Ob7f3M5atEVN9Yn7IeORGp0QGvggB62ELw"",""Maestro!A:I""),""SELECT Col7 WHERE Col3 = '""&amp;BD904&amp;""'"", 0), 1, 1),""NO ENCONTRADO"")"),"")</f>
        <v/>
      </c>
      <c r="BI904" s="16">
        <f t="shared" si="15"/>
        <v>0</v>
      </c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4"/>
      <c r="BW904" s="14"/>
      <c r="BX904" s="14"/>
      <c r="BY904" s="14"/>
      <c r="BZ904" s="14"/>
      <c r="CA904" s="14"/>
      <c r="CB904" s="14"/>
      <c r="CC904" s="14"/>
      <c r="CD904" s="14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</row>
    <row r="905">
      <c r="A905" s="12"/>
      <c r="B905" s="14"/>
      <c r="C905" s="14"/>
      <c r="D905" s="14"/>
      <c r="E905" s="12"/>
      <c r="F905" s="307"/>
      <c r="G905" s="307"/>
      <c r="H905" s="12"/>
      <c r="I905" s="30"/>
      <c r="J905" s="12"/>
      <c r="K905" s="12"/>
      <c r="L905" s="12"/>
      <c r="M905" s="12"/>
      <c r="N905" s="12"/>
      <c r="O905" s="308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4"/>
      <c r="BE905" s="12"/>
      <c r="BF905" s="12"/>
      <c r="BG905" s="12" t="str">
        <f>IFERROR(__xludf.DUMMYFUNCTION("IFERROR(INDEX(QUERY(IMPORTRANGE(""1T7HG8KEs-Ob7f3M5atEVN9Yn7IeORGp0QGvggB62ELw"",""Maestro!A:I""),""SELECT Col8 WHERE Col3 = '""&amp;BD905&amp;""'"", 0), 1, 1),""NO ENCONTRADO"")"),"")</f>
        <v/>
      </c>
      <c r="BH905" s="12" t="str">
        <f>IFERROR(__xludf.DUMMYFUNCTION("IFERROR(INDEX(QUERY(IMPORTRANGE(""1T7HG8KEs-Ob7f3M5atEVN9Yn7IeORGp0QGvggB62ELw"",""Maestro!A:I""),""SELECT Col7 WHERE Col3 = '""&amp;BD905&amp;""'"", 0), 1, 1),""NO ENCONTRADO"")"),"")</f>
        <v/>
      </c>
      <c r="BI905" s="16">
        <f t="shared" si="15"/>
        <v>0</v>
      </c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4"/>
      <c r="BW905" s="14"/>
      <c r="BX905" s="14"/>
      <c r="BY905" s="14"/>
      <c r="BZ905" s="14"/>
      <c r="CA905" s="14"/>
      <c r="CB905" s="14"/>
      <c r="CC905" s="14"/>
      <c r="CD905" s="14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</row>
    <row r="906">
      <c r="A906" s="12"/>
      <c r="B906" s="14"/>
      <c r="C906" s="14"/>
      <c r="D906" s="14"/>
      <c r="E906" s="12"/>
      <c r="F906" s="307"/>
      <c r="G906" s="307"/>
      <c r="H906" s="12"/>
      <c r="I906" s="30"/>
      <c r="J906" s="12"/>
      <c r="K906" s="12"/>
      <c r="L906" s="12"/>
      <c r="M906" s="12"/>
      <c r="N906" s="12"/>
      <c r="O906" s="308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4"/>
      <c r="BE906" s="12"/>
      <c r="BF906" s="12"/>
      <c r="BG906" s="12" t="str">
        <f>IFERROR(__xludf.DUMMYFUNCTION("IFERROR(INDEX(QUERY(IMPORTRANGE(""1T7HG8KEs-Ob7f3M5atEVN9Yn7IeORGp0QGvggB62ELw"",""Maestro!A:I""),""SELECT Col8 WHERE Col3 = '""&amp;BD906&amp;""'"", 0), 1, 1),""NO ENCONTRADO"")"),"")</f>
        <v/>
      </c>
      <c r="BH906" s="12" t="str">
        <f>IFERROR(__xludf.DUMMYFUNCTION("IFERROR(INDEX(QUERY(IMPORTRANGE(""1T7HG8KEs-Ob7f3M5atEVN9Yn7IeORGp0QGvggB62ELw"",""Maestro!A:I""),""SELECT Col7 WHERE Col3 = '""&amp;BD906&amp;""'"", 0), 1, 1),""NO ENCONTRADO"")"),"")</f>
        <v/>
      </c>
      <c r="BI906" s="16">
        <f t="shared" si="15"/>
        <v>0</v>
      </c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4"/>
      <c r="BW906" s="14"/>
      <c r="BX906" s="14"/>
      <c r="BY906" s="14"/>
      <c r="BZ906" s="14"/>
      <c r="CA906" s="14"/>
      <c r="CB906" s="14"/>
      <c r="CC906" s="14"/>
      <c r="CD906" s="14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</row>
    <row r="907">
      <c r="A907" s="12"/>
      <c r="B907" s="14"/>
      <c r="C907" s="14"/>
      <c r="D907" s="14"/>
      <c r="E907" s="12"/>
      <c r="F907" s="307"/>
      <c r="G907" s="307"/>
      <c r="H907" s="12"/>
      <c r="I907" s="30"/>
      <c r="J907" s="12"/>
      <c r="K907" s="12"/>
      <c r="L907" s="12"/>
      <c r="M907" s="12"/>
      <c r="N907" s="12"/>
      <c r="O907" s="308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4"/>
      <c r="BE907" s="12"/>
      <c r="BF907" s="12"/>
      <c r="BG907" s="12" t="str">
        <f>IFERROR(__xludf.DUMMYFUNCTION("IFERROR(INDEX(QUERY(IMPORTRANGE(""1T7HG8KEs-Ob7f3M5atEVN9Yn7IeORGp0QGvggB62ELw"",""Maestro!A:I""),""SELECT Col8 WHERE Col3 = '""&amp;BD907&amp;""'"", 0), 1, 1),""NO ENCONTRADO"")"),"")</f>
        <v/>
      </c>
      <c r="BH907" s="12" t="str">
        <f>IFERROR(__xludf.DUMMYFUNCTION("IFERROR(INDEX(QUERY(IMPORTRANGE(""1T7HG8KEs-Ob7f3M5atEVN9Yn7IeORGp0QGvggB62ELw"",""Maestro!A:I""),""SELECT Col7 WHERE Col3 = '""&amp;BD907&amp;""'"", 0), 1, 1),""NO ENCONTRADO"")"),"")</f>
        <v/>
      </c>
      <c r="BI907" s="16">
        <f t="shared" si="15"/>
        <v>0</v>
      </c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4"/>
      <c r="BW907" s="14"/>
      <c r="BX907" s="14"/>
      <c r="BY907" s="14"/>
      <c r="BZ907" s="14"/>
      <c r="CA907" s="14"/>
      <c r="CB907" s="14"/>
      <c r="CC907" s="14"/>
      <c r="CD907" s="14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</row>
    <row r="908">
      <c r="A908" s="12"/>
      <c r="B908" s="14"/>
      <c r="C908" s="14"/>
      <c r="D908" s="14"/>
      <c r="E908" s="12"/>
      <c r="F908" s="307"/>
      <c r="G908" s="307"/>
      <c r="H908" s="12"/>
      <c r="I908" s="30"/>
      <c r="J908" s="12"/>
      <c r="K908" s="12"/>
      <c r="L908" s="12"/>
      <c r="M908" s="12"/>
      <c r="N908" s="12"/>
      <c r="O908" s="308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4"/>
      <c r="BE908" s="12"/>
      <c r="BF908" s="12"/>
      <c r="BG908" s="12" t="str">
        <f>IFERROR(__xludf.DUMMYFUNCTION("IFERROR(INDEX(QUERY(IMPORTRANGE(""1T7HG8KEs-Ob7f3M5atEVN9Yn7IeORGp0QGvggB62ELw"",""Maestro!A:I""),""SELECT Col8 WHERE Col3 = '""&amp;BD908&amp;""'"", 0), 1, 1),""NO ENCONTRADO"")"),"")</f>
        <v/>
      </c>
      <c r="BH908" s="12" t="str">
        <f>IFERROR(__xludf.DUMMYFUNCTION("IFERROR(INDEX(QUERY(IMPORTRANGE(""1T7HG8KEs-Ob7f3M5atEVN9Yn7IeORGp0QGvggB62ELw"",""Maestro!A:I""),""SELECT Col7 WHERE Col3 = '""&amp;BD908&amp;""'"", 0), 1, 1),""NO ENCONTRADO"")"),"")</f>
        <v/>
      </c>
      <c r="BI908" s="16">
        <f t="shared" si="15"/>
        <v>0</v>
      </c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4"/>
      <c r="BW908" s="14"/>
      <c r="BX908" s="14"/>
      <c r="BY908" s="14"/>
      <c r="BZ908" s="14"/>
      <c r="CA908" s="14"/>
      <c r="CB908" s="14"/>
      <c r="CC908" s="14"/>
      <c r="CD908" s="14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</row>
    <row r="909">
      <c r="A909" s="12"/>
      <c r="B909" s="14"/>
      <c r="C909" s="14"/>
      <c r="D909" s="14"/>
      <c r="E909" s="12"/>
      <c r="F909" s="307"/>
      <c r="G909" s="307"/>
      <c r="H909" s="12"/>
      <c r="I909" s="30"/>
      <c r="J909" s="12"/>
      <c r="K909" s="12"/>
      <c r="L909" s="12"/>
      <c r="M909" s="12"/>
      <c r="N909" s="12"/>
      <c r="O909" s="308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4"/>
      <c r="BE909" s="12"/>
      <c r="BF909" s="12"/>
      <c r="BG909" s="12" t="str">
        <f>IFERROR(__xludf.DUMMYFUNCTION("IFERROR(INDEX(QUERY(IMPORTRANGE(""1T7HG8KEs-Ob7f3M5atEVN9Yn7IeORGp0QGvggB62ELw"",""Maestro!A:I""),""SELECT Col8 WHERE Col3 = '""&amp;BD909&amp;""'"", 0), 1, 1),""NO ENCONTRADO"")"),"")</f>
        <v/>
      </c>
      <c r="BH909" s="12" t="str">
        <f>IFERROR(__xludf.DUMMYFUNCTION("IFERROR(INDEX(QUERY(IMPORTRANGE(""1T7HG8KEs-Ob7f3M5atEVN9Yn7IeORGp0QGvggB62ELw"",""Maestro!A:I""),""SELECT Col7 WHERE Col3 = '""&amp;BD909&amp;""'"", 0), 1, 1),""NO ENCONTRADO"")"),"")</f>
        <v/>
      </c>
      <c r="BI909" s="16">
        <f t="shared" si="15"/>
        <v>0</v>
      </c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4"/>
      <c r="BW909" s="14"/>
      <c r="BX909" s="14"/>
      <c r="BY909" s="14"/>
      <c r="BZ909" s="14"/>
      <c r="CA909" s="14"/>
      <c r="CB909" s="14"/>
      <c r="CC909" s="14"/>
      <c r="CD909" s="14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</row>
    <row r="910">
      <c r="A910" s="12"/>
      <c r="B910" s="14"/>
      <c r="C910" s="14"/>
      <c r="D910" s="14"/>
      <c r="E910" s="12"/>
      <c r="F910" s="307"/>
      <c r="G910" s="307"/>
      <c r="H910" s="12"/>
      <c r="I910" s="30"/>
      <c r="J910" s="12"/>
      <c r="K910" s="12"/>
      <c r="L910" s="12"/>
      <c r="M910" s="12"/>
      <c r="N910" s="12"/>
      <c r="O910" s="308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4"/>
      <c r="BE910" s="12"/>
      <c r="BF910" s="12"/>
      <c r="BG910" s="12" t="str">
        <f>IFERROR(__xludf.DUMMYFUNCTION("IFERROR(INDEX(QUERY(IMPORTRANGE(""1T7HG8KEs-Ob7f3M5atEVN9Yn7IeORGp0QGvggB62ELw"",""Maestro!A:I""),""SELECT Col8 WHERE Col3 = '""&amp;BD910&amp;""'"", 0), 1, 1),""NO ENCONTRADO"")"),"")</f>
        <v/>
      </c>
      <c r="BH910" s="12" t="str">
        <f>IFERROR(__xludf.DUMMYFUNCTION("IFERROR(INDEX(QUERY(IMPORTRANGE(""1T7HG8KEs-Ob7f3M5atEVN9Yn7IeORGp0QGvggB62ELw"",""Maestro!A:I""),""SELECT Col7 WHERE Col3 = '""&amp;BD910&amp;""'"", 0), 1, 1),""NO ENCONTRADO"")"),"")</f>
        <v/>
      </c>
      <c r="BI910" s="16">
        <f t="shared" si="15"/>
        <v>0</v>
      </c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4"/>
      <c r="BW910" s="14"/>
      <c r="BX910" s="14"/>
      <c r="BY910" s="14"/>
      <c r="BZ910" s="14"/>
      <c r="CA910" s="14"/>
      <c r="CB910" s="14"/>
      <c r="CC910" s="14"/>
      <c r="CD910" s="14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</row>
    <row r="911">
      <c r="A911" s="12"/>
      <c r="B911" s="14"/>
      <c r="C911" s="14"/>
      <c r="D911" s="14"/>
      <c r="E911" s="12"/>
      <c r="F911" s="307"/>
      <c r="G911" s="307"/>
      <c r="H911" s="12"/>
      <c r="I911" s="30"/>
      <c r="J911" s="12"/>
      <c r="K911" s="12"/>
      <c r="L911" s="12"/>
      <c r="M911" s="12"/>
      <c r="N911" s="12"/>
      <c r="O911" s="308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4"/>
      <c r="BE911" s="12"/>
      <c r="BF911" s="12"/>
      <c r="BG911" s="12" t="str">
        <f>IFERROR(__xludf.DUMMYFUNCTION("IFERROR(INDEX(QUERY(IMPORTRANGE(""1T7HG8KEs-Ob7f3M5atEVN9Yn7IeORGp0QGvggB62ELw"",""Maestro!A:I""),""SELECT Col8 WHERE Col3 = '""&amp;BD911&amp;""'"", 0), 1, 1),""NO ENCONTRADO"")"),"")</f>
        <v/>
      </c>
      <c r="BH911" s="12" t="str">
        <f>IFERROR(__xludf.DUMMYFUNCTION("IFERROR(INDEX(QUERY(IMPORTRANGE(""1T7HG8KEs-Ob7f3M5atEVN9Yn7IeORGp0QGvggB62ELw"",""Maestro!A:I""),""SELECT Col7 WHERE Col3 = '""&amp;BD911&amp;""'"", 0), 1, 1),""NO ENCONTRADO"")"),"")</f>
        <v/>
      </c>
      <c r="BI911" s="16">
        <f t="shared" si="15"/>
        <v>0</v>
      </c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4"/>
      <c r="BW911" s="14"/>
      <c r="BX911" s="14"/>
      <c r="BY911" s="14"/>
      <c r="BZ911" s="14"/>
      <c r="CA911" s="14"/>
      <c r="CB911" s="14"/>
      <c r="CC911" s="14"/>
      <c r="CD911" s="14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</row>
    <row r="912">
      <c r="A912" s="12"/>
      <c r="B912" s="14"/>
      <c r="C912" s="14"/>
      <c r="D912" s="14"/>
      <c r="E912" s="12"/>
      <c r="F912" s="307"/>
      <c r="G912" s="307"/>
      <c r="H912" s="12"/>
      <c r="I912" s="30"/>
      <c r="J912" s="12"/>
      <c r="K912" s="12"/>
      <c r="L912" s="12"/>
      <c r="M912" s="12"/>
      <c r="N912" s="12"/>
      <c r="O912" s="308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4"/>
      <c r="BE912" s="12"/>
      <c r="BF912" s="12"/>
      <c r="BG912" s="12" t="str">
        <f>IFERROR(__xludf.DUMMYFUNCTION("IFERROR(INDEX(QUERY(IMPORTRANGE(""1T7HG8KEs-Ob7f3M5atEVN9Yn7IeORGp0QGvggB62ELw"",""Maestro!A:I""),""SELECT Col8 WHERE Col3 = '""&amp;BD912&amp;""'"", 0), 1, 1),""NO ENCONTRADO"")"),"")</f>
        <v/>
      </c>
      <c r="BH912" s="12" t="str">
        <f>IFERROR(__xludf.DUMMYFUNCTION("IFERROR(INDEX(QUERY(IMPORTRANGE(""1T7HG8KEs-Ob7f3M5atEVN9Yn7IeORGp0QGvggB62ELw"",""Maestro!A:I""),""SELECT Col7 WHERE Col3 = '""&amp;BD912&amp;""'"", 0), 1, 1),""NO ENCONTRADO"")"),"")</f>
        <v/>
      </c>
      <c r="BI912" s="16">
        <f t="shared" si="15"/>
        <v>0</v>
      </c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4"/>
      <c r="BW912" s="14"/>
      <c r="BX912" s="14"/>
      <c r="BY912" s="14"/>
      <c r="BZ912" s="14"/>
      <c r="CA912" s="14"/>
      <c r="CB912" s="14"/>
      <c r="CC912" s="14"/>
      <c r="CD912" s="14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</row>
    <row r="913">
      <c r="A913" s="12"/>
      <c r="B913" s="14"/>
      <c r="C913" s="14"/>
      <c r="D913" s="14"/>
      <c r="E913" s="12"/>
      <c r="F913" s="307"/>
      <c r="G913" s="307"/>
      <c r="H913" s="12"/>
      <c r="I913" s="30"/>
      <c r="J913" s="12"/>
      <c r="K913" s="12"/>
      <c r="L913" s="12"/>
      <c r="M913" s="12"/>
      <c r="N913" s="12"/>
      <c r="O913" s="308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4"/>
      <c r="BE913" s="12"/>
      <c r="BF913" s="12"/>
      <c r="BG913" s="12" t="str">
        <f>IFERROR(__xludf.DUMMYFUNCTION("IFERROR(INDEX(QUERY(IMPORTRANGE(""1T7HG8KEs-Ob7f3M5atEVN9Yn7IeORGp0QGvggB62ELw"",""Maestro!A:I""),""SELECT Col8 WHERE Col3 = '""&amp;BD913&amp;""'"", 0), 1, 1),""NO ENCONTRADO"")"),"")</f>
        <v/>
      </c>
      <c r="BH913" s="12" t="str">
        <f>IFERROR(__xludf.DUMMYFUNCTION("IFERROR(INDEX(QUERY(IMPORTRANGE(""1T7HG8KEs-Ob7f3M5atEVN9Yn7IeORGp0QGvggB62ELw"",""Maestro!A:I""),""SELECT Col7 WHERE Col3 = '""&amp;BD913&amp;""'"", 0), 1, 1),""NO ENCONTRADO"")"),"")</f>
        <v/>
      </c>
      <c r="BI913" s="16">
        <f t="shared" si="15"/>
        <v>0</v>
      </c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4"/>
      <c r="BW913" s="14"/>
      <c r="BX913" s="14"/>
      <c r="BY913" s="14"/>
      <c r="BZ913" s="14"/>
      <c r="CA913" s="14"/>
      <c r="CB913" s="14"/>
      <c r="CC913" s="14"/>
      <c r="CD913" s="14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</row>
    <row r="914">
      <c r="A914" s="12"/>
      <c r="B914" s="14"/>
      <c r="C914" s="14"/>
      <c r="D914" s="14"/>
      <c r="E914" s="12"/>
      <c r="F914" s="307"/>
      <c r="G914" s="307"/>
      <c r="H914" s="12"/>
      <c r="I914" s="30"/>
      <c r="J914" s="12"/>
      <c r="K914" s="12"/>
      <c r="L914" s="12"/>
      <c r="M914" s="12"/>
      <c r="N914" s="12"/>
      <c r="O914" s="308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4"/>
      <c r="BE914" s="12"/>
      <c r="BF914" s="12"/>
      <c r="BG914" s="12" t="str">
        <f>IFERROR(__xludf.DUMMYFUNCTION("IFERROR(INDEX(QUERY(IMPORTRANGE(""1T7HG8KEs-Ob7f3M5atEVN9Yn7IeORGp0QGvggB62ELw"",""Maestro!A:I""),""SELECT Col8 WHERE Col3 = '""&amp;BD914&amp;""'"", 0), 1, 1),""NO ENCONTRADO"")"),"")</f>
        <v/>
      </c>
      <c r="BH914" s="12" t="str">
        <f>IFERROR(__xludf.DUMMYFUNCTION("IFERROR(INDEX(QUERY(IMPORTRANGE(""1T7HG8KEs-Ob7f3M5atEVN9Yn7IeORGp0QGvggB62ELw"",""Maestro!A:I""),""SELECT Col7 WHERE Col3 = '""&amp;BD914&amp;""'"", 0), 1, 1),""NO ENCONTRADO"")"),"")</f>
        <v/>
      </c>
      <c r="BI914" s="16">
        <f t="shared" si="15"/>
        <v>0</v>
      </c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4"/>
      <c r="BW914" s="14"/>
      <c r="BX914" s="14"/>
      <c r="BY914" s="14"/>
      <c r="BZ914" s="14"/>
      <c r="CA914" s="14"/>
      <c r="CB914" s="14"/>
      <c r="CC914" s="14"/>
      <c r="CD914" s="14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</row>
    <row r="915">
      <c r="A915" s="12"/>
      <c r="B915" s="14"/>
      <c r="C915" s="14"/>
      <c r="D915" s="14"/>
      <c r="E915" s="12"/>
      <c r="F915" s="307"/>
      <c r="G915" s="307"/>
      <c r="H915" s="12"/>
      <c r="I915" s="30"/>
      <c r="J915" s="12"/>
      <c r="K915" s="12"/>
      <c r="L915" s="12"/>
      <c r="M915" s="12"/>
      <c r="N915" s="12"/>
      <c r="O915" s="308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4"/>
      <c r="BE915" s="12"/>
      <c r="BF915" s="12"/>
      <c r="BG915" s="12" t="str">
        <f>IFERROR(__xludf.DUMMYFUNCTION("IFERROR(INDEX(QUERY(IMPORTRANGE(""1T7HG8KEs-Ob7f3M5atEVN9Yn7IeORGp0QGvggB62ELw"",""Maestro!A:I""),""SELECT Col8 WHERE Col3 = '""&amp;BD915&amp;""'"", 0), 1, 1),""NO ENCONTRADO"")"),"")</f>
        <v/>
      </c>
      <c r="BH915" s="12" t="str">
        <f>IFERROR(__xludf.DUMMYFUNCTION("IFERROR(INDEX(QUERY(IMPORTRANGE(""1T7HG8KEs-Ob7f3M5atEVN9Yn7IeORGp0QGvggB62ELw"",""Maestro!A:I""),""SELECT Col7 WHERE Col3 = '""&amp;BD915&amp;""'"", 0), 1, 1),""NO ENCONTRADO"")"),"")</f>
        <v/>
      </c>
      <c r="BI915" s="16">
        <f t="shared" si="15"/>
        <v>0</v>
      </c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4"/>
      <c r="BW915" s="14"/>
      <c r="BX915" s="14"/>
      <c r="BY915" s="14"/>
      <c r="BZ915" s="14"/>
      <c r="CA915" s="14"/>
      <c r="CB915" s="14"/>
      <c r="CC915" s="14"/>
      <c r="CD915" s="14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</row>
    <row r="916">
      <c r="A916" s="12"/>
      <c r="B916" s="14"/>
      <c r="C916" s="14"/>
      <c r="D916" s="14"/>
      <c r="E916" s="12"/>
      <c r="F916" s="307"/>
      <c r="G916" s="307"/>
      <c r="H916" s="12"/>
      <c r="I916" s="30"/>
      <c r="J916" s="12"/>
      <c r="K916" s="12"/>
      <c r="L916" s="12"/>
      <c r="M916" s="12"/>
      <c r="N916" s="12"/>
      <c r="O916" s="308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4"/>
      <c r="BE916" s="12"/>
      <c r="BF916" s="12"/>
      <c r="BG916" s="12" t="str">
        <f>IFERROR(__xludf.DUMMYFUNCTION("IFERROR(INDEX(QUERY(IMPORTRANGE(""1T7HG8KEs-Ob7f3M5atEVN9Yn7IeORGp0QGvggB62ELw"",""Maestro!A:I""),""SELECT Col8 WHERE Col3 = '""&amp;BD916&amp;""'"", 0), 1, 1),""NO ENCONTRADO"")"),"")</f>
        <v/>
      </c>
      <c r="BH916" s="12" t="str">
        <f>IFERROR(__xludf.DUMMYFUNCTION("IFERROR(INDEX(QUERY(IMPORTRANGE(""1T7HG8KEs-Ob7f3M5atEVN9Yn7IeORGp0QGvggB62ELw"",""Maestro!A:I""),""SELECT Col7 WHERE Col3 = '""&amp;BD916&amp;""'"", 0), 1, 1),""NO ENCONTRADO"")"),"")</f>
        <v/>
      </c>
      <c r="BI916" s="16">
        <f t="shared" si="15"/>
        <v>0</v>
      </c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4"/>
      <c r="BW916" s="14"/>
      <c r="BX916" s="14"/>
      <c r="BY916" s="14"/>
      <c r="BZ916" s="14"/>
      <c r="CA916" s="14"/>
      <c r="CB916" s="14"/>
      <c r="CC916" s="14"/>
      <c r="CD916" s="14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</row>
    <row r="917">
      <c r="A917" s="12"/>
      <c r="B917" s="14"/>
      <c r="C917" s="14"/>
      <c r="D917" s="14"/>
      <c r="E917" s="12"/>
      <c r="F917" s="307"/>
      <c r="G917" s="307"/>
      <c r="H917" s="12"/>
      <c r="I917" s="30"/>
      <c r="J917" s="12"/>
      <c r="K917" s="12"/>
      <c r="L917" s="12"/>
      <c r="M917" s="12"/>
      <c r="N917" s="12"/>
      <c r="O917" s="308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4"/>
      <c r="BE917" s="12"/>
      <c r="BF917" s="12"/>
      <c r="BG917" s="12" t="str">
        <f>IFERROR(__xludf.DUMMYFUNCTION("IFERROR(INDEX(QUERY(IMPORTRANGE(""1T7HG8KEs-Ob7f3M5atEVN9Yn7IeORGp0QGvggB62ELw"",""Maestro!A:I""),""SELECT Col8 WHERE Col3 = '""&amp;BD917&amp;""'"", 0), 1, 1),""NO ENCONTRADO"")"),"")</f>
        <v/>
      </c>
      <c r="BH917" s="12" t="str">
        <f>IFERROR(__xludf.DUMMYFUNCTION("IFERROR(INDEX(QUERY(IMPORTRANGE(""1T7HG8KEs-Ob7f3M5atEVN9Yn7IeORGp0QGvggB62ELw"",""Maestro!A:I""),""SELECT Col7 WHERE Col3 = '""&amp;BD917&amp;""'"", 0), 1, 1),""NO ENCONTRADO"")"),"")</f>
        <v/>
      </c>
      <c r="BI917" s="16">
        <f t="shared" si="15"/>
        <v>0</v>
      </c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4"/>
      <c r="BW917" s="14"/>
      <c r="BX917" s="14"/>
      <c r="BY917" s="14"/>
      <c r="BZ917" s="14"/>
      <c r="CA917" s="14"/>
      <c r="CB917" s="14"/>
      <c r="CC917" s="14"/>
      <c r="CD917" s="14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</row>
    <row r="918">
      <c r="A918" s="12"/>
      <c r="B918" s="14"/>
      <c r="C918" s="14"/>
      <c r="D918" s="14"/>
      <c r="E918" s="12"/>
      <c r="F918" s="307"/>
      <c r="G918" s="307"/>
      <c r="H918" s="12"/>
      <c r="I918" s="30"/>
      <c r="J918" s="12"/>
      <c r="K918" s="12"/>
      <c r="L918" s="12"/>
      <c r="M918" s="12"/>
      <c r="N918" s="12"/>
      <c r="O918" s="308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4"/>
      <c r="BE918" s="12"/>
      <c r="BF918" s="12"/>
      <c r="BG918" s="12" t="str">
        <f>IFERROR(__xludf.DUMMYFUNCTION("IFERROR(INDEX(QUERY(IMPORTRANGE(""1T7HG8KEs-Ob7f3M5atEVN9Yn7IeORGp0QGvggB62ELw"",""Maestro!A:I""),""SELECT Col8 WHERE Col3 = '""&amp;BD918&amp;""'"", 0), 1, 1),""NO ENCONTRADO"")"),"")</f>
        <v/>
      </c>
      <c r="BH918" s="12" t="str">
        <f>IFERROR(__xludf.DUMMYFUNCTION("IFERROR(INDEX(QUERY(IMPORTRANGE(""1T7HG8KEs-Ob7f3M5atEVN9Yn7IeORGp0QGvggB62ELw"",""Maestro!A:I""),""SELECT Col7 WHERE Col3 = '""&amp;BD918&amp;""'"", 0), 1, 1),""NO ENCONTRADO"")"),"")</f>
        <v/>
      </c>
      <c r="BI918" s="16">
        <f t="shared" si="15"/>
        <v>0</v>
      </c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4"/>
      <c r="BW918" s="14"/>
      <c r="BX918" s="14"/>
      <c r="BY918" s="14"/>
      <c r="BZ918" s="14"/>
      <c r="CA918" s="14"/>
      <c r="CB918" s="14"/>
      <c r="CC918" s="14"/>
      <c r="CD918" s="14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</row>
    <row r="919">
      <c r="A919" s="12"/>
      <c r="B919" s="14"/>
      <c r="C919" s="14"/>
      <c r="D919" s="14"/>
      <c r="E919" s="12"/>
      <c r="F919" s="307"/>
      <c r="G919" s="307"/>
      <c r="H919" s="12"/>
      <c r="I919" s="30"/>
      <c r="J919" s="12"/>
      <c r="K919" s="12"/>
      <c r="L919" s="12"/>
      <c r="M919" s="12"/>
      <c r="N919" s="12"/>
      <c r="O919" s="308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4"/>
      <c r="BE919" s="12"/>
      <c r="BF919" s="12"/>
      <c r="BG919" s="12" t="str">
        <f>IFERROR(__xludf.DUMMYFUNCTION("IFERROR(INDEX(QUERY(IMPORTRANGE(""1T7HG8KEs-Ob7f3M5atEVN9Yn7IeORGp0QGvggB62ELw"",""Maestro!A:I""),""SELECT Col8 WHERE Col3 = '""&amp;BD919&amp;""'"", 0), 1, 1),""NO ENCONTRADO"")"),"")</f>
        <v/>
      </c>
      <c r="BH919" s="12" t="str">
        <f>IFERROR(__xludf.DUMMYFUNCTION("IFERROR(INDEX(QUERY(IMPORTRANGE(""1T7HG8KEs-Ob7f3M5atEVN9Yn7IeORGp0QGvggB62ELw"",""Maestro!A:I""),""SELECT Col7 WHERE Col3 = '""&amp;BD919&amp;""'"", 0), 1, 1),""NO ENCONTRADO"")"),"")</f>
        <v/>
      </c>
      <c r="BI919" s="16">
        <f t="shared" si="15"/>
        <v>0</v>
      </c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4"/>
      <c r="BW919" s="14"/>
      <c r="BX919" s="14"/>
      <c r="BY919" s="14"/>
      <c r="BZ919" s="14"/>
      <c r="CA919" s="14"/>
      <c r="CB919" s="14"/>
      <c r="CC919" s="14"/>
      <c r="CD919" s="14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</row>
    <row r="920">
      <c r="A920" s="12"/>
      <c r="B920" s="14"/>
      <c r="C920" s="14"/>
      <c r="D920" s="14"/>
      <c r="E920" s="12"/>
      <c r="F920" s="307"/>
      <c r="G920" s="307"/>
      <c r="H920" s="12"/>
      <c r="I920" s="30"/>
      <c r="J920" s="12"/>
      <c r="K920" s="12"/>
      <c r="L920" s="12"/>
      <c r="M920" s="12"/>
      <c r="N920" s="12"/>
      <c r="O920" s="308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4"/>
      <c r="BE920" s="12"/>
      <c r="BF920" s="12"/>
      <c r="BG920" s="12" t="str">
        <f>IFERROR(__xludf.DUMMYFUNCTION("IFERROR(INDEX(QUERY(IMPORTRANGE(""1T7HG8KEs-Ob7f3M5atEVN9Yn7IeORGp0QGvggB62ELw"",""Maestro!A:I""),""SELECT Col8 WHERE Col3 = '""&amp;BD920&amp;""'"", 0), 1, 1),""NO ENCONTRADO"")"),"")</f>
        <v/>
      </c>
      <c r="BH920" s="12" t="str">
        <f>IFERROR(__xludf.DUMMYFUNCTION("IFERROR(INDEX(QUERY(IMPORTRANGE(""1T7HG8KEs-Ob7f3M5atEVN9Yn7IeORGp0QGvggB62ELw"",""Maestro!A:I""),""SELECT Col7 WHERE Col3 = '""&amp;BD920&amp;""'"", 0), 1, 1),""NO ENCONTRADO"")"),"")</f>
        <v/>
      </c>
      <c r="BI920" s="16">
        <f t="shared" si="15"/>
        <v>0</v>
      </c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4"/>
      <c r="BW920" s="14"/>
      <c r="BX920" s="14"/>
      <c r="BY920" s="14"/>
      <c r="BZ920" s="14"/>
      <c r="CA920" s="14"/>
      <c r="CB920" s="14"/>
      <c r="CC920" s="14"/>
      <c r="CD920" s="14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</row>
    <row r="921">
      <c r="A921" s="12"/>
      <c r="B921" s="14"/>
      <c r="C921" s="14"/>
      <c r="D921" s="14"/>
      <c r="E921" s="12"/>
      <c r="F921" s="307"/>
      <c r="G921" s="307"/>
      <c r="H921" s="12"/>
      <c r="I921" s="30"/>
      <c r="J921" s="12"/>
      <c r="K921" s="12"/>
      <c r="L921" s="12"/>
      <c r="M921" s="12"/>
      <c r="N921" s="12"/>
      <c r="O921" s="308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4"/>
      <c r="BE921" s="12"/>
      <c r="BF921" s="12"/>
      <c r="BG921" s="12" t="str">
        <f>IFERROR(__xludf.DUMMYFUNCTION("IFERROR(INDEX(QUERY(IMPORTRANGE(""1T7HG8KEs-Ob7f3M5atEVN9Yn7IeORGp0QGvggB62ELw"",""Maestro!A:I""),""SELECT Col8 WHERE Col3 = '""&amp;BD921&amp;""'"", 0), 1, 1),""NO ENCONTRADO"")"),"")</f>
        <v/>
      </c>
      <c r="BH921" s="12" t="str">
        <f>IFERROR(__xludf.DUMMYFUNCTION("IFERROR(INDEX(QUERY(IMPORTRANGE(""1T7HG8KEs-Ob7f3M5atEVN9Yn7IeORGp0QGvggB62ELw"",""Maestro!A:I""),""SELECT Col7 WHERE Col3 = '""&amp;BD921&amp;""'"", 0), 1, 1),""NO ENCONTRADO"")"),"")</f>
        <v/>
      </c>
      <c r="BI921" s="16">
        <f t="shared" si="15"/>
        <v>0</v>
      </c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4"/>
      <c r="BW921" s="14"/>
      <c r="BX921" s="14"/>
      <c r="BY921" s="14"/>
      <c r="BZ921" s="14"/>
      <c r="CA921" s="14"/>
      <c r="CB921" s="14"/>
      <c r="CC921" s="14"/>
      <c r="CD921" s="14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</row>
    <row r="922">
      <c r="A922" s="12"/>
      <c r="B922" s="14"/>
      <c r="C922" s="14"/>
      <c r="D922" s="14"/>
      <c r="E922" s="12"/>
      <c r="F922" s="307"/>
      <c r="G922" s="307"/>
      <c r="H922" s="12"/>
      <c r="I922" s="30"/>
      <c r="J922" s="12"/>
      <c r="K922" s="12"/>
      <c r="L922" s="12"/>
      <c r="M922" s="12"/>
      <c r="N922" s="12"/>
      <c r="O922" s="308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4"/>
      <c r="BE922" s="12"/>
      <c r="BF922" s="12"/>
      <c r="BG922" s="12" t="str">
        <f>IFERROR(__xludf.DUMMYFUNCTION("IFERROR(INDEX(QUERY(IMPORTRANGE(""1T7HG8KEs-Ob7f3M5atEVN9Yn7IeORGp0QGvggB62ELw"",""Maestro!A:I""),""SELECT Col8 WHERE Col3 = '""&amp;BD922&amp;""'"", 0), 1, 1),""NO ENCONTRADO"")"),"")</f>
        <v/>
      </c>
      <c r="BH922" s="12" t="str">
        <f>IFERROR(__xludf.DUMMYFUNCTION("IFERROR(INDEX(QUERY(IMPORTRANGE(""1T7HG8KEs-Ob7f3M5atEVN9Yn7IeORGp0QGvggB62ELw"",""Maestro!A:I""),""SELECT Col7 WHERE Col3 = '""&amp;BD922&amp;""'"", 0), 1, 1),""NO ENCONTRADO"")"),"")</f>
        <v/>
      </c>
      <c r="BI922" s="16">
        <f t="shared" si="15"/>
        <v>0</v>
      </c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4"/>
      <c r="BW922" s="14"/>
      <c r="BX922" s="14"/>
      <c r="BY922" s="14"/>
      <c r="BZ922" s="14"/>
      <c r="CA922" s="14"/>
      <c r="CB922" s="14"/>
      <c r="CC922" s="14"/>
      <c r="CD922" s="14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</row>
    <row r="923">
      <c r="A923" s="12"/>
      <c r="B923" s="14"/>
      <c r="C923" s="14"/>
      <c r="D923" s="14"/>
      <c r="E923" s="12"/>
      <c r="F923" s="307"/>
      <c r="G923" s="307"/>
      <c r="H923" s="12"/>
      <c r="I923" s="30"/>
      <c r="J923" s="12"/>
      <c r="K923" s="12"/>
      <c r="L923" s="12"/>
      <c r="M923" s="12"/>
      <c r="N923" s="12"/>
      <c r="O923" s="308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4"/>
      <c r="BE923" s="12"/>
      <c r="BF923" s="12"/>
      <c r="BG923" s="12" t="str">
        <f>IFERROR(__xludf.DUMMYFUNCTION("IFERROR(INDEX(QUERY(IMPORTRANGE(""1T7HG8KEs-Ob7f3M5atEVN9Yn7IeORGp0QGvggB62ELw"",""Maestro!A:I""),""SELECT Col8 WHERE Col3 = '""&amp;BD923&amp;""'"", 0), 1, 1),""NO ENCONTRADO"")"),"")</f>
        <v/>
      </c>
      <c r="BH923" s="12" t="str">
        <f>IFERROR(__xludf.DUMMYFUNCTION("IFERROR(INDEX(QUERY(IMPORTRANGE(""1T7HG8KEs-Ob7f3M5atEVN9Yn7IeORGp0QGvggB62ELw"",""Maestro!A:I""),""SELECT Col7 WHERE Col3 = '""&amp;BD923&amp;""'"", 0), 1, 1),""NO ENCONTRADO"")"),"")</f>
        <v/>
      </c>
      <c r="BI923" s="16">
        <f t="shared" si="15"/>
        <v>0</v>
      </c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4"/>
      <c r="BW923" s="14"/>
      <c r="BX923" s="14"/>
      <c r="BY923" s="14"/>
      <c r="BZ923" s="14"/>
      <c r="CA923" s="14"/>
      <c r="CB923" s="14"/>
      <c r="CC923" s="14"/>
      <c r="CD923" s="14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</row>
    <row r="924">
      <c r="A924" s="12"/>
      <c r="B924" s="14"/>
      <c r="C924" s="14"/>
      <c r="D924" s="14"/>
      <c r="E924" s="12"/>
      <c r="F924" s="307"/>
      <c r="G924" s="307"/>
      <c r="H924" s="12"/>
      <c r="I924" s="30"/>
      <c r="J924" s="12"/>
      <c r="K924" s="12"/>
      <c r="L924" s="12"/>
      <c r="M924" s="12"/>
      <c r="N924" s="12"/>
      <c r="O924" s="308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4"/>
      <c r="BE924" s="12"/>
      <c r="BF924" s="12"/>
      <c r="BG924" s="12" t="str">
        <f>IFERROR(__xludf.DUMMYFUNCTION("IFERROR(INDEX(QUERY(IMPORTRANGE(""1T7HG8KEs-Ob7f3M5atEVN9Yn7IeORGp0QGvggB62ELw"",""Maestro!A:I""),""SELECT Col8 WHERE Col3 = '""&amp;BD924&amp;""'"", 0), 1, 1),""NO ENCONTRADO"")"),"")</f>
        <v/>
      </c>
      <c r="BH924" s="12" t="str">
        <f>IFERROR(__xludf.DUMMYFUNCTION("IFERROR(INDEX(QUERY(IMPORTRANGE(""1T7HG8KEs-Ob7f3M5atEVN9Yn7IeORGp0QGvggB62ELw"",""Maestro!A:I""),""SELECT Col7 WHERE Col3 = '""&amp;BD924&amp;""'"", 0), 1, 1),""NO ENCONTRADO"")"),"")</f>
        <v/>
      </c>
      <c r="BI924" s="16">
        <f t="shared" si="15"/>
        <v>0</v>
      </c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4"/>
      <c r="BW924" s="14"/>
      <c r="BX924" s="14"/>
      <c r="BY924" s="14"/>
      <c r="BZ924" s="14"/>
      <c r="CA924" s="14"/>
      <c r="CB924" s="14"/>
      <c r="CC924" s="14"/>
      <c r="CD924" s="14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</row>
    <row r="925">
      <c r="A925" s="12"/>
      <c r="B925" s="14"/>
      <c r="C925" s="14"/>
      <c r="D925" s="14"/>
      <c r="E925" s="12"/>
      <c r="F925" s="307"/>
      <c r="G925" s="307"/>
      <c r="H925" s="12"/>
      <c r="I925" s="30"/>
      <c r="J925" s="12"/>
      <c r="K925" s="12"/>
      <c r="L925" s="12"/>
      <c r="M925" s="12"/>
      <c r="N925" s="12"/>
      <c r="O925" s="308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4"/>
      <c r="BE925" s="12"/>
      <c r="BF925" s="12"/>
      <c r="BG925" s="12" t="str">
        <f>IFERROR(__xludf.DUMMYFUNCTION("IFERROR(INDEX(QUERY(IMPORTRANGE(""1T7HG8KEs-Ob7f3M5atEVN9Yn7IeORGp0QGvggB62ELw"",""Maestro!A:I""),""SELECT Col8 WHERE Col3 = '""&amp;BD925&amp;""'"", 0), 1, 1),""NO ENCONTRADO"")"),"")</f>
        <v/>
      </c>
      <c r="BH925" s="12" t="str">
        <f>IFERROR(__xludf.DUMMYFUNCTION("IFERROR(INDEX(QUERY(IMPORTRANGE(""1T7HG8KEs-Ob7f3M5atEVN9Yn7IeORGp0QGvggB62ELw"",""Maestro!A:I""),""SELECT Col7 WHERE Col3 = '""&amp;BD925&amp;""'"", 0), 1, 1),""NO ENCONTRADO"")"),"")</f>
        <v/>
      </c>
      <c r="BI925" s="16">
        <f t="shared" si="15"/>
        <v>0</v>
      </c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4"/>
      <c r="BW925" s="14"/>
      <c r="BX925" s="14"/>
      <c r="BY925" s="14"/>
      <c r="BZ925" s="14"/>
      <c r="CA925" s="14"/>
      <c r="CB925" s="14"/>
      <c r="CC925" s="14"/>
      <c r="CD925" s="14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</row>
    <row r="926">
      <c r="A926" s="12"/>
      <c r="B926" s="14"/>
      <c r="C926" s="14"/>
      <c r="D926" s="14"/>
      <c r="E926" s="12"/>
      <c r="F926" s="307"/>
      <c r="G926" s="307"/>
      <c r="H926" s="12"/>
      <c r="I926" s="30"/>
      <c r="J926" s="12"/>
      <c r="K926" s="12"/>
      <c r="L926" s="12"/>
      <c r="M926" s="12"/>
      <c r="N926" s="12"/>
      <c r="O926" s="308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4"/>
      <c r="BE926" s="12"/>
      <c r="BF926" s="12"/>
      <c r="BG926" s="12" t="str">
        <f>IFERROR(__xludf.DUMMYFUNCTION("IFERROR(INDEX(QUERY(IMPORTRANGE(""1T7HG8KEs-Ob7f3M5atEVN9Yn7IeORGp0QGvggB62ELw"",""Maestro!A:I""),""SELECT Col8 WHERE Col3 = '""&amp;BD926&amp;""'"", 0), 1, 1),""NO ENCONTRADO"")"),"")</f>
        <v/>
      </c>
      <c r="BH926" s="12" t="str">
        <f>IFERROR(__xludf.DUMMYFUNCTION("IFERROR(INDEX(QUERY(IMPORTRANGE(""1T7HG8KEs-Ob7f3M5atEVN9Yn7IeORGp0QGvggB62ELw"",""Maestro!A:I""),""SELECT Col7 WHERE Col3 = '""&amp;BD926&amp;""'"", 0), 1, 1),""NO ENCONTRADO"")"),"")</f>
        <v/>
      </c>
      <c r="BI926" s="16">
        <f t="shared" si="15"/>
        <v>0</v>
      </c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4"/>
      <c r="BW926" s="14"/>
      <c r="BX926" s="14"/>
      <c r="BY926" s="14"/>
      <c r="BZ926" s="14"/>
      <c r="CA926" s="14"/>
      <c r="CB926" s="14"/>
      <c r="CC926" s="14"/>
      <c r="CD926" s="14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</row>
    <row r="927">
      <c r="A927" s="12"/>
      <c r="B927" s="14"/>
      <c r="C927" s="14"/>
      <c r="D927" s="14"/>
      <c r="E927" s="12"/>
      <c r="F927" s="307"/>
      <c r="G927" s="307"/>
      <c r="H927" s="12"/>
      <c r="I927" s="30"/>
      <c r="J927" s="12"/>
      <c r="K927" s="12"/>
      <c r="L927" s="12"/>
      <c r="M927" s="12"/>
      <c r="N927" s="12"/>
      <c r="O927" s="308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4"/>
      <c r="BE927" s="12"/>
      <c r="BF927" s="12"/>
      <c r="BG927" s="12" t="str">
        <f>IFERROR(__xludf.DUMMYFUNCTION("IFERROR(INDEX(QUERY(IMPORTRANGE(""1T7HG8KEs-Ob7f3M5atEVN9Yn7IeORGp0QGvggB62ELw"",""Maestro!A:I""),""SELECT Col8 WHERE Col3 = '""&amp;BD927&amp;""'"", 0), 1, 1),""NO ENCONTRADO"")"),"")</f>
        <v/>
      </c>
      <c r="BH927" s="12" t="str">
        <f>IFERROR(__xludf.DUMMYFUNCTION("IFERROR(INDEX(QUERY(IMPORTRANGE(""1T7HG8KEs-Ob7f3M5atEVN9Yn7IeORGp0QGvggB62ELw"",""Maestro!A:I""),""SELECT Col7 WHERE Col3 = '""&amp;BD927&amp;""'"", 0), 1, 1),""NO ENCONTRADO"")"),"")</f>
        <v/>
      </c>
      <c r="BI927" s="16">
        <f t="shared" si="15"/>
        <v>0</v>
      </c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4"/>
      <c r="BW927" s="14"/>
      <c r="BX927" s="14"/>
      <c r="BY927" s="14"/>
      <c r="BZ927" s="14"/>
      <c r="CA927" s="14"/>
      <c r="CB927" s="14"/>
      <c r="CC927" s="14"/>
      <c r="CD927" s="14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</row>
    <row r="928">
      <c r="A928" s="12"/>
      <c r="B928" s="14"/>
      <c r="C928" s="14"/>
      <c r="D928" s="14"/>
      <c r="E928" s="12"/>
      <c r="F928" s="307"/>
      <c r="G928" s="307"/>
      <c r="H928" s="12"/>
      <c r="I928" s="30"/>
      <c r="J928" s="12"/>
      <c r="K928" s="12"/>
      <c r="L928" s="12"/>
      <c r="M928" s="12"/>
      <c r="N928" s="12"/>
      <c r="O928" s="308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4"/>
      <c r="BE928" s="12"/>
      <c r="BF928" s="12"/>
      <c r="BG928" s="12" t="str">
        <f>IFERROR(__xludf.DUMMYFUNCTION("IFERROR(INDEX(QUERY(IMPORTRANGE(""1T7HG8KEs-Ob7f3M5atEVN9Yn7IeORGp0QGvggB62ELw"",""Maestro!A:I""),""SELECT Col8 WHERE Col3 = '""&amp;BD928&amp;""'"", 0), 1, 1),""NO ENCONTRADO"")"),"")</f>
        <v/>
      </c>
      <c r="BH928" s="12" t="str">
        <f>IFERROR(__xludf.DUMMYFUNCTION("IFERROR(INDEX(QUERY(IMPORTRANGE(""1T7HG8KEs-Ob7f3M5atEVN9Yn7IeORGp0QGvggB62ELw"",""Maestro!A:I""),""SELECT Col7 WHERE Col3 = '""&amp;BD928&amp;""'"", 0), 1, 1),""NO ENCONTRADO"")"),"")</f>
        <v/>
      </c>
      <c r="BI928" s="16">
        <f t="shared" si="15"/>
        <v>0</v>
      </c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4"/>
      <c r="BW928" s="14"/>
      <c r="BX928" s="14"/>
      <c r="BY928" s="14"/>
      <c r="BZ928" s="14"/>
      <c r="CA928" s="14"/>
      <c r="CB928" s="14"/>
      <c r="CC928" s="14"/>
      <c r="CD928" s="14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</row>
    <row r="929">
      <c r="A929" s="12"/>
      <c r="B929" s="14"/>
      <c r="C929" s="14"/>
      <c r="D929" s="14"/>
      <c r="E929" s="12"/>
      <c r="F929" s="307"/>
      <c r="G929" s="307"/>
      <c r="H929" s="12"/>
      <c r="I929" s="30"/>
      <c r="J929" s="12"/>
      <c r="K929" s="12"/>
      <c r="L929" s="12"/>
      <c r="M929" s="12"/>
      <c r="N929" s="12"/>
      <c r="O929" s="308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4"/>
      <c r="BE929" s="12"/>
      <c r="BF929" s="12"/>
      <c r="BG929" s="12" t="str">
        <f>IFERROR(__xludf.DUMMYFUNCTION("IFERROR(INDEX(QUERY(IMPORTRANGE(""1T7HG8KEs-Ob7f3M5atEVN9Yn7IeORGp0QGvggB62ELw"",""Maestro!A:I""),""SELECT Col8 WHERE Col3 = '""&amp;BD929&amp;""'"", 0), 1, 1),""NO ENCONTRADO"")"),"")</f>
        <v/>
      </c>
      <c r="BH929" s="12" t="str">
        <f>IFERROR(__xludf.DUMMYFUNCTION("IFERROR(INDEX(QUERY(IMPORTRANGE(""1T7HG8KEs-Ob7f3M5atEVN9Yn7IeORGp0QGvggB62ELw"",""Maestro!A:I""),""SELECT Col7 WHERE Col3 = '""&amp;BD929&amp;""'"", 0), 1, 1),""NO ENCONTRADO"")"),"")</f>
        <v/>
      </c>
      <c r="BI929" s="16">
        <f t="shared" si="15"/>
        <v>0</v>
      </c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4"/>
      <c r="BW929" s="14"/>
      <c r="BX929" s="14"/>
      <c r="BY929" s="14"/>
      <c r="BZ929" s="14"/>
      <c r="CA929" s="14"/>
      <c r="CB929" s="14"/>
      <c r="CC929" s="14"/>
      <c r="CD929" s="14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</row>
    <row r="930">
      <c r="A930" s="12"/>
      <c r="B930" s="14"/>
      <c r="C930" s="14"/>
      <c r="D930" s="14"/>
      <c r="E930" s="12"/>
      <c r="F930" s="307"/>
      <c r="G930" s="307"/>
      <c r="H930" s="12"/>
      <c r="I930" s="30"/>
      <c r="J930" s="12"/>
      <c r="K930" s="12"/>
      <c r="L930" s="12"/>
      <c r="M930" s="12"/>
      <c r="N930" s="12"/>
      <c r="O930" s="308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4"/>
      <c r="BE930" s="12"/>
      <c r="BF930" s="12"/>
      <c r="BG930" s="12" t="str">
        <f>IFERROR(__xludf.DUMMYFUNCTION("IFERROR(INDEX(QUERY(IMPORTRANGE(""1T7HG8KEs-Ob7f3M5atEVN9Yn7IeORGp0QGvggB62ELw"",""Maestro!A:I""),""SELECT Col8 WHERE Col3 = '""&amp;BD930&amp;""'"", 0), 1, 1),""NO ENCONTRADO"")"),"")</f>
        <v/>
      </c>
      <c r="BH930" s="12" t="str">
        <f>IFERROR(__xludf.DUMMYFUNCTION("IFERROR(INDEX(QUERY(IMPORTRANGE(""1T7HG8KEs-Ob7f3M5atEVN9Yn7IeORGp0QGvggB62ELw"",""Maestro!A:I""),""SELECT Col7 WHERE Col3 = '""&amp;BD930&amp;""'"", 0), 1, 1),""NO ENCONTRADO"")"),"")</f>
        <v/>
      </c>
      <c r="BI930" s="16">
        <f t="shared" si="15"/>
        <v>0</v>
      </c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4"/>
      <c r="BW930" s="14"/>
      <c r="BX930" s="14"/>
      <c r="BY930" s="14"/>
      <c r="BZ930" s="14"/>
      <c r="CA930" s="14"/>
      <c r="CB930" s="14"/>
      <c r="CC930" s="14"/>
      <c r="CD930" s="14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</row>
    <row r="931">
      <c r="A931" s="12"/>
      <c r="B931" s="14"/>
      <c r="C931" s="14"/>
      <c r="D931" s="14"/>
      <c r="E931" s="12"/>
      <c r="F931" s="307"/>
      <c r="G931" s="307"/>
      <c r="H931" s="12"/>
      <c r="I931" s="30"/>
      <c r="J931" s="12"/>
      <c r="K931" s="12"/>
      <c r="L931" s="12"/>
      <c r="M931" s="12"/>
      <c r="N931" s="12"/>
      <c r="O931" s="308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4"/>
      <c r="BE931" s="12"/>
      <c r="BF931" s="12"/>
      <c r="BG931" s="12" t="str">
        <f>IFERROR(__xludf.DUMMYFUNCTION("IFERROR(INDEX(QUERY(IMPORTRANGE(""1T7HG8KEs-Ob7f3M5atEVN9Yn7IeORGp0QGvggB62ELw"",""Maestro!A:I""),""SELECT Col8 WHERE Col3 = '""&amp;BD931&amp;""'"", 0), 1, 1),""NO ENCONTRADO"")"),"")</f>
        <v/>
      </c>
      <c r="BH931" s="12" t="str">
        <f>IFERROR(__xludf.DUMMYFUNCTION("IFERROR(INDEX(QUERY(IMPORTRANGE(""1T7HG8KEs-Ob7f3M5atEVN9Yn7IeORGp0QGvggB62ELw"",""Maestro!A:I""),""SELECT Col7 WHERE Col3 = '""&amp;BD931&amp;""'"", 0), 1, 1),""NO ENCONTRADO"")"),"")</f>
        <v/>
      </c>
      <c r="BI931" s="16">
        <f t="shared" si="15"/>
        <v>0</v>
      </c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4"/>
      <c r="BW931" s="14"/>
      <c r="BX931" s="14"/>
      <c r="BY931" s="14"/>
      <c r="BZ931" s="14"/>
      <c r="CA931" s="14"/>
      <c r="CB931" s="14"/>
      <c r="CC931" s="14"/>
      <c r="CD931" s="14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</row>
    <row r="932">
      <c r="A932" s="12"/>
      <c r="B932" s="14"/>
      <c r="C932" s="14"/>
      <c r="D932" s="14"/>
      <c r="E932" s="12"/>
      <c r="F932" s="307"/>
      <c r="G932" s="307"/>
      <c r="H932" s="12"/>
      <c r="I932" s="30"/>
      <c r="J932" s="12"/>
      <c r="K932" s="12"/>
      <c r="L932" s="12"/>
      <c r="M932" s="12"/>
      <c r="N932" s="12"/>
      <c r="O932" s="308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4"/>
      <c r="BE932" s="12"/>
      <c r="BF932" s="12"/>
      <c r="BG932" s="12" t="str">
        <f>IFERROR(__xludf.DUMMYFUNCTION("IFERROR(INDEX(QUERY(IMPORTRANGE(""1T7HG8KEs-Ob7f3M5atEVN9Yn7IeORGp0QGvggB62ELw"",""Maestro!A:I""),""SELECT Col8 WHERE Col3 = '""&amp;BD932&amp;""'"", 0), 1, 1),""NO ENCONTRADO"")"),"")</f>
        <v/>
      </c>
      <c r="BH932" s="12" t="str">
        <f>IFERROR(__xludf.DUMMYFUNCTION("IFERROR(INDEX(QUERY(IMPORTRANGE(""1T7HG8KEs-Ob7f3M5atEVN9Yn7IeORGp0QGvggB62ELw"",""Maestro!A:I""),""SELECT Col7 WHERE Col3 = '""&amp;BD932&amp;""'"", 0), 1, 1),""NO ENCONTRADO"")"),"")</f>
        <v/>
      </c>
      <c r="BI932" s="16">
        <f t="shared" si="15"/>
        <v>0</v>
      </c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4"/>
      <c r="BW932" s="14"/>
      <c r="BX932" s="14"/>
      <c r="BY932" s="14"/>
      <c r="BZ932" s="14"/>
      <c r="CA932" s="14"/>
      <c r="CB932" s="14"/>
      <c r="CC932" s="14"/>
      <c r="CD932" s="14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</row>
    <row r="933">
      <c r="A933" s="12"/>
      <c r="B933" s="14"/>
      <c r="C933" s="14"/>
      <c r="D933" s="14"/>
      <c r="E933" s="12"/>
      <c r="F933" s="307"/>
      <c r="G933" s="307"/>
      <c r="H933" s="12"/>
      <c r="I933" s="30"/>
      <c r="J933" s="12"/>
      <c r="K933" s="12"/>
      <c r="L933" s="12"/>
      <c r="M933" s="12"/>
      <c r="N933" s="12"/>
      <c r="O933" s="308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4"/>
      <c r="BE933" s="12"/>
      <c r="BF933" s="12"/>
      <c r="BG933" s="12" t="str">
        <f>IFERROR(__xludf.DUMMYFUNCTION("IFERROR(INDEX(QUERY(IMPORTRANGE(""1T7HG8KEs-Ob7f3M5atEVN9Yn7IeORGp0QGvggB62ELw"",""Maestro!A:I""),""SELECT Col8 WHERE Col3 = '""&amp;BD933&amp;""'"", 0), 1, 1),""NO ENCONTRADO"")"),"")</f>
        <v/>
      </c>
      <c r="BH933" s="12" t="str">
        <f>IFERROR(__xludf.DUMMYFUNCTION("IFERROR(INDEX(QUERY(IMPORTRANGE(""1T7HG8KEs-Ob7f3M5atEVN9Yn7IeORGp0QGvggB62ELw"",""Maestro!A:I""),""SELECT Col7 WHERE Col3 = '""&amp;BD933&amp;""'"", 0), 1, 1),""NO ENCONTRADO"")"),"")</f>
        <v/>
      </c>
      <c r="BI933" s="16">
        <f t="shared" si="15"/>
        <v>0</v>
      </c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4"/>
      <c r="BW933" s="14"/>
      <c r="BX933" s="14"/>
      <c r="BY933" s="14"/>
      <c r="BZ933" s="14"/>
      <c r="CA933" s="14"/>
      <c r="CB933" s="14"/>
      <c r="CC933" s="14"/>
      <c r="CD933" s="14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</row>
    <row r="934">
      <c r="A934" s="12"/>
      <c r="B934" s="14"/>
      <c r="C934" s="14"/>
      <c r="D934" s="14"/>
      <c r="E934" s="12"/>
      <c r="F934" s="307"/>
      <c r="G934" s="307"/>
      <c r="H934" s="12"/>
      <c r="I934" s="30"/>
      <c r="J934" s="12"/>
      <c r="K934" s="12"/>
      <c r="L934" s="12"/>
      <c r="M934" s="12"/>
      <c r="N934" s="12"/>
      <c r="O934" s="308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4"/>
      <c r="BE934" s="12"/>
      <c r="BF934" s="12"/>
      <c r="BG934" s="12" t="str">
        <f>IFERROR(__xludf.DUMMYFUNCTION("IFERROR(INDEX(QUERY(IMPORTRANGE(""1T7HG8KEs-Ob7f3M5atEVN9Yn7IeORGp0QGvggB62ELw"",""Maestro!A:I""),""SELECT Col8 WHERE Col3 = '""&amp;BD934&amp;""'"", 0), 1, 1),""NO ENCONTRADO"")"),"")</f>
        <v/>
      </c>
      <c r="BH934" s="12" t="str">
        <f>IFERROR(__xludf.DUMMYFUNCTION("IFERROR(INDEX(QUERY(IMPORTRANGE(""1T7HG8KEs-Ob7f3M5atEVN9Yn7IeORGp0QGvggB62ELw"",""Maestro!A:I""),""SELECT Col7 WHERE Col3 = '""&amp;BD934&amp;""'"", 0), 1, 1),""NO ENCONTRADO"")"),"")</f>
        <v/>
      </c>
      <c r="BI934" s="16">
        <f t="shared" si="15"/>
        <v>0</v>
      </c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4"/>
      <c r="BW934" s="14"/>
      <c r="BX934" s="14"/>
      <c r="BY934" s="14"/>
      <c r="BZ934" s="14"/>
      <c r="CA934" s="14"/>
      <c r="CB934" s="14"/>
      <c r="CC934" s="14"/>
      <c r="CD934" s="14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</row>
    <row r="935">
      <c r="A935" s="12"/>
      <c r="B935" s="14"/>
      <c r="C935" s="14"/>
      <c r="D935" s="14"/>
      <c r="E935" s="12"/>
      <c r="F935" s="307"/>
      <c r="G935" s="307"/>
      <c r="H935" s="12"/>
      <c r="I935" s="30"/>
      <c r="J935" s="12"/>
      <c r="K935" s="12"/>
      <c r="L935" s="12"/>
      <c r="M935" s="12"/>
      <c r="N935" s="12"/>
      <c r="O935" s="308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4"/>
      <c r="BE935" s="12"/>
      <c r="BF935" s="12"/>
      <c r="BG935" s="12" t="str">
        <f>IFERROR(__xludf.DUMMYFUNCTION("IFERROR(INDEX(QUERY(IMPORTRANGE(""1T7HG8KEs-Ob7f3M5atEVN9Yn7IeORGp0QGvggB62ELw"",""Maestro!A:I""),""SELECT Col8 WHERE Col3 = '""&amp;BD935&amp;""'"", 0), 1, 1),""NO ENCONTRADO"")"),"")</f>
        <v/>
      </c>
      <c r="BH935" s="12" t="str">
        <f>IFERROR(__xludf.DUMMYFUNCTION("IFERROR(INDEX(QUERY(IMPORTRANGE(""1T7HG8KEs-Ob7f3M5atEVN9Yn7IeORGp0QGvggB62ELw"",""Maestro!A:I""),""SELECT Col7 WHERE Col3 = '""&amp;BD935&amp;""'"", 0), 1, 1),""NO ENCONTRADO"")"),"")</f>
        <v/>
      </c>
      <c r="BI935" s="16">
        <f t="shared" si="15"/>
        <v>0</v>
      </c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4"/>
      <c r="BW935" s="14"/>
      <c r="BX935" s="14"/>
      <c r="BY935" s="14"/>
      <c r="BZ935" s="14"/>
      <c r="CA935" s="14"/>
      <c r="CB935" s="14"/>
      <c r="CC935" s="14"/>
      <c r="CD935" s="14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</row>
    <row r="936">
      <c r="A936" s="12"/>
      <c r="B936" s="14"/>
      <c r="C936" s="14"/>
      <c r="D936" s="14"/>
      <c r="E936" s="12"/>
      <c r="F936" s="307"/>
      <c r="G936" s="307"/>
      <c r="H936" s="12"/>
      <c r="I936" s="30"/>
      <c r="J936" s="12"/>
      <c r="K936" s="12"/>
      <c r="L936" s="12"/>
      <c r="M936" s="12"/>
      <c r="N936" s="12"/>
      <c r="O936" s="308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4"/>
      <c r="BE936" s="12"/>
      <c r="BF936" s="12"/>
      <c r="BG936" s="12" t="str">
        <f>IFERROR(__xludf.DUMMYFUNCTION("IFERROR(INDEX(QUERY(IMPORTRANGE(""1T7HG8KEs-Ob7f3M5atEVN9Yn7IeORGp0QGvggB62ELw"",""Maestro!A:I""),""SELECT Col8 WHERE Col3 = '""&amp;BD936&amp;""'"", 0), 1, 1),""NO ENCONTRADO"")"),"")</f>
        <v/>
      </c>
      <c r="BH936" s="12" t="str">
        <f>IFERROR(__xludf.DUMMYFUNCTION("IFERROR(INDEX(QUERY(IMPORTRANGE(""1T7HG8KEs-Ob7f3M5atEVN9Yn7IeORGp0QGvggB62ELw"",""Maestro!A:I""),""SELECT Col7 WHERE Col3 = '""&amp;BD936&amp;""'"", 0), 1, 1),""NO ENCONTRADO"")"),"")</f>
        <v/>
      </c>
      <c r="BI936" s="16">
        <f t="shared" si="15"/>
        <v>0</v>
      </c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4"/>
      <c r="BW936" s="14"/>
      <c r="BX936" s="14"/>
      <c r="BY936" s="14"/>
      <c r="BZ936" s="14"/>
      <c r="CA936" s="14"/>
      <c r="CB936" s="14"/>
      <c r="CC936" s="14"/>
      <c r="CD936" s="14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</row>
    <row r="937">
      <c r="A937" s="12"/>
      <c r="B937" s="14"/>
      <c r="C937" s="14"/>
      <c r="D937" s="14"/>
      <c r="E937" s="12"/>
      <c r="F937" s="307"/>
      <c r="G937" s="307"/>
      <c r="H937" s="12"/>
      <c r="I937" s="30"/>
      <c r="J937" s="12"/>
      <c r="K937" s="12"/>
      <c r="L937" s="12"/>
      <c r="M937" s="12"/>
      <c r="N937" s="12"/>
      <c r="O937" s="308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4"/>
      <c r="BE937" s="12"/>
      <c r="BF937" s="12"/>
      <c r="BG937" s="12"/>
      <c r="BH937" s="12"/>
      <c r="BI937" s="16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4"/>
      <c r="BW937" s="14"/>
      <c r="BX937" s="14"/>
      <c r="BY937" s="14"/>
      <c r="BZ937" s="14"/>
      <c r="CA937" s="14"/>
      <c r="CB937" s="14"/>
      <c r="CC937" s="14"/>
      <c r="CD937" s="14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</row>
  </sheetData>
  <conditionalFormatting sqref="E2:J439">
    <cfRule type="notContainsBlanks" dxfId="0" priority="1">
      <formula>LEN(TRIM(E2))&gt;0</formula>
    </cfRule>
  </conditionalFormatting>
  <conditionalFormatting sqref="E2:J439">
    <cfRule type="containsBlanks" dxfId="1" priority="2">
      <formula>LEN(TRIM(E2))=0</formula>
    </cfRule>
  </conditionalFormatting>
  <dataValidations>
    <dataValidation type="custom" allowBlank="1" showDropDown="1" sqref="E2:E439">
      <formula1>OR(NOT(ISERROR(DATEVALUE(E2))), AND(ISNUMBER(E2), LEFT(CELL("format", E2))="D"))</formula1>
    </dataValidation>
    <dataValidation type="custom" allowBlank="1" showDropDown="1" sqref="I2:I439">
      <formula1>AND(ISNUMBER(I2),(NOT(OR(NOT(ISERROR(DATEVALUE(I2))), AND(ISNUMBER(I2), LEFT(CELL("format", I2))="D")))))</formula1>
    </dataValidation>
    <dataValidation allowBlank="1" showDropDown="1" sqref="F2:F439"/>
  </dataValidations>
  <drawing r:id="rId6"/>
  <tableParts count="1">
    <tablePart r:id="rId8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hidden="1" min="2" max="4" width="12.63"/>
    <col customWidth="1" min="5" max="5" width="34.38"/>
    <col hidden="1" min="7" max="7" width="12.63"/>
    <col hidden="1" min="10" max="10" width="12.63"/>
    <col customWidth="1" min="11" max="11" width="23.0"/>
  </cols>
  <sheetData>
    <row r="1">
      <c r="A1" s="404" t="s">
        <v>3</v>
      </c>
      <c r="B1" s="405"/>
      <c r="C1" s="405"/>
      <c r="D1" s="405"/>
      <c r="E1" s="404" t="s">
        <v>7</v>
      </c>
      <c r="F1" s="404" t="s">
        <v>801</v>
      </c>
      <c r="G1" s="405"/>
      <c r="H1" s="404" t="s">
        <v>802</v>
      </c>
      <c r="I1" s="404" t="s">
        <v>803</v>
      </c>
      <c r="J1" s="405"/>
      <c r="K1" s="404" t="s">
        <v>804</v>
      </c>
    </row>
    <row r="2">
      <c r="A2" s="406" t="s">
        <v>69</v>
      </c>
      <c r="B2" s="407">
        <v>45733.0</v>
      </c>
      <c r="C2" s="408" t="s">
        <v>19</v>
      </c>
      <c r="D2" s="408" t="s">
        <v>70</v>
      </c>
      <c r="E2" s="404" t="s">
        <v>71</v>
      </c>
      <c r="F2" s="409">
        <v>2025.0</v>
      </c>
      <c r="G2" s="404" t="s">
        <v>22</v>
      </c>
      <c r="H2" s="404">
        <v>35.0</v>
      </c>
      <c r="I2" s="410">
        <f t="shared" ref="I2:I12" si="1">F2-H2</f>
        <v>1990</v>
      </c>
      <c r="J2" s="404" t="s">
        <v>805</v>
      </c>
      <c r="K2" s="405"/>
    </row>
    <row r="3">
      <c r="A3" s="406" t="s">
        <v>171</v>
      </c>
      <c r="B3" s="407">
        <v>45754.0</v>
      </c>
      <c r="C3" s="408" t="s">
        <v>764</v>
      </c>
      <c r="D3" s="408" t="s">
        <v>143</v>
      </c>
      <c r="E3" s="404" t="s">
        <v>144</v>
      </c>
      <c r="F3" s="409">
        <v>179.0</v>
      </c>
      <c r="G3" s="404" t="s">
        <v>22</v>
      </c>
      <c r="H3" s="404">
        <v>175.0</v>
      </c>
      <c r="I3" s="410">
        <f t="shared" si="1"/>
        <v>4</v>
      </c>
      <c r="J3" s="404" t="s">
        <v>805</v>
      </c>
      <c r="K3" s="405"/>
    </row>
    <row r="4">
      <c r="A4" s="406" t="s">
        <v>176</v>
      </c>
      <c r="B4" s="407">
        <v>45754.0</v>
      </c>
      <c r="C4" s="408" t="s">
        <v>358</v>
      </c>
      <c r="D4" s="408" t="s">
        <v>137</v>
      </c>
      <c r="E4" s="404" t="s">
        <v>138</v>
      </c>
      <c r="F4" s="409">
        <v>200.0</v>
      </c>
      <c r="G4" s="404" t="s">
        <v>22</v>
      </c>
      <c r="H4" s="404">
        <v>200.0</v>
      </c>
      <c r="I4" s="410">
        <f t="shared" si="1"/>
        <v>0</v>
      </c>
      <c r="J4" s="404" t="s">
        <v>805</v>
      </c>
      <c r="K4" s="405"/>
    </row>
    <row r="5">
      <c r="A5" s="406" t="s">
        <v>259</v>
      </c>
      <c r="B5" s="407">
        <v>45763.0</v>
      </c>
      <c r="C5" s="408" t="s">
        <v>258</v>
      </c>
      <c r="D5" s="408" t="s">
        <v>143</v>
      </c>
      <c r="E5" s="404" t="s">
        <v>144</v>
      </c>
      <c r="F5" s="409">
        <v>513.0</v>
      </c>
      <c r="G5" s="404" t="s">
        <v>22</v>
      </c>
      <c r="H5" s="404">
        <v>25.0</v>
      </c>
      <c r="I5" s="410">
        <f t="shared" si="1"/>
        <v>488</v>
      </c>
      <c r="J5" s="404" t="s">
        <v>805</v>
      </c>
      <c r="K5" s="405"/>
    </row>
    <row r="6">
      <c r="A6" s="406" t="s">
        <v>344</v>
      </c>
      <c r="B6" s="407">
        <v>45763.0</v>
      </c>
      <c r="C6" s="408" t="s">
        <v>778</v>
      </c>
      <c r="D6" s="408" t="s">
        <v>221</v>
      </c>
      <c r="E6" s="404" t="s">
        <v>222</v>
      </c>
      <c r="F6" s="409">
        <v>105.0</v>
      </c>
      <c r="G6" s="404" t="s">
        <v>22</v>
      </c>
      <c r="H6" s="404">
        <v>75.0</v>
      </c>
      <c r="I6" s="410">
        <f t="shared" si="1"/>
        <v>30</v>
      </c>
      <c r="J6" s="404" t="s">
        <v>805</v>
      </c>
      <c r="K6" s="405"/>
    </row>
    <row r="7">
      <c r="A7" s="406" t="s">
        <v>214</v>
      </c>
      <c r="B7" s="407">
        <v>45761.0</v>
      </c>
      <c r="C7" s="408" t="s">
        <v>806</v>
      </c>
      <c r="D7" s="408" t="s">
        <v>210</v>
      </c>
      <c r="E7" s="404" t="s">
        <v>211</v>
      </c>
      <c r="F7" s="409">
        <v>14.0</v>
      </c>
      <c r="G7" s="404" t="s">
        <v>22</v>
      </c>
      <c r="H7" s="404">
        <v>14.0</v>
      </c>
      <c r="I7" s="410">
        <f t="shared" si="1"/>
        <v>0</v>
      </c>
      <c r="J7" s="404" t="s">
        <v>805</v>
      </c>
      <c r="K7" s="405"/>
    </row>
    <row r="8">
      <c r="A8" s="406" t="s">
        <v>225</v>
      </c>
      <c r="B8" s="407">
        <v>45763.0</v>
      </c>
      <c r="C8" s="411" t="s">
        <v>19</v>
      </c>
      <c r="D8" s="408" t="s">
        <v>183</v>
      </c>
      <c r="E8" s="404" t="s">
        <v>184</v>
      </c>
      <c r="F8" s="409">
        <v>6.0</v>
      </c>
      <c r="G8" s="404" t="s">
        <v>35</v>
      </c>
      <c r="H8" s="404">
        <v>6.0</v>
      </c>
      <c r="I8" s="410">
        <f t="shared" si="1"/>
        <v>0</v>
      </c>
      <c r="J8" s="404" t="s">
        <v>805</v>
      </c>
      <c r="K8" s="405"/>
    </row>
    <row r="9">
      <c r="A9" s="406" t="s">
        <v>116</v>
      </c>
      <c r="B9" s="407">
        <v>45733.0</v>
      </c>
      <c r="C9" s="408" t="s">
        <v>19</v>
      </c>
      <c r="D9" s="408" t="s">
        <v>143</v>
      </c>
      <c r="E9" s="404" t="s">
        <v>144</v>
      </c>
      <c r="F9" s="409">
        <v>350.0</v>
      </c>
      <c r="G9" s="404" t="s">
        <v>22</v>
      </c>
      <c r="H9" s="404">
        <v>150.0</v>
      </c>
      <c r="I9" s="410">
        <f t="shared" si="1"/>
        <v>200</v>
      </c>
      <c r="J9" s="404" t="s">
        <v>807</v>
      </c>
      <c r="K9" s="405"/>
    </row>
    <row r="10">
      <c r="A10" s="406" t="s">
        <v>237</v>
      </c>
      <c r="B10" s="407">
        <v>45754.0</v>
      </c>
      <c r="C10" s="408" t="s">
        <v>766</v>
      </c>
      <c r="D10" s="408" t="s">
        <v>137</v>
      </c>
      <c r="E10" s="404" t="s">
        <v>138</v>
      </c>
      <c r="F10" s="409">
        <v>450.0</v>
      </c>
      <c r="G10" s="404" t="s">
        <v>22</v>
      </c>
      <c r="H10" s="404">
        <v>200.0</v>
      </c>
      <c r="I10" s="410">
        <f t="shared" si="1"/>
        <v>250</v>
      </c>
      <c r="J10" s="404" t="s">
        <v>807</v>
      </c>
      <c r="K10" s="405"/>
    </row>
    <row r="11">
      <c r="A11" s="406" t="s">
        <v>344</v>
      </c>
      <c r="B11" s="407">
        <v>45763.0</v>
      </c>
      <c r="C11" s="408" t="s">
        <v>778</v>
      </c>
      <c r="D11" s="408" t="s">
        <v>221</v>
      </c>
      <c r="E11" s="404" t="s">
        <v>222</v>
      </c>
      <c r="F11" s="409">
        <v>30.0</v>
      </c>
      <c r="G11" s="404" t="s">
        <v>22</v>
      </c>
      <c r="H11" s="404">
        <v>30.0</v>
      </c>
      <c r="I11" s="410">
        <f t="shared" si="1"/>
        <v>0</v>
      </c>
      <c r="J11" s="404" t="s">
        <v>807</v>
      </c>
      <c r="K11" s="405"/>
    </row>
    <row r="12">
      <c r="A12" s="406" t="s">
        <v>380</v>
      </c>
      <c r="B12" s="407">
        <v>45763.0</v>
      </c>
      <c r="C12" s="408" t="s">
        <v>778</v>
      </c>
      <c r="D12" s="408" t="s">
        <v>221</v>
      </c>
      <c r="E12" s="404" t="s">
        <v>222</v>
      </c>
      <c r="F12" s="409">
        <v>150.0</v>
      </c>
      <c r="G12" s="404" t="s">
        <v>22</v>
      </c>
      <c r="H12" s="404">
        <v>145.0</v>
      </c>
      <c r="I12" s="410">
        <f t="shared" si="1"/>
        <v>5</v>
      </c>
      <c r="J12" s="404" t="s">
        <v>807</v>
      </c>
      <c r="K12" s="405"/>
    </row>
  </sheetData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309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3" t="s">
        <v>5</v>
      </c>
      <c r="G1" s="3" t="s">
        <v>6</v>
      </c>
      <c r="H1" s="5" t="s">
        <v>7</v>
      </c>
      <c r="I1" s="6" t="s">
        <v>8</v>
      </c>
      <c r="J1" s="7" t="s">
        <v>9</v>
      </c>
      <c r="K1" s="8" t="s">
        <v>10</v>
      </c>
      <c r="L1" s="9" t="s">
        <v>11</v>
      </c>
      <c r="M1" s="9" t="s">
        <v>12</v>
      </c>
      <c r="N1" s="10" t="s">
        <v>13</v>
      </c>
      <c r="O1" s="11" t="s">
        <v>14</v>
      </c>
    </row>
    <row r="2">
      <c r="A2" s="18">
        <v>1.0</v>
      </c>
      <c r="B2" s="19" t="s">
        <v>18</v>
      </c>
      <c r="C2" s="19" t="s">
        <v>18</v>
      </c>
      <c r="D2" s="20" t="str">
        <f t="shared" ref="D2:D439" si="1">CONCATENATE(A2,"-",B2,"-",C2)</f>
        <v>1-1-1</v>
      </c>
      <c r="E2" s="21">
        <v>45733.0</v>
      </c>
      <c r="F2" s="22" t="s">
        <v>19</v>
      </c>
      <c r="G2" s="23" t="s">
        <v>20</v>
      </c>
      <c r="H2" s="24" t="s">
        <v>21</v>
      </c>
      <c r="I2" s="25">
        <v>90.0</v>
      </c>
      <c r="J2" s="26" t="s">
        <v>22</v>
      </c>
      <c r="K2" s="27" t="str">
        <f t="shared" ref="K2:K78" si="2">IF(ISBLANK(E2),"DISPONIBLE","OCUPADO")</f>
        <v>OCUPADO</v>
      </c>
      <c r="L2" s="28">
        <f t="shared" ref="L2:L99" si="3">IF(B1&lt;&gt;"", ROW(A1), "")
</f>
        <v>1</v>
      </c>
      <c r="M2" s="28" t="s">
        <v>23</v>
      </c>
      <c r="N2" s="70"/>
      <c r="O2" s="29" t="s">
        <v>24</v>
      </c>
    </row>
    <row r="3">
      <c r="A3" s="18">
        <v>1.0</v>
      </c>
      <c r="B3" s="19" t="s">
        <v>18</v>
      </c>
      <c r="C3" s="19" t="s">
        <v>32</v>
      </c>
      <c r="D3" s="20" t="str">
        <f t="shared" si="1"/>
        <v>1-1-2</v>
      </c>
      <c r="E3" s="21">
        <v>45733.0</v>
      </c>
      <c r="F3" s="22" t="s">
        <v>19</v>
      </c>
      <c r="G3" s="23" t="s">
        <v>33</v>
      </c>
      <c r="H3" s="24" t="s">
        <v>34</v>
      </c>
      <c r="I3" s="25">
        <v>43.0</v>
      </c>
      <c r="J3" s="26" t="s">
        <v>35</v>
      </c>
      <c r="K3" s="32" t="str">
        <f t="shared" si="2"/>
        <v>OCUPADO</v>
      </c>
      <c r="L3" s="33">
        <f t="shared" si="3"/>
        <v>2</v>
      </c>
      <c r="M3" s="33" t="s">
        <v>23</v>
      </c>
      <c r="N3" s="53"/>
      <c r="O3" s="34" t="s">
        <v>24</v>
      </c>
    </row>
    <row r="4">
      <c r="A4" s="18">
        <v>1.0</v>
      </c>
      <c r="B4" s="19" t="s">
        <v>18</v>
      </c>
      <c r="C4" s="19" t="s">
        <v>44</v>
      </c>
      <c r="D4" s="20" t="str">
        <f t="shared" si="1"/>
        <v>1-1-3</v>
      </c>
      <c r="E4" s="35">
        <v>45742.0</v>
      </c>
      <c r="F4" s="36" t="s">
        <v>45</v>
      </c>
      <c r="G4" s="37" t="s">
        <v>46</v>
      </c>
      <c r="H4" s="38" t="s">
        <v>47</v>
      </c>
      <c r="I4" s="39">
        <v>700.0</v>
      </c>
      <c r="J4" s="38" t="s">
        <v>22</v>
      </c>
      <c r="K4" s="27" t="str">
        <f t="shared" si="2"/>
        <v>OCUPADO</v>
      </c>
      <c r="L4" s="28">
        <f t="shared" si="3"/>
        <v>3</v>
      </c>
      <c r="M4" s="28" t="s">
        <v>23</v>
      </c>
      <c r="N4" s="70"/>
      <c r="O4" s="29" t="s">
        <v>24</v>
      </c>
    </row>
    <row r="5">
      <c r="A5" s="18">
        <v>1.0</v>
      </c>
      <c r="B5" s="19" t="s">
        <v>18</v>
      </c>
      <c r="C5" s="19" t="s">
        <v>53</v>
      </c>
      <c r="D5" s="20" t="str">
        <f t="shared" si="1"/>
        <v>1-1-4</v>
      </c>
      <c r="E5" s="310">
        <v>45733.0</v>
      </c>
      <c r="F5" s="311" t="s">
        <v>19</v>
      </c>
      <c r="G5" s="311" t="s">
        <v>54</v>
      </c>
      <c r="H5" s="312" t="s">
        <v>55</v>
      </c>
      <c r="I5" s="43">
        <v>511.0</v>
      </c>
      <c r="J5" s="38" t="s">
        <v>22</v>
      </c>
      <c r="K5" s="32" t="str">
        <f t="shared" si="2"/>
        <v>OCUPADO</v>
      </c>
      <c r="L5" s="33">
        <f t="shared" si="3"/>
        <v>4</v>
      </c>
      <c r="M5" s="33" t="s">
        <v>23</v>
      </c>
      <c r="N5" s="53"/>
      <c r="O5" s="34" t="s">
        <v>24</v>
      </c>
    </row>
    <row r="6">
      <c r="A6" s="18">
        <v>1.0</v>
      </c>
      <c r="B6" s="19" t="s">
        <v>18</v>
      </c>
      <c r="C6" s="19" t="s">
        <v>25</v>
      </c>
      <c r="D6" s="20" t="str">
        <f t="shared" si="1"/>
        <v>1-1-5</v>
      </c>
      <c r="E6" s="310">
        <v>45733.0</v>
      </c>
      <c r="F6" s="311" t="s">
        <v>19</v>
      </c>
      <c r="G6" s="23" t="s">
        <v>749</v>
      </c>
      <c r="H6" s="24" t="s">
        <v>750</v>
      </c>
      <c r="I6" s="25">
        <v>100.0</v>
      </c>
      <c r="J6" s="38" t="s">
        <v>22</v>
      </c>
      <c r="K6" s="27" t="str">
        <f t="shared" si="2"/>
        <v>OCUPADO</v>
      </c>
      <c r="L6" s="28">
        <f t="shared" si="3"/>
        <v>5</v>
      </c>
      <c r="M6" s="28" t="s">
        <v>23</v>
      </c>
      <c r="N6" s="70"/>
      <c r="O6" s="29"/>
    </row>
    <row r="7">
      <c r="A7" s="18">
        <v>1.0</v>
      </c>
      <c r="B7" s="19" t="s">
        <v>18</v>
      </c>
      <c r="C7" s="19" t="s">
        <v>36</v>
      </c>
      <c r="D7" s="20" t="str">
        <f t="shared" si="1"/>
        <v>1-1-6</v>
      </c>
      <c r="E7" s="50"/>
      <c r="F7" s="51"/>
      <c r="G7" s="46"/>
      <c r="H7" s="47"/>
      <c r="I7" s="48"/>
      <c r="J7" s="52"/>
      <c r="K7" s="32" t="str">
        <f t="shared" si="2"/>
        <v>DISPONIBLE</v>
      </c>
      <c r="L7" s="33">
        <f t="shared" si="3"/>
        <v>6</v>
      </c>
      <c r="M7" s="33" t="s">
        <v>23</v>
      </c>
      <c r="N7" s="53"/>
      <c r="O7" s="34"/>
    </row>
    <row r="8">
      <c r="A8" s="54">
        <v>1.0</v>
      </c>
      <c r="B8" s="55" t="s">
        <v>18</v>
      </c>
      <c r="C8" s="55" t="s">
        <v>48</v>
      </c>
      <c r="D8" s="56" t="str">
        <f t="shared" si="1"/>
        <v>1-1-7</v>
      </c>
      <c r="E8" s="57"/>
      <c r="F8" s="58"/>
      <c r="G8" s="59"/>
      <c r="H8" s="60"/>
      <c r="I8" s="61"/>
      <c r="J8" s="62"/>
      <c r="K8" s="63" t="str">
        <f t="shared" si="2"/>
        <v>DISPONIBLE</v>
      </c>
      <c r="L8" s="64">
        <f t="shared" si="3"/>
        <v>7</v>
      </c>
      <c r="M8" s="64" t="s">
        <v>23</v>
      </c>
      <c r="N8" s="65"/>
      <c r="O8" s="66"/>
    </row>
    <row r="9">
      <c r="A9" s="67">
        <v>2.0</v>
      </c>
      <c r="B9" s="68" t="s">
        <v>18</v>
      </c>
      <c r="C9" s="68" t="s">
        <v>18</v>
      </c>
      <c r="D9" s="69" t="str">
        <f t="shared" si="1"/>
        <v>2-1-1</v>
      </c>
      <c r="E9" s="50"/>
      <c r="F9" s="51"/>
      <c r="G9" s="46"/>
      <c r="H9" s="47"/>
      <c r="I9" s="48"/>
      <c r="J9" s="52"/>
      <c r="K9" s="32" t="str">
        <f t="shared" si="2"/>
        <v>DISPONIBLE</v>
      </c>
      <c r="L9" s="33">
        <f t="shared" si="3"/>
        <v>8</v>
      </c>
      <c r="M9" s="33" t="s">
        <v>23</v>
      </c>
      <c r="N9" s="53"/>
      <c r="O9" s="34"/>
    </row>
    <row r="10">
      <c r="A10" s="67">
        <v>2.0</v>
      </c>
      <c r="B10" s="68" t="s">
        <v>18</v>
      </c>
      <c r="C10" s="68" t="s">
        <v>32</v>
      </c>
      <c r="D10" s="69" t="str">
        <f t="shared" si="1"/>
        <v>2-1-2</v>
      </c>
      <c r="E10" s="50"/>
      <c r="F10" s="51"/>
      <c r="G10" s="46"/>
      <c r="H10" s="47"/>
      <c r="I10" s="48"/>
      <c r="J10" s="52"/>
      <c r="K10" s="27" t="str">
        <f t="shared" si="2"/>
        <v>DISPONIBLE</v>
      </c>
      <c r="L10" s="28">
        <f t="shared" si="3"/>
        <v>9</v>
      </c>
      <c r="M10" s="28" t="s">
        <v>23</v>
      </c>
      <c r="N10" s="70"/>
      <c r="O10" s="29"/>
    </row>
    <row r="11">
      <c r="A11" s="67">
        <v>2.0</v>
      </c>
      <c r="B11" s="68" t="s">
        <v>18</v>
      </c>
      <c r="C11" s="68" t="s">
        <v>44</v>
      </c>
      <c r="D11" s="69" t="str">
        <f t="shared" si="1"/>
        <v>2-1-3</v>
      </c>
      <c r="E11" s="50"/>
      <c r="F11" s="51"/>
      <c r="G11" s="46"/>
      <c r="H11" s="47"/>
      <c r="I11" s="48"/>
      <c r="J11" s="52"/>
      <c r="K11" s="32" t="str">
        <f t="shared" si="2"/>
        <v>DISPONIBLE</v>
      </c>
      <c r="L11" s="33">
        <f t="shared" si="3"/>
        <v>10</v>
      </c>
      <c r="M11" s="33" t="s">
        <v>23</v>
      </c>
      <c r="N11" s="53"/>
      <c r="O11" s="34"/>
    </row>
    <row r="12">
      <c r="A12" s="67">
        <v>2.0</v>
      </c>
      <c r="B12" s="68" t="s">
        <v>32</v>
      </c>
      <c r="C12" s="68" t="s">
        <v>18</v>
      </c>
      <c r="D12" s="69" t="str">
        <f t="shared" si="1"/>
        <v>2-2-1</v>
      </c>
      <c r="E12" s="21">
        <v>45733.0</v>
      </c>
      <c r="F12" s="22" t="s">
        <v>19</v>
      </c>
      <c r="G12" s="23" t="s">
        <v>70</v>
      </c>
      <c r="H12" s="24" t="s">
        <v>71</v>
      </c>
      <c r="I12" s="25">
        <v>2025.0</v>
      </c>
      <c r="J12" s="26" t="s">
        <v>22</v>
      </c>
      <c r="K12" s="27" t="str">
        <f t="shared" si="2"/>
        <v>OCUPADO</v>
      </c>
      <c r="L12" s="28">
        <f t="shared" si="3"/>
        <v>11</v>
      </c>
      <c r="M12" s="28" t="s">
        <v>23</v>
      </c>
      <c r="N12" s="70"/>
      <c r="O12" s="29" t="s">
        <v>24</v>
      </c>
    </row>
    <row r="13">
      <c r="A13" s="67">
        <v>2.0</v>
      </c>
      <c r="B13" s="68" t="s">
        <v>32</v>
      </c>
      <c r="C13" s="68" t="s">
        <v>32</v>
      </c>
      <c r="D13" s="69" t="str">
        <f t="shared" si="1"/>
        <v>2-2-2</v>
      </c>
      <c r="E13" s="50"/>
      <c r="F13" s="51"/>
      <c r="G13" s="46"/>
      <c r="H13" s="47"/>
      <c r="I13" s="48"/>
      <c r="J13" s="52"/>
      <c r="K13" s="32" t="str">
        <f t="shared" si="2"/>
        <v>DISPONIBLE</v>
      </c>
      <c r="L13" s="33">
        <f t="shared" si="3"/>
        <v>12</v>
      </c>
      <c r="M13" s="33" t="s">
        <v>23</v>
      </c>
      <c r="N13" s="53"/>
      <c r="O13" s="34"/>
    </row>
    <row r="14">
      <c r="A14" s="67">
        <v>2.0</v>
      </c>
      <c r="B14" s="68" t="s">
        <v>32</v>
      </c>
      <c r="C14" s="68" t="s">
        <v>44</v>
      </c>
      <c r="D14" s="69" t="str">
        <f t="shared" si="1"/>
        <v>2-2-3</v>
      </c>
      <c r="E14" s="50"/>
      <c r="F14" s="51"/>
      <c r="G14" s="46"/>
      <c r="H14" s="47"/>
      <c r="I14" s="48"/>
      <c r="J14" s="52"/>
      <c r="K14" s="27" t="str">
        <f t="shared" si="2"/>
        <v>DISPONIBLE</v>
      </c>
      <c r="L14" s="28">
        <f t="shared" si="3"/>
        <v>13</v>
      </c>
      <c r="M14" s="28" t="s">
        <v>23</v>
      </c>
      <c r="N14" s="70"/>
      <c r="O14" s="29"/>
    </row>
    <row r="15">
      <c r="A15" s="67">
        <v>2.0</v>
      </c>
      <c r="B15" s="68" t="s">
        <v>44</v>
      </c>
      <c r="C15" s="68" t="s">
        <v>18</v>
      </c>
      <c r="D15" s="69" t="str">
        <f t="shared" si="1"/>
        <v>2-3-1</v>
      </c>
      <c r="E15" s="78">
        <v>45737.0</v>
      </c>
      <c r="F15" s="88" t="s">
        <v>154</v>
      </c>
      <c r="G15" s="80" t="s">
        <v>67</v>
      </c>
      <c r="H15" s="81" t="s">
        <v>68</v>
      </c>
      <c r="I15" s="82">
        <v>868.0</v>
      </c>
      <c r="J15" s="81" t="s">
        <v>22</v>
      </c>
      <c r="K15" s="32" t="str">
        <f t="shared" si="2"/>
        <v>OCUPADO</v>
      </c>
      <c r="L15" s="33">
        <f t="shared" si="3"/>
        <v>14</v>
      </c>
      <c r="M15" s="33" t="s">
        <v>23</v>
      </c>
      <c r="N15" s="53"/>
      <c r="O15" s="34" t="s">
        <v>24</v>
      </c>
    </row>
    <row r="16">
      <c r="A16" s="67">
        <v>2.0</v>
      </c>
      <c r="B16" s="68" t="s">
        <v>44</v>
      </c>
      <c r="C16" s="68" t="s">
        <v>32</v>
      </c>
      <c r="D16" s="69" t="str">
        <f t="shared" si="1"/>
        <v>2-3-2</v>
      </c>
      <c r="E16" s="78">
        <v>45737.0</v>
      </c>
      <c r="F16" s="79" t="s">
        <v>154</v>
      </c>
      <c r="G16" s="80" t="s">
        <v>83</v>
      </c>
      <c r="H16" s="81" t="s">
        <v>84</v>
      </c>
      <c r="I16" s="82">
        <v>417.0</v>
      </c>
      <c r="J16" s="81" t="s">
        <v>22</v>
      </c>
      <c r="K16" s="27" t="str">
        <f t="shared" si="2"/>
        <v>OCUPADO</v>
      </c>
      <c r="L16" s="28">
        <f t="shared" si="3"/>
        <v>15</v>
      </c>
      <c r="M16" s="28" t="s">
        <v>23</v>
      </c>
      <c r="N16" s="70"/>
      <c r="O16" s="29" t="s">
        <v>24</v>
      </c>
    </row>
    <row r="17">
      <c r="A17" s="67">
        <v>2.0</v>
      </c>
      <c r="B17" s="68" t="s">
        <v>44</v>
      </c>
      <c r="C17" s="68" t="s">
        <v>44</v>
      </c>
      <c r="D17" s="69" t="str">
        <f t="shared" si="1"/>
        <v>2-3-3</v>
      </c>
      <c r="E17" s="78">
        <v>45751.0</v>
      </c>
      <c r="F17" s="79" t="s">
        <v>154</v>
      </c>
      <c r="G17" s="80" t="s">
        <v>74</v>
      </c>
      <c r="H17" s="81" t="s">
        <v>75</v>
      </c>
      <c r="I17" s="82">
        <v>475.0</v>
      </c>
      <c r="J17" s="81" t="s">
        <v>22</v>
      </c>
      <c r="K17" s="32" t="str">
        <f t="shared" si="2"/>
        <v>OCUPADO</v>
      </c>
      <c r="L17" s="33">
        <f t="shared" si="3"/>
        <v>16</v>
      </c>
      <c r="M17" s="33" t="s">
        <v>23</v>
      </c>
      <c r="N17" s="53"/>
      <c r="O17" s="34" t="s">
        <v>24</v>
      </c>
    </row>
    <row r="18">
      <c r="A18" s="67">
        <v>2.0</v>
      </c>
      <c r="B18" s="68" t="s">
        <v>53</v>
      </c>
      <c r="C18" s="68" t="s">
        <v>18</v>
      </c>
      <c r="D18" s="69" t="str">
        <f t="shared" si="1"/>
        <v>2-4-1</v>
      </c>
      <c r="E18" s="78">
        <v>45737.0</v>
      </c>
      <c r="F18" s="79" t="s">
        <v>154</v>
      </c>
      <c r="G18" s="80" t="s">
        <v>67</v>
      </c>
      <c r="H18" s="81" t="s">
        <v>68</v>
      </c>
      <c r="I18" s="82">
        <v>475.0</v>
      </c>
      <c r="J18" s="81" t="s">
        <v>22</v>
      </c>
      <c r="K18" s="27" t="str">
        <f t="shared" si="2"/>
        <v>OCUPADO</v>
      </c>
      <c r="L18" s="28">
        <f t="shared" si="3"/>
        <v>17</v>
      </c>
      <c r="M18" s="28" t="s">
        <v>23</v>
      </c>
      <c r="N18" s="70"/>
      <c r="O18" s="29" t="s">
        <v>24</v>
      </c>
    </row>
    <row r="19">
      <c r="A19" s="67">
        <v>2.0</v>
      </c>
      <c r="B19" s="68" t="s">
        <v>53</v>
      </c>
      <c r="C19" s="68" t="s">
        <v>32</v>
      </c>
      <c r="D19" s="69" t="str">
        <f t="shared" si="1"/>
        <v>2-4-2</v>
      </c>
      <c r="E19" s="78">
        <v>45754.0</v>
      </c>
      <c r="F19" s="79" t="s">
        <v>154</v>
      </c>
      <c r="G19" s="80" t="s">
        <v>83</v>
      </c>
      <c r="H19" s="81" t="s">
        <v>84</v>
      </c>
      <c r="I19" s="82">
        <v>700.0</v>
      </c>
      <c r="J19" s="81" t="s">
        <v>22</v>
      </c>
      <c r="K19" s="32" t="str">
        <f t="shared" si="2"/>
        <v>OCUPADO</v>
      </c>
      <c r="L19" s="33">
        <f t="shared" si="3"/>
        <v>18</v>
      </c>
      <c r="M19" s="33" t="s">
        <v>23</v>
      </c>
      <c r="N19" s="53"/>
      <c r="O19" s="34" t="s">
        <v>24</v>
      </c>
    </row>
    <row r="20">
      <c r="A20" s="67">
        <v>2.0</v>
      </c>
      <c r="B20" s="68" t="s">
        <v>53</v>
      </c>
      <c r="C20" s="68" t="s">
        <v>44</v>
      </c>
      <c r="D20" s="69" t="str">
        <f t="shared" si="1"/>
        <v>2-4-3</v>
      </c>
      <c r="E20" s="78">
        <v>45751.0</v>
      </c>
      <c r="F20" s="79" t="s">
        <v>154</v>
      </c>
      <c r="G20" s="80" t="s">
        <v>74</v>
      </c>
      <c r="H20" s="81" t="s">
        <v>75</v>
      </c>
      <c r="I20" s="82">
        <v>400.0</v>
      </c>
      <c r="J20" s="81" t="s">
        <v>22</v>
      </c>
      <c r="K20" s="27" t="str">
        <f t="shared" si="2"/>
        <v>OCUPADO</v>
      </c>
      <c r="L20" s="28">
        <f t="shared" si="3"/>
        <v>19</v>
      </c>
      <c r="M20" s="28" t="s">
        <v>23</v>
      </c>
      <c r="N20" s="70"/>
      <c r="O20" s="29" t="s">
        <v>24</v>
      </c>
    </row>
    <row r="21">
      <c r="A21" s="67">
        <v>2.0</v>
      </c>
      <c r="B21" s="68" t="s">
        <v>25</v>
      </c>
      <c r="C21" s="68" t="s">
        <v>18</v>
      </c>
      <c r="D21" s="69" t="str">
        <f t="shared" si="1"/>
        <v>2-5-1</v>
      </c>
      <c r="E21" s="78">
        <v>45737.0</v>
      </c>
      <c r="F21" s="79" t="s">
        <v>154</v>
      </c>
      <c r="G21" s="80" t="s">
        <v>74</v>
      </c>
      <c r="H21" s="81" t="s">
        <v>75</v>
      </c>
      <c r="I21" s="82">
        <v>409.0</v>
      </c>
      <c r="J21" s="81" t="s">
        <v>22</v>
      </c>
      <c r="K21" s="32" t="str">
        <f t="shared" si="2"/>
        <v>OCUPADO</v>
      </c>
      <c r="L21" s="33">
        <f t="shared" si="3"/>
        <v>20</v>
      </c>
      <c r="M21" s="33" t="s">
        <v>23</v>
      </c>
      <c r="N21" s="53"/>
      <c r="O21" s="34" t="s">
        <v>24</v>
      </c>
    </row>
    <row r="22">
      <c r="A22" s="67">
        <v>2.0</v>
      </c>
      <c r="B22" s="68" t="s">
        <v>25</v>
      </c>
      <c r="C22" s="68" t="s">
        <v>32</v>
      </c>
      <c r="D22" s="69" t="str">
        <f t="shared" si="1"/>
        <v>2-5-2</v>
      </c>
      <c r="E22" s="50"/>
      <c r="F22" s="51"/>
      <c r="G22" s="46"/>
      <c r="H22" s="47"/>
      <c r="I22" s="48"/>
      <c r="J22" s="52"/>
      <c r="K22" s="27" t="str">
        <f t="shared" si="2"/>
        <v>DISPONIBLE</v>
      </c>
      <c r="L22" s="28">
        <f t="shared" si="3"/>
        <v>21</v>
      </c>
      <c r="M22" s="28" t="s">
        <v>23</v>
      </c>
      <c r="N22" s="70"/>
      <c r="O22" s="29"/>
    </row>
    <row r="23">
      <c r="A23" s="67">
        <v>2.0</v>
      </c>
      <c r="B23" s="68" t="s">
        <v>25</v>
      </c>
      <c r="C23" s="68" t="s">
        <v>44</v>
      </c>
      <c r="D23" s="69" t="str">
        <f t="shared" si="1"/>
        <v>2-5-3</v>
      </c>
      <c r="E23" s="35">
        <v>45751.0</v>
      </c>
      <c r="F23" s="36" t="s">
        <v>19</v>
      </c>
      <c r="G23" s="37" t="s">
        <v>77</v>
      </c>
      <c r="H23" s="38" t="s">
        <v>78</v>
      </c>
      <c r="I23" s="39">
        <v>700.0</v>
      </c>
      <c r="J23" s="205" t="s">
        <v>22</v>
      </c>
      <c r="K23" s="32" t="str">
        <f t="shared" si="2"/>
        <v>OCUPADO</v>
      </c>
      <c r="L23" s="33">
        <f t="shared" si="3"/>
        <v>22</v>
      </c>
      <c r="M23" s="33" t="s">
        <v>23</v>
      </c>
      <c r="N23" s="53"/>
      <c r="O23" s="34" t="s">
        <v>24</v>
      </c>
    </row>
    <row r="24">
      <c r="A24" s="67">
        <v>2.0</v>
      </c>
      <c r="B24" s="68" t="s">
        <v>36</v>
      </c>
      <c r="C24" s="68" t="s">
        <v>18</v>
      </c>
      <c r="D24" s="69" t="str">
        <f t="shared" si="1"/>
        <v>2-6-1</v>
      </c>
      <c r="E24" s="35">
        <v>45733.0</v>
      </c>
      <c r="F24" s="88" t="s">
        <v>19</v>
      </c>
      <c r="G24" s="80" t="s">
        <v>103</v>
      </c>
      <c r="H24" s="81" t="s">
        <v>756</v>
      </c>
      <c r="I24" s="82">
        <v>299.0</v>
      </c>
      <c r="J24" s="81" t="s">
        <v>22</v>
      </c>
      <c r="K24" s="27" t="str">
        <f t="shared" si="2"/>
        <v>OCUPADO</v>
      </c>
      <c r="L24" s="28">
        <f t="shared" si="3"/>
        <v>23</v>
      </c>
      <c r="M24" s="28" t="s">
        <v>23</v>
      </c>
      <c r="N24" s="70"/>
      <c r="O24" s="29" t="s">
        <v>24</v>
      </c>
    </row>
    <row r="25">
      <c r="A25" s="67">
        <v>2.0</v>
      </c>
      <c r="B25" s="68" t="s">
        <v>36</v>
      </c>
      <c r="C25" s="68" t="s">
        <v>32</v>
      </c>
      <c r="D25" s="69" t="str">
        <f t="shared" si="1"/>
        <v>2-6-2</v>
      </c>
      <c r="E25" s="35">
        <v>45764.0</v>
      </c>
      <c r="F25" s="79" t="s">
        <v>19</v>
      </c>
      <c r="G25" s="80" t="s">
        <v>759</v>
      </c>
      <c r="H25" s="81" t="s">
        <v>109</v>
      </c>
      <c r="I25" s="82">
        <v>111.0</v>
      </c>
      <c r="J25" s="81" t="s">
        <v>22</v>
      </c>
      <c r="K25" s="32" t="str">
        <f t="shared" si="2"/>
        <v>OCUPADO</v>
      </c>
      <c r="L25" s="33">
        <f t="shared" si="3"/>
        <v>24</v>
      </c>
      <c r="M25" s="33" t="s">
        <v>23</v>
      </c>
      <c r="N25" s="53"/>
      <c r="O25" s="34" t="s">
        <v>24</v>
      </c>
    </row>
    <row r="26">
      <c r="A26" s="89">
        <v>2.0</v>
      </c>
      <c r="B26" s="90" t="s">
        <v>36</v>
      </c>
      <c r="C26" s="90" t="s">
        <v>44</v>
      </c>
      <c r="D26" s="91" t="str">
        <f t="shared" si="1"/>
        <v>2-6-3</v>
      </c>
      <c r="E26" s="57"/>
      <c r="F26" s="58"/>
      <c r="G26" s="59"/>
      <c r="H26" s="60"/>
      <c r="I26" s="61"/>
      <c r="J26" s="62"/>
      <c r="K26" s="63" t="str">
        <f t="shared" si="2"/>
        <v>DISPONIBLE</v>
      </c>
      <c r="L26" s="64">
        <f t="shared" si="3"/>
        <v>25</v>
      </c>
      <c r="M26" s="64" t="s">
        <v>23</v>
      </c>
      <c r="N26" s="65"/>
      <c r="O26" s="66"/>
    </row>
    <row r="27">
      <c r="A27" s="92">
        <v>3.0</v>
      </c>
      <c r="B27" s="93" t="s">
        <v>18</v>
      </c>
      <c r="C27" s="94" t="s">
        <v>119</v>
      </c>
      <c r="D27" s="95" t="str">
        <f t="shared" si="1"/>
        <v>3-1-1A</v>
      </c>
      <c r="E27" s="96">
        <v>45733.0</v>
      </c>
      <c r="F27" s="97" t="s">
        <v>19</v>
      </c>
      <c r="G27" s="98" t="s">
        <v>143</v>
      </c>
      <c r="H27" s="99" t="s">
        <v>144</v>
      </c>
      <c r="I27" s="100">
        <v>350.0</v>
      </c>
      <c r="J27" s="101" t="s">
        <v>22</v>
      </c>
      <c r="K27" s="32" t="str">
        <f t="shared" si="2"/>
        <v>OCUPADO</v>
      </c>
      <c r="L27" s="33">
        <f t="shared" si="3"/>
        <v>26</v>
      </c>
      <c r="M27" s="33" t="s">
        <v>23</v>
      </c>
      <c r="N27" s="102"/>
      <c r="O27" s="34" t="s">
        <v>24</v>
      </c>
    </row>
    <row r="28">
      <c r="A28" s="92">
        <v>3.0</v>
      </c>
      <c r="B28" s="93" t="s">
        <v>18</v>
      </c>
      <c r="C28" s="94" t="s">
        <v>132</v>
      </c>
      <c r="D28" s="95" t="str">
        <f t="shared" si="1"/>
        <v>3-1-1B</v>
      </c>
      <c r="E28" s="103"/>
      <c r="F28" s="104"/>
      <c r="G28" s="105"/>
      <c r="H28" s="106"/>
      <c r="I28" s="107"/>
      <c r="J28" s="108"/>
      <c r="K28" s="27" t="str">
        <f t="shared" si="2"/>
        <v>DISPONIBLE</v>
      </c>
      <c r="L28" s="28">
        <f t="shared" si="3"/>
        <v>27</v>
      </c>
      <c r="M28" s="28" t="s">
        <v>23</v>
      </c>
      <c r="N28" s="109"/>
      <c r="O28" s="29"/>
    </row>
    <row r="29">
      <c r="A29" s="92">
        <v>3.0</v>
      </c>
      <c r="B29" s="93" t="s">
        <v>18</v>
      </c>
      <c r="C29" s="94" t="s">
        <v>124</v>
      </c>
      <c r="D29" s="95" t="str">
        <f t="shared" si="1"/>
        <v>3-1-2A</v>
      </c>
      <c r="E29" s="96">
        <v>45733.0</v>
      </c>
      <c r="F29" s="97" t="s">
        <v>19</v>
      </c>
      <c r="G29" s="98" t="s">
        <v>114</v>
      </c>
      <c r="H29" s="99" t="s">
        <v>115</v>
      </c>
      <c r="I29" s="100">
        <v>525.0</v>
      </c>
      <c r="J29" s="101" t="s">
        <v>22</v>
      </c>
      <c r="K29" s="32" t="str">
        <f t="shared" si="2"/>
        <v>OCUPADO</v>
      </c>
      <c r="L29" s="33">
        <f t="shared" si="3"/>
        <v>28</v>
      </c>
      <c r="M29" s="33" t="s">
        <v>23</v>
      </c>
      <c r="N29" s="122"/>
      <c r="O29" s="34" t="s">
        <v>24</v>
      </c>
    </row>
    <row r="30">
      <c r="A30" s="92">
        <v>3.0</v>
      </c>
      <c r="B30" s="93" t="s">
        <v>18</v>
      </c>
      <c r="C30" s="94" t="s">
        <v>140</v>
      </c>
      <c r="D30" s="95" t="str">
        <f t="shared" si="1"/>
        <v>3-1-2B</v>
      </c>
      <c r="E30" s="96">
        <v>45733.0</v>
      </c>
      <c r="F30" s="97" t="s">
        <v>19</v>
      </c>
      <c r="G30" s="98" t="s">
        <v>114</v>
      </c>
      <c r="H30" s="99" t="s">
        <v>115</v>
      </c>
      <c r="I30" s="100">
        <v>400.0</v>
      </c>
      <c r="J30" s="101" t="s">
        <v>22</v>
      </c>
      <c r="K30" s="27" t="str">
        <f t="shared" si="2"/>
        <v>OCUPADO</v>
      </c>
      <c r="L30" s="28">
        <f t="shared" si="3"/>
        <v>29</v>
      </c>
      <c r="M30" s="28" t="s">
        <v>23</v>
      </c>
      <c r="N30" s="109"/>
      <c r="O30" s="29" t="s">
        <v>24</v>
      </c>
    </row>
    <row r="31">
      <c r="A31" s="92">
        <v>3.0</v>
      </c>
      <c r="B31" s="93" t="s">
        <v>18</v>
      </c>
      <c r="C31" s="94" t="s">
        <v>130</v>
      </c>
      <c r="D31" s="95" t="str">
        <f t="shared" si="1"/>
        <v>3-1-3A</v>
      </c>
      <c r="E31" s="116">
        <v>45751.0</v>
      </c>
      <c r="F31" s="117" t="s">
        <v>19</v>
      </c>
      <c r="G31" s="118" t="s">
        <v>128</v>
      </c>
      <c r="H31" s="119" t="s">
        <v>129</v>
      </c>
      <c r="I31" s="120">
        <v>1500.0</v>
      </c>
      <c r="J31" s="121" t="s">
        <v>22</v>
      </c>
      <c r="K31" s="32" t="str">
        <f t="shared" si="2"/>
        <v>OCUPADO</v>
      </c>
      <c r="L31" s="33">
        <f t="shared" si="3"/>
        <v>30</v>
      </c>
      <c r="M31" s="33" t="s">
        <v>23</v>
      </c>
      <c r="N31" s="122"/>
      <c r="O31" s="34" t="s">
        <v>24</v>
      </c>
    </row>
    <row r="32">
      <c r="A32" s="92">
        <v>3.0</v>
      </c>
      <c r="B32" s="93" t="s">
        <v>18</v>
      </c>
      <c r="C32" s="94" t="s">
        <v>148</v>
      </c>
      <c r="D32" s="95" t="str">
        <f t="shared" si="1"/>
        <v>3-1-3B</v>
      </c>
      <c r="E32" s="50"/>
      <c r="F32" s="51"/>
      <c r="G32" s="46"/>
      <c r="H32" s="47"/>
      <c r="I32" s="48"/>
      <c r="J32" s="52"/>
      <c r="K32" s="27" t="str">
        <f t="shared" si="2"/>
        <v>DISPONIBLE</v>
      </c>
      <c r="L32" s="28">
        <f t="shared" si="3"/>
        <v>31</v>
      </c>
      <c r="M32" s="28" t="s">
        <v>23</v>
      </c>
      <c r="N32" s="109"/>
      <c r="O32" s="29"/>
    </row>
    <row r="33">
      <c r="A33" s="92">
        <v>3.0</v>
      </c>
      <c r="B33" s="93" t="s">
        <v>32</v>
      </c>
      <c r="C33" s="94" t="s">
        <v>119</v>
      </c>
      <c r="D33" s="95" t="str">
        <f t="shared" si="1"/>
        <v>3-2-1A</v>
      </c>
      <c r="E33" s="96">
        <v>45733.0</v>
      </c>
      <c r="F33" s="97" t="s">
        <v>19</v>
      </c>
      <c r="G33" s="98" t="s">
        <v>143</v>
      </c>
      <c r="H33" s="99" t="s">
        <v>144</v>
      </c>
      <c r="I33" s="100">
        <v>700.0</v>
      </c>
      <c r="J33" s="101" t="s">
        <v>22</v>
      </c>
      <c r="K33" s="32" t="str">
        <f t="shared" si="2"/>
        <v>OCUPADO</v>
      </c>
      <c r="L33" s="33">
        <f t="shared" si="3"/>
        <v>32</v>
      </c>
      <c r="M33" s="33" t="s">
        <v>23</v>
      </c>
      <c r="N33" s="122"/>
      <c r="O33" s="34" t="s">
        <v>24</v>
      </c>
    </row>
    <row r="34">
      <c r="A34" s="92">
        <v>3.0</v>
      </c>
      <c r="B34" s="93" t="s">
        <v>32</v>
      </c>
      <c r="C34" s="94" t="s">
        <v>132</v>
      </c>
      <c r="D34" s="95" t="str">
        <f t="shared" si="1"/>
        <v>3-2-1B</v>
      </c>
      <c r="E34" s="50"/>
      <c r="F34" s="51"/>
      <c r="G34" s="105"/>
      <c r="H34" s="47"/>
      <c r="I34" s="48"/>
      <c r="J34" s="52"/>
      <c r="K34" s="27" t="str">
        <f t="shared" si="2"/>
        <v>DISPONIBLE</v>
      </c>
      <c r="L34" s="28">
        <f t="shared" si="3"/>
        <v>33</v>
      </c>
      <c r="M34" s="28" t="s">
        <v>23</v>
      </c>
      <c r="N34" s="109"/>
      <c r="O34" s="29"/>
    </row>
    <row r="35">
      <c r="A35" s="92">
        <v>3.0</v>
      </c>
      <c r="B35" s="93" t="s">
        <v>32</v>
      </c>
      <c r="C35" s="94" t="s">
        <v>124</v>
      </c>
      <c r="D35" s="95" t="str">
        <f t="shared" si="1"/>
        <v>3-2-2A</v>
      </c>
      <c r="E35" s="96">
        <v>45763.0</v>
      </c>
      <c r="F35" s="97" t="s">
        <v>258</v>
      </c>
      <c r="G35" s="98" t="s">
        <v>143</v>
      </c>
      <c r="H35" s="99" t="s">
        <v>144</v>
      </c>
      <c r="I35" s="100">
        <v>700.0</v>
      </c>
      <c r="J35" s="101" t="s">
        <v>22</v>
      </c>
      <c r="K35" s="32" t="str">
        <f t="shared" si="2"/>
        <v>OCUPADO</v>
      </c>
      <c r="L35" s="33">
        <f t="shared" si="3"/>
        <v>34</v>
      </c>
      <c r="M35" s="33" t="s">
        <v>23</v>
      </c>
      <c r="N35" s="122"/>
      <c r="O35" s="34" t="s">
        <v>24</v>
      </c>
    </row>
    <row r="36">
      <c r="A36" s="92">
        <v>3.0</v>
      </c>
      <c r="B36" s="93" t="s">
        <v>32</v>
      </c>
      <c r="C36" s="94" t="s">
        <v>140</v>
      </c>
      <c r="D36" s="95" t="str">
        <f t="shared" si="1"/>
        <v>3-2-2B</v>
      </c>
      <c r="E36" s="50"/>
      <c r="F36" s="51"/>
      <c r="G36" s="46"/>
      <c r="H36" s="47"/>
      <c r="I36" s="48"/>
      <c r="J36" s="52"/>
      <c r="K36" s="27" t="str">
        <f t="shared" si="2"/>
        <v>DISPONIBLE</v>
      </c>
      <c r="L36" s="28">
        <f t="shared" si="3"/>
        <v>35</v>
      </c>
      <c r="M36" s="28" t="s">
        <v>23</v>
      </c>
      <c r="N36" s="109"/>
      <c r="O36" s="29"/>
    </row>
    <row r="37">
      <c r="A37" s="92">
        <v>3.0</v>
      </c>
      <c r="B37" s="93" t="s">
        <v>32</v>
      </c>
      <c r="C37" s="94" t="s">
        <v>130</v>
      </c>
      <c r="D37" s="95" t="str">
        <f t="shared" si="1"/>
        <v>3-2-3A</v>
      </c>
      <c r="E37" s="96">
        <v>45754.0</v>
      </c>
      <c r="F37" s="97" t="s">
        <v>764</v>
      </c>
      <c r="G37" s="98" t="s">
        <v>143</v>
      </c>
      <c r="H37" s="99" t="s">
        <v>144</v>
      </c>
      <c r="I37" s="100">
        <v>179.0</v>
      </c>
      <c r="J37" s="101" t="s">
        <v>22</v>
      </c>
      <c r="K37" s="32" t="str">
        <f t="shared" si="2"/>
        <v>OCUPADO</v>
      </c>
      <c r="L37" s="33">
        <f t="shared" si="3"/>
        <v>36</v>
      </c>
      <c r="M37" s="33" t="s">
        <v>23</v>
      </c>
      <c r="N37" s="122"/>
      <c r="O37" s="34" t="s">
        <v>24</v>
      </c>
    </row>
    <row r="38">
      <c r="A38" s="92">
        <v>3.0</v>
      </c>
      <c r="B38" s="93" t="s">
        <v>32</v>
      </c>
      <c r="C38" s="94" t="s">
        <v>148</v>
      </c>
      <c r="D38" s="95" t="str">
        <f t="shared" si="1"/>
        <v>3-2-3B</v>
      </c>
      <c r="E38" s="50"/>
      <c r="F38" s="51"/>
      <c r="G38" s="46"/>
      <c r="H38" s="47"/>
      <c r="I38" s="48"/>
      <c r="J38" s="52"/>
      <c r="K38" s="27" t="str">
        <f t="shared" si="2"/>
        <v>DISPONIBLE</v>
      </c>
      <c r="L38" s="28">
        <f t="shared" si="3"/>
        <v>37</v>
      </c>
      <c r="M38" s="28" t="s">
        <v>23</v>
      </c>
      <c r="N38" s="109"/>
      <c r="O38" s="29"/>
    </row>
    <row r="39">
      <c r="A39" s="92">
        <v>3.0</v>
      </c>
      <c r="B39" s="93" t="s">
        <v>32</v>
      </c>
      <c r="C39" s="94" t="s">
        <v>145</v>
      </c>
      <c r="D39" s="95" t="str">
        <f t="shared" si="1"/>
        <v>3-2-4A</v>
      </c>
      <c r="E39" s="96">
        <v>45763.0</v>
      </c>
      <c r="F39" s="97" t="s">
        <v>258</v>
      </c>
      <c r="G39" s="98" t="s">
        <v>143</v>
      </c>
      <c r="H39" s="99" t="s">
        <v>144</v>
      </c>
      <c r="I39" s="100">
        <v>700.0</v>
      </c>
      <c r="J39" s="101" t="s">
        <v>22</v>
      </c>
      <c r="K39" s="32" t="str">
        <f t="shared" si="2"/>
        <v>OCUPADO</v>
      </c>
      <c r="L39" s="33">
        <f t="shared" si="3"/>
        <v>38</v>
      </c>
      <c r="M39" s="33" t="s">
        <v>23</v>
      </c>
      <c r="N39" s="122"/>
      <c r="O39" s="34" t="s">
        <v>24</v>
      </c>
    </row>
    <row r="40">
      <c r="A40" s="92">
        <v>3.0</v>
      </c>
      <c r="B40" s="93" t="s">
        <v>32</v>
      </c>
      <c r="C40" s="94" t="s">
        <v>181</v>
      </c>
      <c r="D40" s="95" t="str">
        <f t="shared" si="1"/>
        <v>3-2-4B</v>
      </c>
      <c r="E40" s="103"/>
      <c r="F40" s="51"/>
      <c r="G40" s="46"/>
      <c r="H40" s="47"/>
      <c r="I40" s="48"/>
      <c r="J40" s="52"/>
      <c r="K40" s="27" t="str">
        <f t="shared" si="2"/>
        <v>DISPONIBLE</v>
      </c>
      <c r="L40" s="28">
        <f t="shared" si="3"/>
        <v>39</v>
      </c>
      <c r="M40" s="28" t="s">
        <v>23</v>
      </c>
      <c r="N40" s="109"/>
      <c r="O40" s="29"/>
    </row>
    <row r="41">
      <c r="A41" s="123">
        <v>3.0</v>
      </c>
      <c r="B41" s="94" t="s">
        <v>32</v>
      </c>
      <c r="C41" s="94" t="s">
        <v>188</v>
      </c>
      <c r="D41" s="95" t="str">
        <f t="shared" si="1"/>
        <v>3-2-5A</v>
      </c>
      <c r="E41" s="96">
        <v>45754.0</v>
      </c>
      <c r="F41" s="144" t="s">
        <v>154</v>
      </c>
      <c r="G41" s="98" t="s">
        <v>83</v>
      </c>
      <c r="H41" s="99" t="s">
        <v>84</v>
      </c>
      <c r="I41" s="100">
        <v>350.0</v>
      </c>
      <c r="J41" s="101" t="s">
        <v>22</v>
      </c>
      <c r="K41" s="32" t="str">
        <f t="shared" si="2"/>
        <v>OCUPADO</v>
      </c>
      <c r="L41" s="33">
        <f t="shared" si="3"/>
        <v>40</v>
      </c>
      <c r="M41" s="33" t="s">
        <v>23</v>
      </c>
      <c r="N41" s="53"/>
      <c r="O41" s="34" t="s">
        <v>24</v>
      </c>
    </row>
    <row r="42">
      <c r="A42" s="123">
        <v>3.0</v>
      </c>
      <c r="B42" s="94" t="s">
        <v>32</v>
      </c>
      <c r="C42" s="94" t="s">
        <v>192</v>
      </c>
      <c r="D42" s="95" t="str">
        <f t="shared" si="1"/>
        <v>3-2-5B</v>
      </c>
      <c r="E42" s="96">
        <v>45754.0</v>
      </c>
      <c r="F42" s="144" t="s">
        <v>154</v>
      </c>
      <c r="G42" s="98" t="s">
        <v>83</v>
      </c>
      <c r="H42" s="99" t="s">
        <v>84</v>
      </c>
      <c r="I42" s="100">
        <v>199.0</v>
      </c>
      <c r="J42" s="101" t="s">
        <v>22</v>
      </c>
      <c r="K42" s="27" t="str">
        <f t="shared" si="2"/>
        <v>OCUPADO</v>
      </c>
      <c r="L42" s="28">
        <f t="shared" si="3"/>
        <v>41</v>
      </c>
      <c r="M42" s="28" t="s">
        <v>23</v>
      </c>
      <c r="N42" s="70"/>
      <c r="O42" s="29" t="s">
        <v>24</v>
      </c>
    </row>
    <row r="43">
      <c r="A43" s="92">
        <v>3.0</v>
      </c>
      <c r="B43" s="93" t="s">
        <v>44</v>
      </c>
      <c r="C43" s="94" t="s">
        <v>119</v>
      </c>
      <c r="D43" s="95" t="str">
        <f t="shared" si="1"/>
        <v>3-3-1A</v>
      </c>
      <c r="E43" s="96">
        <v>45733.0</v>
      </c>
      <c r="F43" s="97" t="s">
        <v>19</v>
      </c>
      <c r="G43" s="98" t="s">
        <v>137</v>
      </c>
      <c r="H43" s="99" t="s">
        <v>138</v>
      </c>
      <c r="I43" s="100">
        <v>450.0</v>
      </c>
      <c r="J43" s="101" t="s">
        <v>22</v>
      </c>
      <c r="K43" s="32" t="str">
        <f t="shared" si="2"/>
        <v>OCUPADO</v>
      </c>
      <c r="L43" s="33">
        <f t="shared" si="3"/>
        <v>42</v>
      </c>
      <c r="M43" s="33" t="s">
        <v>23</v>
      </c>
      <c r="N43" s="53"/>
      <c r="O43" s="34" t="s">
        <v>24</v>
      </c>
    </row>
    <row r="44">
      <c r="A44" s="92">
        <v>3.0</v>
      </c>
      <c r="B44" s="93" t="s">
        <v>44</v>
      </c>
      <c r="C44" s="94" t="s">
        <v>132</v>
      </c>
      <c r="D44" s="95" t="str">
        <f t="shared" si="1"/>
        <v>3-3-1B</v>
      </c>
      <c r="E44" s="50"/>
      <c r="F44" s="51"/>
      <c r="G44" s="46"/>
      <c r="H44" s="47"/>
      <c r="I44" s="48"/>
      <c r="J44" s="52"/>
      <c r="K44" s="27" t="str">
        <f t="shared" si="2"/>
        <v>DISPONIBLE</v>
      </c>
      <c r="L44" s="28">
        <f t="shared" si="3"/>
        <v>43</v>
      </c>
      <c r="M44" s="28" t="s">
        <v>23</v>
      </c>
      <c r="N44" s="70"/>
    </row>
    <row r="45">
      <c r="A45" s="92">
        <v>3.0</v>
      </c>
      <c r="B45" s="93" t="s">
        <v>44</v>
      </c>
      <c r="C45" s="94" t="s">
        <v>124</v>
      </c>
      <c r="D45" s="95" t="str">
        <f t="shared" si="1"/>
        <v>3-3-2A</v>
      </c>
      <c r="E45" s="96">
        <v>45733.0</v>
      </c>
      <c r="F45" s="97" t="s">
        <v>19</v>
      </c>
      <c r="G45" s="98" t="s">
        <v>137</v>
      </c>
      <c r="H45" s="99" t="s">
        <v>138</v>
      </c>
      <c r="I45" s="100">
        <v>450.0</v>
      </c>
      <c r="J45" s="101" t="s">
        <v>22</v>
      </c>
      <c r="K45" s="32" t="str">
        <f t="shared" si="2"/>
        <v>OCUPADO</v>
      </c>
      <c r="L45" s="33">
        <f t="shared" si="3"/>
        <v>44</v>
      </c>
      <c r="M45" s="33" t="s">
        <v>23</v>
      </c>
      <c r="N45" s="53"/>
      <c r="O45" s="34" t="s">
        <v>24</v>
      </c>
    </row>
    <row r="46">
      <c r="A46" s="92">
        <v>3.0</v>
      </c>
      <c r="B46" s="93" t="s">
        <v>44</v>
      </c>
      <c r="C46" s="94" t="s">
        <v>140</v>
      </c>
      <c r="D46" s="95" t="str">
        <f t="shared" si="1"/>
        <v>3-3-2B</v>
      </c>
      <c r="E46" s="50"/>
      <c r="F46" s="51"/>
      <c r="G46" s="46"/>
      <c r="H46" s="47"/>
      <c r="I46" s="48"/>
      <c r="J46" s="52"/>
      <c r="K46" s="27" t="str">
        <f t="shared" si="2"/>
        <v>DISPONIBLE</v>
      </c>
      <c r="L46" s="28">
        <f t="shared" si="3"/>
        <v>45</v>
      </c>
      <c r="M46" s="28" t="s">
        <v>23</v>
      </c>
      <c r="N46" s="70"/>
      <c r="O46" s="29"/>
    </row>
    <row r="47">
      <c r="A47" s="92">
        <v>3.0</v>
      </c>
      <c r="B47" s="93" t="s">
        <v>44</v>
      </c>
      <c r="C47" s="94" t="s">
        <v>130</v>
      </c>
      <c r="D47" s="95" t="str">
        <f t="shared" si="1"/>
        <v>3-3-3A</v>
      </c>
      <c r="E47" s="96">
        <v>45751.0</v>
      </c>
      <c r="F47" s="97" t="s">
        <v>765</v>
      </c>
      <c r="G47" s="98" t="s">
        <v>137</v>
      </c>
      <c r="H47" s="99" t="s">
        <v>138</v>
      </c>
      <c r="I47" s="100">
        <v>450.0</v>
      </c>
      <c r="J47" s="101" t="s">
        <v>22</v>
      </c>
      <c r="K47" s="32" t="str">
        <f t="shared" si="2"/>
        <v>OCUPADO</v>
      </c>
      <c r="L47" s="33">
        <f t="shared" si="3"/>
        <v>46</v>
      </c>
      <c r="M47" s="33" t="s">
        <v>23</v>
      </c>
      <c r="N47" s="53"/>
      <c r="O47" s="34" t="s">
        <v>24</v>
      </c>
    </row>
    <row r="48">
      <c r="A48" s="92">
        <v>3.0</v>
      </c>
      <c r="B48" s="93" t="s">
        <v>44</v>
      </c>
      <c r="C48" s="94" t="s">
        <v>148</v>
      </c>
      <c r="D48" s="95" t="str">
        <f t="shared" si="1"/>
        <v>3-3-3B</v>
      </c>
      <c r="E48" s="50"/>
      <c r="F48" s="51"/>
      <c r="G48" s="46"/>
      <c r="H48" s="47"/>
      <c r="I48" s="48"/>
      <c r="J48" s="52"/>
      <c r="K48" s="27" t="str">
        <f t="shared" si="2"/>
        <v>DISPONIBLE</v>
      </c>
      <c r="L48" s="28">
        <f t="shared" si="3"/>
        <v>47</v>
      </c>
      <c r="M48" s="28" t="s">
        <v>23</v>
      </c>
      <c r="N48" s="70"/>
      <c r="O48" s="29"/>
    </row>
    <row r="49">
      <c r="A49" s="92">
        <v>3.0</v>
      </c>
      <c r="B49" s="93" t="s">
        <v>44</v>
      </c>
      <c r="C49" s="94" t="s">
        <v>145</v>
      </c>
      <c r="D49" s="95" t="str">
        <f t="shared" si="1"/>
        <v>3-3-4A</v>
      </c>
      <c r="E49" s="96">
        <v>45751.0</v>
      </c>
      <c r="F49" s="97" t="s">
        <v>765</v>
      </c>
      <c r="G49" s="98" t="s">
        <v>137</v>
      </c>
      <c r="H49" s="99" t="s">
        <v>138</v>
      </c>
      <c r="I49" s="100">
        <v>450.0</v>
      </c>
      <c r="J49" s="101" t="s">
        <v>22</v>
      </c>
      <c r="K49" s="32" t="str">
        <f t="shared" si="2"/>
        <v>OCUPADO</v>
      </c>
      <c r="L49" s="33">
        <f t="shared" si="3"/>
        <v>48</v>
      </c>
      <c r="M49" s="33" t="s">
        <v>23</v>
      </c>
      <c r="N49" s="53"/>
      <c r="O49" s="34" t="s">
        <v>24</v>
      </c>
    </row>
    <row r="50">
      <c r="A50" s="92">
        <v>3.0</v>
      </c>
      <c r="B50" s="93" t="s">
        <v>44</v>
      </c>
      <c r="C50" s="94" t="s">
        <v>181</v>
      </c>
      <c r="D50" s="95" t="str">
        <f t="shared" si="1"/>
        <v>3-3-4B</v>
      </c>
      <c r="E50" s="50"/>
      <c r="F50" s="51"/>
      <c r="G50" s="46"/>
      <c r="H50" s="47"/>
      <c r="I50" s="48"/>
      <c r="J50" s="52"/>
      <c r="K50" s="27" t="str">
        <f t="shared" si="2"/>
        <v>DISPONIBLE</v>
      </c>
      <c r="L50" s="28">
        <f t="shared" si="3"/>
        <v>49</v>
      </c>
      <c r="M50" s="28" t="s">
        <v>23</v>
      </c>
      <c r="N50" s="70"/>
      <c r="O50" s="29"/>
    </row>
    <row r="51">
      <c r="A51" s="92">
        <v>3.0</v>
      </c>
      <c r="B51" s="93" t="s">
        <v>44</v>
      </c>
      <c r="C51" s="94" t="s">
        <v>188</v>
      </c>
      <c r="D51" s="95" t="str">
        <f t="shared" si="1"/>
        <v>3-3-5A</v>
      </c>
      <c r="E51" s="96">
        <v>45751.0</v>
      </c>
      <c r="F51" s="97" t="s">
        <v>19</v>
      </c>
      <c r="G51" s="98" t="s">
        <v>137</v>
      </c>
      <c r="H51" s="99" t="s">
        <v>138</v>
      </c>
      <c r="I51" s="100">
        <v>475.0</v>
      </c>
      <c r="J51" s="101" t="s">
        <v>22</v>
      </c>
      <c r="K51" s="32" t="str">
        <f t="shared" si="2"/>
        <v>OCUPADO</v>
      </c>
      <c r="L51" s="33">
        <f t="shared" si="3"/>
        <v>50</v>
      </c>
      <c r="M51" s="33" t="s">
        <v>23</v>
      </c>
      <c r="N51" s="53"/>
      <c r="O51" s="34" t="s">
        <v>24</v>
      </c>
    </row>
    <row r="52">
      <c r="A52" s="92">
        <v>3.0</v>
      </c>
      <c r="B52" s="93" t="s">
        <v>44</v>
      </c>
      <c r="C52" s="94" t="s">
        <v>192</v>
      </c>
      <c r="D52" s="95" t="str">
        <f t="shared" si="1"/>
        <v>3-3-5B</v>
      </c>
      <c r="E52" s="50"/>
      <c r="F52" s="51"/>
      <c r="G52" s="46"/>
      <c r="H52" s="47"/>
      <c r="I52" s="48"/>
      <c r="J52" s="52"/>
      <c r="K52" s="27" t="str">
        <f t="shared" si="2"/>
        <v>DISPONIBLE</v>
      </c>
      <c r="L52" s="28">
        <f t="shared" si="3"/>
        <v>51</v>
      </c>
      <c r="M52" s="28" t="s">
        <v>23</v>
      </c>
      <c r="N52" s="70"/>
      <c r="O52" s="29"/>
    </row>
    <row r="53">
      <c r="A53" s="92">
        <v>3.0</v>
      </c>
      <c r="B53" s="93" t="s">
        <v>53</v>
      </c>
      <c r="C53" s="94" t="s">
        <v>119</v>
      </c>
      <c r="D53" s="95" t="str">
        <f t="shared" si="1"/>
        <v>3-4-1A</v>
      </c>
      <c r="E53" s="96">
        <v>45733.0</v>
      </c>
      <c r="F53" s="97" t="s">
        <v>19</v>
      </c>
      <c r="G53" s="98" t="s">
        <v>137</v>
      </c>
      <c r="H53" s="99" t="s">
        <v>138</v>
      </c>
      <c r="I53" s="100">
        <v>450.0</v>
      </c>
      <c r="J53" s="101" t="s">
        <v>22</v>
      </c>
      <c r="K53" s="32" t="str">
        <f t="shared" si="2"/>
        <v>OCUPADO</v>
      </c>
      <c r="L53" s="33">
        <f t="shared" si="3"/>
        <v>52</v>
      </c>
      <c r="M53" s="33" t="s">
        <v>23</v>
      </c>
      <c r="N53" s="53"/>
      <c r="O53" s="34" t="s">
        <v>24</v>
      </c>
    </row>
    <row r="54">
      <c r="A54" s="92">
        <v>3.0</v>
      </c>
      <c r="B54" s="93" t="s">
        <v>53</v>
      </c>
      <c r="C54" s="94" t="s">
        <v>132</v>
      </c>
      <c r="D54" s="95" t="str">
        <f t="shared" si="1"/>
        <v>3-4-1B</v>
      </c>
      <c r="E54" s="50"/>
      <c r="F54" s="51"/>
      <c r="G54" s="46"/>
      <c r="H54" s="47"/>
      <c r="I54" s="48"/>
      <c r="J54" s="52"/>
      <c r="K54" s="27" t="str">
        <f t="shared" si="2"/>
        <v>DISPONIBLE</v>
      </c>
      <c r="L54" s="28">
        <f t="shared" si="3"/>
        <v>53</v>
      </c>
      <c r="M54" s="28" t="s">
        <v>23</v>
      </c>
      <c r="N54" s="70"/>
      <c r="O54" s="29"/>
    </row>
    <row r="55">
      <c r="A55" s="92">
        <v>3.0</v>
      </c>
      <c r="B55" s="93" t="s">
        <v>53</v>
      </c>
      <c r="C55" s="94" t="s">
        <v>124</v>
      </c>
      <c r="D55" s="95" t="str">
        <f t="shared" si="1"/>
        <v>3-4-2A</v>
      </c>
      <c r="E55" s="96">
        <v>45754.0</v>
      </c>
      <c r="F55" s="97" t="s">
        <v>19</v>
      </c>
      <c r="G55" s="98" t="s">
        <v>137</v>
      </c>
      <c r="H55" s="99" t="s">
        <v>138</v>
      </c>
      <c r="I55" s="100">
        <v>500.0</v>
      </c>
      <c r="J55" s="101" t="s">
        <v>22</v>
      </c>
      <c r="K55" s="32" t="str">
        <f t="shared" si="2"/>
        <v>OCUPADO</v>
      </c>
      <c r="L55" s="33">
        <f t="shared" si="3"/>
        <v>54</v>
      </c>
      <c r="M55" s="33" t="s">
        <v>23</v>
      </c>
      <c r="N55" s="53"/>
      <c r="O55" s="34" t="s">
        <v>24</v>
      </c>
    </row>
    <row r="56">
      <c r="A56" s="92">
        <v>3.0</v>
      </c>
      <c r="B56" s="93" t="s">
        <v>53</v>
      </c>
      <c r="C56" s="94" t="s">
        <v>140</v>
      </c>
      <c r="D56" s="95" t="str">
        <f t="shared" si="1"/>
        <v>3-4-2B</v>
      </c>
      <c r="E56" s="50"/>
      <c r="F56" s="51"/>
      <c r="G56" s="46"/>
      <c r="H56" s="47"/>
      <c r="I56" s="48"/>
      <c r="J56" s="52"/>
      <c r="K56" s="27" t="str">
        <f t="shared" si="2"/>
        <v>DISPONIBLE</v>
      </c>
      <c r="L56" s="28">
        <f t="shared" si="3"/>
        <v>55</v>
      </c>
      <c r="M56" s="28" t="s">
        <v>23</v>
      </c>
      <c r="N56" s="70"/>
      <c r="O56" s="29"/>
    </row>
    <row r="57">
      <c r="A57" s="92">
        <v>3.0</v>
      </c>
      <c r="B57" s="93" t="s">
        <v>53</v>
      </c>
      <c r="C57" s="94" t="s">
        <v>130</v>
      </c>
      <c r="D57" s="95" t="str">
        <f t="shared" si="1"/>
        <v>3-4-3A</v>
      </c>
      <c r="E57" s="96">
        <v>45754.0</v>
      </c>
      <c r="F57" s="97" t="s">
        <v>766</v>
      </c>
      <c r="G57" s="98" t="s">
        <v>137</v>
      </c>
      <c r="H57" s="99" t="s">
        <v>138</v>
      </c>
      <c r="I57" s="100">
        <v>450.0</v>
      </c>
      <c r="J57" s="101" t="s">
        <v>22</v>
      </c>
      <c r="K57" s="32" t="str">
        <f t="shared" si="2"/>
        <v>OCUPADO</v>
      </c>
      <c r="L57" s="33">
        <f t="shared" si="3"/>
        <v>56</v>
      </c>
      <c r="M57" s="33" t="s">
        <v>23</v>
      </c>
      <c r="N57" s="53"/>
      <c r="O57" s="34" t="s">
        <v>24</v>
      </c>
    </row>
    <row r="58">
      <c r="A58" s="92">
        <v>3.0</v>
      </c>
      <c r="B58" s="93" t="s">
        <v>53</v>
      </c>
      <c r="C58" s="94" t="s">
        <v>148</v>
      </c>
      <c r="D58" s="95" t="str">
        <f t="shared" si="1"/>
        <v>3-4-3B</v>
      </c>
      <c r="E58" s="50"/>
      <c r="F58" s="51"/>
      <c r="G58" s="46"/>
      <c r="H58" s="47"/>
      <c r="I58" s="48"/>
      <c r="J58" s="52"/>
      <c r="K58" s="27" t="str">
        <f t="shared" si="2"/>
        <v>DISPONIBLE</v>
      </c>
      <c r="L58" s="28">
        <f t="shared" si="3"/>
        <v>57</v>
      </c>
      <c r="M58" s="28" t="s">
        <v>23</v>
      </c>
      <c r="N58" s="70"/>
      <c r="O58" s="140"/>
    </row>
    <row r="59">
      <c r="A59" s="92">
        <v>3.0</v>
      </c>
      <c r="B59" s="93" t="s">
        <v>53</v>
      </c>
      <c r="C59" s="94" t="s">
        <v>145</v>
      </c>
      <c r="D59" s="95" t="str">
        <f t="shared" si="1"/>
        <v>3-4-4A</v>
      </c>
      <c r="E59" s="96">
        <v>45754.0</v>
      </c>
      <c r="F59" s="97" t="s">
        <v>358</v>
      </c>
      <c r="G59" s="98" t="s">
        <v>137</v>
      </c>
      <c r="H59" s="99" t="s">
        <v>138</v>
      </c>
      <c r="I59" s="100">
        <v>200.0</v>
      </c>
      <c r="J59" s="101" t="s">
        <v>22</v>
      </c>
      <c r="K59" s="32" t="str">
        <f t="shared" si="2"/>
        <v>OCUPADO</v>
      </c>
      <c r="L59" s="33">
        <f t="shared" si="3"/>
        <v>58</v>
      </c>
      <c r="M59" s="33" t="s">
        <v>23</v>
      </c>
      <c r="N59" s="53"/>
      <c r="O59" s="34" t="s">
        <v>24</v>
      </c>
    </row>
    <row r="60">
      <c r="A60" s="92">
        <v>3.0</v>
      </c>
      <c r="B60" s="93" t="s">
        <v>53</v>
      </c>
      <c r="C60" s="94" t="s">
        <v>181</v>
      </c>
      <c r="D60" s="95" t="str">
        <f t="shared" si="1"/>
        <v>3-4-4B</v>
      </c>
      <c r="E60" s="130"/>
      <c r="F60" s="131"/>
      <c r="G60" s="132"/>
      <c r="H60" s="133"/>
      <c r="I60" s="134"/>
      <c r="J60" s="135"/>
      <c r="K60" s="27" t="str">
        <f t="shared" si="2"/>
        <v>DISPONIBLE</v>
      </c>
      <c r="L60" s="28">
        <f t="shared" si="3"/>
        <v>59</v>
      </c>
      <c r="M60" s="28" t="s">
        <v>23</v>
      </c>
      <c r="N60" s="70"/>
      <c r="O60" s="140"/>
    </row>
    <row r="61">
      <c r="A61" s="123">
        <v>3.0</v>
      </c>
      <c r="B61" s="94" t="s">
        <v>53</v>
      </c>
      <c r="C61" s="94" t="s">
        <v>188</v>
      </c>
      <c r="D61" s="95" t="str">
        <f t="shared" si="1"/>
        <v>3-4-5A</v>
      </c>
      <c r="E61" s="96">
        <v>45763.0</v>
      </c>
      <c r="F61" s="97" t="s">
        <v>258</v>
      </c>
      <c r="G61" s="98" t="s">
        <v>143</v>
      </c>
      <c r="H61" s="99" t="s">
        <v>144</v>
      </c>
      <c r="I61" s="100">
        <v>513.0</v>
      </c>
      <c r="J61" s="101" t="s">
        <v>22</v>
      </c>
      <c r="K61" s="32" t="str">
        <f t="shared" si="2"/>
        <v>OCUPADO</v>
      </c>
      <c r="L61" s="33">
        <f t="shared" si="3"/>
        <v>60</v>
      </c>
      <c r="M61" s="33" t="s">
        <v>23</v>
      </c>
      <c r="N61" s="53"/>
      <c r="O61" s="34" t="s">
        <v>24</v>
      </c>
    </row>
    <row r="62">
      <c r="A62" s="123">
        <v>3.0</v>
      </c>
      <c r="B62" s="94" t="s">
        <v>53</v>
      </c>
      <c r="C62" s="94" t="s">
        <v>192</v>
      </c>
      <c r="D62" s="95" t="str">
        <f t="shared" si="1"/>
        <v>3-4-5B</v>
      </c>
      <c r="E62" s="50"/>
      <c r="F62" s="51"/>
      <c r="G62" s="46"/>
      <c r="H62" s="47"/>
      <c r="I62" s="48"/>
      <c r="J62" s="52"/>
      <c r="K62" s="27" t="str">
        <f t="shared" si="2"/>
        <v>DISPONIBLE</v>
      </c>
      <c r="L62" s="28">
        <f t="shared" si="3"/>
        <v>61</v>
      </c>
      <c r="M62" s="28" t="s">
        <v>23</v>
      </c>
      <c r="N62" s="70"/>
      <c r="O62" s="140"/>
    </row>
    <row r="63">
      <c r="A63" s="92">
        <v>3.0</v>
      </c>
      <c r="B63" s="93" t="s">
        <v>25</v>
      </c>
      <c r="C63" s="94" t="s">
        <v>119</v>
      </c>
      <c r="D63" s="95" t="str">
        <f t="shared" si="1"/>
        <v>3-5-1A</v>
      </c>
      <c r="E63" s="96">
        <v>45747.0</v>
      </c>
      <c r="F63" s="97" t="s">
        <v>154</v>
      </c>
      <c r="G63" s="98" t="s">
        <v>74</v>
      </c>
      <c r="H63" s="99" t="s">
        <v>75</v>
      </c>
      <c r="I63" s="100">
        <v>268.0</v>
      </c>
      <c r="J63" s="101" t="s">
        <v>22</v>
      </c>
      <c r="K63" s="32" t="str">
        <f t="shared" si="2"/>
        <v>OCUPADO</v>
      </c>
      <c r="L63" s="33">
        <f t="shared" si="3"/>
        <v>62</v>
      </c>
      <c r="M63" s="33" t="s">
        <v>23</v>
      </c>
      <c r="N63" s="53"/>
      <c r="O63" s="34" t="s">
        <v>24</v>
      </c>
    </row>
    <row r="64">
      <c r="A64" s="92">
        <v>3.0</v>
      </c>
      <c r="B64" s="93" t="s">
        <v>25</v>
      </c>
      <c r="C64" s="94" t="s">
        <v>132</v>
      </c>
      <c r="D64" s="95" t="str">
        <f t="shared" si="1"/>
        <v>3-5-1B</v>
      </c>
      <c r="E64" s="50"/>
      <c r="F64" s="51"/>
      <c r="G64" s="46"/>
      <c r="H64" s="47"/>
      <c r="I64" s="48"/>
      <c r="J64" s="52"/>
      <c r="K64" s="27" t="str">
        <f t="shared" si="2"/>
        <v>DISPONIBLE</v>
      </c>
      <c r="L64" s="28">
        <f t="shared" si="3"/>
        <v>63</v>
      </c>
      <c r="M64" s="28" t="s">
        <v>23</v>
      </c>
      <c r="N64" s="70"/>
      <c r="O64" s="29"/>
    </row>
    <row r="65">
      <c r="A65" s="92">
        <v>3.0</v>
      </c>
      <c r="B65" s="93" t="s">
        <v>25</v>
      </c>
      <c r="C65" s="94" t="s">
        <v>124</v>
      </c>
      <c r="D65" s="95" t="str">
        <f t="shared" si="1"/>
        <v>3-5-2A</v>
      </c>
      <c r="E65" s="50"/>
      <c r="F65" s="51"/>
      <c r="G65" s="46"/>
      <c r="H65" s="47"/>
      <c r="I65" s="48"/>
      <c r="J65" s="52"/>
      <c r="K65" s="32" t="str">
        <f t="shared" si="2"/>
        <v>DISPONIBLE</v>
      </c>
      <c r="L65" s="33">
        <f t="shared" si="3"/>
        <v>64</v>
      </c>
      <c r="M65" s="33" t="s">
        <v>23</v>
      </c>
      <c r="N65" s="53"/>
      <c r="O65" s="34"/>
    </row>
    <row r="66">
      <c r="A66" s="92">
        <v>3.0</v>
      </c>
      <c r="B66" s="93" t="s">
        <v>25</v>
      </c>
      <c r="C66" s="94" t="s">
        <v>140</v>
      </c>
      <c r="D66" s="95" t="str">
        <f t="shared" si="1"/>
        <v>3-5-2B</v>
      </c>
      <c r="E66" s="50"/>
      <c r="F66" s="51"/>
      <c r="G66" s="46"/>
      <c r="H66" s="47"/>
      <c r="I66" s="48"/>
      <c r="J66" s="52"/>
      <c r="K66" s="27" t="str">
        <f t="shared" si="2"/>
        <v>DISPONIBLE</v>
      </c>
      <c r="L66" s="28">
        <f t="shared" si="3"/>
        <v>65</v>
      </c>
      <c r="M66" s="28" t="s">
        <v>23</v>
      </c>
      <c r="N66" s="70"/>
      <c r="O66" s="29"/>
    </row>
    <row r="67">
      <c r="A67" s="92">
        <v>3.0</v>
      </c>
      <c r="B67" s="93" t="s">
        <v>25</v>
      </c>
      <c r="C67" s="94" t="s">
        <v>130</v>
      </c>
      <c r="D67" s="95" t="str">
        <f t="shared" si="1"/>
        <v>3-5-3A</v>
      </c>
      <c r="E67" s="96">
        <v>45751.0</v>
      </c>
      <c r="F67" s="97" t="s">
        <v>19</v>
      </c>
      <c r="G67" s="98" t="s">
        <v>77</v>
      </c>
      <c r="H67" s="99" t="s">
        <v>78</v>
      </c>
      <c r="I67" s="100">
        <v>640.0</v>
      </c>
      <c r="J67" s="101" t="s">
        <v>22</v>
      </c>
      <c r="K67" s="32" t="str">
        <f t="shared" si="2"/>
        <v>OCUPADO</v>
      </c>
      <c r="L67" s="33">
        <f t="shared" si="3"/>
        <v>66</v>
      </c>
      <c r="M67" s="33" t="s">
        <v>23</v>
      </c>
      <c r="N67" s="53"/>
      <c r="O67" s="34" t="s">
        <v>24</v>
      </c>
    </row>
    <row r="68">
      <c r="A68" s="92">
        <v>3.0</v>
      </c>
      <c r="B68" s="93" t="s">
        <v>25</v>
      </c>
      <c r="C68" s="94" t="s">
        <v>148</v>
      </c>
      <c r="D68" s="95" t="str">
        <f t="shared" si="1"/>
        <v>3-5-3B</v>
      </c>
      <c r="E68" s="50"/>
      <c r="F68" s="51"/>
      <c r="G68" s="46"/>
      <c r="H68" s="47"/>
      <c r="I68" s="48"/>
      <c r="J68" s="52"/>
      <c r="K68" s="27" t="str">
        <f t="shared" si="2"/>
        <v>DISPONIBLE</v>
      </c>
      <c r="L68" s="28">
        <f t="shared" si="3"/>
        <v>67</v>
      </c>
      <c r="M68" s="28" t="s">
        <v>23</v>
      </c>
      <c r="N68" s="70"/>
      <c r="O68" s="29"/>
    </row>
    <row r="69">
      <c r="A69" s="92">
        <v>3.0</v>
      </c>
      <c r="B69" s="93" t="s">
        <v>25</v>
      </c>
      <c r="C69" s="94" t="s">
        <v>145</v>
      </c>
      <c r="D69" s="95" t="str">
        <f t="shared" si="1"/>
        <v>3-5-4A</v>
      </c>
      <c r="E69" s="96">
        <v>45751.0</v>
      </c>
      <c r="F69" s="97" t="s">
        <v>19</v>
      </c>
      <c r="G69" s="98" t="s">
        <v>54</v>
      </c>
      <c r="H69" s="99" t="s">
        <v>55</v>
      </c>
      <c r="I69" s="100">
        <v>600.0</v>
      </c>
      <c r="J69" s="101" t="s">
        <v>22</v>
      </c>
      <c r="K69" s="32" t="str">
        <f t="shared" si="2"/>
        <v>OCUPADO</v>
      </c>
      <c r="L69" s="33">
        <f t="shared" si="3"/>
        <v>68</v>
      </c>
      <c r="M69" s="33" t="s">
        <v>23</v>
      </c>
      <c r="N69" s="53"/>
      <c r="O69" s="34" t="s">
        <v>24</v>
      </c>
    </row>
    <row r="70">
      <c r="A70" s="92">
        <v>3.0</v>
      </c>
      <c r="B70" s="93" t="s">
        <v>25</v>
      </c>
      <c r="C70" s="94" t="s">
        <v>181</v>
      </c>
      <c r="D70" s="95" t="str">
        <f t="shared" si="1"/>
        <v>3-5-4B</v>
      </c>
      <c r="E70" s="50"/>
      <c r="F70" s="51"/>
      <c r="G70" s="46"/>
      <c r="H70" s="47"/>
      <c r="I70" s="48"/>
      <c r="J70" s="52"/>
      <c r="K70" s="27" t="str">
        <f t="shared" si="2"/>
        <v>DISPONIBLE</v>
      </c>
      <c r="L70" s="28">
        <f t="shared" si="3"/>
        <v>69</v>
      </c>
      <c r="M70" s="28" t="s">
        <v>23</v>
      </c>
      <c r="N70" s="70"/>
      <c r="O70" s="29"/>
    </row>
    <row r="71">
      <c r="A71" s="123">
        <v>3.0</v>
      </c>
      <c r="B71" s="94" t="s">
        <v>25</v>
      </c>
      <c r="C71" s="94" t="s">
        <v>188</v>
      </c>
      <c r="D71" s="95" t="str">
        <f t="shared" si="1"/>
        <v>3-5-5A</v>
      </c>
      <c r="E71" s="72"/>
      <c r="F71" s="77"/>
      <c r="G71" s="75"/>
      <c r="H71" s="75"/>
      <c r="I71" s="76"/>
      <c r="J71" s="75"/>
      <c r="K71" s="32" t="str">
        <f t="shared" si="2"/>
        <v>DISPONIBLE</v>
      </c>
      <c r="L71" s="33">
        <f t="shared" si="3"/>
        <v>70</v>
      </c>
      <c r="M71" s="33" t="s">
        <v>23</v>
      </c>
      <c r="N71" s="53"/>
      <c r="O71" s="34"/>
    </row>
    <row r="72">
      <c r="A72" s="123">
        <v>3.0</v>
      </c>
      <c r="B72" s="94" t="s">
        <v>25</v>
      </c>
      <c r="C72" s="94" t="s">
        <v>192</v>
      </c>
      <c r="D72" s="95" t="str">
        <f t="shared" si="1"/>
        <v>3-5-5B</v>
      </c>
      <c r="E72" s="50"/>
      <c r="F72" s="51"/>
      <c r="G72" s="46"/>
      <c r="H72" s="47"/>
      <c r="I72" s="48"/>
      <c r="J72" s="52"/>
      <c r="K72" s="27" t="str">
        <f t="shared" si="2"/>
        <v>DISPONIBLE</v>
      </c>
      <c r="L72" s="28">
        <f t="shared" si="3"/>
        <v>71</v>
      </c>
      <c r="M72" s="28" t="s">
        <v>23</v>
      </c>
      <c r="N72" s="70"/>
      <c r="O72" s="29"/>
    </row>
    <row r="73">
      <c r="A73" s="92">
        <v>3.0</v>
      </c>
      <c r="B73" s="93" t="s">
        <v>36</v>
      </c>
      <c r="C73" s="94" t="s">
        <v>119</v>
      </c>
      <c r="D73" s="95" t="str">
        <f t="shared" si="1"/>
        <v>3-6-1A</v>
      </c>
      <c r="E73" s="96">
        <v>45733.0</v>
      </c>
      <c r="F73" s="97" t="s">
        <v>19</v>
      </c>
      <c r="G73" s="98" t="s">
        <v>67</v>
      </c>
      <c r="H73" s="99" t="s">
        <v>68</v>
      </c>
      <c r="I73" s="100">
        <v>775.0</v>
      </c>
      <c r="J73" s="101" t="s">
        <v>22</v>
      </c>
      <c r="K73" s="32" t="str">
        <f t="shared" si="2"/>
        <v>OCUPADO</v>
      </c>
      <c r="L73" s="33">
        <f t="shared" si="3"/>
        <v>72</v>
      </c>
      <c r="M73" s="33" t="s">
        <v>23</v>
      </c>
      <c r="N73" s="53"/>
      <c r="O73" s="34" t="s">
        <v>24</v>
      </c>
    </row>
    <row r="74">
      <c r="A74" s="92">
        <v>3.0</v>
      </c>
      <c r="B74" s="93" t="s">
        <v>36</v>
      </c>
      <c r="C74" s="94" t="s">
        <v>132</v>
      </c>
      <c r="D74" s="95" t="str">
        <f t="shared" si="1"/>
        <v>3-6-1B</v>
      </c>
      <c r="E74" s="50"/>
      <c r="F74" s="51"/>
      <c r="G74" s="74"/>
      <c r="H74" s="47"/>
      <c r="I74" s="48"/>
      <c r="J74" s="52"/>
      <c r="K74" s="27" t="str">
        <f t="shared" si="2"/>
        <v>DISPONIBLE</v>
      </c>
      <c r="L74" s="28">
        <f t="shared" si="3"/>
        <v>73</v>
      </c>
      <c r="M74" s="28" t="s">
        <v>23</v>
      </c>
      <c r="N74" s="70"/>
      <c r="O74" s="29"/>
    </row>
    <row r="75">
      <c r="A75" s="92">
        <v>3.0</v>
      </c>
      <c r="B75" s="93" t="s">
        <v>36</v>
      </c>
      <c r="C75" s="94" t="s">
        <v>124</v>
      </c>
      <c r="D75" s="95" t="str">
        <f t="shared" si="1"/>
        <v>3-6-2A</v>
      </c>
      <c r="E75" s="96">
        <v>45733.0</v>
      </c>
      <c r="F75" s="97" t="s">
        <v>19</v>
      </c>
      <c r="G75" s="98" t="s">
        <v>83</v>
      </c>
      <c r="H75" s="99" t="s">
        <v>84</v>
      </c>
      <c r="I75" s="100">
        <v>300.0</v>
      </c>
      <c r="J75" s="101" t="s">
        <v>22</v>
      </c>
      <c r="K75" s="32" t="str">
        <f t="shared" si="2"/>
        <v>OCUPADO</v>
      </c>
      <c r="L75" s="33">
        <f t="shared" si="3"/>
        <v>74</v>
      </c>
      <c r="M75" s="33" t="s">
        <v>23</v>
      </c>
      <c r="N75" s="53"/>
      <c r="O75" s="34" t="s">
        <v>24</v>
      </c>
    </row>
    <row r="76">
      <c r="A76" s="92">
        <v>3.0</v>
      </c>
      <c r="B76" s="93" t="s">
        <v>36</v>
      </c>
      <c r="C76" s="94" t="s">
        <v>140</v>
      </c>
      <c r="D76" s="95" t="str">
        <f t="shared" si="1"/>
        <v>3-6-2B</v>
      </c>
      <c r="E76" s="96">
        <v>45733.0</v>
      </c>
      <c r="F76" s="97" t="s">
        <v>19</v>
      </c>
      <c r="G76" s="98" t="s">
        <v>83</v>
      </c>
      <c r="H76" s="99" t="s">
        <v>84</v>
      </c>
      <c r="I76" s="100">
        <v>400.0</v>
      </c>
      <c r="J76" s="101" t="s">
        <v>22</v>
      </c>
      <c r="K76" s="27" t="str">
        <f t="shared" si="2"/>
        <v>OCUPADO</v>
      </c>
      <c r="L76" s="28">
        <f t="shared" si="3"/>
        <v>75</v>
      </c>
      <c r="M76" s="28" t="s">
        <v>23</v>
      </c>
      <c r="N76" s="70"/>
      <c r="O76" s="29" t="s">
        <v>24</v>
      </c>
    </row>
    <row r="77">
      <c r="A77" s="92">
        <v>3.0</v>
      </c>
      <c r="B77" s="93" t="s">
        <v>36</v>
      </c>
      <c r="C77" s="94" t="s">
        <v>130</v>
      </c>
      <c r="D77" s="95" t="str">
        <f t="shared" si="1"/>
        <v>3-6-3A</v>
      </c>
      <c r="E77" s="96">
        <v>45733.0</v>
      </c>
      <c r="F77" s="97" t="s">
        <v>19</v>
      </c>
      <c r="G77" s="98" t="s">
        <v>93</v>
      </c>
      <c r="H77" s="99" t="s">
        <v>760</v>
      </c>
      <c r="I77" s="100">
        <v>250.0</v>
      </c>
      <c r="J77" s="101" t="s">
        <v>22</v>
      </c>
      <c r="K77" s="32" t="str">
        <f t="shared" si="2"/>
        <v>OCUPADO</v>
      </c>
      <c r="L77" s="33">
        <f t="shared" si="3"/>
        <v>76</v>
      </c>
      <c r="M77" s="33" t="s">
        <v>23</v>
      </c>
      <c r="N77" s="53"/>
      <c r="O77" s="34" t="s">
        <v>24</v>
      </c>
    </row>
    <row r="78">
      <c r="A78" s="92">
        <v>3.0</v>
      </c>
      <c r="B78" s="93" t="s">
        <v>36</v>
      </c>
      <c r="C78" s="94" t="s">
        <v>148</v>
      </c>
      <c r="D78" s="95" t="str">
        <f t="shared" si="1"/>
        <v>3-6-3B</v>
      </c>
      <c r="E78" s="50"/>
      <c r="F78" s="51"/>
      <c r="G78" s="46"/>
      <c r="H78" s="47"/>
      <c r="I78" s="48"/>
      <c r="J78" s="52"/>
      <c r="K78" s="27" t="str">
        <f t="shared" si="2"/>
        <v>DISPONIBLE</v>
      </c>
      <c r="L78" s="28">
        <f t="shared" si="3"/>
        <v>77</v>
      </c>
      <c r="M78" s="28" t="s">
        <v>23</v>
      </c>
      <c r="N78" s="70"/>
      <c r="O78" s="140"/>
    </row>
    <row r="79">
      <c r="A79" s="92">
        <v>3.0</v>
      </c>
      <c r="B79" s="93" t="s">
        <v>36</v>
      </c>
      <c r="C79" s="94" t="s">
        <v>145</v>
      </c>
      <c r="D79" s="95" t="str">
        <f t="shared" si="1"/>
        <v>3-6-4A</v>
      </c>
      <c r="E79" s="96">
        <v>45733.0</v>
      </c>
      <c r="F79" s="97" t="s">
        <v>19</v>
      </c>
      <c r="G79" s="98" t="s">
        <v>156</v>
      </c>
      <c r="H79" s="99" t="s">
        <v>157</v>
      </c>
      <c r="I79" s="100">
        <v>30.0</v>
      </c>
      <c r="J79" s="101" t="s">
        <v>22</v>
      </c>
      <c r="K79" s="32" t="str">
        <f>IF(ISBLANK(#REF!),"DISPONIBLE","OCUPADO")</f>
        <v>OCUPADO</v>
      </c>
      <c r="L79" s="33">
        <f t="shared" si="3"/>
        <v>78</v>
      </c>
      <c r="M79" s="33" t="s">
        <v>23</v>
      </c>
      <c r="N79" s="53"/>
      <c r="O79" s="34" t="s">
        <v>24</v>
      </c>
    </row>
    <row r="80">
      <c r="A80" s="92">
        <v>3.0</v>
      </c>
      <c r="B80" s="93" t="s">
        <v>36</v>
      </c>
      <c r="C80" s="94" t="s">
        <v>181</v>
      </c>
      <c r="D80" s="95" t="str">
        <f t="shared" si="1"/>
        <v>3-6-4B</v>
      </c>
      <c r="E80" s="50"/>
      <c r="F80" s="51"/>
      <c r="G80" s="46"/>
      <c r="H80" s="47"/>
      <c r="I80" s="48"/>
      <c r="J80" s="52"/>
      <c r="K80" s="27" t="str">
        <f t="shared" ref="K80:K86" si="4">IF(ISBLANK(E80),"DISPONIBLE","OCUPADO")</f>
        <v>DISPONIBLE</v>
      </c>
      <c r="L80" s="28">
        <f t="shared" si="3"/>
        <v>79</v>
      </c>
      <c r="M80" s="28" t="s">
        <v>23</v>
      </c>
      <c r="N80" s="70"/>
      <c r="O80" s="140"/>
    </row>
    <row r="81">
      <c r="A81" s="92">
        <v>3.0</v>
      </c>
      <c r="B81" s="93" t="s">
        <v>36</v>
      </c>
      <c r="C81" s="94" t="s">
        <v>188</v>
      </c>
      <c r="D81" s="95" t="str">
        <f t="shared" si="1"/>
        <v>3-6-5A</v>
      </c>
      <c r="E81" s="72"/>
      <c r="F81" s="137"/>
      <c r="G81" s="138"/>
      <c r="H81" s="138"/>
      <c r="I81" s="76"/>
      <c r="J81" s="138"/>
      <c r="K81" s="32" t="str">
        <f t="shared" si="4"/>
        <v>DISPONIBLE</v>
      </c>
      <c r="L81" s="33">
        <f t="shared" si="3"/>
        <v>80</v>
      </c>
      <c r="M81" s="33" t="s">
        <v>23</v>
      </c>
      <c r="N81" s="53"/>
      <c r="O81" s="313"/>
    </row>
    <row r="82">
      <c r="A82" s="92">
        <v>3.0</v>
      </c>
      <c r="B82" s="93" t="s">
        <v>36</v>
      </c>
      <c r="C82" s="94" t="s">
        <v>192</v>
      </c>
      <c r="D82" s="95" t="str">
        <f t="shared" si="1"/>
        <v>3-6-5B</v>
      </c>
      <c r="E82" s="50"/>
      <c r="F82" s="51"/>
      <c r="G82" s="46"/>
      <c r="H82" s="47"/>
      <c r="I82" s="48"/>
      <c r="J82" s="52"/>
      <c r="K82" s="27" t="str">
        <f t="shared" si="4"/>
        <v>DISPONIBLE</v>
      </c>
      <c r="L82" s="28">
        <f t="shared" si="3"/>
        <v>81</v>
      </c>
      <c r="M82" s="28" t="s">
        <v>23</v>
      </c>
      <c r="N82" s="70"/>
      <c r="O82" s="140"/>
    </row>
    <row r="83">
      <c r="A83" s="92">
        <v>3.0</v>
      </c>
      <c r="B83" s="93" t="s">
        <v>48</v>
      </c>
      <c r="C83" s="94" t="s">
        <v>119</v>
      </c>
      <c r="D83" s="95" t="str">
        <f t="shared" si="1"/>
        <v>3-7-1A</v>
      </c>
      <c r="E83" s="50"/>
      <c r="F83" s="51"/>
      <c r="G83" s="46"/>
      <c r="H83" s="47"/>
      <c r="I83" s="48"/>
      <c r="J83" s="52"/>
      <c r="K83" s="32" t="str">
        <f t="shared" si="4"/>
        <v>DISPONIBLE</v>
      </c>
      <c r="L83" s="33">
        <f t="shared" si="3"/>
        <v>82</v>
      </c>
      <c r="M83" s="33" t="s">
        <v>442</v>
      </c>
      <c r="N83" s="53"/>
      <c r="O83" s="34"/>
    </row>
    <row r="84">
      <c r="A84" s="92">
        <v>3.0</v>
      </c>
      <c r="B84" s="93" t="s">
        <v>48</v>
      </c>
      <c r="C84" s="94" t="s">
        <v>132</v>
      </c>
      <c r="D84" s="95" t="str">
        <f t="shared" si="1"/>
        <v>3-7-1B</v>
      </c>
      <c r="E84" s="50"/>
      <c r="F84" s="51"/>
      <c r="G84" s="46"/>
      <c r="H84" s="47"/>
      <c r="I84" s="48"/>
      <c r="J84" s="52"/>
      <c r="K84" s="27" t="str">
        <f t="shared" si="4"/>
        <v>DISPONIBLE</v>
      </c>
      <c r="L84" s="28">
        <f t="shared" si="3"/>
        <v>83</v>
      </c>
      <c r="M84" s="28" t="s">
        <v>442</v>
      </c>
      <c r="N84" s="70"/>
      <c r="O84" s="29"/>
    </row>
    <row r="85">
      <c r="A85" s="92">
        <v>3.0</v>
      </c>
      <c r="B85" s="93" t="s">
        <v>48</v>
      </c>
      <c r="C85" s="94" t="s">
        <v>124</v>
      </c>
      <c r="D85" s="95" t="str">
        <f t="shared" si="1"/>
        <v>3-7-2A</v>
      </c>
      <c r="E85" s="96">
        <v>45733.0</v>
      </c>
      <c r="F85" s="97" t="s">
        <v>19</v>
      </c>
      <c r="G85" s="98" t="s">
        <v>758</v>
      </c>
      <c r="H85" s="99" t="s">
        <v>91</v>
      </c>
      <c r="I85" s="100">
        <v>9.0</v>
      </c>
      <c r="J85" s="101" t="s">
        <v>35</v>
      </c>
      <c r="K85" s="32" t="str">
        <f t="shared" si="4"/>
        <v>OCUPADO</v>
      </c>
      <c r="L85" s="33">
        <f t="shared" si="3"/>
        <v>84</v>
      </c>
      <c r="M85" s="33" t="s">
        <v>442</v>
      </c>
      <c r="N85" s="53"/>
      <c r="O85" s="34" t="s">
        <v>24</v>
      </c>
    </row>
    <row r="86">
      <c r="A86" s="92">
        <v>3.0</v>
      </c>
      <c r="B86" s="93" t="s">
        <v>48</v>
      </c>
      <c r="C86" s="94" t="s">
        <v>140</v>
      </c>
      <c r="D86" s="95" t="str">
        <f t="shared" si="1"/>
        <v>3-7-2B</v>
      </c>
      <c r="E86" s="96">
        <v>45763.0</v>
      </c>
      <c r="F86" s="97" t="s">
        <v>19</v>
      </c>
      <c r="G86" s="98" t="s">
        <v>757</v>
      </c>
      <c r="H86" s="99" t="s">
        <v>38</v>
      </c>
      <c r="I86" s="100">
        <v>18.0</v>
      </c>
      <c r="J86" s="101" t="s">
        <v>35</v>
      </c>
      <c r="K86" s="27" t="str">
        <f t="shared" si="4"/>
        <v>OCUPADO</v>
      </c>
      <c r="L86" s="28">
        <f t="shared" si="3"/>
        <v>85</v>
      </c>
      <c r="M86" s="28" t="s">
        <v>442</v>
      </c>
      <c r="N86" s="70"/>
      <c r="O86" s="29"/>
    </row>
    <row r="87">
      <c r="A87" s="92">
        <v>3.0</v>
      </c>
      <c r="B87" s="93" t="s">
        <v>48</v>
      </c>
      <c r="C87" s="94" t="s">
        <v>130</v>
      </c>
      <c r="D87" s="95" t="str">
        <f t="shared" si="1"/>
        <v>3-7-3A</v>
      </c>
      <c r="E87" s="96">
        <v>45733.0</v>
      </c>
      <c r="F87" s="97" t="s">
        <v>19</v>
      </c>
      <c r="G87" s="98" t="s">
        <v>90</v>
      </c>
      <c r="H87" s="99" t="s">
        <v>753</v>
      </c>
      <c r="I87" s="100">
        <v>7.0</v>
      </c>
      <c r="J87" s="101" t="s">
        <v>35</v>
      </c>
      <c r="K87" s="32" t="str">
        <f>IF(ISBLANK(#REF!),"DISPONIBLE","OCUPADO")</f>
        <v>OCUPADO</v>
      </c>
      <c r="L87" s="33">
        <f t="shared" si="3"/>
        <v>86</v>
      </c>
      <c r="M87" s="33" t="s">
        <v>442</v>
      </c>
      <c r="N87" s="53"/>
      <c r="O87" s="34" t="s">
        <v>24</v>
      </c>
    </row>
    <row r="88">
      <c r="A88" s="92">
        <v>3.0</v>
      </c>
      <c r="B88" s="93" t="s">
        <v>48</v>
      </c>
      <c r="C88" s="94" t="s">
        <v>148</v>
      </c>
      <c r="D88" s="95" t="str">
        <f t="shared" si="1"/>
        <v>3-7-3B</v>
      </c>
      <c r="E88" s="96">
        <v>45763.0</v>
      </c>
      <c r="F88" s="97" t="s">
        <v>768</v>
      </c>
      <c r="G88" s="98" t="s">
        <v>757</v>
      </c>
      <c r="H88" s="99" t="s">
        <v>38</v>
      </c>
      <c r="I88" s="100">
        <v>71.0</v>
      </c>
      <c r="J88" s="101" t="s">
        <v>35</v>
      </c>
      <c r="K88" s="27" t="str">
        <f>IF(ISBLANK(E87),"DISPONIBLE","OCUPADO")</f>
        <v>OCUPADO</v>
      </c>
      <c r="L88" s="28">
        <f t="shared" si="3"/>
        <v>87</v>
      </c>
      <c r="M88" s="28" t="s">
        <v>442</v>
      </c>
      <c r="N88" s="70"/>
      <c r="O88" s="29"/>
    </row>
    <row r="89">
      <c r="A89" s="92">
        <v>3.0</v>
      </c>
      <c r="B89" s="93" t="s">
        <v>48</v>
      </c>
      <c r="C89" s="94" t="s">
        <v>145</v>
      </c>
      <c r="D89" s="95" t="str">
        <f t="shared" si="1"/>
        <v>3-7-4A</v>
      </c>
      <c r="E89" s="50"/>
      <c r="F89" s="51"/>
      <c r="G89" s="46"/>
      <c r="H89" s="47"/>
      <c r="I89" s="48"/>
      <c r="J89" s="52"/>
      <c r="K89" s="32" t="str">
        <f t="shared" ref="K89:K91" si="5">IF(ISBLANK(E89),"DISPONIBLE","OCUPADO")</f>
        <v>DISPONIBLE</v>
      </c>
      <c r="L89" s="33">
        <f t="shared" si="3"/>
        <v>88</v>
      </c>
      <c r="M89" s="33" t="s">
        <v>23</v>
      </c>
      <c r="N89" s="53"/>
      <c r="O89" s="34"/>
    </row>
    <row r="90">
      <c r="A90" s="92">
        <v>3.0</v>
      </c>
      <c r="B90" s="93" t="s">
        <v>48</v>
      </c>
      <c r="C90" s="94" t="s">
        <v>181</v>
      </c>
      <c r="D90" s="95" t="str">
        <f t="shared" si="1"/>
        <v>3-7-4B</v>
      </c>
      <c r="E90" s="96">
        <v>45733.0</v>
      </c>
      <c r="F90" s="97" t="s">
        <v>19</v>
      </c>
      <c r="G90" s="98" t="s">
        <v>751</v>
      </c>
      <c r="H90" s="99" t="s">
        <v>752</v>
      </c>
      <c r="I90" s="100">
        <v>55.0</v>
      </c>
      <c r="J90" s="101" t="s">
        <v>22</v>
      </c>
      <c r="K90" s="27" t="str">
        <f t="shared" si="5"/>
        <v>OCUPADO</v>
      </c>
      <c r="L90" s="28">
        <f t="shared" si="3"/>
        <v>89</v>
      </c>
      <c r="M90" s="28" t="s">
        <v>23</v>
      </c>
      <c r="N90" s="70"/>
      <c r="O90" s="29" t="s">
        <v>24</v>
      </c>
    </row>
    <row r="91">
      <c r="A91" s="92">
        <v>3.0</v>
      </c>
      <c r="B91" s="93" t="s">
        <v>48</v>
      </c>
      <c r="C91" s="94" t="s">
        <v>192</v>
      </c>
      <c r="D91" s="95" t="str">
        <f t="shared" si="1"/>
        <v>3-7-5B</v>
      </c>
      <c r="E91" s="50"/>
      <c r="F91" s="51"/>
      <c r="G91" s="46"/>
      <c r="H91" s="47"/>
      <c r="I91" s="48"/>
      <c r="J91" s="52"/>
      <c r="K91" s="32" t="str">
        <f t="shared" si="5"/>
        <v>DISPONIBLE</v>
      </c>
      <c r="L91" s="33">
        <f t="shared" si="3"/>
        <v>90</v>
      </c>
      <c r="M91" s="33" t="s">
        <v>23</v>
      </c>
      <c r="N91" s="53"/>
      <c r="O91" s="129"/>
    </row>
    <row r="92">
      <c r="A92" s="123">
        <v>3.0</v>
      </c>
      <c r="B92" s="94" t="s">
        <v>48</v>
      </c>
      <c r="C92" s="94" t="s">
        <v>188</v>
      </c>
      <c r="D92" s="95" t="str">
        <f t="shared" si="1"/>
        <v>3-7-5A</v>
      </c>
      <c r="E92" s="141"/>
      <c r="F92" s="137"/>
      <c r="G92" s="138"/>
      <c r="H92" s="138"/>
      <c r="I92" s="142"/>
      <c r="J92" s="138"/>
      <c r="K92" s="27" t="str">
        <f>IF(ISBLANK(E79),"DISPONIBLE","OCUPADO")</f>
        <v>OCUPADO</v>
      </c>
      <c r="L92" s="28">
        <f t="shared" si="3"/>
        <v>91</v>
      </c>
      <c r="M92" s="28" t="s">
        <v>23</v>
      </c>
      <c r="N92" s="314"/>
      <c r="O92" s="29"/>
    </row>
    <row r="93">
      <c r="A93" s="92">
        <v>3.0</v>
      </c>
      <c r="B93" s="93" t="s">
        <v>216</v>
      </c>
      <c r="C93" s="94" t="s">
        <v>18</v>
      </c>
      <c r="D93" s="95" t="str">
        <f t="shared" si="1"/>
        <v>3-NV-1</v>
      </c>
      <c r="E93" s="96">
        <v>45733.0</v>
      </c>
      <c r="F93" s="97" t="s">
        <v>19</v>
      </c>
      <c r="G93" s="98" t="s">
        <v>167</v>
      </c>
      <c r="H93" s="99" t="s">
        <v>761</v>
      </c>
      <c r="I93" s="100">
        <v>23.0</v>
      </c>
      <c r="J93" s="101" t="s">
        <v>22</v>
      </c>
      <c r="K93" s="32" t="str">
        <f t="shared" ref="K93:K103" si="6">IF(ISBLANK(E93),"DISPONIBLE","OCUPADO")</f>
        <v>OCUPADO</v>
      </c>
      <c r="L93" s="33">
        <f t="shared" si="3"/>
        <v>92</v>
      </c>
      <c r="M93" s="33" t="s">
        <v>485</v>
      </c>
      <c r="N93" s="53"/>
      <c r="O93" s="34" t="s">
        <v>24</v>
      </c>
    </row>
    <row r="94">
      <c r="A94" s="92">
        <v>3.0</v>
      </c>
      <c r="B94" s="93" t="s">
        <v>216</v>
      </c>
      <c r="C94" s="94" t="s">
        <v>32</v>
      </c>
      <c r="D94" s="95" t="str">
        <f t="shared" si="1"/>
        <v>3-NV-2</v>
      </c>
      <c r="E94" s="96">
        <v>45761.0</v>
      </c>
      <c r="F94" s="97" t="s">
        <v>806</v>
      </c>
      <c r="G94" s="98" t="s">
        <v>210</v>
      </c>
      <c r="H94" s="99" t="s">
        <v>211</v>
      </c>
      <c r="I94" s="100">
        <v>14.0</v>
      </c>
      <c r="J94" s="101" t="s">
        <v>22</v>
      </c>
      <c r="K94" s="27" t="str">
        <f t="shared" si="6"/>
        <v>OCUPADO</v>
      </c>
      <c r="L94" s="28">
        <f t="shared" si="3"/>
        <v>93</v>
      </c>
      <c r="M94" s="28" t="s">
        <v>485</v>
      </c>
      <c r="N94" s="70"/>
      <c r="O94" s="29" t="s">
        <v>24</v>
      </c>
    </row>
    <row r="95">
      <c r="A95" s="92">
        <v>3.0</v>
      </c>
      <c r="B95" s="94" t="s">
        <v>216</v>
      </c>
      <c r="C95" s="94" t="s">
        <v>44</v>
      </c>
      <c r="D95" s="95" t="str">
        <f t="shared" si="1"/>
        <v>3-NV-3</v>
      </c>
      <c r="E95" s="96">
        <v>45762.0</v>
      </c>
      <c r="F95" s="97" t="s">
        <v>769</v>
      </c>
      <c r="G95" s="98" t="s">
        <v>172</v>
      </c>
      <c r="H95" s="99" t="s">
        <v>50</v>
      </c>
      <c r="I95" s="100">
        <v>6.0</v>
      </c>
      <c r="J95" s="101" t="s">
        <v>22</v>
      </c>
      <c r="K95" s="32" t="str">
        <f t="shared" si="6"/>
        <v>OCUPADO</v>
      </c>
      <c r="L95" s="33">
        <f t="shared" si="3"/>
        <v>94</v>
      </c>
      <c r="M95" s="33" t="s">
        <v>485</v>
      </c>
      <c r="N95" s="53"/>
      <c r="O95" s="34" t="s">
        <v>24</v>
      </c>
    </row>
    <row r="96">
      <c r="A96" s="92">
        <v>3.0</v>
      </c>
      <c r="B96" s="94" t="s">
        <v>216</v>
      </c>
      <c r="C96" s="94" t="s">
        <v>53</v>
      </c>
      <c r="D96" s="95" t="str">
        <f t="shared" si="1"/>
        <v>3-NV-4</v>
      </c>
      <c r="E96" s="96">
        <v>45763.0</v>
      </c>
      <c r="F96" s="144" t="s">
        <v>19</v>
      </c>
      <c r="G96" s="98" t="s">
        <v>183</v>
      </c>
      <c r="H96" s="99" t="s">
        <v>184</v>
      </c>
      <c r="I96" s="25">
        <v>6.0</v>
      </c>
      <c r="J96" s="101" t="s">
        <v>22</v>
      </c>
      <c r="K96" s="27" t="str">
        <f t="shared" si="6"/>
        <v>OCUPADO</v>
      </c>
      <c r="L96" s="28">
        <f t="shared" si="3"/>
        <v>95</v>
      </c>
      <c r="M96" s="28" t="s">
        <v>485</v>
      </c>
      <c r="N96" s="70"/>
      <c r="O96" s="29" t="s">
        <v>24</v>
      </c>
    </row>
    <row r="97">
      <c r="A97" s="92">
        <v>3.0</v>
      </c>
      <c r="B97" s="93" t="s">
        <v>254</v>
      </c>
      <c r="C97" s="94" t="s">
        <v>119</v>
      </c>
      <c r="D97" s="95" t="str">
        <f t="shared" si="1"/>
        <v>3-R-1A</v>
      </c>
      <c r="E97" s="96">
        <v>45733.0</v>
      </c>
      <c r="F97" s="97" t="s">
        <v>19</v>
      </c>
      <c r="G97" s="98" t="s">
        <v>167</v>
      </c>
      <c r="H97" s="99" t="s">
        <v>761</v>
      </c>
      <c r="I97" s="100">
        <v>10.0</v>
      </c>
      <c r="J97" s="101" t="s">
        <v>22</v>
      </c>
      <c r="K97" s="32" t="str">
        <f t="shared" si="6"/>
        <v>OCUPADO</v>
      </c>
      <c r="L97" s="33">
        <f t="shared" si="3"/>
        <v>96</v>
      </c>
      <c r="M97" s="33" t="s">
        <v>501</v>
      </c>
      <c r="N97" s="53"/>
      <c r="O97" s="34" t="s">
        <v>24</v>
      </c>
    </row>
    <row r="98">
      <c r="A98" s="92">
        <v>3.0</v>
      </c>
      <c r="B98" s="93" t="s">
        <v>254</v>
      </c>
      <c r="C98" s="94" t="s">
        <v>255</v>
      </c>
      <c r="D98" s="95" t="str">
        <f t="shared" si="1"/>
        <v>3-R-2A1</v>
      </c>
      <c r="E98" s="116">
        <v>45733.0</v>
      </c>
      <c r="F98" s="117" t="s">
        <v>19</v>
      </c>
      <c r="G98" s="118" t="s">
        <v>128</v>
      </c>
      <c r="H98" s="119" t="s">
        <v>242</v>
      </c>
      <c r="I98" s="145">
        <v>666.0</v>
      </c>
      <c r="J98" s="121" t="s">
        <v>22</v>
      </c>
      <c r="K98" s="27" t="str">
        <f t="shared" si="6"/>
        <v>OCUPADO</v>
      </c>
      <c r="L98" s="28">
        <f t="shared" si="3"/>
        <v>97</v>
      </c>
      <c r="M98" s="28" t="s">
        <v>501</v>
      </c>
      <c r="N98" s="70"/>
      <c r="O98" s="29" t="s">
        <v>24</v>
      </c>
    </row>
    <row r="99">
      <c r="A99" s="92">
        <v>3.0</v>
      </c>
      <c r="B99" s="93" t="s">
        <v>254</v>
      </c>
      <c r="C99" s="94" t="s">
        <v>262</v>
      </c>
      <c r="D99" s="95" t="str">
        <f t="shared" si="1"/>
        <v>3-R-2A2</v>
      </c>
      <c r="E99" s="116">
        <v>45733.0</v>
      </c>
      <c r="F99" s="117" t="s">
        <v>19</v>
      </c>
      <c r="G99" s="118" t="s">
        <v>128</v>
      </c>
      <c r="H99" s="119" t="s">
        <v>242</v>
      </c>
      <c r="I99" s="145">
        <v>666.0</v>
      </c>
      <c r="J99" s="121" t="s">
        <v>22</v>
      </c>
      <c r="K99" s="32" t="str">
        <f t="shared" si="6"/>
        <v>OCUPADO</v>
      </c>
      <c r="L99" s="33">
        <f t="shared" si="3"/>
        <v>98</v>
      </c>
      <c r="M99" s="33"/>
      <c r="N99" s="53"/>
      <c r="O99" s="34"/>
    </row>
    <row r="100">
      <c r="A100" s="92">
        <v>3.0</v>
      </c>
      <c r="B100" s="93" t="s">
        <v>254</v>
      </c>
      <c r="C100" s="94" t="s">
        <v>140</v>
      </c>
      <c r="D100" s="95" t="str">
        <f t="shared" si="1"/>
        <v>3-R-2B</v>
      </c>
      <c r="E100" s="96">
        <v>45733.0</v>
      </c>
      <c r="F100" s="97" t="s">
        <v>19</v>
      </c>
      <c r="G100" s="98" t="s">
        <v>167</v>
      </c>
      <c r="H100" s="99" t="s">
        <v>761</v>
      </c>
      <c r="I100" s="100">
        <v>10.0</v>
      </c>
      <c r="J100" s="101" t="s">
        <v>22</v>
      </c>
      <c r="K100" s="27" t="str">
        <f t="shared" si="6"/>
        <v>OCUPADO</v>
      </c>
      <c r="L100" s="28">
        <f>IF(B98&lt;&gt;"", ROW(A98), "")
</f>
        <v>98</v>
      </c>
      <c r="M100" s="28" t="s">
        <v>501</v>
      </c>
      <c r="N100" s="70"/>
      <c r="O100" s="29" t="s">
        <v>24</v>
      </c>
    </row>
    <row r="101">
      <c r="A101" s="92">
        <v>3.0</v>
      </c>
      <c r="B101" s="94" t="s">
        <v>234</v>
      </c>
      <c r="C101" s="94" t="s">
        <v>18</v>
      </c>
      <c r="D101" s="95" t="str">
        <f t="shared" si="1"/>
        <v>3-PRD-F1-1</v>
      </c>
      <c r="E101" s="96">
        <v>45763.0</v>
      </c>
      <c r="F101" s="97" t="s">
        <v>523</v>
      </c>
      <c r="G101" s="98" t="s">
        <v>74</v>
      </c>
      <c r="H101" s="99" t="s">
        <v>75</v>
      </c>
      <c r="I101" s="100">
        <v>20.0</v>
      </c>
      <c r="J101" s="101" t="s">
        <v>22</v>
      </c>
      <c r="K101" s="32" t="str">
        <f t="shared" si="6"/>
        <v>OCUPADO</v>
      </c>
      <c r="L101" s="33">
        <f t="shared" ref="L101:L197" si="7">IF(B100&lt;&gt;"", ROW(A100), "")
</f>
        <v>100</v>
      </c>
      <c r="M101" s="33" t="s">
        <v>515</v>
      </c>
      <c r="N101" s="33"/>
      <c r="O101" s="34" t="s">
        <v>24</v>
      </c>
    </row>
    <row r="102">
      <c r="A102" s="92">
        <v>3.0</v>
      </c>
      <c r="B102" s="94" t="s">
        <v>234</v>
      </c>
      <c r="C102" s="94" t="s">
        <v>32</v>
      </c>
      <c r="D102" s="95" t="str">
        <f t="shared" si="1"/>
        <v>3-PRD-F1-2</v>
      </c>
      <c r="E102" s="96">
        <v>45763.0</v>
      </c>
      <c r="F102" s="97" t="s">
        <v>523</v>
      </c>
      <c r="G102" s="98" t="s">
        <v>67</v>
      </c>
      <c r="H102" s="99" t="s">
        <v>68</v>
      </c>
      <c r="I102" s="100">
        <v>35.0</v>
      </c>
      <c r="J102" s="101" t="s">
        <v>22</v>
      </c>
      <c r="K102" s="27" t="str">
        <f t="shared" si="6"/>
        <v>OCUPADO</v>
      </c>
      <c r="L102" s="28">
        <f t="shared" si="7"/>
        <v>101</v>
      </c>
      <c r="M102" s="28" t="s">
        <v>515</v>
      </c>
      <c r="N102" s="70"/>
      <c r="O102" s="29" t="s">
        <v>24</v>
      </c>
    </row>
    <row r="103">
      <c r="A103" s="92">
        <v>3.0</v>
      </c>
      <c r="B103" s="94" t="s">
        <v>234</v>
      </c>
      <c r="C103" s="94" t="s">
        <v>44</v>
      </c>
      <c r="D103" s="95" t="str">
        <f t="shared" si="1"/>
        <v>3-PRD-F1-3</v>
      </c>
      <c r="E103" s="96">
        <v>45763.0</v>
      </c>
      <c r="F103" s="97" t="s">
        <v>523</v>
      </c>
      <c r="G103" s="98" t="s">
        <v>151</v>
      </c>
      <c r="H103" s="99" t="s">
        <v>207</v>
      </c>
      <c r="I103" s="100">
        <v>21.0</v>
      </c>
      <c r="J103" s="101" t="s">
        <v>22</v>
      </c>
      <c r="K103" s="32" t="str">
        <f t="shared" si="6"/>
        <v>OCUPADO</v>
      </c>
      <c r="L103" s="33">
        <f t="shared" si="7"/>
        <v>102</v>
      </c>
      <c r="M103" s="33" t="s">
        <v>515</v>
      </c>
      <c r="N103" s="53"/>
      <c r="O103" s="34" t="s">
        <v>24</v>
      </c>
    </row>
    <row r="104">
      <c r="A104" s="92">
        <v>3.0</v>
      </c>
      <c r="B104" s="94" t="s">
        <v>234</v>
      </c>
      <c r="C104" s="94" t="s">
        <v>53</v>
      </c>
      <c r="D104" s="95" t="str">
        <f t="shared" si="1"/>
        <v>3-PRD-F1-4</v>
      </c>
      <c r="E104" s="96">
        <v>45763.0</v>
      </c>
      <c r="F104" s="144" t="s">
        <v>523</v>
      </c>
      <c r="G104" s="98">
        <v>692043.0</v>
      </c>
      <c r="H104" s="99" t="s">
        <v>61</v>
      </c>
      <c r="I104" s="100">
        <v>10.0</v>
      </c>
      <c r="J104" s="101" t="s">
        <v>22</v>
      </c>
      <c r="K104" s="27" t="str">
        <f t="shared" ref="K104:K105" si="8">IF(ISBLANK(E116),"DISPONIBLE","OCUPADO")</f>
        <v>OCUPADO</v>
      </c>
      <c r="L104" s="28">
        <f t="shared" si="7"/>
        <v>103</v>
      </c>
      <c r="M104" s="28" t="s">
        <v>515</v>
      </c>
      <c r="N104" s="70"/>
      <c r="O104" s="29"/>
    </row>
    <row r="105">
      <c r="A105" s="92">
        <v>3.0</v>
      </c>
      <c r="B105" s="94" t="s">
        <v>234</v>
      </c>
      <c r="C105" s="94" t="s">
        <v>25</v>
      </c>
      <c r="D105" s="95" t="str">
        <f t="shared" si="1"/>
        <v>3-PRD-F1-5</v>
      </c>
      <c r="E105" s="146"/>
      <c r="F105" s="147"/>
      <c r="G105" s="148"/>
      <c r="H105" s="148"/>
      <c r="I105" s="149"/>
      <c r="J105" s="148"/>
      <c r="K105" s="32" t="str">
        <f t="shared" si="8"/>
        <v>OCUPADO</v>
      </c>
      <c r="L105" s="33">
        <f t="shared" si="7"/>
        <v>104</v>
      </c>
      <c r="M105" s="33" t="s">
        <v>515</v>
      </c>
      <c r="N105" s="53"/>
      <c r="O105" s="34"/>
    </row>
    <row r="106">
      <c r="A106" s="92">
        <v>3.0</v>
      </c>
      <c r="B106" s="94" t="s">
        <v>246</v>
      </c>
      <c r="C106" s="94" t="s">
        <v>18</v>
      </c>
      <c r="D106" s="95" t="str">
        <f t="shared" si="1"/>
        <v>3-PRD-F2-1</v>
      </c>
      <c r="E106" s="96">
        <v>45763.0</v>
      </c>
      <c r="F106" s="144" t="s">
        <v>523</v>
      </c>
      <c r="G106" s="98" t="s">
        <v>54</v>
      </c>
      <c r="H106" s="99" t="s">
        <v>55</v>
      </c>
      <c r="I106" s="100">
        <v>11.0</v>
      </c>
      <c r="J106" s="101" t="s">
        <v>22</v>
      </c>
      <c r="K106" s="27" t="str">
        <f t="shared" ref="K106:K115" si="9">IF(ISBLANK(E106),"DISPONIBLE","OCUPADO")</f>
        <v>OCUPADO</v>
      </c>
      <c r="L106" s="28">
        <f t="shared" si="7"/>
        <v>105</v>
      </c>
      <c r="M106" s="28" t="s">
        <v>515</v>
      </c>
      <c r="N106" s="70"/>
      <c r="O106" s="29" t="s">
        <v>24</v>
      </c>
    </row>
    <row r="107">
      <c r="A107" s="92">
        <v>3.0</v>
      </c>
      <c r="B107" s="94" t="s">
        <v>246</v>
      </c>
      <c r="C107" s="94" t="s">
        <v>32</v>
      </c>
      <c r="D107" s="95" t="str">
        <f t="shared" si="1"/>
        <v>3-PRD-F2-2</v>
      </c>
      <c r="E107" s="83"/>
      <c r="F107" s="150"/>
      <c r="G107" s="85"/>
      <c r="H107" s="49"/>
      <c r="I107" s="86"/>
      <c r="J107" s="87"/>
      <c r="K107" s="32" t="str">
        <f t="shared" si="9"/>
        <v>DISPONIBLE</v>
      </c>
      <c r="L107" s="33">
        <f t="shared" si="7"/>
        <v>106</v>
      </c>
      <c r="M107" s="33" t="s">
        <v>515</v>
      </c>
      <c r="N107" s="53"/>
      <c r="O107" s="34"/>
    </row>
    <row r="108">
      <c r="A108" s="92">
        <v>3.0</v>
      </c>
      <c r="B108" s="94" t="s">
        <v>246</v>
      </c>
      <c r="C108" s="94" t="s">
        <v>44</v>
      </c>
      <c r="D108" s="95" t="str">
        <f t="shared" si="1"/>
        <v>3-PRD-F2-3</v>
      </c>
      <c r="E108" s="83"/>
      <c r="F108" s="150"/>
      <c r="G108" s="85"/>
      <c r="H108" s="49"/>
      <c r="I108" s="86"/>
      <c r="J108" s="87"/>
      <c r="K108" s="27" t="str">
        <f t="shared" si="9"/>
        <v>DISPONIBLE</v>
      </c>
      <c r="L108" s="28">
        <f t="shared" si="7"/>
        <v>107</v>
      </c>
      <c r="M108" s="28" t="s">
        <v>515</v>
      </c>
      <c r="N108" s="70"/>
      <c r="O108" s="29"/>
    </row>
    <row r="109">
      <c r="A109" s="92">
        <v>3.0</v>
      </c>
      <c r="B109" s="94" t="s">
        <v>246</v>
      </c>
      <c r="C109" s="94" t="s">
        <v>53</v>
      </c>
      <c r="D109" s="95" t="str">
        <f t="shared" si="1"/>
        <v>3-PRD-F2-4</v>
      </c>
      <c r="E109" s="83"/>
      <c r="F109" s="150"/>
      <c r="G109" s="85"/>
      <c r="H109" s="49"/>
      <c r="I109" s="86"/>
      <c r="J109" s="87"/>
      <c r="K109" s="32" t="str">
        <f t="shared" si="9"/>
        <v>DISPONIBLE</v>
      </c>
      <c r="L109" s="33">
        <f t="shared" si="7"/>
        <v>108</v>
      </c>
      <c r="M109" s="33" t="s">
        <v>515</v>
      </c>
      <c r="N109" s="53"/>
      <c r="O109" s="34"/>
    </row>
    <row r="110">
      <c r="A110" s="92">
        <v>3.0</v>
      </c>
      <c r="B110" s="94" t="s">
        <v>246</v>
      </c>
      <c r="C110" s="94" t="s">
        <v>25</v>
      </c>
      <c r="D110" s="95" t="str">
        <f t="shared" si="1"/>
        <v>3-PRD-F2-5</v>
      </c>
      <c r="E110" s="83"/>
      <c r="F110" s="150"/>
      <c r="G110" s="85"/>
      <c r="H110" s="49"/>
      <c r="I110" s="86"/>
      <c r="J110" s="87"/>
      <c r="K110" s="27" t="str">
        <f t="shared" si="9"/>
        <v>DISPONIBLE</v>
      </c>
      <c r="L110" s="28">
        <f t="shared" si="7"/>
        <v>109</v>
      </c>
      <c r="M110" s="28" t="s">
        <v>515</v>
      </c>
      <c r="N110" s="70"/>
      <c r="O110" s="29"/>
    </row>
    <row r="111">
      <c r="A111" s="92">
        <v>3.0</v>
      </c>
      <c r="B111" s="94" t="s">
        <v>394</v>
      </c>
      <c r="C111" s="94" t="s">
        <v>18</v>
      </c>
      <c r="D111" s="95" t="str">
        <f t="shared" si="1"/>
        <v>3-PRD-F3-1</v>
      </c>
      <c r="E111" s="83"/>
      <c r="F111" s="150"/>
      <c r="G111" s="85"/>
      <c r="H111" s="49"/>
      <c r="I111" s="86"/>
      <c r="J111" s="87"/>
      <c r="K111" s="32" t="str">
        <f t="shared" si="9"/>
        <v>DISPONIBLE</v>
      </c>
      <c r="L111" s="33">
        <f t="shared" si="7"/>
        <v>110</v>
      </c>
      <c r="M111" s="33" t="s">
        <v>515</v>
      </c>
      <c r="N111" s="53"/>
      <c r="O111" s="34"/>
    </row>
    <row r="112">
      <c r="A112" s="92">
        <v>3.0</v>
      </c>
      <c r="B112" s="94" t="s">
        <v>394</v>
      </c>
      <c r="C112" s="94" t="s">
        <v>32</v>
      </c>
      <c r="D112" s="95" t="str">
        <f t="shared" si="1"/>
        <v>3-PRD-F3-2</v>
      </c>
      <c r="E112" s="83"/>
      <c r="F112" s="150"/>
      <c r="G112" s="85"/>
      <c r="H112" s="49"/>
      <c r="I112" s="86"/>
      <c r="J112" s="87"/>
      <c r="K112" s="27" t="str">
        <f t="shared" si="9"/>
        <v>DISPONIBLE</v>
      </c>
      <c r="L112" s="28">
        <f t="shared" si="7"/>
        <v>111</v>
      </c>
      <c r="M112" s="28" t="s">
        <v>515</v>
      </c>
      <c r="N112" s="70"/>
      <c r="O112" s="29"/>
    </row>
    <row r="113">
      <c r="A113" s="92">
        <v>3.0</v>
      </c>
      <c r="B113" s="94" t="s">
        <v>394</v>
      </c>
      <c r="C113" s="94" t="s">
        <v>44</v>
      </c>
      <c r="D113" s="95" t="str">
        <f t="shared" si="1"/>
        <v>3-PRD-F3-3</v>
      </c>
      <c r="E113" s="83"/>
      <c r="F113" s="150"/>
      <c r="G113" s="85"/>
      <c r="H113" s="49"/>
      <c r="I113" s="86"/>
      <c r="J113" s="87"/>
      <c r="K113" s="32" t="str">
        <f t="shared" si="9"/>
        <v>DISPONIBLE</v>
      </c>
      <c r="L113" s="33">
        <f t="shared" si="7"/>
        <v>112</v>
      </c>
      <c r="M113" s="33" t="s">
        <v>515</v>
      </c>
      <c r="N113" s="53"/>
      <c r="O113" s="34"/>
    </row>
    <row r="114">
      <c r="A114" s="92">
        <v>3.0</v>
      </c>
      <c r="B114" s="94" t="s">
        <v>394</v>
      </c>
      <c r="C114" s="94" t="s">
        <v>53</v>
      </c>
      <c r="D114" s="95" t="str">
        <f t="shared" si="1"/>
        <v>3-PRD-F3-4</v>
      </c>
      <c r="E114" s="83"/>
      <c r="F114" s="150"/>
      <c r="G114" s="85"/>
      <c r="H114" s="49"/>
      <c r="I114" s="86"/>
      <c r="J114" s="87"/>
      <c r="K114" s="27" t="str">
        <f t="shared" si="9"/>
        <v>DISPONIBLE</v>
      </c>
      <c r="L114" s="28">
        <f t="shared" si="7"/>
        <v>113</v>
      </c>
      <c r="M114" s="28" t="s">
        <v>515</v>
      </c>
      <c r="N114" s="70"/>
      <c r="O114" s="29"/>
    </row>
    <row r="115">
      <c r="A115" s="92">
        <v>3.0</v>
      </c>
      <c r="B115" s="94" t="s">
        <v>394</v>
      </c>
      <c r="C115" s="94" t="s">
        <v>25</v>
      </c>
      <c r="D115" s="95" t="str">
        <f t="shared" si="1"/>
        <v>3-PRD-F3-5</v>
      </c>
      <c r="E115" s="83"/>
      <c r="F115" s="150"/>
      <c r="G115" s="85"/>
      <c r="H115" s="49"/>
      <c r="I115" s="86"/>
      <c r="J115" s="87"/>
      <c r="K115" s="32" t="str">
        <f t="shared" si="9"/>
        <v>DISPONIBLE</v>
      </c>
      <c r="L115" s="33">
        <f t="shared" si="7"/>
        <v>114</v>
      </c>
      <c r="M115" s="33" t="s">
        <v>515</v>
      </c>
      <c r="N115" s="53"/>
      <c r="O115" s="34"/>
    </row>
    <row r="116">
      <c r="A116" s="92">
        <v>3.0</v>
      </c>
      <c r="B116" s="94" t="s">
        <v>415</v>
      </c>
      <c r="C116" s="94" t="s">
        <v>18</v>
      </c>
      <c r="D116" s="95" t="str">
        <f t="shared" si="1"/>
        <v>3-PRD-F4-1</v>
      </c>
      <c r="E116" s="96">
        <v>45749.0</v>
      </c>
      <c r="F116" s="97" t="s">
        <v>19</v>
      </c>
      <c r="G116" s="98" t="s">
        <v>762</v>
      </c>
      <c r="H116" s="99" t="s">
        <v>763</v>
      </c>
      <c r="I116" s="100">
        <v>19.0</v>
      </c>
      <c r="J116" s="101" t="s">
        <v>35</v>
      </c>
      <c r="K116" s="27" t="str">
        <f t="shared" ref="K116:K117" si="10">IF(ISBLANK(#REF!),"DISPONIBLE","OCUPADO")</f>
        <v>OCUPADO</v>
      </c>
      <c r="L116" s="28">
        <f t="shared" si="7"/>
        <v>115</v>
      </c>
      <c r="M116" s="28" t="s">
        <v>515</v>
      </c>
      <c r="N116" s="70"/>
      <c r="O116" s="29" t="s">
        <v>24</v>
      </c>
    </row>
    <row r="117">
      <c r="A117" s="92">
        <v>3.0</v>
      </c>
      <c r="B117" s="94" t="s">
        <v>415</v>
      </c>
      <c r="C117" s="94" t="s">
        <v>32</v>
      </c>
      <c r="D117" s="95" t="str">
        <f t="shared" si="1"/>
        <v>3-PRD-F4-2</v>
      </c>
      <c r="E117" s="96">
        <v>45749.0</v>
      </c>
      <c r="F117" s="97" t="s">
        <v>19</v>
      </c>
      <c r="G117" s="98" t="s">
        <v>183</v>
      </c>
      <c r="H117" s="99" t="s">
        <v>184</v>
      </c>
      <c r="I117" s="100">
        <v>3.0</v>
      </c>
      <c r="J117" s="101" t="s">
        <v>35</v>
      </c>
      <c r="K117" s="32" t="str">
        <f t="shared" si="10"/>
        <v>OCUPADO</v>
      </c>
      <c r="L117" s="33">
        <f t="shared" si="7"/>
        <v>116</v>
      </c>
      <c r="M117" s="33" t="s">
        <v>515</v>
      </c>
      <c r="N117" s="53"/>
      <c r="O117" s="34" t="s">
        <v>24</v>
      </c>
    </row>
    <row r="118">
      <c r="A118" s="92">
        <v>3.0</v>
      </c>
      <c r="B118" s="94" t="s">
        <v>415</v>
      </c>
      <c r="C118" s="94" t="s">
        <v>44</v>
      </c>
      <c r="D118" s="95" t="str">
        <f t="shared" si="1"/>
        <v>3-PRD-F4-3</v>
      </c>
      <c r="E118" s="83"/>
      <c r="F118" s="150"/>
      <c r="G118" s="85"/>
      <c r="H118" s="49"/>
      <c r="I118" s="86"/>
      <c r="J118" s="87"/>
      <c r="K118" s="27" t="str">
        <f t="shared" ref="K118:K225" si="11">IF(ISBLANK(E118),"DISPONIBLE","OCUPADO")</f>
        <v>DISPONIBLE</v>
      </c>
      <c r="L118" s="28">
        <f t="shared" si="7"/>
        <v>117</v>
      </c>
      <c r="M118" s="28" t="s">
        <v>515</v>
      </c>
      <c r="N118" s="70"/>
      <c r="O118" s="29"/>
    </row>
    <row r="119">
      <c r="A119" s="92">
        <v>3.0</v>
      </c>
      <c r="B119" s="94" t="s">
        <v>415</v>
      </c>
      <c r="C119" s="94" t="s">
        <v>53</v>
      </c>
      <c r="D119" s="95" t="str">
        <f t="shared" si="1"/>
        <v>3-PRD-F4-4</v>
      </c>
      <c r="E119" s="83"/>
      <c r="F119" s="150"/>
      <c r="G119" s="85"/>
      <c r="H119" s="49"/>
      <c r="I119" s="86"/>
      <c r="J119" s="87"/>
      <c r="K119" s="32" t="str">
        <f t="shared" si="11"/>
        <v>DISPONIBLE</v>
      </c>
      <c r="L119" s="33">
        <f t="shared" si="7"/>
        <v>118</v>
      </c>
      <c r="M119" s="33" t="s">
        <v>515</v>
      </c>
      <c r="N119" s="53"/>
      <c r="O119" s="34"/>
    </row>
    <row r="120">
      <c r="A120" s="151">
        <v>3.0</v>
      </c>
      <c r="B120" s="152" t="s">
        <v>415</v>
      </c>
      <c r="C120" s="152" t="s">
        <v>25</v>
      </c>
      <c r="D120" s="153" t="str">
        <f t="shared" si="1"/>
        <v>3-PRD-F4-5</v>
      </c>
      <c r="E120" s="57"/>
      <c r="F120" s="58"/>
      <c r="G120" s="59"/>
      <c r="H120" s="60"/>
      <c r="I120" s="61"/>
      <c r="J120" s="62"/>
      <c r="K120" s="63" t="str">
        <f t="shared" si="11"/>
        <v>DISPONIBLE</v>
      </c>
      <c r="L120" s="64">
        <f t="shared" si="7"/>
        <v>119</v>
      </c>
      <c r="M120" s="64" t="s">
        <v>515</v>
      </c>
      <c r="N120" s="65"/>
      <c r="O120" s="66"/>
    </row>
    <row r="121">
      <c r="A121" s="158">
        <v>4.0</v>
      </c>
      <c r="B121" s="159" t="s">
        <v>18</v>
      </c>
      <c r="C121" s="160" t="s">
        <v>269</v>
      </c>
      <c r="D121" s="161" t="str">
        <f t="shared" si="1"/>
        <v>4-1-A</v>
      </c>
      <c r="E121" s="162">
        <v>45708.0</v>
      </c>
      <c r="F121" s="163" t="s">
        <v>702</v>
      </c>
      <c r="G121" s="164" t="s">
        <v>330</v>
      </c>
      <c r="H121" s="165" t="s">
        <v>331</v>
      </c>
      <c r="I121" s="166">
        <v>38.0</v>
      </c>
      <c r="J121" s="167" t="s">
        <v>43</v>
      </c>
      <c r="K121" s="32" t="str">
        <f t="shared" si="11"/>
        <v>OCUPADO</v>
      </c>
      <c r="L121" s="33">
        <f t="shared" si="7"/>
        <v>120</v>
      </c>
      <c r="M121" s="33" t="s">
        <v>23</v>
      </c>
      <c r="N121" s="122"/>
      <c r="O121" s="169" t="s">
        <v>270</v>
      </c>
    </row>
    <row r="122">
      <c r="A122" s="158">
        <v>4.0</v>
      </c>
      <c r="B122" s="159" t="s">
        <v>18</v>
      </c>
      <c r="C122" s="160" t="s">
        <v>277</v>
      </c>
      <c r="D122" s="161" t="str">
        <f t="shared" si="1"/>
        <v>4-1-B</v>
      </c>
      <c r="E122" s="162">
        <v>45700.0</v>
      </c>
      <c r="F122" s="163" t="s">
        <v>567</v>
      </c>
      <c r="G122" s="164" t="s">
        <v>291</v>
      </c>
      <c r="H122" s="165" t="s">
        <v>292</v>
      </c>
      <c r="I122" s="166">
        <v>140.0</v>
      </c>
      <c r="J122" s="167" t="s">
        <v>43</v>
      </c>
      <c r="K122" s="27" t="str">
        <f t="shared" si="11"/>
        <v>OCUPADO</v>
      </c>
      <c r="L122" s="28">
        <f t="shared" si="7"/>
        <v>121</v>
      </c>
      <c r="M122" s="28" t="s">
        <v>23</v>
      </c>
      <c r="N122" s="109"/>
      <c r="O122" s="168" t="s">
        <v>270</v>
      </c>
    </row>
    <row r="123">
      <c r="A123" s="158">
        <v>4.0</v>
      </c>
      <c r="B123" s="159" t="s">
        <v>18</v>
      </c>
      <c r="C123" s="160" t="s">
        <v>282</v>
      </c>
      <c r="D123" s="161" t="str">
        <f t="shared" si="1"/>
        <v>4-1-C</v>
      </c>
      <c r="E123" s="162">
        <v>45758.0</v>
      </c>
      <c r="F123" s="163" t="s">
        <v>567</v>
      </c>
      <c r="G123" s="164" t="s">
        <v>291</v>
      </c>
      <c r="H123" s="165" t="s">
        <v>292</v>
      </c>
      <c r="I123" s="166">
        <v>140.0</v>
      </c>
      <c r="J123" s="167" t="s">
        <v>43</v>
      </c>
      <c r="K123" s="32" t="str">
        <f t="shared" si="11"/>
        <v>OCUPADO</v>
      </c>
      <c r="L123" s="33">
        <f t="shared" si="7"/>
        <v>122</v>
      </c>
      <c r="M123" s="33" t="s">
        <v>23</v>
      </c>
      <c r="N123" s="122"/>
      <c r="O123" s="169" t="s">
        <v>270</v>
      </c>
    </row>
    <row r="124">
      <c r="A124" s="158">
        <v>4.0</v>
      </c>
      <c r="B124" s="159" t="s">
        <v>18</v>
      </c>
      <c r="C124" s="160" t="s">
        <v>285</v>
      </c>
      <c r="D124" s="161" t="str">
        <f t="shared" si="1"/>
        <v>4-1-D</v>
      </c>
      <c r="E124" s="162">
        <v>45758.0</v>
      </c>
      <c r="F124" s="163" t="s">
        <v>567</v>
      </c>
      <c r="G124" s="164" t="s">
        <v>291</v>
      </c>
      <c r="H124" s="165" t="s">
        <v>292</v>
      </c>
      <c r="I124" s="166">
        <v>120.0</v>
      </c>
      <c r="J124" s="167" t="s">
        <v>43</v>
      </c>
      <c r="K124" s="27" t="str">
        <f t="shared" si="11"/>
        <v>OCUPADO</v>
      </c>
      <c r="L124" s="28">
        <f t="shared" si="7"/>
        <v>123</v>
      </c>
      <c r="M124" s="28" t="s">
        <v>23</v>
      </c>
      <c r="N124" s="109"/>
      <c r="O124" s="168" t="s">
        <v>270</v>
      </c>
    </row>
    <row r="125">
      <c r="A125" s="158">
        <v>4.0</v>
      </c>
      <c r="B125" s="159" t="s">
        <v>18</v>
      </c>
      <c r="C125" s="160" t="s">
        <v>289</v>
      </c>
      <c r="D125" s="161" t="str">
        <f t="shared" si="1"/>
        <v>4-1-E</v>
      </c>
      <c r="E125" s="103"/>
      <c r="F125" s="104"/>
      <c r="G125" s="105"/>
      <c r="H125" s="106"/>
      <c r="I125" s="107"/>
      <c r="J125" s="108"/>
      <c r="K125" s="32" t="str">
        <f t="shared" si="11"/>
        <v>DISPONIBLE</v>
      </c>
      <c r="L125" s="33">
        <f t="shared" si="7"/>
        <v>124</v>
      </c>
      <c r="M125" s="33" t="s">
        <v>23</v>
      </c>
      <c r="N125" s="122"/>
      <c r="O125" s="169"/>
    </row>
    <row r="126">
      <c r="A126" s="158">
        <v>4.0</v>
      </c>
      <c r="B126" s="159" t="s">
        <v>32</v>
      </c>
      <c r="C126" s="160" t="s">
        <v>269</v>
      </c>
      <c r="D126" s="161" t="str">
        <f t="shared" si="1"/>
        <v>4-2-A</v>
      </c>
      <c r="E126" s="162">
        <v>45721.0</v>
      </c>
      <c r="F126" s="163" t="s">
        <v>567</v>
      </c>
      <c r="G126" s="164" t="s">
        <v>291</v>
      </c>
      <c r="H126" s="165" t="s">
        <v>292</v>
      </c>
      <c r="I126" s="166">
        <v>120.0</v>
      </c>
      <c r="J126" s="167" t="s">
        <v>43</v>
      </c>
      <c r="K126" s="27" t="str">
        <f t="shared" si="11"/>
        <v>OCUPADO</v>
      </c>
      <c r="L126" s="28">
        <f t="shared" si="7"/>
        <v>125</v>
      </c>
      <c r="M126" s="28" t="s">
        <v>23</v>
      </c>
      <c r="N126" s="109"/>
      <c r="O126" s="168" t="s">
        <v>270</v>
      </c>
    </row>
    <row r="127">
      <c r="A127" s="158">
        <v>4.0</v>
      </c>
      <c r="B127" s="159" t="s">
        <v>32</v>
      </c>
      <c r="C127" s="160" t="s">
        <v>277</v>
      </c>
      <c r="D127" s="161" t="str">
        <f t="shared" si="1"/>
        <v>4-2-B</v>
      </c>
      <c r="E127" s="162">
        <v>45721.0</v>
      </c>
      <c r="F127" s="163" t="s">
        <v>567</v>
      </c>
      <c r="G127" s="164" t="s">
        <v>291</v>
      </c>
      <c r="H127" s="165" t="s">
        <v>292</v>
      </c>
      <c r="I127" s="166">
        <v>120.0</v>
      </c>
      <c r="J127" s="167" t="s">
        <v>43</v>
      </c>
      <c r="K127" s="32" t="str">
        <f t="shared" si="11"/>
        <v>OCUPADO</v>
      </c>
      <c r="L127" s="33">
        <f t="shared" si="7"/>
        <v>126</v>
      </c>
      <c r="M127" s="33" t="s">
        <v>23</v>
      </c>
      <c r="N127" s="122"/>
      <c r="O127" s="169" t="s">
        <v>270</v>
      </c>
    </row>
    <row r="128">
      <c r="A128" s="158">
        <v>4.0</v>
      </c>
      <c r="B128" s="159" t="s">
        <v>32</v>
      </c>
      <c r="C128" s="160" t="s">
        <v>282</v>
      </c>
      <c r="D128" s="161" t="str">
        <f t="shared" si="1"/>
        <v>4-2-C</v>
      </c>
      <c r="E128" s="162">
        <v>45721.0</v>
      </c>
      <c r="F128" s="163" t="s">
        <v>567</v>
      </c>
      <c r="G128" s="164" t="s">
        <v>291</v>
      </c>
      <c r="H128" s="165" t="s">
        <v>292</v>
      </c>
      <c r="I128" s="166">
        <v>120.0</v>
      </c>
      <c r="J128" s="167" t="s">
        <v>43</v>
      </c>
      <c r="K128" s="27" t="str">
        <f t="shared" si="11"/>
        <v>OCUPADO</v>
      </c>
      <c r="L128" s="28">
        <f t="shared" si="7"/>
        <v>127</v>
      </c>
      <c r="M128" s="28" t="s">
        <v>23</v>
      </c>
      <c r="N128" s="109"/>
      <c r="O128" s="168" t="s">
        <v>270</v>
      </c>
    </row>
    <row r="129">
      <c r="A129" s="158">
        <v>4.0</v>
      </c>
      <c r="B129" s="159" t="s">
        <v>32</v>
      </c>
      <c r="C129" s="160" t="s">
        <v>285</v>
      </c>
      <c r="D129" s="161" t="str">
        <f t="shared" si="1"/>
        <v>4-2-D</v>
      </c>
      <c r="E129" s="162">
        <v>45751.0</v>
      </c>
      <c r="F129" s="163" t="s">
        <v>19</v>
      </c>
      <c r="G129" s="164" t="s">
        <v>41</v>
      </c>
      <c r="H129" s="165" t="s">
        <v>42</v>
      </c>
      <c r="I129" s="166">
        <v>9.0</v>
      </c>
      <c r="J129" s="167" t="s">
        <v>43</v>
      </c>
      <c r="K129" s="32" t="str">
        <f t="shared" si="11"/>
        <v>OCUPADO</v>
      </c>
      <c r="L129" s="33">
        <f t="shared" si="7"/>
        <v>128</v>
      </c>
      <c r="M129" s="33" t="s">
        <v>23</v>
      </c>
      <c r="N129" s="122"/>
      <c r="O129" s="169" t="s">
        <v>270</v>
      </c>
    </row>
    <row r="130">
      <c r="A130" s="158">
        <v>4.0</v>
      </c>
      <c r="B130" s="159" t="s">
        <v>44</v>
      </c>
      <c r="C130" s="160" t="s">
        <v>269</v>
      </c>
      <c r="D130" s="161" t="str">
        <f t="shared" si="1"/>
        <v>4-3-A</v>
      </c>
      <c r="E130" s="103"/>
      <c r="F130" s="104"/>
      <c r="G130" s="105"/>
      <c r="H130" s="106"/>
      <c r="I130" s="107"/>
      <c r="J130" s="108"/>
      <c r="K130" s="27" t="str">
        <f t="shared" si="11"/>
        <v>DISPONIBLE</v>
      </c>
      <c r="L130" s="28">
        <f t="shared" si="7"/>
        <v>129</v>
      </c>
      <c r="M130" s="28" t="s">
        <v>23</v>
      </c>
      <c r="N130" s="109"/>
      <c r="O130" s="168"/>
    </row>
    <row r="131">
      <c r="A131" s="158">
        <v>4.0</v>
      </c>
      <c r="B131" s="159" t="s">
        <v>44</v>
      </c>
      <c r="C131" s="160" t="s">
        <v>277</v>
      </c>
      <c r="D131" s="161" t="str">
        <f t="shared" si="1"/>
        <v>4-3-B</v>
      </c>
      <c r="E131" s="103"/>
      <c r="F131" s="104"/>
      <c r="G131" s="105"/>
      <c r="H131" s="106"/>
      <c r="I131" s="107"/>
      <c r="J131" s="108"/>
      <c r="K131" s="32" t="str">
        <f t="shared" si="11"/>
        <v>DISPONIBLE</v>
      </c>
      <c r="L131" s="33">
        <f t="shared" si="7"/>
        <v>130</v>
      </c>
      <c r="M131" s="33" t="s">
        <v>23</v>
      </c>
      <c r="N131" s="122"/>
      <c r="O131" s="169"/>
    </row>
    <row r="132">
      <c r="A132" s="158">
        <v>4.0</v>
      </c>
      <c r="B132" s="159" t="s">
        <v>44</v>
      </c>
      <c r="C132" s="160" t="s">
        <v>282</v>
      </c>
      <c r="D132" s="161" t="str">
        <f t="shared" si="1"/>
        <v>4-3-C</v>
      </c>
      <c r="E132" s="162">
        <v>45721.0</v>
      </c>
      <c r="F132" s="163" t="s">
        <v>770</v>
      </c>
      <c r="G132" s="164" t="s">
        <v>196</v>
      </c>
      <c r="H132" s="165" t="s">
        <v>197</v>
      </c>
      <c r="I132" s="166">
        <v>11.0</v>
      </c>
      <c r="J132" s="167" t="s">
        <v>43</v>
      </c>
      <c r="K132" s="27" t="str">
        <f t="shared" si="11"/>
        <v>OCUPADO</v>
      </c>
      <c r="L132" s="28">
        <f t="shared" si="7"/>
        <v>131</v>
      </c>
      <c r="M132" s="28" t="s">
        <v>23</v>
      </c>
      <c r="N132" s="109"/>
      <c r="O132" s="168" t="s">
        <v>270</v>
      </c>
    </row>
    <row r="133">
      <c r="A133" s="158">
        <v>4.0</v>
      </c>
      <c r="B133" s="159" t="s">
        <v>44</v>
      </c>
      <c r="C133" s="160" t="s">
        <v>285</v>
      </c>
      <c r="D133" s="161" t="str">
        <f t="shared" si="1"/>
        <v>4-3-D</v>
      </c>
      <c r="E133" s="162">
        <v>45721.0</v>
      </c>
      <c r="F133" s="163" t="s">
        <v>770</v>
      </c>
      <c r="G133" s="164" t="s">
        <v>196</v>
      </c>
      <c r="H133" s="165" t="s">
        <v>197</v>
      </c>
      <c r="I133" s="166">
        <v>7.0</v>
      </c>
      <c r="J133" s="167" t="s">
        <v>43</v>
      </c>
      <c r="K133" s="32" t="str">
        <f t="shared" si="11"/>
        <v>OCUPADO</v>
      </c>
      <c r="L133" s="33">
        <f t="shared" si="7"/>
        <v>132</v>
      </c>
      <c r="M133" s="33" t="s">
        <v>23</v>
      </c>
      <c r="N133" s="122"/>
      <c r="O133" s="169" t="s">
        <v>270</v>
      </c>
    </row>
    <row r="134">
      <c r="A134" s="158">
        <v>4.0</v>
      </c>
      <c r="B134" s="159" t="s">
        <v>53</v>
      </c>
      <c r="C134" s="160" t="s">
        <v>269</v>
      </c>
      <c r="D134" s="161" t="str">
        <f t="shared" si="1"/>
        <v>4-4-A</v>
      </c>
      <c r="E134" s="103"/>
      <c r="F134" s="104"/>
      <c r="G134" s="105"/>
      <c r="H134" s="106"/>
      <c r="I134" s="107"/>
      <c r="J134" s="108"/>
      <c r="K134" s="27" t="str">
        <f t="shared" si="11"/>
        <v>DISPONIBLE</v>
      </c>
      <c r="L134" s="28">
        <f t="shared" si="7"/>
        <v>133</v>
      </c>
      <c r="M134" s="28" t="s">
        <v>23</v>
      </c>
      <c r="N134" s="109"/>
      <c r="O134" s="168"/>
    </row>
    <row r="135">
      <c r="A135" s="158">
        <v>4.0</v>
      </c>
      <c r="B135" s="159" t="s">
        <v>53</v>
      </c>
      <c r="C135" s="160" t="s">
        <v>277</v>
      </c>
      <c r="D135" s="161" t="str">
        <f t="shared" si="1"/>
        <v>4-4-B</v>
      </c>
      <c r="E135" s="103"/>
      <c r="F135" s="104"/>
      <c r="G135" s="105"/>
      <c r="H135" s="106"/>
      <c r="I135" s="107"/>
      <c r="J135" s="108"/>
      <c r="K135" s="32" t="str">
        <f t="shared" si="11"/>
        <v>DISPONIBLE</v>
      </c>
      <c r="L135" s="33">
        <f t="shared" si="7"/>
        <v>134</v>
      </c>
      <c r="M135" s="33" t="s">
        <v>23</v>
      </c>
      <c r="N135" s="122"/>
      <c r="O135" s="169"/>
    </row>
    <row r="136">
      <c r="A136" s="158">
        <v>4.0</v>
      </c>
      <c r="B136" s="159" t="s">
        <v>53</v>
      </c>
      <c r="C136" s="160" t="s">
        <v>282</v>
      </c>
      <c r="D136" s="161" t="str">
        <f t="shared" si="1"/>
        <v>4-4-C</v>
      </c>
      <c r="E136" s="103"/>
      <c r="F136" s="104"/>
      <c r="G136" s="105"/>
      <c r="H136" s="106"/>
      <c r="I136" s="107"/>
      <c r="J136" s="108"/>
      <c r="K136" s="27" t="str">
        <f t="shared" si="11"/>
        <v>DISPONIBLE</v>
      </c>
      <c r="L136" s="28">
        <f t="shared" si="7"/>
        <v>135</v>
      </c>
      <c r="M136" s="28" t="s">
        <v>23</v>
      </c>
      <c r="N136" s="109"/>
      <c r="O136" s="168"/>
    </row>
    <row r="137">
      <c r="A137" s="158">
        <v>4.0</v>
      </c>
      <c r="B137" s="159" t="s">
        <v>53</v>
      </c>
      <c r="C137" s="160" t="s">
        <v>285</v>
      </c>
      <c r="D137" s="161" t="str">
        <f t="shared" si="1"/>
        <v>4-4-D</v>
      </c>
      <c r="E137" s="103"/>
      <c r="F137" s="104"/>
      <c r="G137" s="105"/>
      <c r="H137" s="106"/>
      <c r="I137" s="107"/>
      <c r="J137" s="108"/>
      <c r="K137" s="32" t="str">
        <f t="shared" si="11"/>
        <v>DISPONIBLE</v>
      </c>
      <c r="L137" s="33">
        <f t="shared" si="7"/>
        <v>136</v>
      </c>
      <c r="M137" s="33" t="s">
        <v>23</v>
      </c>
      <c r="N137" s="122"/>
      <c r="O137" s="169"/>
    </row>
    <row r="138">
      <c r="A138" s="158">
        <v>4.0</v>
      </c>
      <c r="B138" s="159" t="s">
        <v>25</v>
      </c>
      <c r="C138" s="160" t="s">
        <v>269</v>
      </c>
      <c r="D138" s="161" t="str">
        <f t="shared" si="1"/>
        <v>4-5-A</v>
      </c>
      <c r="E138" s="103"/>
      <c r="F138" s="104"/>
      <c r="G138" s="105"/>
      <c r="H138" s="106"/>
      <c r="I138" s="107"/>
      <c r="J138" s="108"/>
      <c r="K138" s="27" t="str">
        <f t="shared" si="11"/>
        <v>DISPONIBLE</v>
      </c>
      <c r="L138" s="28">
        <f t="shared" si="7"/>
        <v>137</v>
      </c>
      <c r="M138" s="28" t="s">
        <v>23</v>
      </c>
      <c r="N138" s="109"/>
      <c r="O138" s="168"/>
    </row>
    <row r="139">
      <c r="A139" s="158">
        <v>4.0</v>
      </c>
      <c r="B139" s="159" t="s">
        <v>25</v>
      </c>
      <c r="C139" s="160" t="s">
        <v>277</v>
      </c>
      <c r="D139" s="161" t="str">
        <f t="shared" si="1"/>
        <v>4-5-B</v>
      </c>
      <c r="E139" s="103"/>
      <c r="F139" s="104"/>
      <c r="G139" s="105"/>
      <c r="H139" s="106"/>
      <c r="I139" s="107"/>
      <c r="J139" s="108"/>
      <c r="K139" s="32" t="str">
        <f t="shared" si="11"/>
        <v>DISPONIBLE</v>
      </c>
      <c r="L139" s="33">
        <f t="shared" si="7"/>
        <v>138</v>
      </c>
      <c r="M139" s="33" t="s">
        <v>23</v>
      </c>
      <c r="N139" s="122"/>
      <c r="O139" s="169"/>
    </row>
    <row r="140">
      <c r="A140" s="158">
        <v>4.0</v>
      </c>
      <c r="B140" s="159" t="s">
        <v>25</v>
      </c>
      <c r="C140" s="160" t="s">
        <v>282</v>
      </c>
      <c r="D140" s="161" t="str">
        <f t="shared" si="1"/>
        <v>4-5-C</v>
      </c>
      <c r="E140" s="103"/>
      <c r="F140" s="104"/>
      <c r="G140" s="105"/>
      <c r="H140" s="106"/>
      <c r="I140" s="107"/>
      <c r="J140" s="108"/>
      <c r="K140" s="27" t="str">
        <f t="shared" si="11"/>
        <v>DISPONIBLE</v>
      </c>
      <c r="L140" s="28">
        <f t="shared" si="7"/>
        <v>139</v>
      </c>
      <c r="M140" s="28" t="s">
        <v>23</v>
      </c>
      <c r="N140" s="109"/>
      <c r="O140" s="168"/>
    </row>
    <row r="141">
      <c r="A141" s="158">
        <v>4.0</v>
      </c>
      <c r="B141" s="159" t="s">
        <v>25</v>
      </c>
      <c r="C141" s="160" t="s">
        <v>285</v>
      </c>
      <c r="D141" s="161" t="str">
        <f t="shared" si="1"/>
        <v>4-5-D</v>
      </c>
      <c r="E141" s="103"/>
      <c r="F141" s="104"/>
      <c r="G141" s="105"/>
      <c r="H141" s="106"/>
      <c r="I141" s="107"/>
      <c r="J141" s="108"/>
      <c r="K141" s="32" t="str">
        <f t="shared" si="11"/>
        <v>DISPONIBLE</v>
      </c>
      <c r="L141" s="33">
        <f t="shared" si="7"/>
        <v>140</v>
      </c>
      <c r="M141" s="33" t="s">
        <v>23</v>
      </c>
      <c r="N141" s="122"/>
      <c r="O141" s="169"/>
    </row>
    <row r="142">
      <c r="A142" s="158">
        <v>4.0</v>
      </c>
      <c r="B142" s="159" t="s">
        <v>36</v>
      </c>
      <c r="C142" s="160" t="s">
        <v>269</v>
      </c>
      <c r="D142" s="161" t="str">
        <f t="shared" si="1"/>
        <v>4-6-A</v>
      </c>
      <c r="E142" s="162">
        <v>45754.0</v>
      </c>
      <c r="F142" s="163" t="s">
        <v>675</v>
      </c>
      <c r="G142" s="164" t="s">
        <v>314</v>
      </c>
      <c r="H142" s="165" t="s">
        <v>315</v>
      </c>
      <c r="I142" s="166">
        <v>300.0</v>
      </c>
      <c r="J142" s="167" t="s">
        <v>43</v>
      </c>
      <c r="K142" s="27" t="str">
        <f t="shared" si="11"/>
        <v>OCUPADO</v>
      </c>
      <c r="L142" s="28">
        <f t="shared" si="7"/>
        <v>141</v>
      </c>
      <c r="M142" s="28" t="s">
        <v>23</v>
      </c>
      <c r="N142" s="109"/>
      <c r="O142" s="168" t="s">
        <v>270</v>
      </c>
    </row>
    <row r="143">
      <c r="A143" s="158">
        <v>4.0</v>
      </c>
      <c r="B143" s="159" t="s">
        <v>36</v>
      </c>
      <c r="C143" s="160" t="s">
        <v>277</v>
      </c>
      <c r="D143" s="161" t="str">
        <f t="shared" si="1"/>
        <v>4-6-B</v>
      </c>
      <c r="E143" s="162">
        <v>45754.0</v>
      </c>
      <c r="F143" s="163" t="s">
        <v>675</v>
      </c>
      <c r="G143" s="164" t="s">
        <v>314</v>
      </c>
      <c r="H143" s="165" t="s">
        <v>315</v>
      </c>
      <c r="I143" s="166">
        <v>276.0</v>
      </c>
      <c r="J143" s="167" t="s">
        <v>43</v>
      </c>
      <c r="K143" s="32" t="str">
        <f t="shared" si="11"/>
        <v>OCUPADO</v>
      </c>
      <c r="L143" s="33">
        <f t="shared" si="7"/>
        <v>142</v>
      </c>
      <c r="M143" s="33" t="s">
        <v>23</v>
      </c>
      <c r="N143" s="122"/>
      <c r="O143" s="169" t="s">
        <v>270</v>
      </c>
    </row>
    <row r="144">
      <c r="A144" s="158">
        <v>4.0</v>
      </c>
      <c r="B144" s="159" t="s">
        <v>36</v>
      </c>
      <c r="C144" s="160" t="s">
        <v>282</v>
      </c>
      <c r="D144" s="161" t="str">
        <f t="shared" si="1"/>
        <v>4-6-C</v>
      </c>
      <c r="E144" s="103"/>
      <c r="F144" s="104"/>
      <c r="G144" s="105"/>
      <c r="H144" s="106"/>
      <c r="I144" s="107"/>
      <c r="J144" s="108"/>
      <c r="K144" s="27" t="str">
        <f t="shared" si="11"/>
        <v>DISPONIBLE</v>
      </c>
      <c r="L144" s="28">
        <f t="shared" si="7"/>
        <v>143</v>
      </c>
      <c r="M144" s="28" t="s">
        <v>23</v>
      </c>
      <c r="N144" s="109"/>
      <c r="O144" s="168"/>
    </row>
    <row r="145">
      <c r="A145" s="158">
        <v>4.0</v>
      </c>
      <c r="B145" s="159" t="s">
        <v>36</v>
      </c>
      <c r="C145" s="160" t="s">
        <v>285</v>
      </c>
      <c r="D145" s="161" t="str">
        <f t="shared" si="1"/>
        <v>4-6-D</v>
      </c>
      <c r="E145" s="103"/>
      <c r="F145" s="104"/>
      <c r="G145" s="105"/>
      <c r="H145" s="106"/>
      <c r="I145" s="107"/>
      <c r="J145" s="108"/>
      <c r="K145" s="32" t="str">
        <f t="shared" si="11"/>
        <v>DISPONIBLE</v>
      </c>
      <c r="L145" s="33">
        <f t="shared" si="7"/>
        <v>144</v>
      </c>
      <c r="M145" s="33" t="s">
        <v>23</v>
      </c>
      <c r="N145" s="122"/>
      <c r="O145" s="169"/>
    </row>
    <row r="146">
      <c r="A146" s="158">
        <v>4.0</v>
      </c>
      <c r="B146" s="159" t="s">
        <v>48</v>
      </c>
      <c r="C146" s="160" t="s">
        <v>269</v>
      </c>
      <c r="D146" s="161" t="str">
        <f t="shared" si="1"/>
        <v>4-7-A</v>
      </c>
      <c r="E146" s="162">
        <v>45730.0</v>
      </c>
      <c r="F146" s="163" t="s">
        <v>771</v>
      </c>
      <c r="G146" s="164" t="s">
        <v>87</v>
      </c>
      <c r="H146" s="165" t="s">
        <v>88</v>
      </c>
      <c r="I146" s="166">
        <v>72.0</v>
      </c>
      <c r="J146" s="167" t="s">
        <v>43</v>
      </c>
      <c r="K146" s="27" t="str">
        <f t="shared" si="11"/>
        <v>OCUPADO</v>
      </c>
      <c r="L146" s="28">
        <f t="shared" si="7"/>
        <v>145</v>
      </c>
      <c r="M146" s="28" t="s">
        <v>23</v>
      </c>
      <c r="N146" s="109"/>
      <c r="O146" s="168" t="s">
        <v>270</v>
      </c>
    </row>
    <row r="147">
      <c r="A147" s="158">
        <v>4.0</v>
      </c>
      <c r="B147" s="159" t="s">
        <v>48</v>
      </c>
      <c r="C147" s="160" t="s">
        <v>277</v>
      </c>
      <c r="D147" s="161" t="str">
        <f t="shared" si="1"/>
        <v>4-7-B</v>
      </c>
      <c r="E147" s="162">
        <v>45730.0</v>
      </c>
      <c r="F147" s="163" t="s">
        <v>771</v>
      </c>
      <c r="G147" s="164" t="s">
        <v>87</v>
      </c>
      <c r="H147" s="165" t="s">
        <v>88</v>
      </c>
      <c r="I147" s="166">
        <v>72.0</v>
      </c>
      <c r="J147" s="167" t="s">
        <v>43</v>
      </c>
      <c r="K147" s="32" t="str">
        <f t="shared" si="11"/>
        <v>OCUPADO</v>
      </c>
      <c r="L147" s="33">
        <f t="shared" si="7"/>
        <v>146</v>
      </c>
      <c r="M147" s="33" t="s">
        <v>23</v>
      </c>
      <c r="N147" s="122"/>
      <c r="O147" s="169" t="s">
        <v>270</v>
      </c>
    </row>
    <row r="148">
      <c r="A148" s="158">
        <v>4.0</v>
      </c>
      <c r="B148" s="159" t="s">
        <v>48</v>
      </c>
      <c r="C148" s="160" t="s">
        <v>282</v>
      </c>
      <c r="D148" s="161" t="str">
        <f t="shared" si="1"/>
        <v>4-7-C</v>
      </c>
      <c r="E148" s="162">
        <v>45730.0</v>
      </c>
      <c r="F148" s="163" t="s">
        <v>771</v>
      </c>
      <c r="G148" s="164" t="s">
        <v>87</v>
      </c>
      <c r="H148" s="165" t="s">
        <v>88</v>
      </c>
      <c r="I148" s="166">
        <v>72.0</v>
      </c>
      <c r="J148" s="167" t="s">
        <v>43</v>
      </c>
      <c r="K148" s="27" t="str">
        <f t="shared" si="11"/>
        <v>OCUPADO</v>
      </c>
      <c r="L148" s="28">
        <f t="shared" si="7"/>
        <v>147</v>
      </c>
      <c r="M148" s="28" t="s">
        <v>23</v>
      </c>
      <c r="N148" s="109"/>
      <c r="O148" s="168" t="s">
        <v>270</v>
      </c>
    </row>
    <row r="149">
      <c r="A149" s="158">
        <v>4.0</v>
      </c>
      <c r="B149" s="159" t="s">
        <v>48</v>
      </c>
      <c r="C149" s="160" t="s">
        <v>285</v>
      </c>
      <c r="D149" s="161" t="str">
        <f t="shared" si="1"/>
        <v>4-7-D</v>
      </c>
      <c r="E149" s="162">
        <v>45730.0</v>
      </c>
      <c r="F149" s="163" t="s">
        <v>771</v>
      </c>
      <c r="G149" s="164" t="s">
        <v>87</v>
      </c>
      <c r="H149" s="165" t="s">
        <v>88</v>
      </c>
      <c r="I149" s="166">
        <v>72.0</v>
      </c>
      <c r="J149" s="167" t="s">
        <v>43</v>
      </c>
      <c r="K149" s="32" t="str">
        <f t="shared" si="11"/>
        <v>OCUPADO</v>
      </c>
      <c r="L149" s="33">
        <f t="shared" si="7"/>
        <v>148</v>
      </c>
      <c r="M149" s="33" t="s">
        <v>23</v>
      </c>
      <c r="N149" s="122"/>
      <c r="O149" s="169" t="s">
        <v>270</v>
      </c>
    </row>
    <row r="150">
      <c r="A150" s="158">
        <v>4.0</v>
      </c>
      <c r="B150" s="159" t="s">
        <v>465</v>
      </c>
      <c r="C150" s="160" t="s">
        <v>269</v>
      </c>
      <c r="D150" s="161" t="str">
        <f t="shared" si="1"/>
        <v>4-8-A</v>
      </c>
      <c r="E150" s="162">
        <v>45730.0</v>
      </c>
      <c r="F150" s="163" t="s">
        <v>771</v>
      </c>
      <c r="G150" s="164" t="s">
        <v>87</v>
      </c>
      <c r="H150" s="165" t="s">
        <v>88</v>
      </c>
      <c r="I150" s="166">
        <v>72.0</v>
      </c>
      <c r="J150" s="167" t="s">
        <v>43</v>
      </c>
      <c r="K150" s="27" t="str">
        <f t="shared" si="11"/>
        <v>OCUPADO</v>
      </c>
      <c r="L150" s="28">
        <f t="shared" si="7"/>
        <v>149</v>
      </c>
      <c r="M150" s="28" t="s">
        <v>23</v>
      </c>
      <c r="N150" s="109"/>
      <c r="O150" s="168" t="s">
        <v>270</v>
      </c>
    </row>
    <row r="151">
      <c r="A151" s="158">
        <v>4.0</v>
      </c>
      <c r="B151" s="159" t="s">
        <v>465</v>
      </c>
      <c r="C151" s="160" t="s">
        <v>277</v>
      </c>
      <c r="D151" s="161" t="str">
        <f t="shared" si="1"/>
        <v>4-8-B</v>
      </c>
      <c r="E151" s="162">
        <v>45730.0</v>
      </c>
      <c r="F151" s="163" t="s">
        <v>771</v>
      </c>
      <c r="G151" s="164" t="s">
        <v>87</v>
      </c>
      <c r="H151" s="165" t="s">
        <v>88</v>
      </c>
      <c r="I151" s="166">
        <v>72.0</v>
      </c>
      <c r="J151" s="167" t="s">
        <v>43</v>
      </c>
      <c r="K151" s="32" t="str">
        <f t="shared" si="11"/>
        <v>OCUPADO</v>
      </c>
      <c r="L151" s="33">
        <f t="shared" si="7"/>
        <v>150</v>
      </c>
      <c r="M151" s="33" t="s">
        <v>23</v>
      </c>
      <c r="N151" s="122"/>
      <c r="O151" s="169" t="s">
        <v>270</v>
      </c>
    </row>
    <row r="152">
      <c r="A152" s="158">
        <v>4.0</v>
      </c>
      <c r="B152" s="159" t="s">
        <v>465</v>
      </c>
      <c r="C152" s="160" t="s">
        <v>282</v>
      </c>
      <c r="D152" s="161" t="str">
        <f t="shared" si="1"/>
        <v>4-8-C</v>
      </c>
      <c r="E152" s="162">
        <v>45730.0</v>
      </c>
      <c r="F152" s="163" t="s">
        <v>771</v>
      </c>
      <c r="G152" s="164" t="s">
        <v>87</v>
      </c>
      <c r="H152" s="165" t="s">
        <v>88</v>
      </c>
      <c r="I152" s="166">
        <v>72.0</v>
      </c>
      <c r="J152" s="167" t="s">
        <v>43</v>
      </c>
      <c r="K152" s="27" t="str">
        <f t="shared" si="11"/>
        <v>OCUPADO</v>
      </c>
      <c r="L152" s="28">
        <f t="shared" si="7"/>
        <v>151</v>
      </c>
      <c r="M152" s="28" t="s">
        <v>23</v>
      </c>
      <c r="N152" s="109"/>
      <c r="O152" s="168" t="s">
        <v>270</v>
      </c>
    </row>
    <row r="153">
      <c r="A153" s="158">
        <v>4.0</v>
      </c>
      <c r="B153" s="159" t="s">
        <v>465</v>
      </c>
      <c r="C153" s="160" t="s">
        <v>285</v>
      </c>
      <c r="D153" s="161" t="str">
        <f t="shared" si="1"/>
        <v>4-8-D</v>
      </c>
      <c r="E153" s="162">
        <v>45730.0</v>
      </c>
      <c r="F153" s="163" t="s">
        <v>771</v>
      </c>
      <c r="G153" s="164" t="s">
        <v>87</v>
      </c>
      <c r="H153" s="165" t="s">
        <v>88</v>
      </c>
      <c r="I153" s="166">
        <v>72.0</v>
      </c>
      <c r="J153" s="167" t="s">
        <v>43</v>
      </c>
      <c r="K153" s="32" t="str">
        <f t="shared" si="11"/>
        <v>OCUPADO</v>
      </c>
      <c r="L153" s="33">
        <f t="shared" si="7"/>
        <v>152</v>
      </c>
      <c r="M153" s="33" t="s">
        <v>23</v>
      </c>
      <c r="N153" s="122"/>
      <c r="O153" s="169" t="s">
        <v>270</v>
      </c>
    </row>
    <row r="154">
      <c r="A154" s="158">
        <v>4.0</v>
      </c>
      <c r="B154" s="159" t="s">
        <v>511</v>
      </c>
      <c r="C154" s="160" t="s">
        <v>269</v>
      </c>
      <c r="D154" s="161" t="str">
        <f t="shared" si="1"/>
        <v>4-9-A</v>
      </c>
      <c r="E154" s="162">
        <v>45722.0</v>
      </c>
      <c r="F154" s="163" t="s">
        <v>772</v>
      </c>
      <c r="G154" s="164" t="s">
        <v>111</v>
      </c>
      <c r="H154" s="165" t="s">
        <v>112</v>
      </c>
      <c r="I154" s="166">
        <v>72.0</v>
      </c>
      <c r="J154" s="167" t="s">
        <v>43</v>
      </c>
      <c r="K154" s="27" t="str">
        <f t="shared" si="11"/>
        <v>OCUPADO</v>
      </c>
      <c r="L154" s="28">
        <f t="shared" si="7"/>
        <v>153</v>
      </c>
      <c r="M154" s="28" t="s">
        <v>23</v>
      </c>
      <c r="N154" s="109"/>
      <c r="O154" s="168" t="s">
        <v>270</v>
      </c>
    </row>
    <row r="155">
      <c r="A155" s="158">
        <v>4.0</v>
      </c>
      <c r="B155" s="159" t="s">
        <v>511</v>
      </c>
      <c r="C155" s="160" t="s">
        <v>277</v>
      </c>
      <c r="D155" s="161" t="str">
        <f t="shared" si="1"/>
        <v>4-9-B</v>
      </c>
      <c r="E155" s="162">
        <v>45722.0</v>
      </c>
      <c r="F155" s="163" t="s">
        <v>772</v>
      </c>
      <c r="G155" s="164" t="s">
        <v>111</v>
      </c>
      <c r="H155" s="165" t="s">
        <v>112</v>
      </c>
      <c r="I155" s="166">
        <v>72.0</v>
      </c>
      <c r="J155" s="167" t="s">
        <v>43</v>
      </c>
      <c r="K155" s="32" t="str">
        <f t="shared" si="11"/>
        <v>OCUPADO</v>
      </c>
      <c r="L155" s="33">
        <f t="shared" si="7"/>
        <v>154</v>
      </c>
      <c r="M155" s="33" t="s">
        <v>23</v>
      </c>
      <c r="N155" s="122"/>
      <c r="O155" s="169" t="s">
        <v>270</v>
      </c>
    </row>
    <row r="156">
      <c r="A156" s="158">
        <v>4.0</v>
      </c>
      <c r="B156" s="159" t="s">
        <v>511</v>
      </c>
      <c r="C156" s="160" t="s">
        <v>282</v>
      </c>
      <c r="D156" s="161" t="str">
        <f t="shared" si="1"/>
        <v>4-9-C</v>
      </c>
      <c r="E156" s="162">
        <v>45722.0</v>
      </c>
      <c r="F156" s="163" t="s">
        <v>772</v>
      </c>
      <c r="G156" s="164" t="s">
        <v>111</v>
      </c>
      <c r="H156" s="165" t="s">
        <v>112</v>
      </c>
      <c r="I156" s="166">
        <v>72.0</v>
      </c>
      <c r="J156" s="167" t="s">
        <v>43</v>
      </c>
      <c r="K156" s="27" t="str">
        <f t="shared" si="11"/>
        <v>OCUPADO</v>
      </c>
      <c r="L156" s="28">
        <f t="shared" si="7"/>
        <v>155</v>
      </c>
      <c r="M156" s="28" t="s">
        <v>23</v>
      </c>
      <c r="N156" s="109"/>
      <c r="O156" s="168" t="s">
        <v>270</v>
      </c>
    </row>
    <row r="157">
      <c r="A157" s="158">
        <v>4.0</v>
      </c>
      <c r="B157" s="159" t="s">
        <v>511</v>
      </c>
      <c r="C157" s="160" t="s">
        <v>285</v>
      </c>
      <c r="D157" s="161" t="str">
        <f t="shared" si="1"/>
        <v>4-9-D</v>
      </c>
      <c r="E157" s="162">
        <v>45730.0</v>
      </c>
      <c r="F157" s="163" t="s">
        <v>771</v>
      </c>
      <c r="G157" s="164" t="s">
        <v>87</v>
      </c>
      <c r="H157" s="165" t="s">
        <v>88</v>
      </c>
      <c r="I157" s="166">
        <v>72.0</v>
      </c>
      <c r="J157" s="167" t="s">
        <v>43</v>
      </c>
      <c r="K157" s="32" t="str">
        <f t="shared" si="11"/>
        <v>OCUPADO</v>
      </c>
      <c r="L157" s="33">
        <f t="shared" si="7"/>
        <v>156</v>
      </c>
      <c r="M157" s="33" t="s">
        <v>23</v>
      </c>
      <c r="N157" s="122"/>
      <c r="O157" s="169" t="s">
        <v>270</v>
      </c>
    </row>
    <row r="158">
      <c r="A158" s="158">
        <v>4.0</v>
      </c>
      <c r="B158" s="159" t="s">
        <v>296</v>
      </c>
      <c r="C158" s="160" t="s">
        <v>269</v>
      </c>
      <c r="D158" s="161" t="str">
        <f t="shared" si="1"/>
        <v>4-10-A</v>
      </c>
      <c r="E158" s="162">
        <v>45722.0</v>
      </c>
      <c r="F158" s="163" t="s">
        <v>772</v>
      </c>
      <c r="G158" s="164" t="s">
        <v>111</v>
      </c>
      <c r="H158" s="165" t="s">
        <v>112</v>
      </c>
      <c r="I158" s="166">
        <v>42.0</v>
      </c>
      <c r="J158" s="167" t="s">
        <v>43</v>
      </c>
      <c r="K158" s="27" t="str">
        <f t="shared" si="11"/>
        <v>OCUPADO</v>
      </c>
      <c r="L158" s="28">
        <f t="shared" si="7"/>
        <v>157</v>
      </c>
      <c r="M158" s="28" t="s">
        <v>23</v>
      </c>
      <c r="N158" s="109"/>
      <c r="O158" s="168" t="s">
        <v>270</v>
      </c>
    </row>
    <row r="159">
      <c r="A159" s="158">
        <v>4.0</v>
      </c>
      <c r="B159" s="159" t="s">
        <v>296</v>
      </c>
      <c r="C159" s="160" t="s">
        <v>277</v>
      </c>
      <c r="D159" s="161" t="str">
        <f t="shared" si="1"/>
        <v>4-10-B</v>
      </c>
      <c r="E159" s="162">
        <v>45722.0</v>
      </c>
      <c r="F159" s="163" t="s">
        <v>772</v>
      </c>
      <c r="G159" s="164" t="s">
        <v>111</v>
      </c>
      <c r="H159" s="165" t="s">
        <v>112</v>
      </c>
      <c r="I159" s="166">
        <v>21.0</v>
      </c>
      <c r="J159" s="167" t="s">
        <v>43</v>
      </c>
      <c r="K159" s="32" t="str">
        <f t="shared" si="11"/>
        <v>OCUPADO</v>
      </c>
      <c r="L159" s="33">
        <f t="shared" si="7"/>
        <v>158</v>
      </c>
      <c r="M159" s="33" t="s">
        <v>23</v>
      </c>
      <c r="N159" s="122"/>
      <c r="O159" s="169" t="s">
        <v>270</v>
      </c>
    </row>
    <row r="160">
      <c r="A160" s="158">
        <v>4.0</v>
      </c>
      <c r="B160" s="159" t="s">
        <v>296</v>
      </c>
      <c r="C160" s="160" t="s">
        <v>282</v>
      </c>
      <c r="D160" s="161" t="str">
        <f t="shared" si="1"/>
        <v>4-10-C</v>
      </c>
      <c r="E160" s="103"/>
      <c r="F160" s="104"/>
      <c r="G160" s="105"/>
      <c r="H160" s="106"/>
      <c r="I160" s="107"/>
      <c r="J160" s="108"/>
      <c r="K160" s="27" t="str">
        <f t="shared" si="11"/>
        <v>DISPONIBLE</v>
      </c>
      <c r="L160" s="28">
        <f t="shared" si="7"/>
        <v>159</v>
      </c>
      <c r="M160" s="28" t="s">
        <v>23</v>
      </c>
      <c r="N160" s="109"/>
      <c r="O160" s="168"/>
    </row>
    <row r="161">
      <c r="A161" s="158">
        <v>4.0</v>
      </c>
      <c r="B161" s="159" t="s">
        <v>296</v>
      </c>
      <c r="C161" s="160" t="s">
        <v>285</v>
      </c>
      <c r="D161" s="161" t="str">
        <f t="shared" si="1"/>
        <v>4-10-D</v>
      </c>
      <c r="E161" s="103"/>
      <c r="F161" s="104"/>
      <c r="G161" s="105"/>
      <c r="H161" s="106"/>
      <c r="I161" s="107"/>
      <c r="J161" s="108"/>
      <c r="K161" s="32" t="str">
        <f t="shared" si="11"/>
        <v>DISPONIBLE</v>
      </c>
      <c r="L161" s="33">
        <f t="shared" si="7"/>
        <v>160</v>
      </c>
      <c r="M161" s="33" t="s">
        <v>23</v>
      </c>
      <c r="N161" s="122"/>
      <c r="O161" s="169"/>
    </row>
    <row r="162">
      <c r="A162" s="158">
        <v>4.0</v>
      </c>
      <c r="B162" s="159" t="s">
        <v>316</v>
      </c>
      <c r="C162" s="160" t="s">
        <v>269</v>
      </c>
      <c r="D162" s="161" t="str">
        <f t="shared" si="1"/>
        <v>4-11-A</v>
      </c>
      <c r="E162" s="162">
        <v>45722.0</v>
      </c>
      <c r="F162" s="163" t="s">
        <v>772</v>
      </c>
      <c r="G162" s="164" t="s">
        <v>111</v>
      </c>
      <c r="H162" s="165" t="s">
        <v>112</v>
      </c>
      <c r="I162" s="166">
        <v>72.0</v>
      </c>
      <c r="J162" s="167" t="s">
        <v>43</v>
      </c>
      <c r="K162" s="27" t="str">
        <f t="shared" si="11"/>
        <v>OCUPADO</v>
      </c>
      <c r="L162" s="28">
        <f t="shared" si="7"/>
        <v>161</v>
      </c>
      <c r="M162" s="28" t="s">
        <v>23</v>
      </c>
      <c r="N162" s="109"/>
      <c r="O162" s="168" t="s">
        <v>270</v>
      </c>
    </row>
    <row r="163">
      <c r="A163" s="158">
        <v>4.0</v>
      </c>
      <c r="B163" s="159" t="s">
        <v>316</v>
      </c>
      <c r="C163" s="160" t="s">
        <v>277</v>
      </c>
      <c r="D163" s="161" t="str">
        <f t="shared" si="1"/>
        <v>4-11-B</v>
      </c>
      <c r="E163" s="162">
        <v>45722.0</v>
      </c>
      <c r="F163" s="163" t="s">
        <v>772</v>
      </c>
      <c r="G163" s="164" t="s">
        <v>111</v>
      </c>
      <c r="H163" s="165" t="s">
        <v>112</v>
      </c>
      <c r="I163" s="166">
        <v>72.0</v>
      </c>
      <c r="J163" s="167" t="s">
        <v>43</v>
      </c>
      <c r="K163" s="32" t="str">
        <f t="shared" si="11"/>
        <v>OCUPADO</v>
      </c>
      <c r="L163" s="33">
        <f t="shared" si="7"/>
        <v>162</v>
      </c>
      <c r="M163" s="33" t="s">
        <v>23</v>
      </c>
      <c r="N163" s="122"/>
      <c r="O163" s="169" t="s">
        <v>270</v>
      </c>
    </row>
    <row r="164">
      <c r="A164" s="158">
        <v>4.0</v>
      </c>
      <c r="B164" s="159" t="s">
        <v>316</v>
      </c>
      <c r="C164" s="160" t="s">
        <v>282</v>
      </c>
      <c r="D164" s="161" t="str">
        <f t="shared" si="1"/>
        <v>4-11-C</v>
      </c>
      <c r="E164" s="162">
        <v>45730.0</v>
      </c>
      <c r="F164" s="163" t="s">
        <v>772</v>
      </c>
      <c r="G164" s="164" t="s">
        <v>111</v>
      </c>
      <c r="H164" s="165" t="s">
        <v>112</v>
      </c>
      <c r="I164" s="166">
        <v>72.0</v>
      </c>
      <c r="J164" s="167" t="s">
        <v>43</v>
      </c>
      <c r="K164" s="27" t="str">
        <f t="shared" si="11"/>
        <v>OCUPADO</v>
      </c>
      <c r="L164" s="28">
        <f t="shared" si="7"/>
        <v>163</v>
      </c>
      <c r="M164" s="28" t="s">
        <v>23</v>
      </c>
      <c r="N164" s="109"/>
      <c r="O164" s="168" t="s">
        <v>270</v>
      </c>
    </row>
    <row r="165">
      <c r="A165" s="158">
        <v>4.0</v>
      </c>
      <c r="B165" s="159" t="s">
        <v>316</v>
      </c>
      <c r="C165" s="160" t="s">
        <v>285</v>
      </c>
      <c r="D165" s="161" t="str">
        <f t="shared" si="1"/>
        <v>4-11-D</v>
      </c>
      <c r="E165" s="162">
        <v>45730.0</v>
      </c>
      <c r="F165" s="163" t="s">
        <v>771</v>
      </c>
      <c r="G165" s="164" t="s">
        <v>87</v>
      </c>
      <c r="H165" s="165" t="s">
        <v>88</v>
      </c>
      <c r="I165" s="166">
        <v>72.0</v>
      </c>
      <c r="J165" s="167" t="s">
        <v>43</v>
      </c>
      <c r="K165" s="32" t="str">
        <f t="shared" si="11"/>
        <v>OCUPADO</v>
      </c>
      <c r="L165" s="33">
        <f t="shared" si="7"/>
        <v>164</v>
      </c>
      <c r="M165" s="33" t="s">
        <v>23</v>
      </c>
      <c r="N165" s="122"/>
      <c r="O165" s="169" t="s">
        <v>270</v>
      </c>
    </row>
    <row r="166">
      <c r="A166" s="158">
        <v>4.0</v>
      </c>
      <c r="B166" s="159" t="s">
        <v>336</v>
      </c>
      <c r="C166" s="160" t="s">
        <v>269</v>
      </c>
      <c r="D166" s="161" t="str">
        <f t="shared" si="1"/>
        <v>4-12-A</v>
      </c>
      <c r="E166" s="162">
        <v>45652.0</v>
      </c>
      <c r="F166" s="163" t="s">
        <v>19</v>
      </c>
      <c r="G166" s="164" t="s">
        <v>87</v>
      </c>
      <c r="H166" s="165" t="s">
        <v>88</v>
      </c>
      <c r="I166" s="166">
        <v>72.0</v>
      </c>
      <c r="J166" s="167" t="s">
        <v>43</v>
      </c>
      <c r="K166" s="27" t="str">
        <f t="shared" si="11"/>
        <v>OCUPADO</v>
      </c>
      <c r="L166" s="28">
        <f t="shared" si="7"/>
        <v>165</v>
      </c>
      <c r="M166" s="28" t="s">
        <v>23</v>
      </c>
      <c r="N166" s="109"/>
      <c r="O166" s="168" t="s">
        <v>270</v>
      </c>
    </row>
    <row r="167">
      <c r="A167" s="158">
        <v>4.0</v>
      </c>
      <c r="B167" s="159" t="s">
        <v>336</v>
      </c>
      <c r="C167" s="160" t="s">
        <v>277</v>
      </c>
      <c r="D167" s="161" t="str">
        <f t="shared" si="1"/>
        <v>4-12-B</v>
      </c>
      <c r="E167" s="162">
        <v>45652.0</v>
      </c>
      <c r="F167" s="163" t="s">
        <v>19</v>
      </c>
      <c r="G167" s="164" t="s">
        <v>87</v>
      </c>
      <c r="H167" s="165" t="s">
        <v>88</v>
      </c>
      <c r="I167" s="166">
        <v>72.0</v>
      </c>
      <c r="J167" s="167" t="s">
        <v>43</v>
      </c>
      <c r="K167" s="32" t="str">
        <f t="shared" si="11"/>
        <v>OCUPADO</v>
      </c>
      <c r="L167" s="33">
        <f t="shared" si="7"/>
        <v>166</v>
      </c>
      <c r="M167" s="33" t="s">
        <v>23</v>
      </c>
      <c r="N167" s="122"/>
      <c r="O167" s="169" t="s">
        <v>270</v>
      </c>
    </row>
    <row r="168">
      <c r="A168" s="158">
        <v>4.0</v>
      </c>
      <c r="B168" s="159" t="s">
        <v>336</v>
      </c>
      <c r="C168" s="160" t="s">
        <v>282</v>
      </c>
      <c r="D168" s="161" t="str">
        <f t="shared" si="1"/>
        <v>4-12-C</v>
      </c>
      <c r="E168" s="162">
        <v>45730.0</v>
      </c>
      <c r="F168" s="163" t="s">
        <v>771</v>
      </c>
      <c r="G168" s="164" t="s">
        <v>87</v>
      </c>
      <c r="H168" s="165" t="s">
        <v>88</v>
      </c>
      <c r="I168" s="166">
        <v>72.0</v>
      </c>
      <c r="J168" s="167" t="s">
        <v>43</v>
      </c>
      <c r="K168" s="27" t="str">
        <f t="shared" si="11"/>
        <v>OCUPADO</v>
      </c>
      <c r="L168" s="28">
        <f t="shared" si="7"/>
        <v>167</v>
      </c>
      <c r="M168" s="28" t="s">
        <v>23</v>
      </c>
      <c r="N168" s="109"/>
      <c r="O168" s="168" t="s">
        <v>270</v>
      </c>
    </row>
    <row r="169">
      <c r="A169" s="158">
        <v>4.0</v>
      </c>
      <c r="B169" s="159" t="s">
        <v>336</v>
      </c>
      <c r="C169" s="160" t="s">
        <v>285</v>
      </c>
      <c r="D169" s="161" t="str">
        <f t="shared" si="1"/>
        <v>4-12-D</v>
      </c>
      <c r="E169" s="162">
        <v>45730.0</v>
      </c>
      <c r="F169" s="163" t="s">
        <v>771</v>
      </c>
      <c r="G169" s="164" t="s">
        <v>87</v>
      </c>
      <c r="H169" s="165" t="s">
        <v>88</v>
      </c>
      <c r="I169" s="166">
        <v>72.0</v>
      </c>
      <c r="J169" s="167" t="s">
        <v>43</v>
      </c>
      <c r="K169" s="32" t="str">
        <f t="shared" si="11"/>
        <v>OCUPADO</v>
      </c>
      <c r="L169" s="33">
        <f t="shared" si="7"/>
        <v>168</v>
      </c>
      <c r="M169" s="33" t="s">
        <v>23</v>
      </c>
      <c r="N169" s="122"/>
      <c r="O169" s="169" t="s">
        <v>270</v>
      </c>
    </row>
    <row r="170">
      <c r="A170" s="158">
        <v>4.0</v>
      </c>
      <c r="B170" s="159" t="s">
        <v>350</v>
      </c>
      <c r="C170" s="160" t="s">
        <v>269</v>
      </c>
      <c r="D170" s="161" t="str">
        <f t="shared" si="1"/>
        <v>4-13-A</v>
      </c>
      <c r="E170" s="162">
        <v>45706.0</v>
      </c>
      <c r="F170" s="163" t="s">
        <v>19</v>
      </c>
      <c r="G170" s="164" t="s">
        <v>87</v>
      </c>
      <c r="H170" s="165" t="s">
        <v>88</v>
      </c>
      <c r="I170" s="166">
        <v>72.0</v>
      </c>
      <c r="J170" s="167" t="s">
        <v>43</v>
      </c>
      <c r="K170" s="27" t="str">
        <f t="shared" si="11"/>
        <v>OCUPADO</v>
      </c>
      <c r="L170" s="28">
        <f t="shared" si="7"/>
        <v>169</v>
      </c>
      <c r="M170" s="28" t="s">
        <v>23</v>
      </c>
      <c r="N170" s="109"/>
      <c r="O170" s="168" t="s">
        <v>270</v>
      </c>
    </row>
    <row r="171">
      <c r="A171" s="158">
        <v>4.0</v>
      </c>
      <c r="B171" s="159" t="s">
        <v>350</v>
      </c>
      <c r="C171" s="160" t="s">
        <v>277</v>
      </c>
      <c r="D171" s="161" t="str">
        <f t="shared" si="1"/>
        <v>4-13-B</v>
      </c>
      <c r="E171" s="162">
        <v>45730.0</v>
      </c>
      <c r="F171" s="163" t="s">
        <v>773</v>
      </c>
      <c r="G171" s="164" t="s">
        <v>87</v>
      </c>
      <c r="H171" s="165" t="s">
        <v>88</v>
      </c>
      <c r="I171" s="166">
        <v>72.0</v>
      </c>
      <c r="J171" s="167" t="s">
        <v>478</v>
      </c>
      <c r="K171" s="32" t="str">
        <f t="shared" si="11"/>
        <v>OCUPADO</v>
      </c>
      <c r="L171" s="33">
        <f t="shared" si="7"/>
        <v>170</v>
      </c>
      <c r="M171" s="33" t="s">
        <v>23</v>
      </c>
      <c r="N171" s="122"/>
      <c r="O171" s="169" t="s">
        <v>270</v>
      </c>
    </row>
    <row r="172">
      <c r="A172" s="158">
        <v>4.0</v>
      </c>
      <c r="B172" s="159" t="s">
        <v>350</v>
      </c>
      <c r="C172" s="160" t="s">
        <v>282</v>
      </c>
      <c r="D172" s="161" t="str">
        <f t="shared" si="1"/>
        <v>4-13-C</v>
      </c>
      <c r="E172" s="162">
        <v>45730.0</v>
      </c>
      <c r="F172" s="163" t="s">
        <v>771</v>
      </c>
      <c r="G172" s="164" t="s">
        <v>87</v>
      </c>
      <c r="H172" s="165" t="s">
        <v>88</v>
      </c>
      <c r="I172" s="166">
        <v>72.0</v>
      </c>
      <c r="J172" s="167" t="s">
        <v>43</v>
      </c>
      <c r="K172" s="27" t="str">
        <f t="shared" si="11"/>
        <v>OCUPADO</v>
      </c>
      <c r="L172" s="28">
        <f t="shared" si="7"/>
        <v>171</v>
      </c>
      <c r="M172" s="28" t="s">
        <v>23</v>
      </c>
      <c r="N172" s="109"/>
      <c r="O172" s="168" t="s">
        <v>270</v>
      </c>
    </row>
    <row r="173">
      <c r="A173" s="158">
        <v>4.0</v>
      </c>
      <c r="B173" s="159" t="s">
        <v>350</v>
      </c>
      <c r="C173" s="160" t="s">
        <v>285</v>
      </c>
      <c r="D173" s="161" t="str">
        <f t="shared" si="1"/>
        <v>4-13-D</v>
      </c>
      <c r="E173" s="162">
        <v>45730.0</v>
      </c>
      <c r="F173" s="163" t="s">
        <v>771</v>
      </c>
      <c r="G173" s="164" t="s">
        <v>87</v>
      </c>
      <c r="H173" s="165" t="s">
        <v>88</v>
      </c>
      <c r="I173" s="166">
        <v>43.0</v>
      </c>
      <c r="J173" s="167" t="s">
        <v>43</v>
      </c>
      <c r="K173" s="32" t="str">
        <f t="shared" si="11"/>
        <v>OCUPADO</v>
      </c>
      <c r="L173" s="33">
        <f t="shared" si="7"/>
        <v>172</v>
      </c>
      <c r="M173" s="33" t="s">
        <v>23</v>
      </c>
      <c r="N173" s="122"/>
      <c r="O173" s="169" t="s">
        <v>270</v>
      </c>
    </row>
    <row r="174">
      <c r="A174" s="158">
        <v>4.0</v>
      </c>
      <c r="B174" s="159" t="s">
        <v>362</v>
      </c>
      <c r="C174" s="160" t="s">
        <v>269</v>
      </c>
      <c r="D174" s="161" t="str">
        <f t="shared" si="1"/>
        <v>4-14-A</v>
      </c>
      <c r="E174" s="162">
        <v>45721.0</v>
      </c>
      <c r="F174" s="163" t="s">
        <v>770</v>
      </c>
      <c r="G174" s="164" t="s">
        <v>80</v>
      </c>
      <c r="H174" s="165" t="s">
        <v>81</v>
      </c>
      <c r="I174" s="166">
        <v>37.0</v>
      </c>
      <c r="J174" s="167" t="s">
        <v>43</v>
      </c>
      <c r="K174" s="27" t="str">
        <f t="shared" si="11"/>
        <v>OCUPADO</v>
      </c>
      <c r="L174" s="28">
        <f t="shared" si="7"/>
        <v>173</v>
      </c>
      <c r="M174" s="28" t="s">
        <v>23</v>
      </c>
      <c r="N174" s="109"/>
      <c r="O174" s="168" t="s">
        <v>270</v>
      </c>
    </row>
    <row r="175">
      <c r="A175" s="158">
        <v>4.0</v>
      </c>
      <c r="B175" s="159" t="s">
        <v>362</v>
      </c>
      <c r="C175" s="160" t="s">
        <v>277</v>
      </c>
      <c r="D175" s="161" t="str">
        <f t="shared" si="1"/>
        <v>4-14-B</v>
      </c>
      <c r="E175" s="103"/>
      <c r="F175" s="104"/>
      <c r="G175" s="105"/>
      <c r="H175" s="106"/>
      <c r="I175" s="107"/>
      <c r="J175" s="108"/>
      <c r="K175" s="32" t="str">
        <f t="shared" si="11"/>
        <v>DISPONIBLE</v>
      </c>
      <c r="L175" s="33">
        <f t="shared" si="7"/>
        <v>174</v>
      </c>
      <c r="M175" s="33" t="s">
        <v>23</v>
      </c>
      <c r="N175" s="122"/>
      <c r="O175" s="169"/>
    </row>
    <row r="176">
      <c r="A176" s="158">
        <v>4.0</v>
      </c>
      <c r="B176" s="159" t="s">
        <v>362</v>
      </c>
      <c r="C176" s="160" t="s">
        <v>282</v>
      </c>
      <c r="D176" s="161" t="str">
        <f t="shared" si="1"/>
        <v>4-14-C</v>
      </c>
      <c r="E176" s="103"/>
      <c r="F176" s="104"/>
      <c r="G176" s="105"/>
      <c r="H176" s="106"/>
      <c r="I176" s="107"/>
      <c r="J176" s="108"/>
      <c r="K176" s="27" t="str">
        <f t="shared" si="11"/>
        <v>DISPONIBLE</v>
      </c>
      <c r="L176" s="28">
        <f t="shared" si="7"/>
        <v>175</v>
      </c>
      <c r="M176" s="28" t="s">
        <v>23</v>
      </c>
      <c r="N176" s="109"/>
      <c r="O176" s="168"/>
    </row>
    <row r="177">
      <c r="A177" s="158">
        <v>4.0</v>
      </c>
      <c r="B177" s="159" t="s">
        <v>362</v>
      </c>
      <c r="C177" s="160" t="s">
        <v>285</v>
      </c>
      <c r="D177" s="161" t="str">
        <f t="shared" si="1"/>
        <v>4-14-D</v>
      </c>
      <c r="E177" s="103"/>
      <c r="F177" s="104"/>
      <c r="G177" s="315"/>
      <c r="H177" s="106"/>
      <c r="I177" s="107"/>
      <c r="J177" s="108"/>
      <c r="K177" s="32" t="str">
        <f t="shared" si="11"/>
        <v>DISPONIBLE</v>
      </c>
      <c r="L177" s="33">
        <f t="shared" si="7"/>
        <v>176</v>
      </c>
      <c r="M177" s="33" t="s">
        <v>23</v>
      </c>
      <c r="N177" s="122"/>
      <c r="O177" s="169"/>
    </row>
    <row r="178">
      <c r="A178" s="158">
        <v>4.0</v>
      </c>
      <c r="B178" s="159" t="s">
        <v>372</v>
      </c>
      <c r="C178" s="160" t="s">
        <v>269</v>
      </c>
      <c r="D178" s="161" t="str">
        <f t="shared" si="1"/>
        <v>4-15-A</v>
      </c>
      <c r="E178" s="162">
        <v>45721.0</v>
      </c>
      <c r="F178" s="163" t="s">
        <v>770</v>
      </c>
      <c r="G178" s="164" t="s">
        <v>80</v>
      </c>
      <c r="H178" s="165" t="s">
        <v>81</v>
      </c>
      <c r="I178" s="166">
        <v>80.0</v>
      </c>
      <c r="J178" s="167" t="s">
        <v>43</v>
      </c>
      <c r="K178" s="27" t="str">
        <f t="shared" si="11"/>
        <v>OCUPADO</v>
      </c>
      <c r="L178" s="28">
        <f t="shared" si="7"/>
        <v>177</v>
      </c>
      <c r="M178" s="28" t="s">
        <v>23</v>
      </c>
      <c r="N178" s="109"/>
      <c r="O178" s="168" t="s">
        <v>270</v>
      </c>
    </row>
    <row r="179">
      <c r="A179" s="158">
        <v>4.0</v>
      </c>
      <c r="B179" s="159" t="s">
        <v>372</v>
      </c>
      <c r="C179" s="160" t="s">
        <v>277</v>
      </c>
      <c r="D179" s="161" t="str">
        <f t="shared" si="1"/>
        <v>4-15-B</v>
      </c>
      <c r="E179" s="162">
        <v>45721.0</v>
      </c>
      <c r="F179" s="163" t="s">
        <v>770</v>
      </c>
      <c r="G179" s="164" t="s">
        <v>80</v>
      </c>
      <c r="H179" s="165" t="s">
        <v>81</v>
      </c>
      <c r="I179" s="166">
        <v>80.0</v>
      </c>
      <c r="J179" s="167" t="s">
        <v>43</v>
      </c>
      <c r="K179" s="32" t="str">
        <f t="shared" si="11"/>
        <v>OCUPADO</v>
      </c>
      <c r="L179" s="33">
        <f t="shared" si="7"/>
        <v>178</v>
      </c>
      <c r="M179" s="33" t="s">
        <v>23</v>
      </c>
      <c r="N179" s="122"/>
      <c r="O179" s="169" t="s">
        <v>270</v>
      </c>
    </row>
    <row r="180">
      <c r="A180" s="158">
        <v>4.0</v>
      </c>
      <c r="B180" s="159" t="s">
        <v>372</v>
      </c>
      <c r="C180" s="160" t="s">
        <v>282</v>
      </c>
      <c r="D180" s="161" t="str">
        <f t="shared" si="1"/>
        <v>4-15-C</v>
      </c>
      <c r="E180" s="162">
        <v>45751.0</v>
      </c>
      <c r="F180" s="163" t="s">
        <v>770</v>
      </c>
      <c r="G180" s="164" t="s">
        <v>80</v>
      </c>
      <c r="H180" s="165" t="s">
        <v>81</v>
      </c>
      <c r="I180" s="166">
        <v>3.0</v>
      </c>
      <c r="J180" s="167" t="s">
        <v>43</v>
      </c>
      <c r="K180" s="27" t="str">
        <f t="shared" si="11"/>
        <v>OCUPADO</v>
      </c>
      <c r="L180" s="28">
        <f t="shared" si="7"/>
        <v>179</v>
      </c>
      <c r="M180" s="28" t="s">
        <v>23</v>
      </c>
      <c r="N180" s="109"/>
      <c r="O180" s="168" t="s">
        <v>270</v>
      </c>
    </row>
    <row r="181">
      <c r="A181" s="158">
        <v>4.0</v>
      </c>
      <c r="B181" s="159" t="s">
        <v>372</v>
      </c>
      <c r="C181" s="160" t="s">
        <v>285</v>
      </c>
      <c r="D181" s="161" t="str">
        <f t="shared" si="1"/>
        <v>4-15-D</v>
      </c>
      <c r="E181" s="103"/>
      <c r="F181" s="104"/>
      <c r="G181" s="315"/>
      <c r="H181" s="106"/>
      <c r="I181" s="107"/>
      <c r="J181" s="108"/>
      <c r="K181" s="32" t="str">
        <f t="shared" si="11"/>
        <v>DISPONIBLE</v>
      </c>
      <c r="L181" s="33">
        <f t="shared" si="7"/>
        <v>180</v>
      </c>
      <c r="M181" s="33" t="s">
        <v>23</v>
      </c>
      <c r="N181" s="122"/>
      <c r="O181" s="169"/>
    </row>
    <row r="182">
      <c r="A182" s="158">
        <v>4.0</v>
      </c>
      <c r="B182" s="159" t="s">
        <v>382</v>
      </c>
      <c r="C182" s="160" t="s">
        <v>269</v>
      </c>
      <c r="D182" s="161" t="str">
        <f t="shared" si="1"/>
        <v>4-16-A</v>
      </c>
      <c r="E182" s="162">
        <v>45721.0</v>
      </c>
      <c r="F182" s="163" t="s">
        <v>770</v>
      </c>
      <c r="G182" s="164" t="s">
        <v>80</v>
      </c>
      <c r="H182" s="165" t="s">
        <v>81</v>
      </c>
      <c r="I182" s="166">
        <v>80.0</v>
      </c>
      <c r="J182" s="167" t="s">
        <v>43</v>
      </c>
      <c r="K182" s="27" t="str">
        <f t="shared" si="11"/>
        <v>OCUPADO</v>
      </c>
      <c r="L182" s="28">
        <f t="shared" si="7"/>
        <v>181</v>
      </c>
      <c r="M182" s="28" t="s">
        <v>23</v>
      </c>
      <c r="N182" s="109"/>
      <c r="O182" s="168" t="s">
        <v>270</v>
      </c>
    </row>
    <row r="183">
      <c r="A183" s="158">
        <v>4.0</v>
      </c>
      <c r="B183" s="159" t="s">
        <v>382</v>
      </c>
      <c r="C183" s="160" t="s">
        <v>277</v>
      </c>
      <c r="D183" s="161" t="str">
        <f t="shared" si="1"/>
        <v>4-16-B</v>
      </c>
      <c r="E183" s="162">
        <v>45721.0</v>
      </c>
      <c r="F183" s="163" t="s">
        <v>770</v>
      </c>
      <c r="G183" s="164" t="s">
        <v>80</v>
      </c>
      <c r="H183" s="165" t="s">
        <v>81</v>
      </c>
      <c r="I183" s="166">
        <v>80.0</v>
      </c>
      <c r="J183" s="167" t="s">
        <v>43</v>
      </c>
      <c r="K183" s="32" t="str">
        <f t="shared" si="11"/>
        <v>OCUPADO</v>
      </c>
      <c r="L183" s="33">
        <f t="shared" si="7"/>
        <v>182</v>
      </c>
      <c r="M183" s="33" t="s">
        <v>23</v>
      </c>
      <c r="N183" s="122"/>
      <c r="O183" s="169" t="s">
        <v>270</v>
      </c>
    </row>
    <row r="184">
      <c r="A184" s="158">
        <v>4.0</v>
      </c>
      <c r="B184" s="159" t="s">
        <v>382</v>
      </c>
      <c r="C184" s="160" t="s">
        <v>282</v>
      </c>
      <c r="D184" s="161" t="str">
        <f t="shared" si="1"/>
        <v>4-16-C</v>
      </c>
      <c r="E184" s="162">
        <v>45730.0</v>
      </c>
      <c r="F184" s="163" t="s">
        <v>771</v>
      </c>
      <c r="G184" s="164" t="s">
        <v>87</v>
      </c>
      <c r="H184" s="165" t="s">
        <v>88</v>
      </c>
      <c r="I184" s="166">
        <v>2.0</v>
      </c>
      <c r="J184" s="167" t="s">
        <v>43</v>
      </c>
      <c r="K184" s="27" t="str">
        <f t="shared" si="11"/>
        <v>OCUPADO</v>
      </c>
      <c r="L184" s="28">
        <f t="shared" si="7"/>
        <v>183</v>
      </c>
      <c r="M184" s="28" t="s">
        <v>23</v>
      </c>
      <c r="N184" s="109"/>
      <c r="O184" s="168" t="s">
        <v>270</v>
      </c>
    </row>
    <row r="185">
      <c r="A185" s="158">
        <v>4.0</v>
      </c>
      <c r="B185" s="159" t="s">
        <v>382</v>
      </c>
      <c r="C185" s="160" t="s">
        <v>285</v>
      </c>
      <c r="D185" s="161" t="str">
        <f t="shared" si="1"/>
        <v>4-16-D</v>
      </c>
      <c r="E185" s="103"/>
      <c r="F185" s="104"/>
      <c r="G185" s="315"/>
      <c r="H185" s="106"/>
      <c r="I185" s="107"/>
      <c r="J185" s="108"/>
      <c r="K185" s="32" t="str">
        <f t="shared" si="11"/>
        <v>DISPONIBLE</v>
      </c>
      <c r="L185" s="33">
        <f t="shared" si="7"/>
        <v>184</v>
      </c>
      <c r="M185" s="33" t="s">
        <v>23</v>
      </c>
      <c r="N185" s="122"/>
      <c r="O185" s="316"/>
    </row>
    <row r="186">
      <c r="A186" s="158">
        <v>4.0</v>
      </c>
      <c r="B186" s="159" t="s">
        <v>396</v>
      </c>
      <c r="C186" s="160" t="s">
        <v>269</v>
      </c>
      <c r="D186" s="161" t="str">
        <f t="shared" si="1"/>
        <v>4-17-A</v>
      </c>
      <c r="E186" s="162">
        <v>45747.0</v>
      </c>
      <c r="F186" s="163" t="s">
        <v>600</v>
      </c>
      <c r="G186" s="164" t="s">
        <v>325</v>
      </c>
      <c r="H186" s="165" t="s">
        <v>326</v>
      </c>
      <c r="I186" s="166">
        <v>144.0</v>
      </c>
      <c r="J186" s="167" t="s">
        <v>43</v>
      </c>
      <c r="K186" s="27" t="str">
        <f t="shared" si="11"/>
        <v>OCUPADO</v>
      </c>
      <c r="L186" s="28">
        <f t="shared" si="7"/>
        <v>185</v>
      </c>
      <c r="M186" s="28" t="s">
        <v>23</v>
      </c>
      <c r="N186" s="109"/>
      <c r="O186" s="168" t="s">
        <v>270</v>
      </c>
    </row>
    <row r="187">
      <c r="A187" s="158">
        <v>4.0</v>
      </c>
      <c r="B187" s="159" t="s">
        <v>396</v>
      </c>
      <c r="C187" s="160" t="s">
        <v>277</v>
      </c>
      <c r="D187" s="161" t="str">
        <f t="shared" si="1"/>
        <v>4-17-B</v>
      </c>
      <c r="E187" s="162">
        <v>45747.0</v>
      </c>
      <c r="F187" s="163" t="s">
        <v>600</v>
      </c>
      <c r="G187" s="164" t="s">
        <v>325</v>
      </c>
      <c r="H187" s="165" t="s">
        <v>326</v>
      </c>
      <c r="I187" s="166">
        <v>144.0</v>
      </c>
      <c r="J187" s="167" t="s">
        <v>43</v>
      </c>
      <c r="K187" s="32" t="str">
        <f t="shared" si="11"/>
        <v>OCUPADO</v>
      </c>
      <c r="L187" s="33">
        <f t="shared" si="7"/>
        <v>186</v>
      </c>
      <c r="M187" s="33" t="s">
        <v>23</v>
      </c>
      <c r="N187" s="122"/>
      <c r="O187" s="169" t="s">
        <v>270</v>
      </c>
    </row>
    <row r="188">
      <c r="A188" s="158">
        <v>4.0</v>
      </c>
      <c r="B188" s="159" t="s">
        <v>396</v>
      </c>
      <c r="C188" s="160" t="s">
        <v>282</v>
      </c>
      <c r="D188" s="161" t="str">
        <f t="shared" si="1"/>
        <v>4-17-C</v>
      </c>
      <c r="E188" s="162">
        <v>45747.0</v>
      </c>
      <c r="F188" s="163" t="s">
        <v>600</v>
      </c>
      <c r="G188" s="164" t="s">
        <v>325</v>
      </c>
      <c r="H188" s="165" t="s">
        <v>326</v>
      </c>
      <c r="I188" s="166">
        <v>144.0</v>
      </c>
      <c r="J188" s="167" t="s">
        <v>43</v>
      </c>
      <c r="K188" s="27" t="str">
        <f t="shared" si="11"/>
        <v>OCUPADO</v>
      </c>
      <c r="L188" s="28">
        <f t="shared" si="7"/>
        <v>187</v>
      </c>
      <c r="M188" s="28" t="s">
        <v>23</v>
      </c>
      <c r="N188" s="109"/>
      <c r="O188" s="168" t="s">
        <v>270</v>
      </c>
    </row>
    <row r="189">
      <c r="A189" s="158">
        <v>4.0</v>
      </c>
      <c r="B189" s="159" t="s">
        <v>396</v>
      </c>
      <c r="C189" s="160" t="s">
        <v>285</v>
      </c>
      <c r="D189" s="161" t="str">
        <f t="shared" si="1"/>
        <v>4-17-D</v>
      </c>
      <c r="E189" s="162">
        <v>45747.0</v>
      </c>
      <c r="F189" s="163" t="s">
        <v>600</v>
      </c>
      <c r="G189" s="164" t="s">
        <v>325</v>
      </c>
      <c r="H189" s="165" t="s">
        <v>326</v>
      </c>
      <c r="I189" s="166">
        <v>84.0</v>
      </c>
      <c r="J189" s="167" t="s">
        <v>43</v>
      </c>
      <c r="K189" s="32" t="str">
        <f t="shared" si="11"/>
        <v>OCUPADO</v>
      </c>
      <c r="L189" s="33">
        <f t="shared" si="7"/>
        <v>188</v>
      </c>
      <c r="M189" s="33" t="s">
        <v>23</v>
      </c>
      <c r="N189" s="122"/>
      <c r="O189" s="169" t="s">
        <v>270</v>
      </c>
    </row>
    <row r="190">
      <c r="A190" s="158">
        <v>4.0</v>
      </c>
      <c r="B190" s="159" t="s">
        <v>411</v>
      </c>
      <c r="C190" s="160" t="s">
        <v>269</v>
      </c>
      <c r="D190" s="161" t="str">
        <f t="shared" si="1"/>
        <v>4-18-A</v>
      </c>
      <c r="E190" s="162">
        <v>45656.0</v>
      </c>
      <c r="F190" s="163" t="s">
        <v>19</v>
      </c>
      <c r="G190" s="164" t="s">
        <v>249</v>
      </c>
      <c r="H190" s="165" t="s">
        <v>250</v>
      </c>
      <c r="I190" s="166">
        <v>330.0</v>
      </c>
      <c r="J190" s="167" t="s">
        <v>274</v>
      </c>
      <c r="K190" s="27" t="str">
        <f t="shared" si="11"/>
        <v>OCUPADO</v>
      </c>
      <c r="L190" s="28">
        <f t="shared" si="7"/>
        <v>189</v>
      </c>
      <c r="M190" s="28" t="s">
        <v>23</v>
      </c>
      <c r="N190" s="109"/>
      <c r="O190" s="168" t="s">
        <v>270</v>
      </c>
    </row>
    <row r="191">
      <c r="A191" s="158">
        <v>4.0</v>
      </c>
      <c r="B191" s="159" t="s">
        <v>411</v>
      </c>
      <c r="C191" s="160" t="s">
        <v>277</v>
      </c>
      <c r="D191" s="161" t="str">
        <f t="shared" si="1"/>
        <v>4-18-B</v>
      </c>
      <c r="E191" s="162">
        <v>45726.0</v>
      </c>
      <c r="F191" s="163" t="s">
        <v>19</v>
      </c>
      <c r="G191" s="164" t="s">
        <v>249</v>
      </c>
      <c r="H191" s="165" t="s">
        <v>250</v>
      </c>
      <c r="I191" s="166">
        <v>330.0</v>
      </c>
      <c r="J191" s="167" t="s">
        <v>274</v>
      </c>
      <c r="K191" s="32" t="str">
        <f t="shared" si="11"/>
        <v>OCUPADO</v>
      </c>
      <c r="L191" s="33">
        <f t="shared" si="7"/>
        <v>190</v>
      </c>
      <c r="M191" s="33" t="s">
        <v>23</v>
      </c>
      <c r="N191" s="122"/>
      <c r="O191" s="169" t="s">
        <v>270</v>
      </c>
    </row>
    <row r="192">
      <c r="A192" s="158">
        <v>4.0</v>
      </c>
      <c r="B192" s="159" t="s">
        <v>411</v>
      </c>
      <c r="C192" s="160" t="s">
        <v>282</v>
      </c>
      <c r="D192" s="161" t="str">
        <f t="shared" si="1"/>
        <v>4-18-C</v>
      </c>
      <c r="E192" s="162">
        <v>45736.0</v>
      </c>
      <c r="F192" s="163" t="s">
        <v>19</v>
      </c>
      <c r="G192" s="164" t="s">
        <v>249</v>
      </c>
      <c r="H192" s="165" t="s">
        <v>250</v>
      </c>
      <c r="I192" s="166">
        <v>147.0</v>
      </c>
      <c r="J192" s="167" t="s">
        <v>274</v>
      </c>
      <c r="K192" s="27" t="str">
        <f t="shared" si="11"/>
        <v>OCUPADO</v>
      </c>
      <c r="L192" s="28">
        <f t="shared" si="7"/>
        <v>191</v>
      </c>
      <c r="M192" s="28" t="s">
        <v>23</v>
      </c>
      <c r="N192" s="109"/>
      <c r="O192" s="168" t="s">
        <v>270</v>
      </c>
    </row>
    <row r="193">
      <c r="A193" s="158">
        <v>4.0</v>
      </c>
      <c r="B193" s="159" t="s">
        <v>411</v>
      </c>
      <c r="C193" s="160" t="s">
        <v>285</v>
      </c>
      <c r="D193" s="161" t="str">
        <f t="shared" si="1"/>
        <v>4-18-D</v>
      </c>
      <c r="E193" s="103"/>
      <c r="F193" s="104"/>
      <c r="G193" s="315"/>
      <c r="H193" s="106"/>
      <c r="I193" s="107"/>
      <c r="J193" s="108"/>
      <c r="K193" s="32" t="str">
        <f t="shared" si="11"/>
        <v>DISPONIBLE</v>
      </c>
      <c r="L193" s="33">
        <f t="shared" si="7"/>
        <v>192</v>
      </c>
      <c r="M193" s="33" t="s">
        <v>23</v>
      </c>
      <c r="N193" s="122"/>
      <c r="O193" s="169"/>
    </row>
    <row r="194">
      <c r="A194" s="158">
        <v>4.0</v>
      </c>
      <c r="B194" s="159" t="s">
        <v>425</v>
      </c>
      <c r="C194" s="160" t="s">
        <v>269</v>
      </c>
      <c r="D194" s="161" t="str">
        <f t="shared" si="1"/>
        <v>4-19-A</v>
      </c>
      <c r="E194" s="162">
        <v>45656.0</v>
      </c>
      <c r="F194" s="163" t="s">
        <v>19</v>
      </c>
      <c r="G194" s="164" t="s">
        <v>272</v>
      </c>
      <c r="H194" s="165" t="s">
        <v>273</v>
      </c>
      <c r="I194" s="166">
        <v>288.0</v>
      </c>
      <c r="J194" s="167" t="s">
        <v>274</v>
      </c>
      <c r="K194" s="27" t="str">
        <f t="shared" si="11"/>
        <v>OCUPADO</v>
      </c>
      <c r="L194" s="28">
        <f t="shared" si="7"/>
        <v>193</v>
      </c>
      <c r="M194" s="28" t="s">
        <v>23</v>
      </c>
      <c r="N194" s="109"/>
      <c r="O194" s="168" t="s">
        <v>270</v>
      </c>
    </row>
    <row r="195">
      <c r="A195" s="158">
        <v>4.0</v>
      </c>
      <c r="B195" s="159" t="s">
        <v>425</v>
      </c>
      <c r="C195" s="160" t="s">
        <v>277</v>
      </c>
      <c r="D195" s="161" t="str">
        <f t="shared" si="1"/>
        <v>4-19-B</v>
      </c>
      <c r="E195" s="162">
        <v>45758.0</v>
      </c>
      <c r="F195" s="170" t="s">
        <v>675</v>
      </c>
      <c r="G195" s="164" t="s">
        <v>272</v>
      </c>
      <c r="H195" s="165" t="s">
        <v>273</v>
      </c>
      <c r="I195" s="166">
        <v>288.0</v>
      </c>
      <c r="J195" s="167" t="s">
        <v>43</v>
      </c>
      <c r="K195" s="32" t="str">
        <f t="shared" si="11"/>
        <v>OCUPADO</v>
      </c>
      <c r="L195" s="33">
        <f t="shared" si="7"/>
        <v>194</v>
      </c>
      <c r="M195" s="33" t="s">
        <v>23</v>
      </c>
      <c r="N195" s="122"/>
      <c r="O195" s="169" t="s">
        <v>270</v>
      </c>
    </row>
    <row r="196">
      <c r="A196" s="158">
        <v>4.0</v>
      </c>
      <c r="B196" s="159" t="s">
        <v>425</v>
      </c>
      <c r="C196" s="160" t="s">
        <v>282</v>
      </c>
      <c r="D196" s="161" t="str">
        <f t="shared" si="1"/>
        <v>4-19-C</v>
      </c>
      <c r="E196" s="162">
        <v>45754.0</v>
      </c>
      <c r="F196" s="170" t="s">
        <v>675</v>
      </c>
      <c r="G196" s="164" t="s">
        <v>272</v>
      </c>
      <c r="H196" s="165" t="s">
        <v>273</v>
      </c>
      <c r="I196" s="166">
        <v>360.0</v>
      </c>
      <c r="J196" s="167" t="s">
        <v>43</v>
      </c>
      <c r="K196" s="27" t="str">
        <f t="shared" si="11"/>
        <v>OCUPADO</v>
      </c>
      <c r="L196" s="28">
        <f t="shared" si="7"/>
        <v>195</v>
      </c>
      <c r="M196" s="28" t="s">
        <v>23</v>
      </c>
      <c r="N196" s="109"/>
      <c r="O196" s="168" t="s">
        <v>270</v>
      </c>
    </row>
    <row r="197">
      <c r="A197" s="158">
        <v>4.0</v>
      </c>
      <c r="B197" s="159" t="s">
        <v>425</v>
      </c>
      <c r="C197" s="160" t="s">
        <v>285</v>
      </c>
      <c r="D197" s="161" t="str">
        <f t="shared" si="1"/>
        <v>4-19-D</v>
      </c>
      <c r="E197" s="162">
        <v>45754.0</v>
      </c>
      <c r="F197" s="170" t="s">
        <v>675</v>
      </c>
      <c r="G197" s="164" t="s">
        <v>272</v>
      </c>
      <c r="H197" s="165" t="s">
        <v>273</v>
      </c>
      <c r="I197" s="166">
        <v>360.0</v>
      </c>
      <c r="J197" s="167" t="s">
        <v>43</v>
      </c>
      <c r="K197" s="32" t="str">
        <f t="shared" si="11"/>
        <v>OCUPADO</v>
      </c>
      <c r="L197" s="33">
        <f t="shared" si="7"/>
        <v>196</v>
      </c>
      <c r="M197" s="33" t="s">
        <v>23</v>
      </c>
      <c r="N197" s="122"/>
      <c r="O197" s="169" t="s">
        <v>270</v>
      </c>
    </row>
    <row r="198">
      <c r="A198" s="172">
        <v>4.0</v>
      </c>
      <c r="B198" s="159" t="s">
        <v>451</v>
      </c>
      <c r="C198" s="159" t="s">
        <v>269</v>
      </c>
      <c r="D198" s="161" t="str">
        <f t="shared" si="1"/>
        <v>4-20-A</v>
      </c>
      <c r="E198" s="103"/>
      <c r="F198" s="104"/>
      <c r="G198" s="105"/>
      <c r="H198" s="106"/>
      <c r="I198" s="107"/>
      <c r="J198" s="108"/>
      <c r="K198" s="27" t="str">
        <f t="shared" si="11"/>
        <v>DISPONIBLE</v>
      </c>
      <c r="L198" s="28">
        <f t="shared" ref="L198:L205" si="12">IF(B194&lt;&gt;"", ROW(A194), "")
</f>
        <v>194</v>
      </c>
      <c r="M198" s="28" t="s">
        <v>23</v>
      </c>
      <c r="N198" s="109"/>
      <c r="O198" s="168"/>
    </row>
    <row r="199">
      <c r="A199" s="172">
        <v>4.0</v>
      </c>
      <c r="B199" s="159" t="s">
        <v>451</v>
      </c>
      <c r="C199" s="159" t="s">
        <v>277</v>
      </c>
      <c r="D199" s="161" t="str">
        <f t="shared" si="1"/>
        <v>4-20-B</v>
      </c>
      <c r="E199" s="103"/>
      <c r="F199" s="104"/>
      <c r="G199" s="105"/>
      <c r="H199" s="106"/>
      <c r="I199" s="107"/>
      <c r="J199" s="108"/>
      <c r="K199" s="32" t="str">
        <f t="shared" si="11"/>
        <v>DISPONIBLE</v>
      </c>
      <c r="L199" s="33">
        <f t="shared" si="12"/>
        <v>195</v>
      </c>
      <c r="M199" s="33" t="s">
        <v>23</v>
      </c>
      <c r="N199" s="122"/>
      <c r="O199" s="169"/>
    </row>
    <row r="200">
      <c r="A200" s="172">
        <v>4.0</v>
      </c>
      <c r="B200" s="159" t="s">
        <v>451</v>
      </c>
      <c r="C200" s="159" t="s">
        <v>282</v>
      </c>
      <c r="D200" s="161" t="str">
        <f t="shared" si="1"/>
        <v>4-20-C</v>
      </c>
      <c r="E200" s="103"/>
      <c r="F200" s="104"/>
      <c r="G200" s="105"/>
      <c r="H200" s="106"/>
      <c r="I200" s="107"/>
      <c r="J200" s="108"/>
      <c r="K200" s="27" t="str">
        <f t="shared" si="11"/>
        <v>DISPONIBLE</v>
      </c>
      <c r="L200" s="28">
        <f t="shared" si="12"/>
        <v>196</v>
      </c>
      <c r="M200" s="28" t="s">
        <v>23</v>
      </c>
      <c r="N200" s="109"/>
      <c r="O200" s="168"/>
    </row>
    <row r="201">
      <c r="A201" s="172">
        <v>4.0</v>
      </c>
      <c r="B201" s="159" t="s">
        <v>451</v>
      </c>
      <c r="C201" s="159" t="s">
        <v>285</v>
      </c>
      <c r="D201" s="161" t="str">
        <f t="shared" si="1"/>
        <v>4-20-D</v>
      </c>
      <c r="E201" s="103"/>
      <c r="F201" s="104"/>
      <c r="G201" s="105"/>
      <c r="H201" s="106"/>
      <c r="I201" s="107"/>
      <c r="J201" s="108"/>
      <c r="K201" s="32" t="str">
        <f t="shared" si="11"/>
        <v>DISPONIBLE</v>
      </c>
      <c r="L201" s="33">
        <f t="shared" si="12"/>
        <v>197</v>
      </c>
      <c r="M201" s="33" t="s">
        <v>23</v>
      </c>
      <c r="N201" s="122"/>
      <c r="O201" s="169"/>
    </row>
    <row r="202">
      <c r="A202" s="172">
        <v>4.0</v>
      </c>
      <c r="B202" s="159" t="s">
        <v>467</v>
      </c>
      <c r="C202" s="159" t="s">
        <v>269</v>
      </c>
      <c r="D202" s="161" t="str">
        <f t="shared" si="1"/>
        <v>4-21-A</v>
      </c>
      <c r="E202" s="162">
        <v>45733.0</v>
      </c>
      <c r="F202" s="163" t="s">
        <v>19</v>
      </c>
      <c r="G202" s="164" t="s">
        <v>54</v>
      </c>
      <c r="H202" s="165" t="s">
        <v>55</v>
      </c>
      <c r="I202" s="166">
        <v>400.0</v>
      </c>
      <c r="J202" s="167" t="s">
        <v>22</v>
      </c>
      <c r="K202" s="27" t="str">
        <f t="shared" si="11"/>
        <v>OCUPADO</v>
      </c>
      <c r="L202" s="28">
        <f t="shared" si="12"/>
        <v>198</v>
      </c>
      <c r="M202" s="28" t="s">
        <v>23</v>
      </c>
      <c r="N202" s="109"/>
      <c r="O202" s="168" t="s">
        <v>24</v>
      </c>
    </row>
    <row r="203">
      <c r="A203" s="172">
        <v>4.0</v>
      </c>
      <c r="B203" s="159" t="s">
        <v>467</v>
      </c>
      <c r="C203" s="159" t="s">
        <v>277</v>
      </c>
      <c r="D203" s="161" t="str">
        <f t="shared" si="1"/>
        <v>4-21-B</v>
      </c>
      <c r="E203" s="162">
        <v>45733.0</v>
      </c>
      <c r="F203" s="163" t="s">
        <v>19</v>
      </c>
      <c r="G203" s="164" t="s">
        <v>54</v>
      </c>
      <c r="H203" s="165" t="s">
        <v>55</v>
      </c>
      <c r="I203" s="166">
        <v>549.0</v>
      </c>
      <c r="J203" s="167" t="s">
        <v>22</v>
      </c>
      <c r="K203" s="32" t="str">
        <f t="shared" si="11"/>
        <v>OCUPADO</v>
      </c>
      <c r="L203" s="33">
        <f t="shared" si="12"/>
        <v>199</v>
      </c>
      <c r="M203" s="33" t="s">
        <v>23</v>
      </c>
      <c r="N203" s="122"/>
      <c r="O203" s="169"/>
    </row>
    <row r="204">
      <c r="A204" s="172">
        <v>4.0</v>
      </c>
      <c r="B204" s="159" t="s">
        <v>467</v>
      </c>
      <c r="C204" s="159" t="s">
        <v>282</v>
      </c>
      <c r="D204" s="161" t="str">
        <f t="shared" si="1"/>
        <v>4-21-C</v>
      </c>
      <c r="E204" s="173">
        <v>45733.0</v>
      </c>
      <c r="F204" s="174" t="s">
        <v>19</v>
      </c>
      <c r="G204" s="175" t="s">
        <v>128</v>
      </c>
      <c r="H204" s="176" t="s">
        <v>252</v>
      </c>
      <c r="I204" s="177">
        <v>667.0</v>
      </c>
      <c r="J204" s="178" t="s">
        <v>22</v>
      </c>
      <c r="K204" s="27" t="str">
        <f t="shared" si="11"/>
        <v>OCUPADO</v>
      </c>
      <c r="L204" s="28">
        <f t="shared" si="12"/>
        <v>200</v>
      </c>
      <c r="M204" s="28" t="s">
        <v>23</v>
      </c>
      <c r="N204" s="109"/>
      <c r="O204" s="168"/>
    </row>
    <row r="205">
      <c r="A205" s="172">
        <v>4.0</v>
      </c>
      <c r="B205" s="159" t="s">
        <v>467</v>
      </c>
      <c r="C205" s="159" t="s">
        <v>285</v>
      </c>
      <c r="D205" s="161" t="str">
        <f t="shared" si="1"/>
        <v>4-21-D</v>
      </c>
      <c r="E205" s="103"/>
      <c r="F205" s="104"/>
      <c r="G205" s="105"/>
      <c r="H205" s="106"/>
      <c r="I205" s="107"/>
      <c r="J205" s="108"/>
      <c r="K205" s="32" t="str">
        <f t="shared" si="11"/>
        <v>DISPONIBLE</v>
      </c>
      <c r="L205" s="33">
        <f t="shared" si="12"/>
        <v>201</v>
      </c>
      <c r="M205" s="33" t="s">
        <v>23</v>
      </c>
      <c r="N205" s="122"/>
      <c r="O205" s="169"/>
    </row>
    <row r="206">
      <c r="A206" s="158">
        <v>4.0</v>
      </c>
      <c r="B206" s="159" t="s">
        <v>254</v>
      </c>
      <c r="C206" s="160" t="s">
        <v>119</v>
      </c>
      <c r="D206" s="161" t="str">
        <f t="shared" si="1"/>
        <v>4-R-1A</v>
      </c>
      <c r="E206" s="162">
        <v>45688.0</v>
      </c>
      <c r="F206" s="163" t="s">
        <v>774</v>
      </c>
      <c r="G206" s="164" t="s">
        <v>346</v>
      </c>
      <c r="H206" s="165" t="s">
        <v>347</v>
      </c>
      <c r="I206" s="166">
        <v>13.0</v>
      </c>
      <c r="J206" s="167" t="s">
        <v>767</v>
      </c>
      <c r="K206" s="27" t="str">
        <f t="shared" si="11"/>
        <v>OCUPADO</v>
      </c>
      <c r="L206" s="28">
        <f>IF(B197&lt;&gt;"", ROW(A197), "")
</f>
        <v>197</v>
      </c>
      <c r="M206" s="28" t="s">
        <v>501</v>
      </c>
      <c r="N206" s="109"/>
      <c r="O206" s="168" t="s">
        <v>270</v>
      </c>
    </row>
    <row r="207">
      <c r="A207" s="158">
        <v>4.0</v>
      </c>
      <c r="B207" s="159" t="s">
        <v>254</v>
      </c>
      <c r="C207" s="160" t="s">
        <v>132</v>
      </c>
      <c r="D207" s="161" t="str">
        <f t="shared" si="1"/>
        <v>4-R-1B</v>
      </c>
      <c r="E207" s="162">
        <v>45735.0</v>
      </c>
      <c r="F207" s="163" t="s">
        <v>19</v>
      </c>
      <c r="G207" s="164" t="s">
        <v>346</v>
      </c>
      <c r="H207" s="165" t="s">
        <v>347</v>
      </c>
      <c r="I207" s="166">
        <v>576.0</v>
      </c>
      <c r="J207" s="167" t="s">
        <v>274</v>
      </c>
      <c r="K207" s="32" t="str">
        <f t="shared" si="11"/>
        <v>OCUPADO</v>
      </c>
      <c r="L207" s="33">
        <f t="shared" ref="L207:L283" si="13">IF(B206&lt;&gt;"", ROW(A206), "")
</f>
        <v>206</v>
      </c>
      <c r="M207" s="33" t="s">
        <v>501</v>
      </c>
      <c r="N207" s="122"/>
      <c r="O207" s="169" t="s">
        <v>270</v>
      </c>
    </row>
    <row r="208">
      <c r="A208" s="158">
        <v>4.0</v>
      </c>
      <c r="B208" s="159" t="s">
        <v>254</v>
      </c>
      <c r="C208" s="160" t="s">
        <v>560</v>
      </c>
      <c r="D208" s="161" t="str">
        <f t="shared" si="1"/>
        <v>4-R-1C</v>
      </c>
      <c r="E208" s="162">
        <v>45656.0</v>
      </c>
      <c r="F208" s="163" t="s">
        <v>19</v>
      </c>
      <c r="G208" s="164" t="s">
        <v>346</v>
      </c>
      <c r="H208" s="165" t="s">
        <v>347</v>
      </c>
      <c r="I208" s="166">
        <v>840.0</v>
      </c>
      <c r="J208" s="167" t="s">
        <v>274</v>
      </c>
      <c r="K208" s="27" t="str">
        <f t="shared" si="11"/>
        <v>OCUPADO</v>
      </c>
      <c r="L208" s="28">
        <f t="shared" si="13"/>
        <v>207</v>
      </c>
      <c r="M208" s="28" t="s">
        <v>501</v>
      </c>
      <c r="N208" s="109"/>
      <c r="O208" s="168" t="s">
        <v>270</v>
      </c>
    </row>
    <row r="209">
      <c r="A209" s="158">
        <v>4.0</v>
      </c>
      <c r="B209" s="159" t="s">
        <v>254</v>
      </c>
      <c r="C209" s="160" t="s">
        <v>124</v>
      </c>
      <c r="D209" s="161" t="str">
        <f t="shared" si="1"/>
        <v>4-R-2A</v>
      </c>
      <c r="E209" s="162">
        <v>45694.0</v>
      </c>
      <c r="F209" s="163" t="s">
        <v>702</v>
      </c>
      <c r="G209" s="164" t="s">
        <v>330</v>
      </c>
      <c r="H209" s="165" t="s">
        <v>331</v>
      </c>
      <c r="I209" s="166">
        <v>31.0</v>
      </c>
      <c r="J209" s="167" t="s">
        <v>43</v>
      </c>
      <c r="K209" s="32" t="str">
        <f t="shared" si="11"/>
        <v>OCUPADO</v>
      </c>
      <c r="L209" s="33">
        <f t="shared" si="13"/>
        <v>208</v>
      </c>
      <c r="M209" s="33" t="s">
        <v>501</v>
      </c>
      <c r="N209" s="122"/>
      <c r="O209" s="169" t="s">
        <v>270</v>
      </c>
    </row>
    <row r="210">
      <c r="A210" s="158">
        <v>4.0</v>
      </c>
      <c r="B210" s="159" t="s">
        <v>254</v>
      </c>
      <c r="C210" s="160" t="s">
        <v>140</v>
      </c>
      <c r="D210" s="161" t="str">
        <f t="shared" si="1"/>
        <v>4-R-2B</v>
      </c>
      <c r="E210" s="162">
        <v>45688.0</v>
      </c>
      <c r="F210" s="163" t="s">
        <v>702</v>
      </c>
      <c r="G210" s="164" t="s">
        <v>330</v>
      </c>
      <c r="H210" s="165" t="s">
        <v>331</v>
      </c>
      <c r="I210" s="166">
        <v>171.0</v>
      </c>
      <c r="J210" s="167" t="s">
        <v>43</v>
      </c>
      <c r="K210" s="27" t="str">
        <f t="shared" si="11"/>
        <v>OCUPADO</v>
      </c>
      <c r="L210" s="28">
        <f t="shared" si="13"/>
        <v>209</v>
      </c>
      <c r="M210" s="28" t="s">
        <v>501</v>
      </c>
      <c r="N210" s="109"/>
      <c r="O210" s="168" t="s">
        <v>270</v>
      </c>
    </row>
    <row r="211">
      <c r="A211" s="158">
        <v>4.0</v>
      </c>
      <c r="B211" s="159" t="s">
        <v>254</v>
      </c>
      <c r="C211" s="160" t="s">
        <v>130</v>
      </c>
      <c r="D211" s="161" t="str">
        <f t="shared" si="1"/>
        <v>4-R-3A</v>
      </c>
      <c r="E211" s="103"/>
      <c r="F211" s="104"/>
      <c r="G211" s="105"/>
      <c r="H211" s="106"/>
      <c r="I211" s="107"/>
      <c r="J211" s="108"/>
      <c r="K211" s="32" t="str">
        <f t="shared" si="11"/>
        <v>DISPONIBLE</v>
      </c>
      <c r="L211" s="33">
        <f t="shared" si="13"/>
        <v>210</v>
      </c>
      <c r="M211" s="33" t="s">
        <v>501</v>
      </c>
      <c r="N211" s="122"/>
      <c r="O211" s="169"/>
    </row>
    <row r="212">
      <c r="A212" s="158">
        <v>4.0</v>
      </c>
      <c r="B212" s="159" t="s">
        <v>254</v>
      </c>
      <c r="C212" s="160" t="s">
        <v>148</v>
      </c>
      <c r="D212" s="161" t="str">
        <f t="shared" si="1"/>
        <v>4-R-3B</v>
      </c>
      <c r="E212" s="162">
        <v>45694.0</v>
      </c>
      <c r="F212" s="163" t="s">
        <v>702</v>
      </c>
      <c r="G212" s="164" t="s">
        <v>330</v>
      </c>
      <c r="H212" s="165" t="s">
        <v>331</v>
      </c>
      <c r="I212" s="166">
        <v>163.0</v>
      </c>
      <c r="J212" s="167" t="s">
        <v>43</v>
      </c>
      <c r="K212" s="27" t="str">
        <f t="shared" si="11"/>
        <v>OCUPADO</v>
      </c>
      <c r="L212" s="28">
        <f t="shared" si="13"/>
        <v>211</v>
      </c>
      <c r="M212" s="28" t="s">
        <v>501</v>
      </c>
      <c r="N212" s="109"/>
      <c r="O212" s="168" t="s">
        <v>270</v>
      </c>
    </row>
    <row r="213">
      <c r="A213" s="158">
        <v>4.0</v>
      </c>
      <c r="B213" s="159" t="s">
        <v>254</v>
      </c>
      <c r="C213" s="160" t="s">
        <v>145</v>
      </c>
      <c r="D213" s="161" t="str">
        <f t="shared" si="1"/>
        <v>4-R-4A</v>
      </c>
      <c r="E213" s="78">
        <v>45694.0</v>
      </c>
      <c r="F213" s="88" t="s">
        <v>702</v>
      </c>
      <c r="G213" s="164" t="s">
        <v>330</v>
      </c>
      <c r="H213" s="165" t="s">
        <v>331</v>
      </c>
      <c r="I213" s="166">
        <v>6.0</v>
      </c>
      <c r="J213" s="167" t="s">
        <v>43</v>
      </c>
      <c r="K213" s="32" t="str">
        <f t="shared" si="11"/>
        <v>OCUPADO</v>
      </c>
      <c r="L213" s="33">
        <f t="shared" si="13"/>
        <v>212</v>
      </c>
      <c r="M213" s="33" t="s">
        <v>501</v>
      </c>
      <c r="N213" s="122"/>
      <c r="O213" s="169" t="s">
        <v>270</v>
      </c>
    </row>
    <row r="214">
      <c r="A214" s="158">
        <v>4.0</v>
      </c>
      <c r="B214" s="159" t="s">
        <v>254</v>
      </c>
      <c r="C214" s="160" t="s">
        <v>181</v>
      </c>
      <c r="D214" s="161" t="str">
        <f t="shared" si="1"/>
        <v>4-R-4B</v>
      </c>
      <c r="E214" s="78">
        <v>45652.0</v>
      </c>
      <c r="F214" s="88" t="s">
        <v>19</v>
      </c>
      <c r="G214" s="164" t="s">
        <v>301</v>
      </c>
      <c r="H214" s="165" t="s">
        <v>302</v>
      </c>
      <c r="I214" s="166">
        <v>5.0</v>
      </c>
      <c r="J214" s="167" t="s">
        <v>274</v>
      </c>
      <c r="K214" s="27" t="str">
        <f t="shared" si="11"/>
        <v>OCUPADO</v>
      </c>
      <c r="L214" s="28">
        <f t="shared" si="13"/>
        <v>213</v>
      </c>
      <c r="M214" s="28" t="s">
        <v>501</v>
      </c>
      <c r="N214" s="109"/>
      <c r="O214" s="168" t="s">
        <v>270</v>
      </c>
    </row>
    <row r="215">
      <c r="A215" s="158">
        <v>4.0</v>
      </c>
      <c r="B215" s="159" t="s">
        <v>254</v>
      </c>
      <c r="C215" s="160" t="s">
        <v>188</v>
      </c>
      <c r="D215" s="161" t="str">
        <f t="shared" si="1"/>
        <v>4-R-5A</v>
      </c>
      <c r="E215" s="162">
        <v>45721.0</v>
      </c>
      <c r="F215" s="163" t="s">
        <v>775</v>
      </c>
      <c r="G215" s="164" t="s">
        <v>96</v>
      </c>
      <c r="H215" s="165" t="s">
        <v>97</v>
      </c>
      <c r="I215" s="166">
        <v>2.0</v>
      </c>
      <c r="J215" s="167" t="s">
        <v>274</v>
      </c>
      <c r="K215" s="32" t="str">
        <f t="shared" si="11"/>
        <v>OCUPADO</v>
      </c>
      <c r="L215" s="33">
        <f t="shared" si="13"/>
        <v>214</v>
      </c>
      <c r="M215" s="33" t="s">
        <v>501</v>
      </c>
      <c r="N215" s="122"/>
      <c r="O215" s="169" t="s">
        <v>270</v>
      </c>
    </row>
    <row r="216">
      <c r="A216" s="158">
        <v>4.0</v>
      </c>
      <c r="B216" s="159" t="s">
        <v>254</v>
      </c>
      <c r="C216" s="160" t="s">
        <v>192</v>
      </c>
      <c r="D216" s="161" t="str">
        <f t="shared" si="1"/>
        <v>4-R-5B</v>
      </c>
      <c r="E216" s="162">
        <v>45751.0</v>
      </c>
      <c r="F216" s="163" t="s">
        <v>19</v>
      </c>
      <c r="G216" s="164" t="s">
        <v>41</v>
      </c>
      <c r="H216" s="165" t="s">
        <v>42</v>
      </c>
      <c r="I216" s="166">
        <v>8.0</v>
      </c>
      <c r="J216" s="167" t="s">
        <v>43</v>
      </c>
      <c r="K216" s="27" t="str">
        <f t="shared" si="11"/>
        <v>OCUPADO</v>
      </c>
      <c r="L216" s="28">
        <f t="shared" si="13"/>
        <v>215</v>
      </c>
      <c r="M216" s="28" t="s">
        <v>501</v>
      </c>
      <c r="N216" s="109"/>
      <c r="O216" s="168" t="s">
        <v>270</v>
      </c>
    </row>
    <row r="217">
      <c r="A217" s="158">
        <v>4.0</v>
      </c>
      <c r="B217" s="159" t="s">
        <v>254</v>
      </c>
      <c r="C217" s="160" t="s">
        <v>570</v>
      </c>
      <c r="D217" s="161" t="str">
        <f t="shared" si="1"/>
        <v>4-R-6A</v>
      </c>
      <c r="E217" s="162">
        <v>45729.0</v>
      </c>
      <c r="F217" s="163" t="s">
        <v>776</v>
      </c>
      <c r="G217" s="164" t="s">
        <v>294</v>
      </c>
      <c r="H217" s="165" t="s">
        <v>295</v>
      </c>
      <c r="I217" s="166">
        <v>4.0</v>
      </c>
      <c r="J217" s="167" t="s">
        <v>274</v>
      </c>
      <c r="K217" s="32" t="str">
        <f t="shared" si="11"/>
        <v>OCUPADO</v>
      </c>
      <c r="L217" s="33">
        <f t="shared" si="13"/>
        <v>216</v>
      </c>
      <c r="M217" s="33" t="s">
        <v>501</v>
      </c>
      <c r="N217" s="122"/>
      <c r="O217" s="169" t="s">
        <v>270</v>
      </c>
    </row>
    <row r="218">
      <c r="A218" s="158">
        <v>4.0</v>
      </c>
      <c r="B218" s="159" t="s">
        <v>254</v>
      </c>
      <c r="C218" s="160" t="s">
        <v>573</v>
      </c>
      <c r="D218" s="161" t="str">
        <f t="shared" si="1"/>
        <v>4-R-6B</v>
      </c>
      <c r="E218" s="162">
        <v>45730.0</v>
      </c>
      <c r="F218" s="163" t="s">
        <v>776</v>
      </c>
      <c r="G218" s="164" t="s">
        <v>294</v>
      </c>
      <c r="H218" s="165" t="s">
        <v>295</v>
      </c>
      <c r="I218" s="166">
        <v>29.0</v>
      </c>
      <c r="J218" s="167" t="s">
        <v>274</v>
      </c>
      <c r="K218" s="27" t="str">
        <f t="shared" si="11"/>
        <v>OCUPADO</v>
      </c>
      <c r="L218" s="28">
        <f t="shared" si="13"/>
        <v>217</v>
      </c>
      <c r="M218" s="28" t="s">
        <v>501</v>
      </c>
      <c r="N218" s="109"/>
      <c r="O218" s="168" t="s">
        <v>270</v>
      </c>
    </row>
    <row r="219">
      <c r="A219" s="158">
        <v>4.0</v>
      </c>
      <c r="B219" s="159" t="s">
        <v>254</v>
      </c>
      <c r="C219" s="160" t="s">
        <v>576</v>
      </c>
      <c r="D219" s="161" t="str">
        <f t="shared" si="1"/>
        <v>4-R-7A</v>
      </c>
      <c r="E219" s="162">
        <v>45721.0</v>
      </c>
      <c r="F219" s="163" t="s">
        <v>705</v>
      </c>
      <c r="G219" s="164" t="s">
        <v>238</v>
      </c>
      <c r="H219" s="165" t="s">
        <v>239</v>
      </c>
      <c r="I219" s="166">
        <v>5.0</v>
      </c>
      <c r="J219" s="167" t="s">
        <v>43</v>
      </c>
      <c r="K219" s="32" t="str">
        <f t="shared" si="11"/>
        <v>OCUPADO</v>
      </c>
      <c r="L219" s="33">
        <f t="shared" si="13"/>
        <v>218</v>
      </c>
      <c r="M219" s="33" t="s">
        <v>501</v>
      </c>
      <c r="N219" s="122"/>
      <c r="O219" s="169" t="s">
        <v>270</v>
      </c>
    </row>
    <row r="220">
      <c r="A220" s="158">
        <v>4.0</v>
      </c>
      <c r="B220" s="159" t="s">
        <v>254</v>
      </c>
      <c r="C220" s="160" t="s">
        <v>580</v>
      </c>
      <c r="D220" s="161" t="str">
        <f t="shared" si="1"/>
        <v>4-R-7B</v>
      </c>
      <c r="E220" s="78">
        <v>45721.0</v>
      </c>
      <c r="F220" s="88" t="s">
        <v>705</v>
      </c>
      <c r="G220" s="80" t="s">
        <v>238</v>
      </c>
      <c r="H220" s="81" t="s">
        <v>239</v>
      </c>
      <c r="I220" s="82">
        <v>118.0</v>
      </c>
      <c r="J220" s="179" t="s">
        <v>43</v>
      </c>
      <c r="K220" s="27" t="str">
        <f t="shared" si="11"/>
        <v>OCUPADO</v>
      </c>
      <c r="L220" s="28">
        <f t="shared" si="13"/>
        <v>219</v>
      </c>
      <c r="M220" s="28" t="s">
        <v>501</v>
      </c>
      <c r="N220" s="109"/>
      <c r="O220" s="168" t="s">
        <v>270</v>
      </c>
    </row>
    <row r="221">
      <c r="A221" s="158">
        <v>4.0</v>
      </c>
      <c r="B221" s="159" t="s">
        <v>254</v>
      </c>
      <c r="C221" s="160" t="s">
        <v>583</v>
      </c>
      <c r="D221" s="161" t="str">
        <f t="shared" si="1"/>
        <v>4-R-9A</v>
      </c>
      <c r="E221" s="78">
        <v>45751.0</v>
      </c>
      <c r="F221" s="88" t="s">
        <v>19</v>
      </c>
      <c r="G221" s="80" t="s">
        <v>41</v>
      </c>
      <c r="H221" s="81" t="s">
        <v>42</v>
      </c>
      <c r="I221" s="82">
        <v>6.0</v>
      </c>
      <c r="J221" s="179" t="s">
        <v>43</v>
      </c>
      <c r="K221" s="32" t="str">
        <f t="shared" si="11"/>
        <v>OCUPADO</v>
      </c>
      <c r="L221" s="33">
        <f t="shared" si="13"/>
        <v>220</v>
      </c>
      <c r="M221" s="33" t="s">
        <v>501</v>
      </c>
      <c r="N221" s="122"/>
      <c r="O221" s="169" t="s">
        <v>270</v>
      </c>
    </row>
    <row r="222">
      <c r="A222" s="158">
        <v>4.0</v>
      </c>
      <c r="B222" s="159" t="s">
        <v>254</v>
      </c>
      <c r="C222" s="160" t="s">
        <v>586</v>
      </c>
      <c r="D222" s="161" t="str">
        <f t="shared" si="1"/>
        <v>4-R-9B</v>
      </c>
      <c r="E222" s="78">
        <v>45625.0</v>
      </c>
      <c r="F222" s="88" t="s">
        <v>19</v>
      </c>
      <c r="G222" s="80" t="s">
        <v>41</v>
      </c>
      <c r="H222" s="81" t="s">
        <v>42</v>
      </c>
      <c r="I222" s="82">
        <v>40.0</v>
      </c>
      <c r="J222" s="179" t="s">
        <v>43</v>
      </c>
      <c r="K222" s="27" t="str">
        <f t="shared" si="11"/>
        <v>OCUPADO</v>
      </c>
      <c r="L222" s="28">
        <f t="shared" si="13"/>
        <v>221</v>
      </c>
      <c r="M222" s="28" t="s">
        <v>501</v>
      </c>
      <c r="N222" s="109"/>
      <c r="O222" s="168" t="s">
        <v>270</v>
      </c>
    </row>
    <row r="223">
      <c r="A223" s="158">
        <v>4.0</v>
      </c>
      <c r="B223" s="159" t="s">
        <v>254</v>
      </c>
      <c r="C223" s="160" t="s">
        <v>554</v>
      </c>
      <c r="D223" s="161" t="str">
        <f t="shared" si="1"/>
        <v>4-R-10A</v>
      </c>
      <c r="E223" s="78">
        <v>45751.0</v>
      </c>
      <c r="F223" s="88" t="s">
        <v>600</v>
      </c>
      <c r="G223" s="80" t="s">
        <v>325</v>
      </c>
      <c r="H223" s="81" t="s">
        <v>326</v>
      </c>
      <c r="I223" s="82">
        <v>80.0</v>
      </c>
      <c r="J223" s="81" t="s">
        <v>43</v>
      </c>
      <c r="K223" s="32" t="str">
        <f t="shared" si="11"/>
        <v>OCUPADO</v>
      </c>
      <c r="L223" s="33">
        <f t="shared" si="13"/>
        <v>222</v>
      </c>
      <c r="M223" s="33" t="s">
        <v>501</v>
      </c>
      <c r="N223" s="122"/>
      <c r="O223" s="169" t="s">
        <v>270</v>
      </c>
    </row>
    <row r="224">
      <c r="A224" s="180">
        <v>4.0</v>
      </c>
      <c r="B224" s="181" t="s">
        <v>254</v>
      </c>
      <c r="C224" s="182" t="s">
        <v>556</v>
      </c>
      <c r="D224" s="183" t="str">
        <f t="shared" si="1"/>
        <v>4-R-10B</v>
      </c>
      <c r="E224" s="184">
        <v>45751.0</v>
      </c>
      <c r="F224" s="185" t="s">
        <v>600</v>
      </c>
      <c r="G224" s="186" t="s">
        <v>325</v>
      </c>
      <c r="H224" s="187" t="s">
        <v>326</v>
      </c>
      <c r="I224" s="188">
        <v>160.0</v>
      </c>
      <c r="J224" s="187" t="s">
        <v>43</v>
      </c>
      <c r="K224" s="63" t="str">
        <f t="shared" si="11"/>
        <v>OCUPADO</v>
      </c>
      <c r="L224" s="64">
        <f t="shared" si="13"/>
        <v>223</v>
      </c>
      <c r="M224" s="64" t="s">
        <v>501</v>
      </c>
      <c r="N224" s="65"/>
      <c r="O224" s="66" t="s">
        <v>270</v>
      </c>
    </row>
    <row r="225">
      <c r="A225" s="189" t="s">
        <v>480</v>
      </c>
      <c r="B225" s="190" t="s">
        <v>18</v>
      </c>
      <c r="C225" s="190" t="s">
        <v>18</v>
      </c>
      <c r="D225" s="191" t="str">
        <f t="shared" si="1"/>
        <v>ANDEN-1-1</v>
      </c>
      <c r="E225" s="35">
        <v>45751.0</v>
      </c>
      <c r="F225" s="36" t="s">
        <v>766</v>
      </c>
      <c r="G225" s="23" t="s">
        <v>137</v>
      </c>
      <c r="H225" s="38" t="s">
        <v>138</v>
      </c>
      <c r="I225" s="39">
        <v>166.0</v>
      </c>
      <c r="J225" s="38" t="s">
        <v>22</v>
      </c>
      <c r="K225" s="32" t="str">
        <f t="shared" si="11"/>
        <v>OCUPADO</v>
      </c>
      <c r="L225" s="33">
        <f t="shared" si="13"/>
        <v>224</v>
      </c>
      <c r="M225" s="33" t="s">
        <v>23</v>
      </c>
      <c r="N225" s="53"/>
      <c r="O225" s="34" t="s">
        <v>24</v>
      </c>
    </row>
    <row r="226">
      <c r="A226" s="189" t="s">
        <v>480</v>
      </c>
      <c r="B226" s="190" t="s">
        <v>18</v>
      </c>
      <c r="C226" s="190" t="s">
        <v>32</v>
      </c>
      <c r="D226" s="191" t="str">
        <f t="shared" si="1"/>
        <v>ANDEN-1-2</v>
      </c>
      <c r="E226" s="35">
        <v>45751.0</v>
      </c>
      <c r="F226" s="36" t="s">
        <v>716</v>
      </c>
      <c r="G226" s="37" t="s">
        <v>46</v>
      </c>
      <c r="H226" s="38" t="s">
        <v>47</v>
      </c>
      <c r="I226" s="39">
        <v>795.0</v>
      </c>
      <c r="J226" s="38" t="s">
        <v>22</v>
      </c>
      <c r="K226" s="27" t="str">
        <f t="shared" ref="K226:K232" si="14">IF(ISBLANK(#REF!),"DISPONIBLE","OCUPADO")</f>
        <v>OCUPADO</v>
      </c>
      <c r="L226" s="28">
        <f t="shared" si="13"/>
        <v>225</v>
      </c>
      <c r="M226" s="28" t="s">
        <v>23</v>
      </c>
      <c r="N226" s="70"/>
      <c r="O226" s="29" t="s">
        <v>24</v>
      </c>
    </row>
    <row r="227">
      <c r="A227" s="189" t="s">
        <v>480</v>
      </c>
      <c r="B227" s="190" t="s">
        <v>18</v>
      </c>
      <c r="C227" s="190" t="s">
        <v>44</v>
      </c>
      <c r="D227" s="191" t="str">
        <f t="shared" si="1"/>
        <v>ANDEN-1-3</v>
      </c>
      <c r="E227" s="83"/>
      <c r="F227" s="150"/>
      <c r="G227" s="85"/>
      <c r="H227" s="49"/>
      <c r="I227" s="86"/>
      <c r="J227" s="49"/>
      <c r="K227" s="32" t="str">
        <f t="shared" si="14"/>
        <v>OCUPADO</v>
      </c>
      <c r="L227" s="33">
        <f t="shared" si="13"/>
        <v>226</v>
      </c>
      <c r="M227" s="33" t="s">
        <v>23</v>
      </c>
      <c r="N227" s="53"/>
      <c r="O227" s="34"/>
    </row>
    <row r="228">
      <c r="A228" s="189" t="s">
        <v>480</v>
      </c>
      <c r="B228" s="190" t="s">
        <v>18</v>
      </c>
      <c r="C228" s="190" t="s">
        <v>53</v>
      </c>
      <c r="D228" s="191" t="str">
        <f t="shared" si="1"/>
        <v>ANDEN-1-4</v>
      </c>
      <c r="E228" s="21">
        <v>45751.0</v>
      </c>
      <c r="F228" s="36" t="s">
        <v>766</v>
      </c>
      <c r="G228" s="23" t="s">
        <v>137</v>
      </c>
      <c r="H228" s="38" t="s">
        <v>138</v>
      </c>
      <c r="I228" s="39">
        <v>225.0</v>
      </c>
      <c r="J228" s="38" t="s">
        <v>22</v>
      </c>
      <c r="K228" s="27" t="str">
        <f t="shared" si="14"/>
        <v>OCUPADO</v>
      </c>
      <c r="L228" s="28">
        <f t="shared" si="13"/>
        <v>227</v>
      </c>
      <c r="M228" s="28" t="s">
        <v>23</v>
      </c>
      <c r="N228" s="70"/>
      <c r="O228" s="29" t="s">
        <v>24</v>
      </c>
    </row>
    <row r="229">
      <c r="A229" s="189" t="s">
        <v>480</v>
      </c>
      <c r="B229" s="190" t="s">
        <v>18</v>
      </c>
      <c r="C229" s="190" t="s">
        <v>25</v>
      </c>
      <c r="D229" s="191" t="str">
        <f t="shared" si="1"/>
        <v>ANDEN-1-5</v>
      </c>
      <c r="E229" s="193">
        <v>45751.0</v>
      </c>
      <c r="F229" s="194" t="s">
        <v>98</v>
      </c>
      <c r="G229" s="195" t="s">
        <v>63</v>
      </c>
      <c r="H229" s="196" t="s">
        <v>64</v>
      </c>
      <c r="I229" s="197">
        <v>718.0</v>
      </c>
      <c r="J229" s="196" t="s">
        <v>22</v>
      </c>
      <c r="K229" s="32" t="str">
        <f t="shared" si="14"/>
        <v>OCUPADO</v>
      </c>
      <c r="L229" s="33">
        <f t="shared" si="13"/>
        <v>228</v>
      </c>
      <c r="M229" s="33" t="s">
        <v>23</v>
      </c>
      <c r="N229" s="53"/>
      <c r="O229" s="34" t="s">
        <v>24</v>
      </c>
    </row>
    <row r="230">
      <c r="A230" s="189" t="s">
        <v>480</v>
      </c>
      <c r="B230" s="190" t="s">
        <v>18</v>
      </c>
      <c r="C230" s="190" t="s">
        <v>36</v>
      </c>
      <c r="D230" s="191" t="str">
        <f t="shared" si="1"/>
        <v>ANDEN-1-6</v>
      </c>
      <c r="E230" s="193">
        <v>45751.0</v>
      </c>
      <c r="F230" s="194" t="s">
        <v>98</v>
      </c>
      <c r="G230" s="195" t="s">
        <v>63</v>
      </c>
      <c r="H230" s="196" t="s">
        <v>64</v>
      </c>
      <c r="I230" s="197">
        <v>716.0</v>
      </c>
      <c r="J230" s="196" t="s">
        <v>22</v>
      </c>
      <c r="K230" s="27" t="str">
        <f t="shared" si="14"/>
        <v>OCUPADO</v>
      </c>
      <c r="L230" s="28">
        <f t="shared" si="13"/>
        <v>229</v>
      </c>
      <c r="M230" s="28" t="s">
        <v>23</v>
      </c>
      <c r="N230" s="70"/>
      <c r="O230" s="29" t="s">
        <v>24</v>
      </c>
    </row>
    <row r="231">
      <c r="A231" s="189" t="s">
        <v>480</v>
      </c>
      <c r="B231" s="190" t="s">
        <v>18</v>
      </c>
      <c r="C231" s="190" t="s">
        <v>48</v>
      </c>
      <c r="D231" s="191" t="str">
        <f t="shared" si="1"/>
        <v>ANDEN-1-7</v>
      </c>
      <c r="E231" s="193">
        <v>45751.0</v>
      </c>
      <c r="F231" s="194" t="s">
        <v>98</v>
      </c>
      <c r="G231" s="195" t="s">
        <v>63</v>
      </c>
      <c r="H231" s="196" t="s">
        <v>64</v>
      </c>
      <c r="I231" s="197">
        <v>716.0</v>
      </c>
      <c r="J231" s="196" t="s">
        <v>22</v>
      </c>
      <c r="K231" s="32" t="str">
        <f t="shared" si="14"/>
        <v>OCUPADO</v>
      </c>
      <c r="L231" s="33">
        <f t="shared" si="13"/>
        <v>230</v>
      </c>
      <c r="M231" s="33" t="s">
        <v>23</v>
      </c>
      <c r="N231" s="53"/>
      <c r="O231" s="34" t="s">
        <v>24</v>
      </c>
    </row>
    <row r="232">
      <c r="A232" s="189" t="s">
        <v>480</v>
      </c>
      <c r="B232" s="190" t="s">
        <v>18</v>
      </c>
      <c r="C232" s="190" t="s">
        <v>465</v>
      </c>
      <c r="D232" s="191" t="str">
        <f t="shared" si="1"/>
        <v>ANDEN-1-8</v>
      </c>
      <c r="E232" s="35">
        <v>45751.0</v>
      </c>
      <c r="F232" s="36" t="s">
        <v>358</v>
      </c>
      <c r="G232" s="23" t="s">
        <v>137</v>
      </c>
      <c r="H232" s="38" t="s">
        <v>138</v>
      </c>
      <c r="I232" s="39">
        <v>225.0</v>
      </c>
      <c r="J232" s="38" t="s">
        <v>22</v>
      </c>
      <c r="K232" s="27" t="str">
        <f t="shared" si="14"/>
        <v>OCUPADO</v>
      </c>
      <c r="L232" s="28">
        <f t="shared" si="13"/>
        <v>231</v>
      </c>
      <c r="M232" s="28" t="s">
        <v>23</v>
      </c>
      <c r="N232" s="70"/>
      <c r="O232" s="29" t="s">
        <v>24</v>
      </c>
    </row>
    <row r="233">
      <c r="A233" s="189" t="s">
        <v>480</v>
      </c>
      <c r="B233" s="190" t="s">
        <v>18</v>
      </c>
      <c r="C233" s="190" t="s">
        <v>511</v>
      </c>
      <c r="D233" s="191" t="str">
        <f t="shared" si="1"/>
        <v>ANDEN-1-9</v>
      </c>
      <c r="E233" s="317">
        <v>45751.0</v>
      </c>
      <c r="F233" s="318" t="s">
        <v>358</v>
      </c>
      <c r="G233" s="319" t="s">
        <v>137</v>
      </c>
      <c r="H233" s="320" t="s">
        <v>138</v>
      </c>
      <c r="I233" s="321">
        <v>225.0</v>
      </c>
      <c r="J233" s="320" t="s">
        <v>22</v>
      </c>
      <c r="K233" s="32" t="str">
        <f t="shared" ref="K233:K234" si="15">IF(ISBLANK(E226),"DISPONIBLE","OCUPADO")</f>
        <v>OCUPADO</v>
      </c>
      <c r="L233" s="33">
        <f t="shared" si="13"/>
        <v>232</v>
      </c>
      <c r="M233" s="33" t="s">
        <v>23</v>
      </c>
      <c r="N233" s="53"/>
      <c r="O233" s="34" t="s">
        <v>24</v>
      </c>
    </row>
    <row r="234">
      <c r="A234" s="189" t="s">
        <v>480</v>
      </c>
      <c r="B234" s="190" t="s">
        <v>18</v>
      </c>
      <c r="C234" s="190" t="s">
        <v>296</v>
      </c>
      <c r="D234" s="191" t="str">
        <f t="shared" si="1"/>
        <v>ANDEN-1-10</v>
      </c>
      <c r="E234" s="78">
        <v>45751.0</v>
      </c>
      <c r="F234" s="88" t="s">
        <v>121</v>
      </c>
      <c r="G234" s="80" t="s">
        <v>77</v>
      </c>
      <c r="H234" s="81" t="s">
        <v>78</v>
      </c>
      <c r="I234" s="82">
        <v>700.0</v>
      </c>
      <c r="J234" s="81" t="s">
        <v>22</v>
      </c>
      <c r="K234" s="27" t="str">
        <f t="shared" si="15"/>
        <v>DISPONIBLE</v>
      </c>
      <c r="L234" s="28">
        <f t="shared" si="13"/>
        <v>233</v>
      </c>
      <c r="M234" s="28" t="s">
        <v>23</v>
      </c>
      <c r="N234" s="70"/>
      <c r="O234" s="29" t="s">
        <v>24</v>
      </c>
    </row>
    <row r="235">
      <c r="A235" s="189" t="s">
        <v>480</v>
      </c>
      <c r="B235" s="190" t="s">
        <v>18</v>
      </c>
      <c r="C235" s="190" t="s">
        <v>316</v>
      </c>
      <c r="D235" s="203" t="str">
        <f t="shared" si="1"/>
        <v>ANDEN-1-11</v>
      </c>
      <c r="E235" s="204">
        <v>45733.0</v>
      </c>
      <c r="F235" s="36" t="s">
        <v>19</v>
      </c>
      <c r="G235" s="37" t="s">
        <v>114</v>
      </c>
      <c r="H235" s="38" t="s">
        <v>115</v>
      </c>
      <c r="I235" s="39">
        <v>510.0</v>
      </c>
      <c r="J235" s="205" t="s">
        <v>22</v>
      </c>
      <c r="K235" s="350" t="str">
        <f>IF(ISBLANK(#REF!),"DISPONIBLE","OCUPADO")</f>
        <v>OCUPADO</v>
      </c>
      <c r="L235" s="33">
        <f t="shared" si="13"/>
        <v>234</v>
      </c>
      <c r="M235" s="33" t="s">
        <v>23</v>
      </c>
      <c r="N235" s="53"/>
      <c r="O235" s="34" t="s">
        <v>24</v>
      </c>
    </row>
    <row r="236">
      <c r="A236" s="189" t="s">
        <v>480</v>
      </c>
      <c r="B236" s="190" t="s">
        <v>18</v>
      </c>
      <c r="C236" s="190" t="s">
        <v>336</v>
      </c>
      <c r="D236" s="191" t="str">
        <f t="shared" si="1"/>
        <v>ANDEN-1-12</v>
      </c>
      <c r="E236" s="78">
        <v>45751.0</v>
      </c>
      <c r="F236" s="88" t="s">
        <v>121</v>
      </c>
      <c r="G236" s="80" t="s">
        <v>77</v>
      </c>
      <c r="H236" s="81" t="s">
        <v>78</v>
      </c>
      <c r="I236" s="82">
        <v>600.0</v>
      </c>
      <c r="J236" s="81" t="s">
        <v>22</v>
      </c>
      <c r="K236" s="27" t="str">
        <f>IF(ISBLANK(E228),"DISPONIBLE","OCUPADO")</f>
        <v>OCUPADO</v>
      </c>
      <c r="L236" s="28">
        <f t="shared" si="13"/>
        <v>235</v>
      </c>
      <c r="M236" s="28" t="s">
        <v>23</v>
      </c>
      <c r="N236" s="28" t="s">
        <v>777</v>
      </c>
      <c r="O236" s="29" t="s">
        <v>24</v>
      </c>
    </row>
    <row r="237">
      <c r="A237" s="189" t="s">
        <v>480</v>
      </c>
      <c r="B237" s="190" t="s">
        <v>18</v>
      </c>
      <c r="C237" s="190" t="s">
        <v>350</v>
      </c>
      <c r="D237" s="191" t="str">
        <f t="shared" si="1"/>
        <v>ANDEN-1-13</v>
      </c>
      <c r="E237" s="78">
        <v>45751.0</v>
      </c>
      <c r="F237" s="88" t="s">
        <v>121</v>
      </c>
      <c r="G237" s="80" t="s">
        <v>77</v>
      </c>
      <c r="H237" s="81" t="s">
        <v>78</v>
      </c>
      <c r="I237" s="82">
        <v>996.0</v>
      </c>
      <c r="J237" s="81" t="s">
        <v>22</v>
      </c>
      <c r="K237" s="32" t="str">
        <f t="shared" ref="K237:K238" si="16">IF(ISBLANK(E237),"DISPONIBLE","OCUPADO")</f>
        <v>OCUPADO</v>
      </c>
      <c r="L237" s="33">
        <f t="shared" si="13"/>
        <v>236</v>
      </c>
      <c r="M237" s="33" t="s">
        <v>23</v>
      </c>
      <c r="N237" s="33" t="s">
        <v>777</v>
      </c>
      <c r="O237" s="34" t="s">
        <v>24</v>
      </c>
    </row>
    <row r="238">
      <c r="A238" s="189" t="s">
        <v>480</v>
      </c>
      <c r="B238" s="190" t="s">
        <v>18</v>
      </c>
      <c r="C238" s="190" t="s">
        <v>362</v>
      </c>
      <c r="D238" s="191" t="str">
        <f t="shared" si="1"/>
        <v>ANDEN-1-14</v>
      </c>
      <c r="E238" s="78">
        <v>45751.0</v>
      </c>
      <c r="F238" s="88" t="s">
        <v>121</v>
      </c>
      <c r="G238" s="80" t="s">
        <v>77</v>
      </c>
      <c r="H238" s="81" t="s">
        <v>78</v>
      </c>
      <c r="I238" s="82">
        <v>790.0</v>
      </c>
      <c r="J238" s="81" t="s">
        <v>22</v>
      </c>
      <c r="K238" s="27" t="str">
        <f t="shared" si="16"/>
        <v>OCUPADO</v>
      </c>
      <c r="L238" s="28">
        <f t="shared" si="13"/>
        <v>237</v>
      </c>
      <c r="M238" s="28" t="s">
        <v>23</v>
      </c>
      <c r="N238" s="28" t="s">
        <v>777</v>
      </c>
      <c r="O238" s="29" t="s">
        <v>24</v>
      </c>
    </row>
    <row r="239">
      <c r="A239" s="189" t="s">
        <v>480</v>
      </c>
      <c r="B239" s="190" t="s">
        <v>18</v>
      </c>
      <c r="C239" s="190" t="s">
        <v>372</v>
      </c>
      <c r="D239" s="191" t="str">
        <f t="shared" si="1"/>
        <v>ANDEN-1-15</v>
      </c>
      <c r="E239" s="78">
        <v>45751.0</v>
      </c>
      <c r="F239" s="88" t="s">
        <v>121</v>
      </c>
      <c r="G239" s="80" t="s">
        <v>77</v>
      </c>
      <c r="H239" s="81" t="s">
        <v>78</v>
      </c>
      <c r="I239" s="82">
        <v>600.0</v>
      </c>
      <c r="J239" s="81" t="s">
        <v>22</v>
      </c>
      <c r="K239" s="32" t="str">
        <f t="shared" ref="K239:K243" si="17">IF(ISBLANK(E229),"DISPONIBLE","OCUPADO")</f>
        <v>OCUPADO</v>
      </c>
      <c r="L239" s="33">
        <f t="shared" si="13"/>
        <v>238</v>
      </c>
      <c r="M239" s="33" t="s">
        <v>23</v>
      </c>
      <c r="N239" s="33" t="s">
        <v>777</v>
      </c>
      <c r="O239" s="34" t="s">
        <v>24</v>
      </c>
    </row>
    <row r="240">
      <c r="A240" s="189" t="s">
        <v>480</v>
      </c>
      <c r="B240" s="190" t="s">
        <v>18</v>
      </c>
      <c r="C240" s="190" t="s">
        <v>382</v>
      </c>
      <c r="D240" s="191" t="str">
        <f t="shared" si="1"/>
        <v>ANDEN-1-16</v>
      </c>
      <c r="E240" s="78">
        <v>45751.0</v>
      </c>
      <c r="F240" s="88" t="s">
        <v>121</v>
      </c>
      <c r="G240" s="80" t="s">
        <v>77</v>
      </c>
      <c r="H240" s="81" t="s">
        <v>78</v>
      </c>
      <c r="I240" s="82">
        <v>600.0</v>
      </c>
      <c r="J240" s="81" t="s">
        <v>22</v>
      </c>
      <c r="K240" s="27" t="str">
        <f t="shared" si="17"/>
        <v>OCUPADO</v>
      </c>
      <c r="L240" s="28">
        <f t="shared" si="13"/>
        <v>239</v>
      </c>
      <c r="M240" s="28" t="s">
        <v>23</v>
      </c>
      <c r="N240" s="28" t="s">
        <v>777</v>
      </c>
      <c r="O240" s="29" t="s">
        <v>24</v>
      </c>
    </row>
    <row r="241">
      <c r="A241" s="189" t="s">
        <v>480</v>
      </c>
      <c r="B241" s="190" t="s">
        <v>18</v>
      </c>
      <c r="C241" s="190" t="s">
        <v>396</v>
      </c>
      <c r="D241" s="191" t="str">
        <f t="shared" si="1"/>
        <v>ANDEN-1-17</v>
      </c>
      <c r="E241" s="78">
        <v>45751.0</v>
      </c>
      <c r="F241" s="88" t="s">
        <v>121</v>
      </c>
      <c r="G241" s="80" t="s">
        <v>77</v>
      </c>
      <c r="H241" s="81" t="s">
        <v>78</v>
      </c>
      <c r="I241" s="82">
        <v>600.0</v>
      </c>
      <c r="J241" s="81" t="s">
        <v>22</v>
      </c>
      <c r="K241" s="32" t="str">
        <f t="shared" si="17"/>
        <v>OCUPADO</v>
      </c>
      <c r="L241" s="33">
        <f t="shared" si="13"/>
        <v>240</v>
      </c>
      <c r="M241" s="33" t="s">
        <v>23</v>
      </c>
      <c r="N241" s="33"/>
      <c r="O241" s="34" t="s">
        <v>24</v>
      </c>
    </row>
    <row r="242">
      <c r="A242" s="189" t="s">
        <v>480</v>
      </c>
      <c r="B242" s="190" t="s">
        <v>18</v>
      </c>
      <c r="C242" s="190" t="s">
        <v>411</v>
      </c>
      <c r="D242" s="191" t="str">
        <f t="shared" si="1"/>
        <v>ANDEN-1-18</v>
      </c>
      <c r="E242" s="146"/>
      <c r="F242" s="147"/>
      <c r="G242" s="148"/>
      <c r="H242" s="148"/>
      <c r="I242" s="149"/>
      <c r="J242" s="148"/>
      <c r="K242" s="27" t="str">
        <f t="shared" si="17"/>
        <v>OCUPADO</v>
      </c>
      <c r="L242" s="28">
        <f t="shared" si="13"/>
        <v>241</v>
      </c>
      <c r="M242" s="28" t="s">
        <v>23</v>
      </c>
      <c r="N242" s="28"/>
      <c r="O242" s="29"/>
    </row>
    <row r="243">
      <c r="A243" s="189" t="s">
        <v>480</v>
      </c>
      <c r="B243" s="190" t="s">
        <v>18</v>
      </c>
      <c r="C243" s="190" t="s">
        <v>425</v>
      </c>
      <c r="D243" s="191" t="str">
        <f t="shared" si="1"/>
        <v>ANDEN-1-19</v>
      </c>
      <c r="E243" s="146"/>
      <c r="F243" s="147"/>
      <c r="G243" s="148"/>
      <c r="H243" s="148"/>
      <c r="I243" s="149"/>
      <c r="J243" s="148"/>
      <c r="K243" s="32" t="str">
        <f t="shared" si="17"/>
        <v>OCUPADO</v>
      </c>
      <c r="L243" s="33">
        <f t="shared" si="13"/>
        <v>242</v>
      </c>
      <c r="M243" s="33" t="s">
        <v>23</v>
      </c>
      <c r="N243" s="53"/>
      <c r="O243" s="34"/>
    </row>
    <row r="244">
      <c r="A244" s="189" t="s">
        <v>480</v>
      </c>
      <c r="B244" s="190" t="s">
        <v>18</v>
      </c>
      <c r="C244" s="190" t="s">
        <v>451</v>
      </c>
      <c r="D244" s="191" t="str">
        <f t="shared" si="1"/>
        <v>ANDEN-1-20</v>
      </c>
      <c r="E244" s="146"/>
      <c r="F244" s="147"/>
      <c r="G244" s="148"/>
      <c r="H244" s="148"/>
      <c r="I244" s="149"/>
      <c r="J244" s="148"/>
      <c r="K244" s="27" t="str">
        <f>IF(ISBLANK(#REF!),"DISPONIBLE","OCUPADO")</f>
        <v>OCUPADO</v>
      </c>
      <c r="L244" s="28">
        <f t="shared" si="13"/>
        <v>243</v>
      </c>
      <c r="M244" s="28" t="s">
        <v>23</v>
      </c>
      <c r="N244" s="28"/>
      <c r="O244" s="29"/>
    </row>
    <row r="245">
      <c r="A245" s="210" t="s">
        <v>480</v>
      </c>
      <c r="B245" s="211" t="s">
        <v>18</v>
      </c>
      <c r="C245" s="211" t="s">
        <v>467</v>
      </c>
      <c r="D245" s="212" t="str">
        <f t="shared" si="1"/>
        <v>ANDEN-1-21</v>
      </c>
      <c r="E245" s="213"/>
      <c r="F245" s="214"/>
      <c r="G245" s="215"/>
      <c r="H245" s="215"/>
      <c r="I245" s="216"/>
      <c r="J245" s="215"/>
      <c r="K245" s="154" t="str">
        <f>IF(ISBLANK(E235),"DISPONIBLE","OCUPADO")</f>
        <v>OCUPADO</v>
      </c>
      <c r="L245" s="155">
        <f t="shared" si="13"/>
        <v>244</v>
      </c>
      <c r="M245" s="155" t="s">
        <v>23</v>
      </c>
      <c r="N245" s="156"/>
      <c r="O245" s="157"/>
    </row>
    <row r="246">
      <c r="A246" s="217" t="s">
        <v>516</v>
      </c>
      <c r="B246" s="218" t="s">
        <v>18</v>
      </c>
      <c r="C246" s="218" t="s">
        <v>18</v>
      </c>
      <c r="D246" s="219" t="str">
        <f t="shared" si="1"/>
        <v>CASINO-1-1</v>
      </c>
      <c r="E246" s="83"/>
      <c r="F246" s="150"/>
      <c r="G246" s="85"/>
      <c r="H246" s="49"/>
      <c r="I246" s="86"/>
      <c r="J246" s="49"/>
      <c r="K246" s="27" t="str">
        <f t="shared" ref="K246:K281" si="18">IF(ISBLANK(E246),"DISPONIBLE","OCUPADO")</f>
        <v>DISPONIBLE</v>
      </c>
      <c r="L246" s="28">
        <f t="shared" si="13"/>
        <v>245</v>
      </c>
      <c r="M246" s="28" t="s">
        <v>23</v>
      </c>
      <c r="N246" s="70"/>
      <c r="O246" s="29"/>
    </row>
    <row r="247">
      <c r="A247" s="217" t="s">
        <v>516</v>
      </c>
      <c r="B247" s="218" t="s">
        <v>18</v>
      </c>
      <c r="C247" s="218" t="s">
        <v>32</v>
      </c>
      <c r="D247" s="219" t="str">
        <f t="shared" si="1"/>
        <v>CASINO-1-2</v>
      </c>
      <c r="E247" s="83"/>
      <c r="F247" s="150"/>
      <c r="G247" s="85"/>
      <c r="H247" s="49"/>
      <c r="I247" s="86"/>
      <c r="J247" s="49"/>
      <c r="K247" s="32" t="str">
        <f t="shared" si="18"/>
        <v>DISPONIBLE</v>
      </c>
      <c r="L247" s="33">
        <f t="shared" si="13"/>
        <v>246</v>
      </c>
      <c r="M247" s="33" t="s">
        <v>23</v>
      </c>
      <c r="N247" s="53"/>
      <c r="O247" s="34"/>
    </row>
    <row r="248">
      <c r="A248" s="217" t="s">
        <v>516</v>
      </c>
      <c r="B248" s="218" t="s">
        <v>18</v>
      </c>
      <c r="C248" s="218" t="s">
        <v>44</v>
      </c>
      <c r="D248" s="219" t="str">
        <f t="shared" si="1"/>
        <v>CASINO-1-3</v>
      </c>
      <c r="E248" s="83"/>
      <c r="F248" s="150"/>
      <c r="G248" s="85"/>
      <c r="H248" s="49"/>
      <c r="I248" s="86"/>
      <c r="J248" s="49"/>
      <c r="K248" s="27" t="str">
        <f t="shared" si="18"/>
        <v>DISPONIBLE</v>
      </c>
      <c r="L248" s="28">
        <f t="shared" si="13"/>
        <v>247</v>
      </c>
      <c r="M248" s="28" t="s">
        <v>23</v>
      </c>
      <c r="N248" s="70"/>
      <c r="O248" s="29"/>
    </row>
    <row r="249">
      <c r="A249" s="217" t="s">
        <v>516</v>
      </c>
      <c r="B249" s="218" t="s">
        <v>18</v>
      </c>
      <c r="C249" s="218" t="s">
        <v>53</v>
      </c>
      <c r="D249" s="219" t="str">
        <f t="shared" si="1"/>
        <v>CASINO-1-4</v>
      </c>
      <c r="E249" s="83"/>
      <c r="F249" s="150"/>
      <c r="G249" s="85"/>
      <c r="H249" s="49"/>
      <c r="I249" s="86"/>
      <c r="J249" s="49"/>
      <c r="K249" s="32" t="str">
        <f t="shared" si="18"/>
        <v>DISPONIBLE</v>
      </c>
      <c r="L249" s="33">
        <f t="shared" si="13"/>
        <v>248</v>
      </c>
      <c r="M249" s="33" t="s">
        <v>23</v>
      </c>
      <c r="N249" s="53"/>
      <c r="O249" s="34"/>
    </row>
    <row r="250">
      <c r="A250" s="217" t="s">
        <v>516</v>
      </c>
      <c r="B250" s="218" t="s">
        <v>18</v>
      </c>
      <c r="C250" s="218" t="s">
        <v>25</v>
      </c>
      <c r="D250" s="219" t="str">
        <f t="shared" si="1"/>
        <v>CASINO-1-5</v>
      </c>
      <c r="E250" s="83"/>
      <c r="F250" s="150"/>
      <c r="G250" s="85"/>
      <c r="H250" s="49"/>
      <c r="I250" s="86"/>
      <c r="J250" s="49"/>
      <c r="K250" s="27" t="str">
        <f t="shared" si="18"/>
        <v>DISPONIBLE</v>
      </c>
      <c r="L250" s="28">
        <f t="shared" si="13"/>
        <v>249</v>
      </c>
      <c r="M250" s="28" t="s">
        <v>23</v>
      </c>
      <c r="N250" s="70"/>
      <c r="O250" s="29"/>
    </row>
    <row r="251">
      <c r="A251" s="217" t="s">
        <v>516</v>
      </c>
      <c r="B251" s="218" t="s">
        <v>18</v>
      </c>
      <c r="C251" s="218" t="s">
        <v>36</v>
      </c>
      <c r="D251" s="219" t="str">
        <f t="shared" si="1"/>
        <v>CASINO-1-6</v>
      </c>
      <c r="E251" s="83"/>
      <c r="F251" s="150"/>
      <c r="G251" s="85"/>
      <c r="H251" s="49"/>
      <c r="I251" s="86"/>
      <c r="J251" s="49"/>
      <c r="K251" s="32" t="str">
        <f t="shared" si="18"/>
        <v>DISPONIBLE</v>
      </c>
      <c r="L251" s="33">
        <f t="shared" si="13"/>
        <v>250</v>
      </c>
      <c r="M251" s="33" t="s">
        <v>23</v>
      </c>
      <c r="N251" s="53"/>
      <c r="O251" s="34"/>
    </row>
    <row r="252">
      <c r="A252" s="217" t="s">
        <v>516</v>
      </c>
      <c r="B252" s="218" t="s">
        <v>18</v>
      </c>
      <c r="C252" s="218" t="s">
        <v>48</v>
      </c>
      <c r="D252" s="219" t="str">
        <f t="shared" si="1"/>
        <v>CASINO-1-7</v>
      </c>
      <c r="E252" s="35">
        <v>45733.0</v>
      </c>
      <c r="F252" s="36" t="s">
        <v>19</v>
      </c>
      <c r="G252" s="37" t="s">
        <v>749</v>
      </c>
      <c r="H252" s="38" t="s">
        <v>750</v>
      </c>
      <c r="I252" s="39">
        <v>325.0</v>
      </c>
      <c r="J252" s="38" t="s">
        <v>22</v>
      </c>
      <c r="K252" s="27" t="str">
        <f t="shared" si="18"/>
        <v>OCUPADO</v>
      </c>
      <c r="L252" s="28">
        <f t="shared" si="13"/>
        <v>251</v>
      </c>
      <c r="M252" s="28" t="s">
        <v>23</v>
      </c>
      <c r="N252" s="70"/>
      <c r="O252" s="29" t="s">
        <v>24</v>
      </c>
    </row>
    <row r="253">
      <c r="A253" s="217" t="s">
        <v>516</v>
      </c>
      <c r="B253" s="218" t="s">
        <v>18</v>
      </c>
      <c r="C253" s="218" t="s">
        <v>465</v>
      </c>
      <c r="D253" s="219" t="str">
        <f t="shared" si="1"/>
        <v>CASINO-1-8</v>
      </c>
      <c r="E253" s="35">
        <v>45733.0</v>
      </c>
      <c r="F253" s="36" t="s">
        <v>19</v>
      </c>
      <c r="G253" s="37" t="s">
        <v>749</v>
      </c>
      <c r="H253" s="38" t="s">
        <v>750</v>
      </c>
      <c r="I253" s="39">
        <v>275.0</v>
      </c>
      <c r="J253" s="38" t="s">
        <v>22</v>
      </c>
      <c r="K253" s="32" t="str">
        <f t="shared" si="18"/>
        <v>OCUPADO</v>
      </c>
      <c r="L253" s="33">
        <f t="shared" si="13"/>
        <v>252</v>
      </c>
      <c r="M253" s="33" t="s">
        <v>23</v>
      </c>
      <c r="N253" s="53"/>
      <c r="O253" s="34" t="s">
        <v>24</v>
      </c>
    </row>
    <row r="254">
      <c r="A254" s="217" t="s">
        <v>516</v>
      </c>
      <c r="B254" s="218" t="s">
        <v>18</v>
      </c>
      <c r="C254" s="218" t="s">
        <v>511</v>
      </c>
      <c r="D254" s="219" t="str">
        <f t="shared" si="1"/>
        <v>CASINO-1-9</v>
      </c>
      <c r="E254" s="35">
        <v>45733.0</v>
      </c>
      <c r="F254" s="36" t="s">
        <v>19</v>
      </c>
      <c r="G254" s="37" t="s">
        <v>749</v>
      </c>
      <c r="H254" s="38" t="s">
        <v>750</v>
      </c>
      <c r="I254" s="39">
        <v>325.0</v>
      </c>
      <c r="J254" s="38" t="s">
        <v>22</v>
      </c>
      <c r="K254" s="27" t="str">
        <f t="shared" si="18"/>
        <v>OCUPADO</v>
      </c>
      <c r="L254" s="28">
        <f t="shared" si="13"/>
        <v>253</v>
      </c>
      <c r="M254" s="28" t="s">
        <v>23</v>
      </c>
      <c r="N254" s="70"/>
      <c r="O254" s="29" t="s">
        <v>24</v>
      </c>
    </row>
    <row r="255">
      <c r="A255" s="217" t="s">
        <v>516</v>
      </c>
      <c r="B255" s="218" t="s">
        <v>18</v>
      </c>
      <c r="C255" s="218" t="s">
        <v>296</v>
      </c>
      <c r="D255" s="219" t="str">
        <f t="shared" si="1"/>
        <v>CASINO-1-10</v>
      </c>
      <c r="E255" s="35">
        <v>45733.0</v>
      </c>
      <c r="F255" s="36" t="s">
        <v>19</v>
      </c>
      <c r="G255" s="37" t="s">
        <v>749</v>
      </c>
      <c r="H255" s="38" t="s">
        <v>750</v>
      </c>
      <c r="I255" s="39">
        <v>325.0</v>
      </c>
      <c r="J255" s="38" t="s">
        <v>22</v>
      </c>
      <c r="K255" s="32" t="str">
        <f t="shared" si="18"/>
        <v>OCUPADO</v>
      </c>
      <c r="L255" s="33">
        <f t="shared" si="13"/>
        <v>254</v>
      </c>
      <c r="M255" s="33" t="s">
        <v>23</v>
      </c>
      <c r="N255" s="53"/>
      <c r="O255" s="34" t="s">
        <v>24</v>
      </c>
    </row>
    <row r="256">
      <c r="A256" s="220" t="s">
        <v>516</v>
      </c>
      <c r="B256" s="221" t="s">
        <v>18</v>
      </c>
      <c r="C256" s="221" t="s">
        <v>316</v>
      </c>
      <c r="D256" s="222" t="str">
        <f t="shared" si="1"/>
        <v>CASINO-1-11</v>
      </c>
      <c r="E256" s="57"/>
      <c r="F256" s="58"/>
      <c r="G256" s="59"/>
      <c r="H256" s="60"/>
      <c r="I256" s="61"/>
      <c r="J256" s="60"/>
      <c r="K256" s="63" t="str">
        <f t="shared" si="18"/>
        <v>DISPONIBLE</v>
      </c>
      <c r="L256" s="64">
        <f t="shared" si="13"/>
        <v>255</v>
      </c>
      <c r="M256" s="64" t="s">
        <v>23</v>
      </c>
      <c r="N256" s="65"/>
      <c r="O256" s="66"/>
    </row>
    <row r="257">
      <c r="A257" s="223" t="s">
        <v>546</v>
      </c>
      <c r="B257" s="224" t="s">
        <v>18</v>
      </c>
      <c r="C257" s="224" t="s">
        <v>18</v>
      </c>
      <c r="D257" s="225" t="str">
        <f t="shared" si="1"/>
        <v>DEV-1-1</v>
      </c>
      <c r="E257" s="141"/>
      <c r="F257" s="137"/>
      <c r="G257" s="138"/>
      <c r="H257" s="138"/>
      <c r="I257" s="142"/>
      <c r="J257" s="138"/>
      <c r="K257" s="32" t="str">
        <f t="shared" si="18"/>
        <v>DISPONIBLE</v>
      </c>
      <c r="L257" s="33">
        <f t="shared" si="13"/>
        <v>256</v>
      </c>
      <c r="M257" s="229" t="s">
        <v>718</v>
      </c>
      <c r="N257" s="102"/>
      <c r="O257" s="230"/>
    </row>
    <row r="258">
      <c r="A258" s="223" t="s">
        <v>546</v>
      </c>
      <c r="B258" s="224" t="s">
        <v>18</v>
      </c>
      <c r="C258" s="224" t="s">
        <v>32</v>
      </c>
      <c r="D258" s="225" t="str">
        <f t="shared" si="1"/>
        <v>DEV-1-2</v>
      </c>
      <c r="E258" s="141"/>
      <c r="F258" s="137"/>
      <c r="G258" s="138"/>
      <c r="H258" s="138"/>
      <c r="I258" s="142"/>
      <c r="J258" s="138"/>
      <c r="K258" s="27" t="str">
        <f t="shared" si="18"/>
        <v>DISPONIBLE</v>
      </c>
      <c r="L258" s="28">
        <f t="shared" si="13"/>
        <v>257</v>
      </c>
      <c r="M258" s="226" t="s">
        <v>718</v>
      </c>
      <c r="N258" s="227"/>
      <c r="O258" s="228"/>
    </row>
    <row r="259">
      <c r="A259" s="223" t="s">
        <v>546</v>
      </c>
      <c r="B259" s="224" t="s">
        <v>18</v>
      </c>
      <c r="C259" s="224" t="s">
        <v>44</v>
      </c>
      <c r="D259" s="225" t="str">
        <f t="shared" si="1"/>
        <v>DEV-1-3</v>
      </c>
      <c r="E259" s="72"/>
      <c r="F259" s="77"/>
      <c r="G259" s="74"/>
      <c r="H259" s="75"/>
      <c r="I259" s="76"/>
      <c r="J259" s="75"/>
      <c r="K259" s="32" t="str">
        <f t="shared" si="18"/>
        <v>DISPONIBLE</v>
      </c>
      <c r="L259" s="33">
        <f t="shared" si="13"/>
        <v>258</v>
      </c>
      <c r="M259" s="229" t="s">
        <v>718</v>
      </c>
      <c r="N259" s="102"/>
      <c r="O259" s="230"/>
    </row>
    <row r="260">
      <c r="A260" s="223" t="s">
        <v>546</v>
      </c>
      <c r="B260" s="224" t="s">
        <v>18</v>
      </c>
      <c r="C260" s="224" t="s">
        <v>53</v>
      </c>
      <c r="D260" s="225" t="str">
        <f t="shared" si="1"/>
        <v>DEV-1-4</v>
      </c>
      <c r="E260" s="72"/>
      <c r="F260" s="77"/>
      <c r="G260" s="74"/>
      <c r="H260" s="75"/>
      <c r="I260" s="76"/>
      <c r="J260" s="75"/>
      <c r="K260" s="27" t="str">
        <f t="shared" si="18"/>
        <v>DISPONIBLE</v>
      </c>
      <c r="L260" s="28">
        <f t="shared" si="13"/>
        <v>259</v>
      </c>
      <c r="M260" s="226" t="s">
        <v>718</v>
      </c>
      <c r="N260" s="227"/>
      <c r="O260" s="228"/>
    </row>
    <row r="261">
      <c r="A261" s="223" t="s">
        <v>546</v>
      </c>
      <c r="B261" s="224" t="s">
        <v>18</v>
      </c>
      <c r="C261" s="224" t="s">
        <v>25</v>
      </c>
      <c r="D261" s="225" t="str">
        <f t="shared" si="1"/>
        <v>DEV-1-5</v>
      </c>
      <c r="E261" s="83"/>
      <c r="F261" s="150"/>
      <c r="G261" s="85"/>
      <c r="H261" s="49"/>
      <c r="I261" s="86"/>
      <c r="J261" s="49"/>
      <c r="K261" s="32" t="str">
        <f t="shared" si="18"/>
        <v>DISPONIBLE</v>
      </c>
      <c r="L261" s="33">
        <f t="shared" si="13"/>
        <v>260</v>
      </c>
      <c r="M261" s="229" t="s">
        <v>718</v>
      </c>
      <c r="N261" s="102"/>
      <c r="O261" s="34"/>
    </row>
    <row r="262">
      <c r="A262" s="223" t="s">
        <v>546</v>
      </c>
      <c r="B262" s="224" t="s">
        <v>18</v>
      </c>
      <c r="C262" s="224" t="s">
        <v>36</v>
      </c>
      <c r="D262" s="225" t="str">
        <f t="shared" si="1"/>
        <v>DEV-1-6</v>
      </c>
      <c r="E262" s="72"/>
      <c r="F262" s="77"/>
      <c r="G262" s="74"/>
      <c r="H262" s="75"/>
      <c r="I262" s="76"/>
      <c r="J262" s="75"/>
      <c r="K262" s="27" t="str">
        <f t="shared" si="18"/>
        <v>DISPONIBLE</v>
      </c>
      <c r="L262" s="28">
        <f t="shared" si="13"/>
        <v>261</v>
      </c>
      <c r="M262" s="226" t="s">
        <v>718</v>
      </c>
      <c r="N262" s="227"/>
      <c r="O262" s="228"/>
    </row>
    <row r="263">
      <c r="A263" s="223" t="s">
        <v>546</v>
      </c>
      <c r="B263" s="224" t="s">
        <v>18</v>
      </c>
      <c r="C263" s="224" t="s">
        <v>48</v>
      </c>
      <c r="D263" s="225" t="str">
        <f t="shared" si="1"/>
        <v>DEV-1-7</v>
      </c>
      <c r="E263" s="72"/>
      <c r="F263" s="77"/>
      <c r="G263" s="74"/>
      <c r="H263" s="75"/>
      <c r="I263" s="76"/>
      <c r="J263" s="75"/>
      <c r="K263" s="32" t="str">
        <f t="shared" si="18"/>
        <v>DISPONIBLE</v>
      </c>
      <c r="L263" s="33">
        <f t="shared" si="13"/>
        <v>262</v>
      </c>
      <c r="M263" s="229" t="s">
        <v>718</v>
      </c>
      <c r="N263" s="102"/>
      <c r="O263" s="230"/>
    </row>
    <row r="264">
      <c r="A264" s="223" t="s">
        <v>546</v>
      </c>
      <c r="B264" s="224" t="s">
        <v>18</v>
      </c>
      <c r="C264" s="224" t="s">
        <v>465</v>
      </c>
      <c r="D264" s="225" t="str">
        <f t="shared" si="1"/>
        <v>DEV-1-8</v>
      </c>
      <c r="E264" s="72"/>
      <c r="F264" s="77"/>
      <c r="G264" s="74"/>
      <c r="H264" s="138"/>
      <c r="I264" s="142"/>
      <c r="J264" s="75"/>
      <c r="K264" s="27" t="str">
        <f t="shared" si="18"/>
        <v>DISPONIBLE</v>
      </c>
      <c r="L264" s="28">
        <f t="shared" si="13"/>
        <v>263</v>
      </c>
      <c r="M264" s="226" t="s">
        <v>718</v>
      </c>
      <c r="N264" s="227"/>
      <c r="O264" s="228"/>
    </row>
    <row r="265">
      <c r="A265" s="231" t="s">
        <v>546</v>
      </c>
      <c r="B265" s="232" t="s">
        <v>18</v>
      </c>
      <c r="C265" s="232" t="s">
        <v>511</v>
      </c>
      <c r="D265" s="233" t="str">
        <f t="shared" si="1"/>
        <v>DEV-1-9</v>
      </c>
      <c r="E265" s="234"/>
      <c r="F265" s="235"/>
      <c r="G265" s="236"/>
      <c r="H265" s="237"/>
      <c r="I265" s="238"/>
      <c r="J265" s="239"/>
      <c r="K265" s="154" t="str">
        <f t="shared" si="18"/>
        <v>DISPONIBLE</v>
      </c>
      <c r="L265" s="155">
        <f t="shared" si="13"/>
        <v>264</v>
      </c>
      <c r="M265" s="322" t="s">
        <v>718</v>
      </c>
      <c r="N265" s="156"/>
      <c r="O265" s="157"/>
    </row>
    <row r="266">
      <c r="A266" s="241" t="s">
        <v>558</v>
      </c>
      <c r="B266" s="242" t="s">
        <v>18</v>
      </c>
      <c r="C266" s="242" t="s">
        <v>18</v>
      </c>
      <c r="D266" s="243" t="str">
        <f t="shared" si="1"/>
        <v>PATIO-1-1</v>
      </c>
      <c r="E266" s="40">
        <v>45763.0</v>
      </c>
      <c r="F266" s="41" t="s">
        <v>778</v>
      </c>
      <c r="G266" s="244" t="s">
        <v>221</v>
      </c>
      <c r="H266" s="42" t="s">
        <v>222</v>
      </c>
      <c r="I266" s="43">
        <v>105.0</v>
      </c>
      <c r="J266" s="42" t="s">
        <v>22</v>
      </c>
      <c r="K266" s="27" t="str">
        <f t="shared" si="18"/>
        <v>OCUPADO</v>
      </c>
      <c r="L266" s="28">
        <f t="shared" si="13"/>
        <v>265</v>
      </c>
      <c r="M266" s="28" t="s">
        <v>23</v>
      </c>
      <c r="N266" s="28"/>
      <c r="O266" s="29" t="s">
        <v>24</v>
      </c>
    </row>
    <row r="267">
      <c r="A267" s="241" t="s">
        <v>558</v>
      </c>
      <c r="B267" s="242" t="s">
        <v>18</v>
      </c>
      <c r="C267" s="242" t="s">
        <v>32</v>
      </c>
      <c r="D267" s="243" t="str">
        <f t="shared" si="1"/>
        <v>PATIO-1-2</v>
      </c>
      <c r="E267" s="40">
        <v>45763.0</v>
      </c>
      <c r="F267" s="41" t="s">
        <v>778</v>
      </c>
      <c r="G267" s="244" t="s">
        <v>221</v>
      </c>
      <c r="H267" s="42" t="s">
        <v>222</v>
      </c>
      <c r="I267" s="43">
        <v>150.0</v>
      </c>
      <c r="J267" s="42" t="s">
        <v>22</v>
      </c>
      <c r="K267" s="32" t="str">
        <f t="shared" si="18"/>
        <v>OCUPADO</v>
      </c>
      <c r="L267" s="33">
        <f t="shared" si="13"/>
        <v>266</v>
      </c>
      <c r="M267" s="33" t="s">
        <v>23</v>
      </c>
      <c r="N267" s="33"/>
      <c r="O267" s="34" t="s">
        <v>24</v>
      </c>
    </row>
    <row r="268">
      <c r="A268" s="241" t="s">
        <v>558</v>
      </c>
      <c r="B268" s="242" t="s">
        <v>18</v>
      </c>
      <c r="C268" s="242" t="s">
        <v>44</v>
      </c>
      <c r="D268" s="243" t="str">
        <f t="shared" si="1"/>
        <v>PATIO-1-3</v>
      </c>
      <c r="E268" s="78">
        <v>45763.0</v>
      </c>
      <c r="F268" s="88" t="s">
        <v>778</v>
      </c>
      <c r="G268" s="80" t="s">
        <v>221</v>
      </c>
      <c r="H268" s="81" t="s">
        <v>222</v>
      </c>
      <c r="I268" s="82">
        <v>150.0</v>
      </c>
      <c r="J268" s="81" t="s">
        <v>22</v>
      </c>
      <c r="K268" s="27" t="str">
        <f t="shared" si="18"/>
        <v>OCUPADO</v>
      </c>
      <c r="L268" s="28">
        <f t="shared" si="13"/>
        <v>267</v>
      </c>
      <c r="M268" s="28" t="s">
        <v>23</v>
      </c>
      <c r="N268" s="70"/>
      <c r="O268" s="29" t="s">
        <v>24</v>
      </c>
    </row>
    <row r="269">
      <c r="A269" s="241" t="s">
        <v>558</v>
      </c>
      <c r="B269" s="242" t="s">
        <v>18</v>
      </c>
      <c r="C269" s="242" t="s">
        <v>53</v>
      </c>
      <c r="D269" s="243" t="str">
        <f t="shared" si="1"/>
        <v>PATIO-1-4</v>
      </c>
      <c r="E269" s="78">
        <v>45763.0</v>
      </c>
      <c r="F269" s="88" t="s">
        <v>778</v>
      </c>
      <c r="G269" s="80" t="s">
        <v>221</v>
      </c>
      <c r="H269" s="81" t="s">
        <v>222</v>
      </c>
      <c r="I269" s="82">
        <v>150.0</v>
      </c>
      <c r="J269" s="81" t="s">
        <v>22</v>
      </c>
      <c r="K269" s="32" t="str">
        <f t="shared" si="18"/>
        <v>OCUPADO</v>
      </c>
      <c r="L269" s="33">
        <f t="shared" si="13"/>
        <v>268</v>
      </c>
      <c r="M269" s="33" t="s">
        <v>23</v>
      </c>
      <c r="N269" s="53"/>
      <c r="O269" s="34" t="s">
        <v>24</v>
      </c>
    </row>
    <row r="270">
      <c r="A270" s="241" t="s">
        <v>558</v>
      </c>
      <c r="B270" s="242" t="s">
        <v>18</v>
      </c>
      <c r="C270" s="242" t="s">
        <v>25</v>
      </c>
      <c r="D270" s="243" t="str">
        <f t="shared" si="1"/>
        <v>PATIO-1-5</v>
      </c>
      <c r="E270" s="78">
        <v>45763.0</v>
      </c>
      <c r="F270" s="88" t="s">
        <v>778</v>
      </c>
      <c r="G270" s="80" t="s">
        <v>221</v>
      </c>
      <c r="H270" s="81" t="s">
        <v>222</v>
      </c>
      <c r="I270" s="82">
        <v>150.0</v>
      </c>
      <c r="J270" s="81" t="s">
        <v>22</v>
      </c>
      <c r="K270" s="27" t="str">
        <f t="shared" si="18"/>
        <v>OCUPADO</v>
      </c>
      <c r="L270" s="28">
        <f t="shared" si="13"/>
        <v>269</v>
      </c>
      <c r="M270" s="28" t="s">
        <v>23</v>
      </c>
      <c r="N270" s="70"/>
      <c r="O270" s="29" t="s">
        <v>24</v>
      </c>
    </row>
    <row r="271">
      <c r="A271" s="241" t="s">
        <v>558</v>
      </c>
      <c r="B271" s="242" t="s">
        <v>18</v>
      </c>
      <c r="C271" s="242" t="s">
        <v>36</v>
      </c>
      <c r="D271" s="243" t="str">
        <f t="shared" si="1"/>
        <v>PATIO-1-6</v>
      </c>
      <c r="E271" s="78">
        <v>45763.0</v>
      </c>
      <c r="F271" s="88" t="s">
        <v>778</v>
      </c>
      <c r="G271" s="80" t="s">
        <v>221</v>
      </c>
      <c r="H271" s="81" t="s">
        <v>222</v>
      </c>
      <c r="I271" s="82">
        <v>150.0</v>
      </c>
      <c r="J271" s="81" t="s">
        <v>22</v>
      </c>
      <c r="K271" s="32" t="str">
        <f t="shared" si="18"/>
        <v>OCUPADO</v>
      </c>
      <c r="L271" s="33">
        <f t="shared" si="13"/>
        <v>270</v>
      </c>
      <c r="M271" s="33" t="s">
        <v>23</v>
      </c>
      <c r="N271" s="53"/>
      <c r="O271" s="34" t="s">
        <v>24</v>
      </c>
    </row>
    <row r="272">
      <c r="A272" s="241" t="s">
        <v>558</v>
      </c>
      <c r="B272" s="242" t="s">
        <v>18</v>
      </c>
      <c r="C272" s="242" t="s">
        <v>48</v>
      </c>
      <c r="D272" s="243" t="str">
        <f t="shared" si="1"/>
        <v>PATIO-1-7</v>
      </c>
      <c r="E272" s="78">
        <v>45763.0</v>
      </c>
      <c r="F272" s="79" t="s">
        <v>778</v>
      </c>
      <c r="G272" s="246">
        <v>692043.0</v>
      </c>
      <c r="H272" s="81" t="s">
        <v>222</v>
      </c>
      <c r="I272" s="82">
        <v>150.0</v>
      </c>
      <c r="J272" s="81" t="s">
        <v>22</v>
      </c>
      <c r="K272" s="27" t="str">
        <f t="shared" si="18"/>
        <v>OCUPADO</v>
      </c>
      <c r="L272" s="28">
        <f t="shared" si="13"/>
        <v>271</v>
      </c>
      <c r="M272" s="28" t="s">
        <v>23</v>
      </c>
      <c r="N272" s="70"/>
      <c r="O272" s="29" t="s">
        <v>24</v>
      </c>
    </row>
    <row r="273">
      <c r="A273" s="241" t="s">
        <v>558</v>
      </c>
      <c r="B273" s="242" t="s">
        <v>18</v>
      </c>
      <c r="C273" s="242" t="s">
        <v>465</v>
      </c>
      <c r="D273" s="243" t="str">
        <f t="shared" si="1"/>
        <v>PATIO-1-8</v>
      </c>
      <c r="E273" s="35">
        <v>45763.0</v>
      </c>
      <c r="F273" s="36" t="s">
        <v>778</v>
      </c>
      <c r="G273" s="37" t="s">
        <v>221</v>
      </c>
      <c r="H273" s="38" t="s">
        <v>222</v>
      </c>
      <c r="I273" s="39">
        <v>150.0</v>
      </c>
      <c r="J273" s="38" t="s">
        <v>22</v>
      </c>
      <c r="K273" s="32" t="str">
        <f t="shared" si="18"/>
        <v>OCUPADO</v>
      </c>
      <c r="L273" s="33">
        <f t="shared" si="13"/>
        <v>272</v>
      </c>
      <c r="M273" s="33" t="s">
        <v>23</v>
      </c>
      <c r="N273" s="53"/>
      <c r="O273" s="34" t="s">
        <v>24</v>
      </c>
    </row>
    <row r="274">
      <c r="A274" s="241" t="s">
        <v>558</v>
      </c>
      <c r="B274" s="242" t="s">
        <v>18</v>
      </c>
      <c r="C274" s="242" t="s">
        <v>511</v>
      </c>
      <c r="D274" s="243" t="str">
        <f t="shared" si="1"/>
        <v>PATIO-1-9</v>
      </c>
      <c r="E274" s="35">
        <v>45763.0</v>
      </c>
      <c r="F274" s="36" t="s">
        <v>778</v>
      </c>
      <c r="G274" s="37" t="s">
        <v>221</v>
      </c>
      <c r="H274" s="38" t="s">
        <v>222</v>
      </c>
      <c r="I274" s="39">
        <v>150.0</v>
      </c>
      <c r="J274" s="38" t="s">
        <v>22</v>
      </c>
      <c r="K274" s="27" t="str">
        <f t="shared" si="18"/>
        <v>OCUPADO</v>
      </c>
      <c r="L274" s="28">
        <f t="shared" si="13"/>
        <v>273</v>
      </c>
      <c r="M274" s="28" t="s">
        <v>23</v>
      </c>
      <c r="N274" s="70"/>
      <c r="O274" s="29" t="s">
        <v>24</v>
      </c>
    </row>
    <row r="275">
      <c r="A275" s="241" t="s">
        <v>558</v>
      </c>
      <c r="B275" s="242" t="s">
        <v>18</v>
      </c>
      <c r="C275" s="242" t="s">
        <v>296</v>
      </c>
      <c r="D275" s="243" t="str">
        <f t="shared" si="1"/>
        <v>PATIO-1-10</v>
      </c>
      <c r="E275" s="78">
        <v>45763.0</v>
      </c>
      <c r="F275" s="79" t="s">
        <v>778</v>
      </c>
      <c r="G275" s="246">
        <v>692043.0</v>
      </c>
      <c r="H275" s="81" t="s">
        <v>222</v>
      </c>
      <c r="I275" s="82">
        <v>150.0</v>
      </c>
      <c r="J275" s="81" t="s">
        <v>22</v>
      </c>
      <c r="K275" s="32" t="str">
        <f t="shared" si="18"/>
        <v>OCUPADO</v>
      </c>
      <c r="L275" s="33">
        <f t="shared" si="13"/>
        <v>274</v>
      </c>
      <c r="M275" s="33" t="s">
        <v>23</v>
      </c>
      <c r="N275" s="53"/>
      <c r="O275" s="249" t="s">
        <v>24</v>
      </c>
    </row>
    <row r="276">
      <c r="A276" s="241" t="s">
        <v>558</v>
      </c>
      <c r="B276" s="242" t="s">
        <v>18</v>
      </c>
      <c r="C276" s="242" t="s">
        <v>316</v>
      </c>
      <c r="D276" s="243" t="str">
        <f t="shared" si="1"/>
        <v>PATIO-1-11</v>
      </c>
      <c r="E276" s="78">
        <v>45763.0</v>
      </c>
      <c r="F276" s="79" t="s">
        <v>779</v>
      </c>
      <c r="G276" s="246">
        <v>692043.0</v>
      </c>
      <c r="H276" s="81" t="s">
        <v>222</v>
      </c>
      <c r="I276" s="82">
        <v>150.0</v>
      </c>
      <c r="J276" s="81" t="s">
        <v>22</v>
      </c>
      <c r="K276" s="27" t="str">
        <f t="shared" si="18"/>
        <v>OCUPADO</v>
      </c>
      <c r="L276" s="28">
        <f t="shared" si="13"/>
        <v>275</v>
      </c>
      <c r="M276" s="28" t="s">
        <v>23</v>
      </c>
      <c r="N276" s="70"/>
      <c r="O276" s="248" t="s">
        <v>24</v>
      </c>
    </row>
    <row r="277">
      <c r="A277" s="241" t="s">
        <v>558</v>
      </c>
      <c r="B277" s="242" t="s">
        <v>18</v>
      </c>
      <c r="C277" s="242" t="s">
        <v>336</v>
      </c>
      <c r="D277" s="243" t="str">
        <f t="shared" si="1"/>
        <v>PATIO-1-12</v>
      </c>
      <c r="E277" s="78">
        <v>45763.0</v>
      </c>
      <c r="F277" s="79" t="s">
        <v>779</v>
      </c>
      <c r="G277" s="246">
        <v>692043.0</v>
      </c>
      <c r="H277" s="81" t="s">
        <v>222</v>
      </c>
      <c r="I277" s="82">
        <v>150.0</v>
      </c>
      <c r="J277" s="81" t="s">
        <v>22</v>
      </c>
      <c r="K277" s="32" t="str">
        <f t="shared" si="18"/>
        <v>OCUPADO</v>
      </c>
      <c r="L277" s="33">
        <f t="shared" si="13"/>
        <v>276</v>
      </c>
      <c r="M277" s="33" t="s">
        <v>23</v>
      </c>
      <c r="N277" s="53"/>
      <c r="O277" s="249" t="s">
        <v>24</v>
      </c>
    </row>
    <row r="278">
      <c r="A278" s="241" t="s">
        <v>558</v>
      </c>
      <c r="B278" s="242" t="s">
        <v>18</v>
      </c>
      <c r="C278" s="242" t="s">
        <v>350</v>
      </c>
      <c r="D278" s="243" t="str">
        <f t="shared" si="1"/>
        <v>PATIO-1-13</v>
      </c>
      <c r="E278" s="78">
        <v>45763.0</v>
      </c>
      <c r="F278" s="79" t="s">
        <v>779</v>
      </c>
      <c r="G278" s="246">
        <v>692043.0</v>
      </c>
      <c r="H278" s="81" t="s">
        <v>222</v>
      </c>
      <c r="I278" s="82">
        <v>150.0</v>
      </c>
      <c r="J278" s="81" t="s">
        <v>22</v>
      </c>
      <c r="K278" s="27" t="str">
        <f t="shared" si="18"/>
        <v>OCUPADO</v>
      </c>
      <c r="L278" s="28">
        <f t="shared" si="13"/>
        <v>277</v>
      </c>
      <c r="M278" s="28" t="s">
        <v>23</v>
      </c>
      <c r="N278" s="70"/>
      <c r="O278" s="248" t="s">
        <v>24</v>
      </c>
    </row>
    <row r="279">
      <c r="A279" s="241" t="s">
        <v>558</v>
      </c>
      <c r="B279" s="242" t="s">
        <v>18</v>
      </c>
      <c r="C279" s="242" t="s">
        <v>362</v>
      </c>
      <c r="D279" s="243" t="str">
        <f t="shared" si="1"/>
        <v>PATIO-1-14</v>
      </c>
      <c r="E279" s="35">
        <v>45763.0</v>
      </c>
      <c r="F279" s="36" t="s">
        <v>779</v>
      </c>
      <c r="G279" s="37" t="s">
        <v>221</v>
      </c>
      <c r="H279" s="38" t="s">
        <v>222</v>
      </c>
      <c r="I279" s="39">
        <v>150.0</v>
      </c>
      <c r="J279" s="38" t="s">
        <v>22</v>
      </c>
      <c r="K279" s="32" t="str">
        <f t="shared" si="18"/>
        <v>OCUPADO</v>
      </c>
      <c r="L279" s="33">
        <f t="shared" si="13"/>
        <v>278</v>
      </c>
      <c r="M279" s="33" t="s">
        <v>23</v>
      </c>
      <c r="N279" s="53"/>
      <c r="O279" s="34" t="s">
        <v>24</v>
      </c>
    </row>
    <row r="280">
      <c r="A280" s="241" t="s">
        <v>558</v>
      </c>
      <c r="B280" s="242" t="s">
        <v>18</v>
      </c>
      <c r="C280" s="242" t="s">
        <v>372</v>
      </c>
      <c r="D280" s="243" t="str">
        <f t="shared" si="1"/>
        <v>PATIO-1-15</v>
      </c>
      <c r="E280" s="35">
        <v>45763.0</v>
      </c>
      <c r="F280" s="36" t="s">
        <v>779</v>
      </c>
      <c r="G280" s="37" t="s">
        <v>221</v>
      </c>
      <c r="H280" s="38" t="s">
        <v>222</v>
      </c>
      <c r="I280" s="39">
        <v>150.0</v>
      </c>
      <c r="J280" s="38" t="s">
        <v>22</v>
      </c>
      <c r="K280" s="27" t="str">
        <f t="shared" si="18"/>
        <v>OCUPADO</v>
      </c>
      <c r="L280" s="28">
        <f t="shared" si="13"/>
        <v>279</v>
      </c>
      <c r="M280" s="28" t="s">
        <v>23</v>
      </c>
      <c r="N280" s="70"/>
      <c r="O280" s="29" t="s">
        <v>24</v>
      </c>
    </row>
    <row r="281">
      <c r="A281" s="241" t="s">
        <v>558</v>
      </c>
      <c r="B281" s="242" t="s">
        <v>18</v>
      </c>
      <c r="C281" s="242" t="s">
        <v>382</v>
      </c>
      <c r="D281" s="243" t="str">
        <f t="shared" si="1"/>
        <v>PATIO-1-16</v>
      </c>
      <c r="E281" s="35">
        <v>45763.0</v>
      </c>
      <c r="F281" s="36" t="s">
        <v>779</v>
      </c>
      <c r="G281" s="37" t="s">
        <v>221</v>
      </c>
      <c r="H281" s="38" t="s">
        <v>222</v>
      </c>
      <c r="I281" s="39">
        <v>150.0</v>
      </c>
      <c r="J281" s="38" t="s">
        <v>22</v>
      </c>
      <c r="K281" s="32" t="str">
        <f t="shared" si="18"/>
        <v>OCUPADO</v>
      </c>
      <c r="L281" s="33">
        <f t="shared" si="13"/>
        <v>280</v>
      </c>
      <c r="M281" s="33" t="s">
        <v>23</v>
      </c>
      <c r="N281" s="53"/>
      <c r="O281" s="34" t="s">
        <v>24</v>
      </c>
    </row>
    <row r="282">
      <c r="A282" s="241" t="s">
        <v>558</v>
      </c>
      <c r="B282" s="242" t="s">
        <v>18</v>
      </c>
      <c r="C282" s="242" t="s">
        <v>396</v>
      </c>
      <c r="D282" s="243" t="str">
        <f t="shared" si="1"/>
        <v>PATIO-1-17</v>
      </c>
      <c r="E282" s="35">
        <v>45763.0</v>
      </c>
      <c r="F282" s="36" t="s">
        <v>780</v>
      </c>
      <c r="G282" s="37" t="s">
        <v>221</v>
      </c>
      <c r="H282" s="38" t="s">
        <v>222</v>
      </c>
      <c r="I282" s="39">
        <v>150.0</v>
      </c>
      <c r="J282" s="38" t="s">
        <v>22</v>
      </c>
      <c r="K282" s="27" t="str">
        <f t="shared" ref="K282:K291" si="19">IF(ISBLANK(#REF!),"DISPONIBLE","OCUPADO")</f>
        <v>OCUPADO</v>
      </c>
      <c r="L282" s="28">
        <f t="shared" si="13"/>
        <v>281</v>
      </c>
      <c r="M282" s="28" t="s">
        <v>23</v>
      </c>
      <c r="N282" s="70"/>
      <c r="O282" s="29" t="s">
        <v>24</v>
      </c>
    </row>
    <row r="283">
      <c r="A283" s="241" t="s">
        <v>558</v>
      </c>
      <c r="B283" s="242" t="s">
        <v>18</v>
      </c>
      <c r="C283" s="242" t="s">
        <v>411</v>
      </c>
      <c r="D283" s="243" t="str">
        <f t="shared" si="1"/>
        <v>PATIO-1-18</v>
      </c>
      <c r="E283" s="35">
        <v>45763.0</v>
      </c>
      <c r="F283" s="36" t="s">
        <v>497</v>
      </c>
      <c r="G283" s="37" t="s">
        <v>221</v>
      </c>
      <c r="H283" s="38" t="s">
        <v>222</v>
      </c>
      <c r="I283" s="39">
        <v>205.0</v>
      </c>
      <c r="J283" s="38" t="s">
        <v>22</v>
      </c>
      <c r="K283" s="32" t="str">
        <f t="shared" si="19"/>
        <v>OCUPADO</v>
      </c>
      <c r="L283" s="33">
        <f t="shared" si="13"/>
        <v>282</v>
      </c>
      <c r="M283" s="33" t="s">
        <v>23</v>
      </c>
      <c r="N283" s="53"/>
      <c r="O283" s="34" t="s">
        <v>24</v>
      </c>
    </row>
    <row r="284">
      <c r="A284" s="241" t="s">
        <v>558</v>
      </c>
      <c r="B284" s="242" t="s">
        <v>18</v>
      </c>
      <c r="C284" s="242" t="s">
        <v>425</v>
      </c>
      <c r="D284" s="243" t="str">
        <f t="shared" si="1"/>
        <v>PATIO-1-19</v>
      </c>
      <c r="E284" s="35">
        <v>45763.0</v>
      </c>
      <c r="F284" s="36" t="s">
        <v>497</v>
      </c>
      <c r="G284" s="37" t="s">
        <v>221</v>
      </c>
      <c r="H284" s="38" t="s">
        <v>222</v>
      </c>
      <c r="I284" s="39">
        <v>150.0</v>
      </c>
      <c r="J284" s="38" t="s">
        <v>22</v>
      </c>
      <c r="K284" s="27" t="str">
        <f t="shared" si="19"/>
        <v>OCUPADO</v>
      </c>
      <c r="L284" s="28">
        <f t="shared" ref="L284:L288" si="20">IF(B279&lt;&gt;"", ROW(A279), "")
</f>
        <v>279</v>
      </c>
      <c r="M284" s="28" t="s">
        <v>23</v>
      </c>
      <c r="N284" s="70"/>
      <c r="O284" s="29" t="s">
        <v>24</v>
      </c>
    </row>
    <row r="285">
      <c r="A285" s="241" t="s">
        <v>558</v>
      </c>
      <c r="B285" s="242" t="s">
        <v>18</v>
      </c>
      <c r="C285" s="242" t="s">
        <v>451</v>
      </c>
      <c r="D285" s="243" t="str">
        <f t="shared" si="1"/>
        <v>PATIO-1-20</v>
      </c>
      <c r="E285" s="35">
        <v>45763.0</v>
      </c>
      <c r="F285" s="36" t="s">
        <v>497</v>
      </c>
      <c r="G285" s="37" t="s">
        <v>221</v>
      </c>
      <c r="H285" s="38" t="s">
        <v>222</v>
      </c>
      <c r="I285" s="39">
        <v>150.0</v>
      </c>
      <c r="J285" s="38" t="s">
        <v>22</v>
      </c>
      <c r="K285" s="32" t="str">
        <f t="shared" si="19"/>
        <v>OCUPADO</v>
      </c>
      <c r="L285" s="33">
        <f t="shared" si="20"/>
        <v>280</v>
      </c>
      <c r="M285" s="33" t="s">
        <v>23</v>
      </c>
      <c r="N285" s="53"/>
      <c r="O285" s="34" t="s">
        <v>24</v>
      </c>
    </row>
    <row r="286">
      <c r="A286" s="241" t="s">
        <v>558</v>
      </c>
      <c r="B286" s="242" t="s">
        <v>18</v>
      </c>
      <c r="C286" s="242" t="s">
        <v>467</v>
      </c>
      <c r="D286" s="243" t="str">
        <f t="shared" si="1"/>
        <v>PATIO-1-21</v>
      </c>
      <c r="E286" s="35">
        <v>45763.0</v>
      </c>
      <c r="F286" s="36" t="s">
        <v>497</v>
      </c>
      <c r="G286" s="37" t="s">
        <v>221</v>
      </c>
      <c r="H286" s="38" t="s">
        <v>222</v>
      </c>
      <c r="I286" s="39">
        <v>93.0</v>
      </c>
      <c r="J286" s="38" t="s">
        <v>22</v>
      </c>
      <c r="K286" s="27" t="str">
        <f t="shared" si="19"/>
        <v>OCUPADO</v>
      </c>
      <c r="L286" s="28">
        <f t="shared" si="20"/>
        <v>281</v>
      </c>
      <c r="M286" s="28" t="s">
        <v>23</v>
      </c>
      <c r="N286" s="70"/>
      <c r="O286" s="29" t="s">
        <v>24</v>
      </c>
    </row>
    <row r="287">
      <c r="A287" s="241" t="s">
        <v>558</v>
      </c>
      <c r="B287" s="242" t="s">
        <v>18</v>
      </c>
      <c r="C287" s="242" t="s">
        <v>620</v>
      </c>
      <c r="D287" s="243" t="str">
        <f t="shared" si="1"/>
        <v>PATIO-1-22</v>
      </c>
      <c r="E287" s="35">
        <v>45763.0</v>
      </c>
      <c r="F287" s="36" t="s">
        <v>497</v>
      </c>
      <c r="G287" s="37" t="s">
        <v>221</v>
      </c>
      <c r="H287" s="38" t="s">
        <v>222</v>
      </c>
      <c r="I287" s="39">
        <v>150.0</v>
      </c>
      <c r="J287" s="38" t="s">
        <v>22</v>
      </c>
      <c r="K287" s="32" t="str">
        <f t="shared" si="19"/>
        <v>OCUPADO</v>
      </c>
      <c r="L287" s="33">
        <f t="shared" si="20"/>
        <v>282</v>
      </c>
      <c r="M287" s="33" t="s">
        <v>23</v>
      </c>
      <c r="N287" s="53"/>
      <c r="O287" s="34" t="s">
        <v>24</v>
      </c>
    </row>
    <row r="288">
      <c r="A288" s="241" t="s">
        <v>558</v>
      </c>
      <c r="B288" s="242" t="s">
        <v>18</v>
      </c>
      <c r="C288" s="242" t="s">
        <v>561</v>
      </c>
      <c r="D288" s="243" t="str">
        <f t="shared" si="1"/>
        <v>PATIO-1-23</v>
      </c>
      <c r="E288" s="35">
        <v>45763.0</v>
      </c>
      <c r="F288" s="36" t="s">
        <v>781</v>
      </c>
      <c r="G288" s="37" t="s">
        <v>221</v>
      </c>
      <c r="H288" s="38" t="s">
        <v>222</v>
      </c>
      <c r="I288" s="39">
        <v>150.0</v>
      </c>
      <c r="J288" s="38" t="s">
        <v>22</v>
      </c>
      <c r="K288" s="27" t="str">
        <f t="shared" si="19"/>
        <v>OCUPADO</v>
      </c>
      <c r="L288" s="28">
        <f t="shared" si="20"/>
        <v>283</v>
      </c>
      <c r="M288" s="28" t="s">
        <v>23</v>
      </c>
      <c r="N288" s="70"/>
      <c r="O288" s="29" t="s">
        <v>24</v>
      </c>
    </row>
    <row r="289">
      <c r="A289" s="241" t="s">
        <v>558</v>
      </c>
      <c r="B289" s="242" t="s">
        <v>18</v>
      </c>
      <c r="C289" s="242" t="s">
        <v>563</v>
      </c>
      <c r="D289" s="243" t="str">
        <f t="shared" si="1"/>
        <v>PATIO-1-24</v>
      </c>
      <c r="E289" s="35">
        <v>45763.0</v>
      </c>
      <c r="F289" s="36" t="s">
        <v>781</v>
      </c>
      <c r="G289" s="37" t="s">
        <v>221</v>
      </c>
      <c r="H289" s="38" t="s">
        <v>222</v>
      </c>
      <c r="I289" s="39">
        <v>150.0</v>
      </c>
      <c r="J289" s="38" t="s">
        <v>22</v>
      </c>
      <c r="K289" s="32" t="str">
        <f t="shared" si="19"/>
        <v>OCUPADO</v>
      </c>
      <c r="L289" s="33">
        <f t="shared" ref="L289:L291" si="21">IF(B281&lt;&gt;"", ROW(A281), "")
</f>
        <v>281</v>
      </c>
      <c r="M289" s="33" t="s">
        <v>23</v>
      </c>
      <c r="N289" s="53"/>
      <c r="O289" s="34" t="s">
        <v>24</v>
      </c>
    </row>
    <row r="290">
      <c r="A290" s="241" t="s">
        <v>558</v>
      </c>
      <c r="B290" s="242" t="s">
        <v>18</v>
      </c>
      <c r="C290" s="242" t="s">
        <v>565</v>
      </c>
      <c r="D290" s="243" t="str">
        <f t="shared" si="1"/>
        <v>PATIO-1-25</v>
      </c>
      <c r="E290" s="35">
        <v>45763.0</v>
      </c>
      <c r="F290" s="36" t="s">
        <v>781</v>
      </c>
      <c r="G290" s="37" t="s">
        <v>221</v>
      </c>
      <c r="H290" s="38" t="s">
        <v>222</v>
      </c>
      <c r="I290" s="39">
        <v>150.0</v>
      </c>
      <c r="J290" s="38" t="s">
        <v>22</v>
      </c>
      <c r="K290" s="27" t="str">
        <f t="shared" si="19"/>
        <v>OCUPADO</v>
      </c>
      <c r="L290" s="28">
        <f t="shared" si="21"/>
        <v>282</v>
      </c>
      <c r="M290" s="28" t="s">
        <v>23</v>
      </c>
      <c r="N290" s="70"/>
      <c r="O290" s="29" t="s">
        <v>24</v>
      </c>
    </row>
    <row r="291">
      <c r="A291" s="250" t="s">
        <v>558</v>
      </c>
      <c r="B291" s="251" t="s">
        <v>18</v>
      </c>
      <c r="C291" s="251" t="s">
        <v>622</v>
      </c>
      <c r="D291" s="252" t="str">
        <f t="shared" si="1"/>
        <v>PATIO-1-26</v>
      </c>
      <c r="E291" s="253">
        <v>45763.0</v>
      </c>
      <c r="F291" s="254" t="s">
        <v>781</v>
      </c>
      <c r="G291" s="255" t="s">
        <v>221</v>
      </c>
      <c r="H291" s="256" t="s">
        <v>222</v>
      </c>
      <c r="I291" s="257">
        <v>150.0</v>
      </c>
      <c r="J291" s="256" t="s">
        <v>22</v>
      </c>
      <c r="K291" s="154" t="str">
        <f t="shared" si="19"/>
        <v>OCUPADO</v>
      </c>
      <c r="L291" s="155">
        <f t="shared" si="21"/>
        <v>283</v>
      </c>
      <c r="M291" s="156" t="s">
        <v>23</v>
      </c>
      <c r="N291" s="156"/>
      <c r="O291" s="324" t="s">
        <v>24</v>
      </c>
    </row>
    <row r="292">
      <c r="A292" s="258" t="s">
        <v>254</v>
      </c>
      <c r="B292" s="259" t="s">
        <v>465</v>
      </c>
      <c r="C292" s="259" t="s">
        <v>629</v>
      </c>
      <c r="D292" s="260" t="str">
        <f t="shared" si="1"/>
        <v>R-8-B1</v>
      </c>
      <c r="E292" s="78">
        <v>45758.0</v>
      </c>
      <c r="F292" s="88" t="s">
        <v>782</v>
      </c>
      <c r="G292" s="80" t="s">
        <v>346</v>
      </c>
      <c r="H292" s="81" t="s">
        <v>347</v>
      </c>
      <c r="I292" s="82">
        <v>8.0</v>
      </c>
      <c r="J292" s="81" t="s">
        <v>478</v>
      </c>
      <c r="K292" s="27" t="str">
        <f t="shared" ref="K292:K316" si="22">IF(ISBLANK(E292),"DISPONIBLE","OCUPADO")</f>
        <v>OCUPADO</v>
      </c>
      <c r="L292" s="28">
        <f>IF(B281&lt;&gt;"", ROW(A281), "")
</f>
        <v>281</v>
      </c>
      <c r="M292" s="261" t="s">
        <v>724</v>
      </c>
      <c r="N292" s="264"/>
      <c r="O292" s="168" t="s">
        <v>270</v>
      </c>
    </row>
    <row r="293">
      <c r="A293" s="258" t="s">
        <v>254</v>
      </c>
      <c r="B293" s="259" t="s">
        <v>465</v>
      </c>
      <c r="C293" s="259" t="s">
        <v>633</v>
      </c>
      <c r="D293" s="260" t="str">
        <f t="shared" si="1"/>
        <v>R-8-B2</v>
      </c>
      <c r="E293" s="72"/>
      <c r="F293" s="77"/>
      <c r="G293" s="325"/>
      <c r="H293" s="75"/>
      <c r="I293" s="76"/>
      <c r="J293" s="75"/>
      <c r="K293" s="32" t="str">
        <f t="shared" si="22"/>
        <v>DISPONIBLE</v>
      </c>
      <c r="L293" s="33">
        <f t="shared" ref="L293:L439" si="23">IF(B292&lt;&gt;"", ROW(A292), "")
</f>
        <v>292</v>
      </c>
      <c r="M293" s="261" t="s">
        <v>724</v>
      </c>
      <c r="N293" s="262"/>
      <c r="O293" s="169"/>
    </row>
    <row r="294">
      <c r="A294" s="258" t="s">
        <v>254</v>
      </c>
      <c r="B294" s="259" t="s">
        <v>465</v>
      </c>
      <c r="C294" s="259" t="s">
        <v>635</v>
      </c>
      <c r="D294" s="260" t="str">
        <f t="shared" si="1"/>
        <v>R-8-B3</v>
      </c>
      <c r="E294" s="78">
        <v>45756.0</v>
      </c>
      <c r="F294" s="88" t="s">
        <v>783</v>
      </c>
      <c r="G294" s="80" t="s">
        <v>111</v>
      </c>
      <c r="H294" s="81" t="s">
        <v>112</v>
      </c>
      <c r="I294" s="82">
        <v>4.0</v>
      </c>
      <c r="J294" s="81" t="s">
        <v>478</v>
      </c>
      <c r="K294" s="27" t="str">
        <f t="shared" si="22"/>
        <v>OCUPADO</v>
      </c>
      <c r="L294" s="28">
        <f t="shared" si="23"/>
        <v>293</v>
      </c>
      <c r="M294" s="261" t="s">
        <v>724</v>
      </c>
      <c r="N294" s="264"/>
      <c r="O294" s="168" t="s">
        <v>270</v>
      </c>
    </row>
    <row r="295">
      <c r="A295" s="258" t="s">
        <v>254</v>
      </c>
      <c r="B295" s="259" t="s">
        <v>465</v>
      </c>
      <c r="C295" s="259" t="s">
        <v>637</v>
      </c>
      <c r="D295" s="260" t="str">
        <f t="shared" si="1"/>
        <v>R-8-B4</v>
      </c>
      <c r="E295" s="78">
        <v>45756.0</v>
      </c>
      <c r="F295" s="88" t="s">
        <v>784</v>
      </c>
      <c r="G295" s="80" t="s">
        <v>80</v>
      </c>
      <c r="H295" s="81" t="s">
        <v>81</v>
      </c>
      <c r="I295" s="82">
        <v>1.0</v>
      </c>
      <c r="J295" s="81" t="s">
        <v>478</v>
      </c>
      <c r="K295" s="32" t="str">
        <f t="shared" si="22"/>
        <v>OCUPADO</v>
      </c>
      <c r="L295" s="33">
        <f t="shared" si="23"/>
        <v>294</v>
      </c>
      <c r="M295" s="261" t="s">
        <v>724</v>
      </c>
      <c r="N295" s="262"/>
      <c r="O295" s="169" t="s">
        <v>270</v>
      </c>
    </row>
    <row r="296">
      <c r="A296" s="258" t="s">
        <v>254</v>
      </c>
      <c r="B296" s="259" t="s">
        <v>465</v>
      </c>
      <c r="C296" s="259" t="s">
        <v>589</v>
      </c>
      <c r="D296" s="260" t="str">
        <f t="shared" si="1"/>
        <v>R-8-B5</v>
      </c>
      <c r="E296" s="78">
        <v>45758.0</v>
      </c>
      <c r="F296" s="88" t="s">
        <v>785</v>
      </c>
      <c r="G296" s="80" t="s">
        <v>249</v>
      </c>
      <c r="H296" s="81" t="s">
        <v>250</v>
      </c>
      <c r="I296" s="82">
        <v>3.0</v>
      </c>
      <c r="J296" s="81" t="s">
        <v>478</v>
      </c>
      <c r="K296" s="27" t="str">
        <f t="shared" si="22"/>
        <v>OCUPADO</v>
      </c>
      <c r="L296" s="28">
        <f t="shared" si="23"/>
        <v>295</v>
      </c>
      <c r="M296" s="261" t="s">
        <v>724</v>
      </c>
      <c r="N296" s="264"/>
      <c r="O296" s="168" t="s">
        <v>270</v>
      </c>
    </row>
    <row r="297">
      <c r="A297" s="258" t="s">
        <v>254</v>
      </c>
      <c r="B297" s="259" t="s">
        <v>465</v>
      </c>
      <c r="C297" s="259" t="s">
        <v>639</v>
      </c>
      <c r="D297" s="260" t="str">
        <f t="shared" si="1"/>
        <v>R-8-B6</v>
      </c>
      <c r="E297" s="78">
        <v>45758.0</v>
      </c>
      <c r="F297" s="88" t="s">
        <v>786</v>
      </c>
      <c r="G297" s="80" t="s">
        <v>196</v>
      </c>
      <c r="H297" s="81" t="s">
        <v>197</v>
      </c>
      <c r="I297" s="82">
        <v>24.0</v>
      </c>
      <c r="J297" s="81" t="s">
        <v>478</v>
      </c>
      <c r="K297" s="32" t="str">
        <f t="shared" si="22"/>
        <v>OCUPADO</v>
      </c>
      <c r="L297" s="33">
        <f t="shared" si="23"/>
        <v>296</v>
      </c>
      <c r="M297" s="261" t="s">
        <v>724</v>
      </c>
      <c r="N297" s="262"/>
      <c r="O297" s="169" t="s">
        <v>270</v>
      </c>
    </row>
    <row r="298">
      <c r="A298" s="258" t="s">
        <v>254</v>
      </c>
      <c r="B298" s="259" t="s">
        <v>465</v>
      </c>
      <c r="C298" s="259" t="s">
        <v>641</v>
      </c>
      <c r="D298" s="260" t="str">
        <f t="shared" si="1"/>
        <v>R-8-B7</v>
      </c>
      <c r="E298" s="78">
        <v>45758.0</v>
      </c>
      <c r="F298" s="88" t="s">
        <v>787</v>
      </c>
      <c r="G298" s="80" t="s">
        <v>87</v>
      </c>
      <c r="H298" s="81" t="s">
        <v>88</v>
      </c>
      <c r="I298" s="82">
        <v>8.0</v>
      </c>
      <c r="J298" s="81" t="s">
        <v>478</v>
      </c>
      <c r="K298" s="27" t="str">
        <f t="shared" si="22"/>
        <v>OCUPADO</v>
      </c>
      <c r="L298" s="28">
        <f t="shared" si="23"/>
        <v>297</v>
      </c>
      <c r="M298" s="261" t="s">
        <v>724</v>
      </c>
      <c r="N298" s="264"/>
      <c r="O298" s="168" t="s">
        <v>270</v>
      </c>
    </row>
    <row r="299">
      <c r="A299" s="258" t="s">
        <v>254</v>
      </c>
      <c r="B299" s="259" t="s">
        <v>465</v>
      </c>
      <c r="C299" s="259" t="s">
        <v>591</v>
      </c>
      <c r="D299" s="260" t="str">
        <f t="shared" si="1"/>
        <v>R-8-B8</v>
      </c>
      <c r="E299" s="78">
        <v>45699.0</v>
      </c>
      <c r="F299" s="88" t="s">
        <v>788</v>
      </c>
      <c r="G299" s="80" t="s">
        <v>301</v>
      </c>
      <c r="H299" s="81" t="s">
        <v>302</v>
      </c>
      <c r="I299" s="82">
        <v>4.0</v>
      </c>
      <c r="J299" s="81" t="s">
        <v>463</v>
      </c>
      <c r="K299" s="32" t="str">
        <f t="shared" si="22"/>
        <v>OCUPADO</v>
      </c>
      <c r="L299" s="33">
        <f t="shared" si="23"/>
        <v>298</v>
      </c>
      <c r="M299" s="261" t="s">
        <v>724</v>
      </c>
      <c r="N299" s="262"/>
      <c r="O299" s="169" t="s">
        <v>270</v>
      </c>
    </row>
    <row r="300">
      <c r="A300" s="258" t="s">
        <v>254</v>
      </c>
      <c r="B300" s="259" t="s">
        <v>465</v>
      </c>
      <c r="C300" s="259" t="s">
        <v>643</v>
      </c>
      <c r="D300" s="260" t="str">
        <f t="shared" si="1"/>
        <v>R-8-B9</v>
      </c>
      <c r="E300" s="78">
        <v>45735.0</v>
      </c>
      <c r="F300" s="88" t="s">
        <v>786</v>
      </c>
      <c r="G300" s="80" t="s">
        <v>238</v>
      </c>
      <c r="H300" s="81" t="s">
        <v>239</v>
      </c>
      <c r="I300" s="82">
        <v>1.0</v>
      </c>
      <c r="J300" s="81" t="s">
        <v>478</v>
      </c>
      <c r="K300" s="27" t="str">
        <f t="shared" si="22"/>
        <v>OCUPADO</v>
      </c>
      <c r="L300" s="28">
        <f t="shared" si="23"/>
        <v>299</v>
      </c>
      <c r="M300" s="261" t="s">
        <v>724</v>
      </c>
      <c r="N300" s="264"/>
      <c r="O300" s="168" t="s">
        <v>270</v>
      </c>
    </row>
    <row r="301">
      <c r="A301" s="258" t="s">
        <v>254</v>
      </c>
      <c r="B301" s="259" t="s">
        <v>465</v>
      </c>
      <c r="C301" s="259" t="s">
        <v>631</v>
      </c>
      <c r="D301" s="260" t="str">
        <f t="shared" si="1"/>
        <v>R-8-B10</v>
      </c>
      <c r="E301" s="78">
        <v>45744.0</v>
      </c>
      <c r="F301" s="88" t="s">
        <v>731</v>
      </c>
      <c r="G301" s="80" t="s">
        <v>320</v>
      </c>
      <c r="H301" s="81" t="s">
        <v>321</v>
      </c>
      <c r="I301" s="82">
        <v>17.0</v>
      </c>
      <c r="J301" s="81" t="s">
        <v>478</v>
      </c>
      <c r="K301" s="32" t="str">
        <f t="shared" si="22"/>
        <v>OCUPADO</v>
      </c>
      <c r="L301" s="33">
        <f t="shared" si="23"/>
        <v>300</v>
      </c>
      <c r="M301" s="261" t="s">
        <v>724</v>
      </c>
      <c r="N301" s="262"/>
      <c r="O301" s="169" t="s">
        <v>270</v>
      </c>
    </row>
    <row r="302">
      <c r="A302" s="258" t="s">
        <v>254</v>
      </c>
      <c r="B302" s="259" t="s">
        <v>465</v>
      </c>
      <c r="C302" s="259" t="s">
        <v>571</v>
      </c>
      <c r="D302" s="260" t="str">
        <f t="shared" si="1"/>
        <v>R-8-B11</v>
      </c>
      <c r="E302" s="78">
        <v>45737.0</v>
      </c>
      <c r="F302" s="88" t="s">
        <v>786</v>
      </c>
      <c r="G302" s="80" t="s">
        <v>294</v>
      </c>
      <c r="H302" s="81" t="s">
        <v>295</v>
      </c>
      <c r="I302" s="82">
        <v>3.0</v>
      </c>
      <c r="J302" s="81" t="s">
        <v>478</v>
      </c>
      <c r="K302" s="27" t="str">
        <f t="shared" si="22"/>
        <v>OCUPADO</v>
      </c>
      <c r="L302" s="28">
        <f t="shared" si="23"/>
        <v>301</v>
      </c>
      <c r="M302" s="261" t="s">
        <v>724</v>
      </c>
      <c r="N302" s="264"/>
      <c r="O302" s="168" t="s">
        <v>270</v>
      </c>
    </row>
    <row r="303">
      <c r="A303" s="258" t="s">
        <v>254</v>
      </c>
      <c r="B303" s="259" t="s">
        <v>465</v>
      </c>
      <c r="C303" s="259" t="s">
        <v>574</v>
      </c>
      <c r="D303" s="260" t="str">
        <f t="shared" si="1"/>
        <v>R-8-B12</v>
      </c>
      <c r="E303" s="72"/>
      <c r="F303" s="77"/>
      <c r="G303" s="265"/>
      <c r="H303" s="75"/>
      <c r="I303" s="76"/>
      <c r="J303" s="75"/>
      <c r="K303" s="32" t="str">
        <f t="shared" si="22"/>
        <v>DISPONIBLE</v>
      </c>
      <c r="L303" s="33">
        <f t="shared" si="23"/>
        <v>302</v>
      </c>
      <c r="M303" s="261" t="s">
        <v>724</v>
      </c>
      <c r="N303" s="262"/>
      <c r="O303" s="267"/>
    </row>
    <row r="304">
      <c r="A304" s="258" t="s">
        <v>254</v>
      </c>
      <c r="B304" s="259" t="s">
        <v>465</v>
      </c>
      <c r="C304" s="259" t="s">
        <v>578</v>
      </c>
      <c r="D304" s="260" t="str">
        <f t="shared" si="1"/>
        <v>R-8-B13</v>
      </c>
      <c r="E304" s="72"/>
      <c r="F304" s="77"/>
      <c r="G304" s="265"/>
      <c r="H304" s="75"/>
      <c r="I304" s="76"/>
      <c r="J304" s="75"/>
      <c r="K304" s="27" t="str">
        <f t="shared" si="22"/>
        <v>DISPONIBLE</v>
      </c>
      <c r="L304" s="28">
        <f t="shared" si="23"/>
        <v>303</v>
      </c>
      <c r="M304" s="261" t="s">
        <v>724</v>
      </c>
      <c r="N304" s="264"/>
      <c r="O304" s="266"/>
    </row>
    <row r="305">
      <c r="A305" s="258" t="s">
        <v>254</v>
      </c>
      <c r="B305" s="259" t="s">
        <v>465</v>
      </c>
      <c r="C305" s="259" t="s">
        <v>581</v>
      </c>
      <c r="D305" s="260" t="str">
        <f t="shared" si="1"/>
        <v>R-8-B14</v>
      </c>
      <c r="E305" s="72"/>
      <c r="F305" s="77"/>
      <c r="G305" s="265"/>
      <c r="H305" s="75"/>
      <c r="I305" s="76"/>
      <c r="J305" s="75"/>
      <c r="K305" s="32" t="str">
        <f t="shared" si="22"/>
        <v>DISPONIBLE</v>
      </c>
      <c r="L305" s="33">
        <f t="shared" si="23"/>
        <v>304</v>
      </c>
      <c r="M305" s="261" t="s">
        <v>724</v>
      </c>
      <c r="N305" s="262"/>
      <c r="O305" s="267"/>
    </row>
    <row r="306">
      <c r="A306" s="258" t="s">
        <v>254</v>
      </c>
      <c r="B306" s="259" t="s">
        <v>465</v>
      </c>
      <c r="C306" s="259" t="s">
        <v>584</v>
      </c>
      <c r="D306" s="260" t="str">
        <f t="shared" si="1"/>
        <v>R-8-B15</v>
      </c>
      <c r="E306" s="72"/>
      <c r="F306" s="77"/>
      <c r="G306" s="265"/>
      <c r="H306" s="75"/>
      <c r="I306" s="76"/>
      <c r="J306" s="75"/>
      <c r="K306" s="27" t="str">
        <f t="shared" si="22"/>
        <v>DISPONIBLE</v>
      </c>
      <c r="L306" s="28">
        <f t="shared" si="23"/>
        <v>305</v>
      </c>
      <c r="M306" s="261" t="s">
        <v>724</v>
      </c>
      <c r="N306" s="264"/>
      <c r="O306" s="266"/>
    </row>
    <row r="307">
      <c r="A307" s="268" t="s">
        <v>254</v>
      </c>
      <c r="B307" s="269" t="s">
        <v>465</v>
      </c>
      <c r="C307" s="269" t="s">
        <v>587</v>
      </c>
      <c r="D307" s="270" t="str">
        <f t="shared" si="1"/>
        <v>R-8-B16</v>
      </c>
      <c r="E307" s="234"/>
      <c r="F307" s="235"/>
      <c r="G307" s="271"/>
      <c r="H307" s="239"/>
      <c r="I307" s="272"/>
      <c r="J307" s="239"/>
      <c r="K307" s="154" t="str">
        <f t="shared" si="22"/>
        <v>DISPONIBLE</v>
      </c>
      <c r="L307" s="155">
        <f t="shared" si="23"/>
        <v>306</v>
      </c>
      <c r="M307" s="273" t="s">
        <v>724</v>
      </c>
      <c r="N307" s="156"/>
      <c r="O307" s="157"/>
    </row>
    <row r="308">
      <c r="A308" s="274" t="s">
        <v>645</v>
      </c>
      <c r="B308" s="275" t="s">
        <v>18</v>
      </c>
      <c r="C308" s="275" t="s">
        <v>18</v>
      </c>
      <c r="D308" s="276" t="str">
        <f t="shared" si="1"/>
        <v>T-1-1</v>
      </c>
      <c r="E308" s="78">
        <v>45723.0</v>
      </c>
      <c r="F308" s="88" t="s">
        <v>789</v>
      </c>
      <c r="G308" s="80" t="s">
        <v>80</v>
      </c>
      <c r="H308" s="81" t="s">
        <v>81</v>
      </c>
      <c r="I308" s="82">
        <v>2.0</v>
      </c>
      <c r="J308" s="81" t="s">
        <v>463</v>
      </c>
      <c r="K308" s="27" t="str">
        <f t="shared" si="22"/>
        <v>OCUPADO</v>
      </c>
      <c r="L308" s="28">
        <f t="shared" si="23"/>
        <v>307</v>
      </c>
      <c r="M308" s="28" t="s">
        <v>733</v>
      </c>
      <c r="N308" s="109"/>
      <c r="O308" s="168" t="s">
        <v>270</v>
      </c>
    </row>
    <row r="309">
      <c r="A309" s="274" t="s">
        <v>645</v>
      </c>
      <c r="B309" s="275" t="s">
        <v>18</v>
      </c>
      <c r="C309" s="275" t="s">
        <v>32</v>
      </c>
      <c r="D309" s="276" t="str">
        <f t="shared" si="1"/>
        <v>T-1-2</v>
      </c>
      <c r="E309" s="78">
        <v>45726.0</v>
      </c>
      <c r="F309" s="88" t="s">
        <v>772</v>
      </c>
      <c r="G309" s="80" t="s">
        <v>111</v>
      </c>
      <c r="H309" s="81" t="s">
        <v>112</v>
      </c>
      <c r="I309" s="82">
        <v>5.0</v>
      </c>
      <c r="J309" s="81" t="s">
        <v>43</v>
      </c>
      <c r="K309" s="32" t="str">
        <f t="shared" si="22"/>
        <v>OCUPADO</v>
      </c>
      <c r="L309" s="33">
        <f t="shared" si="23"/>
        <v>308</v>
      </c>
      <c r="M309" s="33" t="s">
        <v>733</v>
      </c>
      <c r="N309" s="122"/>
      <c r="O309" s="169" t="s">
        <v>270</v>
      </c>
    </row>
    <row r="310">
      <c r="A310" s="274" t="s">
        <v>645</v>
      </c>
      <c r="B310" s="275" t="s">
        <v>18</v>
      </c>
      <c r="C310" s="275" t="s">
        <v>44</v>
      </c>
      <c r="D310" s="276" t="str">
        <f t="shared" si="1"/>
        <v>T-1-3</v>
      </c>
      <c r="E310" s="78">
        <v>45735.0</v>
      </c>
      <c r="F310" s="88" t="s">
        <v>19</v>
      </c>
      <c r="G310" s="80" t="s">
        <v>87</v>
      </c>
      <c r="H310" s="81" t="s">
        <v>88</v>
      </c>
      <c r="I310" s="82">
        <v>6.0</v>
      </c>
      <c r="J310" s="81" t="s">
        <v>43</v>
      </c>
      <c r="K310" s="27" t="str">
        <f t="shared" si="22"/>
        <v>OCUPADO</v>
      </c>
      <c r="L310" s="28">
        <f t="shared" si="23"/>
        <v>309</v>
      </c>
      <c r="M310" s="28" t="s">
        <v>733</v>
      </c>
      <c r="N310" s="109"/>
      <c r="O310" s="168" t="s">
        <v>270</v>
      </c>
    </row>
    <row r="311">
      <c r="A311" s="274" t="s">
        <v>645</v>
      </c>
      <c r="B311" s="275" t="s">
        <v>18</v>
      </c>
      <c r="C311" s="275" t="s">
        <v>53</v>
      </c>
      <c r="D311" s="276" t="str">
        <f t="shared" si="1"/>
        <v>T-1-4</v>
      </c>
      <c r="E311" s="78">
        <v>45758.0</v>
      </c>
      <c r="F311" s="88" t="s">
        <v>790</v>
      </c>
      <c r="G311" s="80" t="s">
        <v>196</v>
      </c>
      <c r="H311" s="81" t="s">
        <v>197</v>
      </c>
      <c r="I311" s="82">
        <v>8.0</v>
      </c>
      <c r="J311" s="81" t="s">
        <v>43</v>
      </c>
      <c r="K311" s="32" t="str">
        <f t="shared" si="22"/>
        <v>OCUPADO</v>
      </c>
      <c r="L311" s="33">
        <f t="shared" si="23"/>
        <v>310</v>
      </c>
      <c r="M311" s="33" t="s">
        <v>733</v>
      </c>
      <c r="N311" s="122"/>
      <c r="O311" s="169" t="s">
        <v>270</v>
      </c>
    </row>
    <row r="312">
      <c r="A312" s="274" t="s">
        <v>645</v>
      </c>
      <c r="B312" s="275" t="s">
        <v>18</v>
      </c>
      <c r="C312" s="275" t="s">
        <v>25</v>
      </c>
      <c r="D312" s="276" t="str">
        <f t="shared" si="1"/>
        <v>T-1-5</v>
      </c>
      <c r="E312" s="78">
        <v>45751.0</v>
      </c>
      <c r="F312" s="88" t="s">
        <v>600</v>
      </c>
      <c r="G312" s="80" t="s">
        <v>325</v>
      </c>
      <c r="H312" s="81" t="s">
        <v>326</v>
      </c>
      <c r="I312" s="82">
        <v>206.0</v>
      </c>
      <c r="J312" s="81" t="s">
        <v>43</v>
      </c>
      <c r="K312" s="27" t="str">
        <f t="shared" si="22"/>
        <v>OCUPADO</v>
      </c>
      <c r="L312" s="28">
        <f t="shared" si="23"/>
        <v>311</v>
      </c>
      <c r="M312" s="28" t="s">
        <v>733</v>
      </c>
      <c r="N312" s="109"/>
      <c r="O312" s="168" t="s">
        <v>270</v>
      </c>
    </row>
    <row r="313">
      <c r="A313" s="274" t="s">
        <v>645</v>
      </c>
      <c r="B313" s="275" t="s">
        <v>18</v>
      </c>
      <c r="C313" s="275" t="s">
        <v>36</v>
      </c>
      <c r="D313" s="276" t="str">
        <f t="shared" si="1"/>
        <v>T-1-6</v>
      </c>
      <c r="E313" s="78">
        <v>45761.0</v>
      </c>
      <c r="F313" s="79" t="s">
        <v>675</v>
      </c>
      <c r="G313" s="81" t="s">
        <v>314</v>
      </c>
      <c r="H313" s="81" t="s">
        <v>315</v>
      </c>
      <c r="I313" s="82">
        <v>1.0</v>
      </c>
      <c r="J313" s="81" t="s">
        <v>43</v>
      </c>
      <c r="K313" s="32" t="str">
        <f t="shared" si="22"/>
        <v>OCUPADO</v>
      </c>
      <c r="L313" s="33">
        <f t="shared" si="23"/>
        <v>312</v>
      </c>
      <c r="M313" s="33" t="s">
        <v>733</v>
      </c>
      <c r="N313" s="122"/>
      <c r="O313" s="249" t="s">
        <v>270</v>
      </c>
    </row>
    <row r="314">
      <c r="A314" s="274" t="s">
        <v>645</v>
      </c>
      <c r="B314" s="275" t="s">
        <v>18</v>
      </c>
      <c r="C314" s="275" t="s">
        <v>48</v>
      </c>
      <c r="D314" s="276" t="str">
        <f t="shared" si="1"/>
        <v>T-1-7</v>
      </c>
      <c r="E314" s="72"/>
      <c r="F314" s="77"/>
      <c r="G314" s="75"/>
      <c r="H314" s="75"/>
      <c r="I314" s="76"/>
      <c r="J314" s="75"/>
      <c r="K314" s="27" t="str">
        <f t="shared" si="22"/>
        <v>DISPONIBLE</v>
      </c>
      <c r="L314" s="28">
        <f t="shared" si="23"/>
        <v>313</v>
      </c>
      <c r="M314" s="28" t="s">
        <v>733</v>
      </c>
      <c r="N314" s="109"/>
      <c r="O314" s="248"/>
    </row>
    <row r="315">
      <c r="A315" s="274" t="s">
        <v>645</v>
      </c>
      <c r="B315" s="275" t="s">
        <v>18</v>
      </c>
      <c r="C315" s="275" t="s">
        <v>465</v>
      </c>
      <c r="D315" s="276" t="str">
        <f t="shared" si="1"/>
        <v>T-1-8</v>
      </c>
      <c r="E315" s="103"/>
      <c r="F315" s="77"/>
      <c r="G315" s="265"/>
      <c r="H315" s="75"/>
      <c r="I315" s="76"/>
      <c r="J315" s="75"/>
      <c r="K315" s="32" t="str">
        <f t="shared" si="22"/>
        <v>DISPONIBLE</v>
      </c>
      <c r="L315" s="33">
        <f t="shared" si="23"/>
        <v>314</v>
      </c>
      <c r="M315" s="33" t="s">
        <v>733</v>
      </c>
      <c r="N315" s="122"/>
      <c r="O315" s="316"/>
    </row>
    <row r="316">
      <c r="A316" s="274" t="s">
        <v>645</v>
      </c>
      <c r="B316" s="275" t="s">
        <v>18</v>
      </c>
      <c r="C316" s="275" t="s">
        <v>511</v>
      </c>
      <c r="D316" s="276" t="str">
        <f t="shared" si="1"/>
        <v>T-1-9</v>
      </c>
      <c r="E316" s="72"/>
      <c r="F316" s="77"/>
      <c r="G316" s="74"/>
      <c r="H316" s="75"/>
      <c r="I316" s="76"/>
      <c r="J316" s="75"/>
      <c r="K316" s="27" t="str">
        <f t="shared" si="22"/>
        <v>DISPONIBLE</v>
      </c>
      <c r="L316" s="28">
        <f t="shared" si="23"/>
        <v>315</v>
      </c>
      <c r="M316" s="28" t="s">
        <v>733</v>
      </c>
      <c r="N316" s="109"/>
      <c r="O316" s="168"/>
    </row>
    <row r="317">
      <c r="A317" s="274" t="s">
        <v>645</v>
      </c>
      <c r="B317" s="275" t="s">
        <v>18</v>
      </c>
      <c r="C317" s="275" t="s">
        <v>296</v>
      </c>
      <c r="D317" s="276" t="str">
        <f t="shared" si="1"/>
        <v>T-1-10</v>
      </c>
      <c r="E317" s="146"/>
      <c r="F317" s="147"/>
      <c r="G317" s="148"/>
      <c r="H317" s="148"/>
      <c r="I317" s="149"/>
      <c r="J317" s="148"/>
      <c r="K317" s="32" t="str">
        <f>IF(ISBLANK(E236),"DISPONIBLE","OCUPADO")</f>
        <v>OCUPADO</v>
      </c>
      <c r="L317" s="33">
        <f t="shared" si="23"/>
        <v>316</v>
      </c>
      <c r="M317" s="33" t="s">
        <v>733</v>
      </c>
      <c r="N317" s="33"/>
      <c r="O317" s="169"/>
    </row>
    <row r="318">
      <c r="A318" s="274" t="s">
        <v>645</v>
      </c>
      <c r="B318" s="275" t="s">
        <v>18</v>
      </c>
      <c r="C318" s="275" t="s">
        <v>316</v>
      </c>
      <c r="D318" s="276" t="str">
        <f t="shared" si="1"/>
        <v>T-1-11</v>
      </c>
      <c r="E318" s="78">
        <v>45754.0</v>
      </c>
      <c r="F318" s="79" t="s">
        <v>675</v>
      </c>
      <c r="G318" s="81" t="s">
        <v>272</v>
      </c>
      <c r="H318" s="81" t="s">
        <v>273</v>
      </c>
      <c r="I318" s="82">
        <v>80.0</v>
      </c>
      <c r="J318" s="81" t="s">
        <v>43</v>
      </c>
      <c r="K318" s="27" t="str">
        <f t="shared" ref="K318:K324" si="24">IF(ISBLANK(E318),"DISPONIBLE","OCUPADO")</f>
        <v>OCUPADO</v>
      </c>
      <c r="L318" s="28">
        <f t="shared" si="23"/>
        <v>317</v>
      </c>
      <c r="M318" s="28" t="s">
        <v>733</v>
      </c>
      <c r="N318" s="109"/>
      <c r="O318" s="248" t="s">
        <v>270</v>
      </c>
    </row>
    <row r="319">
      <c r="A319" s="274" t="s">
        <v>645</v>
      </c>
      <c r="B319" s="275" t="s">
        <v>18</v>
      </c>
      <c r="C319" s="275" t="s">
        <v>336</v>
      </c>
      <c r="D319" s="276" t="str">
        <f t="shared" si="1"/>
        <v>T-1-12</v>
      </c>
      <c r="E319" s="78">
        <v>45762.0</v>
      </c>
      <c r="F319" s="88" t="s">
        <v>791</v>
      </c>
      <c r="G319" s="80" t="s">
        <v>96</v>
      </c>
      <c r="H319" s="81" t="s">
        <v>97</v>
      </c>
      <c r="I319" s="82">
        <v>65.0</v>
      </c>
      <c r="J319" s="81" t="s">
        <v>463</v>
      </c>
      <c r="K319" s="32" t="str">
        <f t="shared" si="24"/>
        <v>OCUPADO</v>
      </c>
      <c r="L319" s="33">
        <f t="shared" si="23"/>
        <v>318</v>
      </c>
      <c r="M319" s="33" t="s">
        <v>733</v>
      </c>
      <c r="N319" s="122"/>
      <c r="O319" s="169" t="s">
        <v>270</v>
      </c>
    </row>
    <row r="320">
      <c r="A320" s="274" t="s">
        <v>645</v>
      </c>
      <c r="B320" s="275" t="s">
        <v>18</v>
      </c>
      <c r="C320" s="275" t="s">
        <v>350</v>
      </c>
      <c r="D320" s="276" t="str">
        <f t="shared" si="1"/>
        <v>T-1-13</v>
      </c>
      <c r="E320" s="78">
        <v>45762.0</v>
      </c>
      <c r="F320" s="88" t="s">
        <v>792</v>
      </c>
      <c r="G320" s="80" t="s">
        <v>330</v>
      </c>
      <c r="H320" s="81" t="s">
        <v>331</v>
      </c>
      <c r="I320" s="82">
        <v>10.0</v>
      </c>
      <c r="J320" s="81" t="s">
        <v>274</v>
      </c>
      <c r="K320" s="27" t="str">
        <f t="shared" si="24"/>
        <v>OCUPADO</v>
      </c>
      <c r="L320" s="28">
        <f t="shared" si="23"/>
        <v>319</v>
      </c>
      <c r="M320" s="28" t="s">
        <v>733</v>
      </c>
      <c r="N320" s="109"/>
      <c r="O320" s="168" t="s">
        <v>270</v>
      </c>
    </row>
    <row r="321">
      <c r="A321" s="274" t="s">
        <v>645</v>
      </c>
      <c r="B321" s="275" t="s">
        <v>18</v>
      </c>
      <c r="C321" s="275" t="s">
        <v>362</v>
      </c>
      <c r="D321" s="276" t="str">
        <f t="shared" si="1"/>
        <v>T-1-14</v>
      </c>
      <c r="E321" s="78">
        <v>45762.0</v>
      </c>
      <c r="F321" s="88" t="s">
        <v>792</v>
      </c>
      <c r="G321" s="80" t="s">
        <v>325</v>
      </c>
      <c r="H321" s="81" t="s">
        <v>326</v>
      </c>
      <c r="I321" s="82">
        <v>11.0</v>
      </c>
      <c r="J321" s="81" t="s">
        <v>274</v>
      </c>
      <c r="K321" s="32" t="str">
        <f t="shared" si="24"/>
        <v>OCUPADO</v>
      </c>
      <c r="L321" s="33">
        <f t="shared" si="23"/>
        <v>320</v>
      </c>
      <c r="M321" s="33" t="s">
        <v>733</v>
      </c>
      <c r="N321" s="122"/>
      <c r="O321" s="169" t="s">
        <v>270</v>
      </c>
    </row>
    <row r="322">
      <c r="A322" s="274" t="s">
        <v>645</v>
      </c>
      <c r="B322" s="275" t="s">
        <v>18</v>
      </c>
      <c r="C322" s="275" t="s">
        <v>372</v>
      </c>
      <c r="D322" s="276" t="str">
        <f t="shared" si="1"/>
        <v>T-1-15</v>
      </c>
      <c r="E322" s="78">
        <v>45763.0</v>
      </c>
      <c r="F322" s="88" t="s">
        <v>770</v>
      </c>
      <c r="G322" s="80" t="s">
        <v>196</v>
      </c>
      <c r="H322" s="81" t="s">
        <v>197</v>
      </c>
      <c r="I322" s="82">
        <v>100.0</v>
      </c>
      <c r="J322" s="81" t="s">
        <v>43</v>
      </c>
      <c r="K322" s="27" t="str">
        <f t="shared" si="24"/>
        <v>OCUPADO</v>
      </c>
      <c r="L322" s="28">
        <f t="shared" si="23"/>
        <v>321</v>
      </c>
      <c r="M322" s="28" t="s">
        <v>733</v>
      </c>
      <c r="N322" s="109"/>
      <c r="O322" s="168" t="s">
        <v>270</v>
      </c>
    </row>
    <row r="323">
      <c r="A323" s="274" t="s">
        <v>645</v>
      </c>
      <c r="B323" s="275" t="s">
        <v>18</v>
      </c>
      <c r="C323" s="275" t="s">
        <v>382</v>
      </c>
      <c r="D323" s="276" t="str">
        <f t="shared" si="1"/>
        <v>T-1-16</v>
      </c>
      <c r="E323" s="72"/>
      <c r="F323" s="77"/>
      <c r="G323" s="85"/>
      <c r="H323" s="75"/>
      <c r="I323" s="76"/>
      <c r="J323" s="75"/>
      <c r="K323" s="32" t="str">
        <f t="shared" si="24"/>
        <v>DISPONIBLE</v>
      </c>
      <c r="L323" s="33">
        <f t="shared" si="23"/>
        <v>322</v>
      </c>
      <c r="M323" s="33" t="s">
        <v>733</v>
      </c>
      <c r="N323" s="122"/>
      <c r="O323" s="169"/>
    </row>
    <row r="324">
      <c r="A324" s="274" t="s">
        <v>645</v>
      </c>
      <c r="B324" s="275" t="s">
        <v>18</v>
      </c>
      <c r="C324" s="275" t="s">
        <v>396</v>
      </c>
      <c r="D324" s="276" t="str">
        <f t="shared" si="1"/>
        <v>T-1-17</v>
      </c>
      <c r="E324" s="72"/>
      <c r="F324" s="77"/>
      <c r="G324" s="74"/>
      <c r="H324" s="75"/>
      <c r="I324" s="76"/>
      <c r="J324" s="87"/>
      <c r="K324" s="27" t="str">
        <f t="shared" si="24"/>
        <v>DISPONIBLE</v>
      </c>
      <c r="L324" s="28">
        <f t="shared" si="23"/>
        <v>323</v>
      </c>
      <c r="M324" s="28" t="s">
        <v>733</v>
      </c>
      <c r="N324" s="109"/>
      <c r="O324" s="168"/>
    </row>
    <row r="325">
      <c r="A325" s="274" t="s">
        <v>645</v>
      </c>
      <c r="B325" s="275" t="s">
        <v>18</v>
      </c>
      <c r="C325" s="275" t="s">
        <v>411</v>
      </c>
      <c r="D325" s="276" t="str">
        <f t="shared" si="1"/>
        <v>T-1-18</v>
      </c>
      <c r="E325" s="146"/>
      <c r="F325" s="147"/>
      <c r="G325" s="148"/>
      <c r="H325" s="148"/>
      <c r="I325" s="149"/>
      <c r="J325" s="148"/>
      <c r="K325" s="32" t="str">
        <f t="shared" ref="K325:K332" si="25">IF(ISBLANK(E282),"DISPONIBLE","OCUPADO")</f>
        <v>OCUPADO</v>
      </c>
      <c r="L325" s="33">
        <f t="shared" si="23"/>
        <v>324</v>
      </c>
      <c r="M325" s="33" t="s">
        <v>733</v>
      </c>
      <c r="N325" s="122"/>
      <c r="O325" s="169"/>
    </row>
    <row r="326">
      <c r="A326" s="274" t="s">
        <v>645</v>
      </c>
      <c r="B326" s="275" t="s">
        <v>18</v>
      </c>
      <c r="C326" s="275" t="s">
        <v>425</v>
      </c>
      <c r="D326" s="276" t="str">
        <f t="shared" si="1"/>
        <v>T-1-19</v>
      </c>
      <c r="E326" s="146"/>
      <c r="F326" s="147"/>
      <c r="G326" s="148"/>
      <c r="H326" s="148"/>
      <c r="I326" s="149"/>
      <c r="J326" s="148"/>
      <c r="K326" s="27" t="str">
        <f t="shared" si="25"/>
        <v>OCUPADO</v>
      </c>
      <c r="L326" s="28">
        <f t="shared" si="23"/>
        <v>325</v>
      </c>
      <c r="M326" s="28" t="s">
        <v>733</v>
      </c>
      <c r="N326" s="109"/>
      <c r="O326" s="168"/>
    </row>
    <row r="327">
      <c r="A327" s="274" t="s">
        <v>645</v>
      </c>
      <c r="B327" s="275" t="s">
        <v>18</v>
      </c>
      <c r="C327" s="275" t="s">
        <v>451</v>
      </c>
      <c r="D327" s="276" t="str">
        <f t="shared" si="1"/>
        <v>T-1-20</v>
      </c>
      <c r="E327" s="146"/>
      <c r="F327" s="147"/>
      <c r="G327" s="148"/>
      <c r="H327" s="148"/>
      <c r="I327" s="149"/>
      <c r="J327" s="148"/>
      <c r="K327" s="32" t="str">
        <f t="shared" si="25"/>
        <v>OCUPADO</v>
      </c>
      <c r="L327" s="33">
        <f t="shared" si="23"/>
        <v>326</v>
      </c>
      <c r="M327" s="33" t="s">
        <v>733</v>
      </c>
      <c r="N327" s="122"/>
      <c r="O327" s="169"/>
    </row>
    <row r="328">
      <c r="A328" s="274" t="s">
        <v>645</v>
      </c>
      <c r="B328" s="275" t="s">
        <v>18</v>
      </c>
      <c r="C328" s="275" t="s">
        <v>467</v>
      </c>
      <c r="D328" s="276" t="str">
        <f t="shared" si="1"/>
        <v>T-1-21</v>
      </c>
      <c r="E328" s="146"/>
      <c r="F328" s="147"/>
      <c r="G328" s="148"/>
      <c r="H328" s="148"/>
      <c r="I328" s="149"/>
      <c r="J328" s="148"/>
      <c r="K328" s="27" t="str">
        <f t="shared" si="25"/>
        <v>OCUPADO</v>
      </c>
      <c r="L328" s="28">
        <f t="shared" si="23"/>
        <v>327</v>
      </c>
      <c r="M328" s="28" t="s">
        <v>733</v>
      </c>
      <c r="N328" s="109"/>
      <c r="O328" s="168"/>
    </row>
    <row r="329">
      <c r="A329" s="274" t="s">
        <v>645</v>
      </c>
      <c r="B329" s="275" t="s">
        <v>18</v>
      </c>
      <c r="C329" s="275" t="s">
        <v>620</v>
      </c>
      <c r="D329" s="276" t="str">
        <f t="shared" si="1"/>
        <v>T-1-22</v>
      </c>
      <c r="E329" s="146"/>
      <c r="F329" s="147"/>
      <c r="G329" s="148"/>
      <c r="H329" s="148"/>
      <c r="I329" s="149"/>
      <c r="J329" s="148"/>
      <c r="K329" s="32" t="str">
        <f t="shared" si="25"/>
        <v>OCUPADO</v>
      </c>
      <c r="L329" s="33">
        <f t="shared" si="23"/>
        <v>328</v>
      </c>
      <c r="M329" s="33" t="s">
        <v>733</v>
      </c>
      <c r="N329" s="122"/>
      <c r="O329" s="169"/>
    </row>
    <row r="330">
      <c r="A330" s="274" t="s">
        <v>645</v>
      </c>
      <c r="B330" s="275" t="s">
        <v>18</v>
      </c>
      <c r="C330" s="275" t="s">
        <v>561</v>
      </c>
      <c r="D330" s="276" t="str">
        <f t="shared" si="1"/>
        <v>T-1-23</v>
      </c>
      <c r="E330" s="146"/>
      <c r="F330" s="147"/>
      <c r="G330" s="148"/>
      <c r="H330" s="148"/>
      <c r="I330" s="149"/>
      <c r="J330" s="148"/>
      <c r="K330" s="27" t="str">
        <f t="shared" si="25"/>
        <v>OCUPADO</v>
      </c>
      <c r="L330" s="28">
        <f t="shared" si="23"/>
        <v>329</v>
      </c>
      <c r="M330" s="28" t="s">
        <v>733</v>
      </c>
      <c r="N330" s="109"/>
      <c r="O330" s="168"/>
    </row>
    <row r="331">
      <c r="A331" s="274" t="s">
        <v>645</v>
      </c>
      <c r="B331" s="275" t="s">
        <v>18</v>
      </c>
      <c r="C331" s="275" t="s">
        <v>563</v>
      </c>
      <c r="D331" s="276" t="str">
        <f t="shared" si="1"/>
        <v>T-1-24</v>
      </c>
      <c r="E331" s="146"/>
      <c r="F331" s="147"/>
      <c r="G331" s="148"/>
      <c r="H331" s="148"/>
      <c r="I331" s="149"/>
      <c r="J331" s="148"/>
      <c r="K331" s="32" t="str">
        <f t="shared" si="25"/>
        <v>OCUPADO</v>
      </c>
      <c r="L331" s="33">
        <f t="shared" si="23"/>
        <v>330</v>
      </c>
      <c r="M331" s="33" t="s">
        <v>733</v>
      </c>
      <c r="N331" s="122"/>
      <c r="O331" s="169"/>
    </row>
    <row r="332">
      <c r="A332" s="274" t="s">
        <v>645</v>
      </c>
      <c r="B332" s="275" t="s">
        <v>18</v>
      </c>
      <c r="C332" s="275" t="s">
        <v>565</v>
      </c>
      <c r="D332" s="276" t="str">
        <f t="shared" si="1"/>
        <v>T-1-25</v>
      </c>
      <c r="E332" s="146"/>
      <c r="F332" s="147"/>
      <c r="G332" s="148"/>
      <c r="H332" s="148"/>
      <c r="I332" s="149"/>
      <c r="J332" s="148"/>
      <c r="K332" s="27" t="str">
        <f t="shared" si="25"/>
        <v>OCUPADO</v>
      </c>
      <c r="L332" s="28">
        <f t="shared" si="23"/>
        <v>331</v>
      </c>
      <c r="M332" s="28" t="s">
        <v>733</v>
      </c>
      <c r="N332" s="28"/>
      <c r="O332" s="29"/>
    </row>
    <row r="333">
      <c r="A333" s="274" t="s">
        <v>645</v>
      </c>
      <c r="B333" s="275" t="s">
        <v>18</v>
      </c>
      <c r="C333" s="275" t="s">
        <v>622</v>
      </c>
      <c r="D333" s="276" t="str">
        <f t="shared" si="1"/>
        <v>T-1-26</v>
      </c>
      <c r="E333" s="83"/>
      <c r="F333" s="150"/>
      <c r="G333" s="85"/>
      <c r="H333" s="49"/>
      <c r="I333" s="86"/>
      <c r="J333" s="49"/>
      <c r="K333" s="32" t="str">
        <f t="shared" ref="K333:K337" si="26">IF(ISBLANK(E333),"DISPONIBLE","OCUPADO")</f>
        <v>DISPONIBLE</v>
      </c>
      <c r="L333" s="33">
        <f t="shared" si="23"/>
        <v>332</v>
      </c>
      <c r="M333" s="33" t="s">
        <v>733</v>
      </c>
      <c r="N333" s="33"/>
      <c r="O333" s="34"/>
    </row>
    <row r="334">
      <c r="A334" s="274" t="s">
        <v>645</v>
      </c>
      <c r="B334" s="275" t="s">
        <v>18</v>
      </c>
      <c r="C334" s="275" t="s">
        <v>669</v>
      </c>
      <c r="D334" s="276" t="str">
        <f t="shared" si="1"/>
        <v>T-1-27</v>
      </c>
      <c r="E334" s="83"/>
      <c r="F334" s="150"/>
      <c r="G334" s="85"/>
      <c r="H334" s="49"/>
      <c r="I334" s="86"/>
      <c r="J334" s="49"/>
      <c r="K334" s="27" t="str">
        <f t="shared" si="26"/>
        <v>DISPONIBLE</v>
      </c>
      <c r="L334" s="28">
        <f t="shared" si="23"/>
        <v>333</v>
      </c>
      <c r="M334" s="28" t="s">
        <v>733</v>
      </c>
      <c r="N334" s="28"/>
      <c r="O334" s="29"/>
    </row>
    <row r="335">
      <c r="A335" s="274" t="s">
        <v>645</v>
      </c>
      <c r="B335" s="275" t="s">
        <v>18</v>
      </c>
      <c r="C335" s="275" t="s">
        <v>671</v>
      </c>
      <c r="D335" s="276" t="str">
        <f t="shared" si="1"/>
        <v>T-1-28</v>
      </c>
      <c r="E335" s="83"/>
      <c r="F335" s="150"/>
      <c r="G335" s="85"/>
      <c r="H335" s="49"/>
      <c r="I335" s="86"/>
      <c r="J335" s="49"/>
      <c r="K335" s="32" t="str">
        <f t="shared" si="26"/>
        <v>DISPONIBLE</v>
      </c>
      <c r="L335" s="33">
        <f t="shared" si="23"/>
        <v>334</v>
      </c>
      <c r="M335" s="33" t="s">
        <v>733</v>
      </c>
      <c r="N335" s="33"/>
      <c r="O335" s="34"/>
    </row>
    <row r="336">
      <c r="A336" s="274" t="s">
        <v>645</v>
      </c>
      <c r="B336" s="275" t="s">
        <v>18</v>
      </c>
      <c r="C336" s="275" t="s">
        <v>673</v>
      </c>
      <c r="D336" s="276" t="str">
        <f t="shared" si="1"/>
        <v>T-1-29</v>
      </c>
      <c r="E336" s="83"/>
      <c r="F336" s="150"/>
      <c r="G336" s="85"/>
      <c r="H336" s="49"/>
      <c r="I336" s="86"/>
      <c r="J336" s="49"/>
      <c r="K336" s="27" t="str">
        <f t="shared" si="26"/>
        <v>DISPONIBLE</v>
      </c>
      <c r="L336" s="28">
        <f t="shared" si="23"/>
        <v>335</v>
      </c>
      <c r="M336" s="28" t="s">
        <v>733</v>
      </c>
      <c r="N336" s="28"/>
      <c r="O336" s="29"/>
    </row>
    <row r="337">
      <c r="A337" s="274" t="s">
        <v>645</v>
      </c>
      <c r="B337" s="275" t="s">
        <v>18</v>
      </c>
      <c r="C337" s="275" t="s">
        <v>677</v>
      </c>
      <c r="D337" s="276" t="str">
        <f t="shared" si="1"/>
        <v>T-1-30</v>
      </c>
      <c r="E337" s="72"/>
      <c r="F337" s="77"/>
      <c r="G337" s="74"/>
      <c r="H337" s="75"/>
      <c r="I337" s="76"/>
      <c r="J337" s="75"/>
      <c r="K337" s="32" t="str">
        <f t="shared" si="26"/>
        <v>DISPONIBLE</v>
      </c>
      <c r="L337" s="33">
        <f t="shared" si="23"/>
        <v>336</v>
      </c>
      <c r="M337" s="33" t="s">
        <v>733</v>
      </c>
      <c r="N337" s="33"/>
      <c r="O337" s="34"/>
    </row>
    <row r="338">
      <c r="A338" s="274" t="s">
        <v>645</v>
      </c>
      <c r="B338" s="275" t="s">
        <v>18</v>
      </c>
      <c r="C338" s="275" t="s">
        <v>679</v>
      </c>
      <c r="D338" s="276" t="str">
        <f t="shared" si="1"/>
        <v>T-1-31</v>
      </c>
      <c r="E338" s="146"/>
      <c r="F338" s="147"/>
      <c r="G338" s="148"/>
      <c r="H338" s="148"/>
      <c r="I338" s="149"/>
      <c r="J338" s="148"/>
      <c r="K338" s="27" t="str">
        <f t="shared" ref="K338:K339" si="27">IF(ISBLANK(E290),"DISPONIBLE","OCUPADO")</f>
        <v>OCUPADO</v>
      </c>
      <c r="L338" s="28">
        <f t="shared" si="23"/>
        <v>337</v>
      </c>
      <c r="M338" s="28" t="s">
        <v>733</v>
      </c>
      <c r="N338" s="28"/>
      <c r="O338" s="29"/>
    </row>
    <row r="339">
      <c r="A339" s="274" t="s">
        <v>645</v>
      </c>
      <c r="B339" s="275" t="s">
        <v>18</v>
      </c>
      <c r="C339" s="275" t="s">
        <v>681</v>
      </c>
      <c r="D339" s="276" t="str">
        <f t="shared" si="1"/>
        <v>T-1-32</v>
      </c>
      <c r="E339" s="146"/>
      <c r="F339" s="147"/>
      <c r="G339" s="148"/>
      <c r="H339" s="148"/>
      <c r="I339" s="149"/>
      <c r="J339" s="148"/>
      <c r="K339" s="32" t="str">
        <f t="shared" si="27"/>
        <v>OCUPADO</v>
      </c>
      <c r="L339" s="33">
        <f t="shared" si="23"/>
        <v>338</v>
      </c>
      <c r="M339" s="33" t="s">
        <v>733</v>
      </c>
      <c r="N339" s="33"/>
      <c r="O339" s="34"/>
    </row>
    <row r="340">
      <c r="A340" s="274" t="s">
        <v>645</v>
      </c>
      <c r="B340" s="275" t="s">
        <v>18</v>
      </c>
      <c r="C340" s="275" t="s">
        <v>683</v>
      </c>
      <c r="D340" s="276" t="str">
        <f t="shared" si="1"/>
        <v>T-1-33</v>
      </c>
      <c r="E340" s="72"/>
      <c r="F340" s="77"/>
      <c r="G340" s="74"/>
      <c r="H340" s="138"/>
      <c r="I340" s="76"/>
      <c r="J340" s="138"/>
      <c r="K340" s="27" t="str">
        <f t="shared" ref="K340:K377" si="28">IF(ISBLANK(E340),"DISPONIBLE","OCUPADO")</f>
        <v>DISPONIBLE</v>
      </c>
      <c r="L340" s="28">
        <f t="shared" si="23"/>
        <v>339</v>
      </c>
      <c r="M340" s="28" t="s">
        <v>733</v>
      </c>
      <c r="N340" s="28"/>
      <c r="O340" s="139"/>
    </row>
    <row r="341">
      <c r="A341" s="274" t="s">
        <v>645</v>
      </c>
      <c r="B341" s="275" t="s">
        <v>18</v>
      </c>
      <c r="C341" s="275" t="s">
        <v>685</v>
      </c>
      <c r="D341" s="276" t="str">
        <f t="shared" si="1"/>
        <v>T-1-34</v>
      </c>
      <c r="E341" s="72"/>
      <c r="F341" s="77"/>
      <c r="G341" s="74"/>
      <c r="H341" s="75"/>
      <c r="I341" s="76"/>
      <c r="J341" s="75"/>
      <c r="K341" s="32" t="str">
        <f t="shared" si="28"/>
        <v>DISPONIBLE</v>
      </c>
      <c r="L341" s="33">
        <f t="shared" si="23"/>
        <v>340</v>
      </c>
      <c r="M341" s="33" t="s">
        <v>733</v>
      </c>
      <c r="N341" s="33"/>
      <c r="O341" s="34"/>
    </row>
    <row r="342">
      <c r="A342" s="274" t="s">
        <v>645</v>
      </c>
      <c r="B342" s="275" t="s">
        <v>18</v>
      </c>
      <c r="C342" s="275" t="s">
        <v>687</v>
      </c>
      <c r="D342" s="276" t="str">
        <f t="shared" si="1"/>
        <v>T-1-35</v>
      </c>
      <c r="E342" s="141"/>
      <c r="F342" s="137"/>
      <c r="G342" s="138"/>
      <c r="H342" s="138"/>
      <c r="I342" s="142"/>
      <c r="J342" s="138"/>
      <c r="K342" s="27" t="str">
        <f t="shared" si="28"/>
        <v>DISPONIBLE</v>
      </c>
      <c r="L342" s="28">
        <f t="shared" si="23"/>
        <v>341</v>
      </c>
      <c r="M342" s="28" t="s">
        <v>733</v>
      </c>
      <c r="N342" s="28"/>
      <c r="O342" s="168"/>
    </row>
    <row r="343">
      <c r="A343" s="274" t="s">
        <v>645</v>
      </c>
      <c r="B343" s="275" t="s">
        <v>18</v>
      </c>
      <c r="C343" s="275" t="s">
        <v>689</v>
      </c>
      <c r="D343" s="276" t="str">
        <f t="shared" si="1"/>
        <v>T-1-36</v>
      </c>
      <c r="E343" s="72"/>
      <c r="F343" s="77"/>
      <c r="G343" s="74"/>
      <c r="H343" s="138"/>
      <c r="I343" s="76"/>
      <c r="J343" s="138"/>
      <c r="K343" s="32" t="str">
        <f t="shared" si="28"/>
        <v>DISPONIBLE</v>
      </c>
      <c r="L343" s="33">
        <f t="shared" si="23"/>
        <v>342</v>
      </c>
      <c r="M343" s="33" t="s">
        <v>733</v>
      </c>
      <c r="N343" s="33"/>
      <c r="O343" s="169"/>
    </row>
    <row r="344">
      <c r="A344" s="274" t="s">
        <v>645</v>
      </c>
      <c r="B344" s="275" t="s">
        <v>18</v>
      </c>
      <c r="C344" s="275" t="s">
        <v>691</v>
      </c>
      <c r="D344" s="276" t="str">
        <f t="shared" si="1"/>
        <v>T-1-37</v>
      </c>
      <c r="E344" s="141"/>
      <c r="F344" s="137"/>
      <c r="G344" s="138"/>
      <c r="H344" s="138"/>
      <c r="I344" s="142"/>
      <c r="J344" s="138"/>
      <c r="K344" s="27" t="str">
        <f t="shared" si="28"/>
        <v>DISPONIBLE</v>
      </c>
      <c r="L344" s="28">
        <f t="shared" si="23"/>
        <v>343</v>
      </c>
      <c r="M344" s="28" t="s">
        <v>733</v>
      </c>
      <c r="N344" s="28"/>
      <c r="O344" s="168"/>
    </row>
    <row r="345">
      <c r="A345" s="274" t="s">
        <v>645</v>
      </c>
      <c r="B345" s="275" t="s">
        <v>18</v>
      </c>
      <c r="C345" s="275" t="s">
        <v>693</v>
      </c>
      <c r="D345" s="276" t="str">
        <f t="shared" si="1"/>
        <v>T-1-38</v>
      </c>
      <c r="E345" s="141"/>
      <c r="F345" s="137"/>
      <c r="G345" s="138"/>
      <c r="H345" s="138"/>
      <c r="I345" s="142"/>
      <c r="J345" s="138"/>
      <c r="K345" s="32" t="str">
        <f t="shared" si="28"/>
        <v>DISPONIBLE</v>
      </c>
      <c r="L345" s="33">
        <f t="shared" si="23"/>
        <v>344</v>
      </c>
      <c r="M345" s="33" t="s">
        <v>733</v>
      </c>
      <c r="N345" s="33"/>
      <c r="O345" s="169"/>
    </row>
    <row r="346">
      <c r="A346" s="274" t="s">
        <v>645</v>
      </c>
      <c r="B346" s="275" t="s">
        <v>18</v>
      </c>
      <c r="C346" s="275" t="s">
        <v>695</v>
      </c>
      <c r="D346" s="276" t="str">
        <f t="shared" si="1"/>
        <v>T-1-39</v>
      </c>
      <c r="E346" s="141"/>
      <c r="F346" s="137"/>
      <c r="G346" s="138"/>
      <c r="H346" s="138"/>
      <c r="I346" s="142"/>
      <c r="J346" s="138"/>
      <c r="K346" s="27" t="str">
        <f t="shared" si="28"/>
        <v>DISPONIBLE</v>
      </c>
      <c r="L346" s="28">
        <f t="shared" si="23"/>
        <v>345</v>
      </c>
      <c r="M346" s="28" t="s">
        <v>733</v>
      </c>
      <c r="N346" s="70"/>
      <c r="O346" s="29"/>
    </row>
    <row r="347">
      <c r="A347" s="281" t="s">
        <v>645</v>
      </c>
      <c r="B347" s="282" t="s">
        <v>18</v>
      </c>
      <c r="C347" s="282" t="s">
        <v>698</v>
      </c>
      <c r="D347" s="283" t="str">
        <f t="shared" si="1"/>
        <v>T-1-40</v>
      </c>
      <c r="E347" s="234"/>
      <c r="F347" s="235"/>
      <c r="G347" s="236"/>
      <c r="H347" s="239"/>
      <c r="I347" s="272"/>
      <c r="J347" s="62"/>
      <c r="K347" s="154" t="str">
        <f t="shared" si="28"/>
        <v>DISPONIBLE</v>
      </c>
      <c r="L347" s="155">
        <f t="shared" si="23"/>
        <v>346</v>
      </c>
      <c r="M347" s="155" t="s">
        <v>733</v>
      </c>
      <c r="N347" s="156"/>
      <c r="O347" s="157"/>
    </row>
    <row r="348">
      <c r="A348" s="287" t="s">
        <v>664</v>
      </c>
      <c r="B348" s="288" t="s">
        <v>18</v>
      </c>
      <c r="C348" s="288" t="s">
        <v>18</v>
      </c>
      <c r="D348" s="289" t="str">
        <f t="shared" si="1"/>
        <v>ZOUT-1-1</v>
      </c>
      <c r="E348" s="72"/>
      <c r="F348" s="77"/>
      <c r="G348" s="74"/>
      <c r="H348" s="75"/>
      <c r="I348" s="76"/>
      <c r="J348" s="75"/>
      <c r="K348" s="27" t="str">
        <f t="shared" si="28"/>
        <v>DISPONIBLE</v>
      </c>
      <c r="L348" s="28">
        <f t="shared" si="23"/>
        <v>347</v>
      </c>
      <c r="M348" s="28" t="s">
        <v>746</v>
      </c>
      <c r="N348" s="109"/>
      <c r="O348" s="168"/>
    </row>
    <row r="349">
      <c r="A349" s="287" t="s">
        <v>664</v>
      </c>
      <c r="B349" s="288" t="s">
        <v>18</v>
      </c>
      <c r="C349" s="288" t="s">
        <v>32</v>
      </c>
      <c r="D349" s="289" t="str">
        <f t="shared" si="1"/>
        <v>ZOUT-1-2</v>
      </c>
      <c r="E349" s="72"/>
      <c r="F349" s="77"/>
      <c r="G349" s="74"/>
      <c r="H349" s="75"/>
      <c r="I349" s="76"/>
      <c r="J349" s="75"/>
      <c r="K349" s="32" t="str">
        <f t="shared" si="28"/>
        <v>DISPONIBLE</v>
      </c>
      <c r="L349" s="33">
        <f t="shared" si="23"/>
        <v>348</v>
      </c>
      <c r="M349" s="33" t="s">
        <v>746</v>
      </c>
      <c r="N349" s="122"/>
      <c r="O349" s="169"/>
    </row>
    <row r="350">
      <c r="A350" s="287" t="s">
        <v>664</v>
      </c>
      <c r="B350" s="288" t="s">
        <v>18</v>
      </c>
      <c r="C350" s="288" t="s">
        <v>44</v>
      </c>
      <c r="D350" s="289" t="str">
        <f t="shared" si="1"/>
        <v>ZOUT-1-3</v>
      </c>
      <c r="E350" s="72"/>
      <c r="F350" s="77"/>
      <c r="G350" s="74"/>
      <c r="H350" s="75"/>
      <c r="I350" s="76"/>
      <c r="J350" s="75"/>
      <c r="K350" s="27" t="str">
        <f t="shared" si="28"/>
        <v>DISPONIBLE</v>
      </c>
      <c r="L350" s="28">
        <f t="shared" si="23"/>
        <v>349</v>
      </c>
      <c r="M350" s="28" t="s">
        <v>746</v>
      </c>
      <c r="N350" s="109"/>
      <c r="O350" s="168"/>
    </row>
    <row r="351">
      <c r="A351" s="287" t="s">
        <v>664</v>
      </c>
      <c r="B351" s="288" t="s">
        <v>18</v>
      </c>
      <c r="C351" s="288" t="s">
        <v>53</v>
      </c>
      <c r="D351" s="289" t="str">
        <f t="shared" si="1"/>
        <v>ZOUT-1-4</v>
      </c>
      <c r="E351" s="72"/>
      <c r="F351" s="77"/>
      <c r="G351" s="74"/>
      <c r="H351" s="75"/>
      <c r="I351" s="76"/>
      <c r="J351" s="75"/>
      <c r="K351" s="32" t="str">
        <f t="shared" si="28"/>
        <v>DISPONIBLE</v>
      </c>
      <c r="L351" s="33">
        <f t="shared" si="23"/>
        <v>350</v>
      </c>
      <c r="M351" s="33" t="s">
        <v>746</v>
      </c>
      <c r="N351" s="122"/>
      <c r="O351" s="169"/>
    </row>
    <row r="352">
      <c r="A352" s="287" t="s">
        <v>664</v>
      </c>
      <c r="B352" s="288" t="s">
        <v>18</v>
      </c>
      <c r="C352" s="288" t="s">
        <v>25</v>
      </c>
      <c r="D352" s="289" t="str">
        <f t="shared" si="1"/>
        <v>ZOUT-1-5</v>
      </c>
      <c r="E352" s="72"/>
      <c r="F352" s="77"/>
      <c r="G352" s="74"/>
      <c r="H352" s="75"/>
      <c r="I352" s="76"/>
      <c r="J352" s="75"/>
      <c r="K352" s="27" t="str">
        <f t="shared" si="28"/>
        <v>DISPONIBLE</v>
      </c>
      <c r="L352" s="28">
        <f t="shared" si="23"/>
        <v>351</v>
      </c>
      <c r="M352" s="28" t="s">
        <v>746</v>
      </c>
      <c r="N352" s="109"/>
      <c r="O352" s="168"/>
    </row>
    <row r="353">
      <c r="A353" s="287" t="s">
        <v>664</v>
      </c>
      <c r="B353" s="288" t="s">
        <v>18</v>
      </c>
      <c r="C353" s="288" t="s">
        <v>36</v>
      </c>
      <c r="D353" s="289" t="str">
        <f t="shared" si="1"/>
        <v>ZOUT-1-6</v>
      </c>
      <c r="E353" s="72"/>
      <c r="F353" s="77"/>
      <c r="G353" s="265"/>
      <c r="H353" s="75"/>
      <c r="I353" s="76"/>
      <c r="J353" s="75"/>
      <c r="K353" s="32" t="str">
        <f t="shared" si="28"/>
        <v>DISPONIBLE</v>
      </c>
      <c r="L353" s="33">
        <f t="shared" si="23"/>
        <v>352</v>
      </c>
      <c r="M353" s="33" t="s">
        <v>746</v>
      </c>
      <c r="N353" s="122"/>
      <c r="O353" s="316"/>
    </row>
    <row r="354">
      <c r="A354" s="287" t="s">
        <v>664</v>
      </c>
      <c r="B354" s="288" t="s">
        <v>18</v>
      </c>
      <c r="C354" s="288" t="s">
        <v>48</v>
      </c>
      <c r="D354" s="289" t="str">
        <f t="shared" si="1"/>
        <v>ZOUT-1-7</v>
      </c>
      <c r="E354" s="78">
        <v>45756.0</v>
      </c>
      <c r="F354" s="81" t="s">
        <v>799</v>
      </c>
      <c r="G354" s="81" t="s">
        <v>80</v>
      </c>
      <c r="H354" s="81" t="s">
        <v>81</v>
      </c>
      <c r="I354" s="82">
        <v>6.0</v>
      </c>
      <c r="J354" s="81" t="s">
        <v>43</v>
      </c>
      <c r="K354" s="27" t="str">
        <f t="shared" si="28"/>
        <v>OCUPADO</v>
      </c>
      <c r="L354" s="28">
        <f t="shared" si="23"/>
        <v>353</v>
      </c>
      <c r="M354" s="28" t="s">
        <v>746</v>
      </c>
      <c r="N354" s="109"/>
      <c r="O354" s="168" t="s">
        <v>270</v>
      </c>
    </row>
    <row r="355">
      <c r="A355" s="287" t="s">
        <v>664</v>
      </c>
      <c r="B355" s="288" t="s">
        <v>18</v>
      </c>
      <c r="C355" s="288" t="s">
        <v>465</v>
      </c>
      <c r="D355" s="289" t="str">
        <f t="shared" si="1"/>
        <v>ZOUT-1-8</v>
      </c>
      <c r="E355" s="78">
        <v>45756.0</v>
      </c>
      <c r="F355" s="81" t="s">
        <v>799</v>
      </c>
      <c r="G355" s="81" t="s">
        <v>87</v>
      </c>
      <c r="H355" s="81" t="s">
        <v>88</v>
      </c>
      <c r="I355" s="82">
        <v>6.0</v>
      </c>
      <c r="J355" s="81" t="s">
        <v>43</v>
      </c>
      <c r="K355" s="32" t="str">
        <f t="shared" si="28"/>
        <v>OCUPADO</v>
      </c>
      <c r="L355" s="33">
        <f t="shared" si="23"/>
        <v>354</v>
      </c>
      <c r="M355" s="33" t="s">
        <v>746</v>
      </c>
      <c r="N355" s="122"/>
      <c r="O355" s="169" t="s">
        <v>270</v>
      </c>
    </row>
    <row r="356">
      <c r="A356" s="287" t="s">
        <v>664</v>
      </c>
      <c r="B356" s="288" t="s">
        <v>18</v>
      </c>
      <c r="C356" s="288" t="s">
        <v>511</v>
      </c>
      <c r="D356" s="289" t="str">
        <f t="shared" si="1"/>
        <v>ZOUT-1-9</v>
      </c>
      <c r="E356" s="78">
        <v>45756.0</v>
      </c>
      <c r="F356" s="81" t="s">
        <v>799</v>
      </c>
      <c r="G356" s="80" t="s">
        <v>294</v>
      </c>
      <c r="H356" s="81" t="s">
        <v>295</v>
      </c>
      <c r="I356" s="82">
        <v>3.0</v>
      </c>
      <c r="J356" s="81" t="s">
        <v>274</v>
      </c>
      <c r="K356" s="27" t="str">
        <f t="shared" si="28"/>
        <v>OCUPADO</v>
      </c>
      <c r="L356" s="28">
        <f t="shared" si="23"/>
        <v>355</v>
      </c>
      <c r="M356" s="28" t="s">
        <v>746</v>
      </c>
      <c r="N356" s="109"/>
      <c r="O356" s="168" t="s">
        <v>270</v>
      </c>
    </row>
    <row r="357">
      <c r="A357" s="287" t="s">
        <v>664</v>
      </c>
      <c r="B357" s="288" t="s">
        <v>18</v>
      </c>
      <c r="C357" s="288" t="s">
        <v>296</v>
      </c>
      <c r="D357" s="289" t="str">
        <f t="shared" si="1"/>
        <v>ZOUT-1-10</v>
      </c>
      <c r="E357" s="78">
        <v>45756.0</v>
      </c>
      <c r="F357" s="81" t="s">
        <v>799</v>
      </c>
      <c r="G357" s="80" t="s">
        <v>301</v>
      </c>
      <c r="H357" s="81" t="s">
        <v>302</v>
      </c>
      <c r="I357" s="82">
        <v>4.0</v>
      </c>
      <c r="J357" s="81" t="s">
        <v>274</v>
      </c>
      <c r="K357" s="32" t="str">
        <f t="shared" si="28"/>
        <v>OCUPADO</v>
      </c>
      <c r="L357" s="33">
        <f t="shared" si="23"/>
        <v>356</v>
      </c>
      <c r="M357" s="33" t="s">
        <v>746</v>
      </c>
      <c r="N357" s="122"/>
      <c r="O357" s="169" t="s">
        <v>270</v>
      </c>
    </row>
    <row r="358">
      <c r="A358" s="287" t="s">
        <v>664</v>
      </c>
      <c r="B358" s="288" t="s">
        <v>18</v>
      </c>
      <c r="C358" s="288" t="s">
        <v>316</v>
      </c>
      <c r="D358" s="289" t="str">
        <f t="shared" si="1"/>
        <v>ZOUT-1-11</v>
      </c>
      <c r="E358" s="78">
        <v>45756.0</v>
      </c>
      <c r="F358" s="81" t="s">
        <v>799</v>
      </c>
      <c r="G358" s="80" t="s">
        <v>330</v>
      </c>
      <c r="H358" s="81" t="s">
        <v>331</v>
      </c>
      <c r="I358" s="82">
        <v>10.0</v>
      </c>
      <c r="J358" s="81" t="s">
        <v>43</v>
      </c>
      <c r="K358" s="27" t="str">
        <f t="shared" si="28"/>
        <v>OCUPADO</v>
      </c>
      <c r="L358" s="28">
        <f t="shared" si="23"/>
        <v>357</v>
      </c>
      <c r="M358" s="28" t="s">
        <v>746</v>
      </c>
      <c r="N358" s="109"/>
      <c r="O358" s="168" t="s">
        <v>270</v>
      </c>
    </row>
    <row r="359">
      <c r="A359" s="287" t="s">
        <v>664</v>
      </c>
      <c r="B359" s="288" t="s">
        <v>18</v>
      </c>
      <c r="C359" s="288" t="s">
        <v>336</v>
      </c>
      <c r="D359" s="289" t="str">
        <f t="shared" si="1"/>
        <v>ZOUT-1-12</v>
      </c>
      <c r="E359" s="78">
        <v>45756.0</v>
      </c>
      <c r="F359" s="81" t="s">
        <v>799</v>
      </c>
      <c r="G359" s="80" t="s">
        <v>291</v>
      </c>
      <c r="H359" s="81" t="s">
        <v>292</v>
      </c>
      <c r="I359" s="82">
        <v>10.0</v>
      </c>
      <c r="J359" s="81" t="s">
        <v>43</v>
      </c>
      <c r="K359" s="32" t="str">
        <f t="shared" si="28"/>
        <v>OCUPADO</v>
      </c>
      <c r="L359" s="33">
        <f t="shared" si="23"/>
        <v>358</v>
      </c>
      <c r="M359" s="33" t="s">
        <v>746</v>
      </c>
      <c r="N359" s="122"/>
      <c r="O359" s="169" t="s">
        <v>270</v>
      </c>
    </row>
    <row r="360">
      <c r="A360" s="287" t="s">
        <v>664</v>
      </c>
      <c r="B360" s="288" t="s">
        <v>18</v>
      </c>
      <c r="C360" s="288" t="s">
        <v>350</v>
      </c>
      <c r="D360" s="289" t="str">
        <f t="shared" si="1"/>
        <v>ZOUT-1-13</v>
      </c>
      <c r="E360" s="72"/>
      <c r="F360" s="77"/>
      <c r="G360" s="74"/>
      <c r="H360" s="75"/>
      <c r="I360" s="76"/>
      <c r="J360" s="75"/>
      <c r="K360" s="27" t="str">
        <f t="shared" si="28"/>
        <v>DISPONIBLE</v>
      </c>
      <c r="L360" s="28">
        <f t="shared" si="23"/>
        <v>359</v>
      </c>
      <c r="M360" s="28" t="s">
        <v>746</v>
      </c>
      <c r="N360" s="109"/>
      <c r="O360" s="168"/>
    </row>
    <row r="361">
      <c r="A361" s="287" t="s">
        <v>664</v>
      </c>
      <c r="B361" s="288" t="s">
        <v>18</v>
      </c>
      <c r="C361" s="288" t="s">
        <v>362</v>
      </c>
      <c r="D361" s="289" t="str">
        <f t="shared" si="1"/>
        <v>ZOUT-1-14</v>
      </c>
      <c r="E361" s="78">
        <v>45763.0</v>
      </c>
      <c r="F361" s="88" t="s">
        <v>800</v>
      </c>
      <c r="G361" s="80" t="s">
        <v>87</v>
      </c>
      <c r="H361" s="81" t="s">
        <v>88</v>
      </c>
      <c r="I361" s="82">
        <v>15.0</v>
      </c>
      <c r="J361" s="81" t="s">
        <v>43</v>
      </c>
      <c r="K361" s="32" t="str">
        <f t="shared" si="28"/>
        <v>OCUPADO</v>
      </c>
      <c r="L361" s="33">
        <f t="shared" si="23"/>
        <v>360</v>
      </c>
      <c r="M361" s="33" t="s">
        <v>746</v>
      </c>
      <c r="N361" s="122"/>
      <c r="O361" s="169" t="s">
        <v>270</v>
      </c>
    </row>
    <row r="362">
      <c r="A362" s="287" t="s">
        <v>664</v>
      </c>
      <c r="B362" s="288" t="s">
        <v>18</v>
      </c>
      <c r="C362" s="288" t="s">
        <v>372</v>
      </c>
      <c r="D362" s="289" t="str">
        <f t="shared" si="1"/>
        <v>ZOUT-1-15</v>
      </c>
      <c r="E362" s="78">
        <v>45763.0</v>
      </c>
      <c r="F362" s="88" t="s">
        <v>800</v>
      </c>
      <c r="G362" s="80" t="s">
        <v>111</v>
      </c>
      <c r="H362" s="81" t="s">
        <v>112</v>
      </c>
      <c r="I362" s="82">
        <v>30.0</v>
      </c>
      <c r="J362" s="81" t="s">
        <v>43</v>
      </c>
      <c r="K362" s="27" t="str">
        <f t="shared" si="28"/>
        <v>OCUPADO</v>
      </c>
      <c r="L362" s="28">
        <f t="shared" si="23"/>
        <v>361</v>
      </c>
      <c r="M362" s="28" t="s">
        <v>746</v>
      </c>
      <c r="N362" s="109"/>
      <c r="O362" s="168" t="s">
        <v>270</v>
      </c>
    </row>
    <row r="363">
      <c r="A363" s="287" t="s">
        <v>664</v>
      </c>
      <c r="B363" s="288" t="s">
        <v>18</v>
      </c>
      <c r="C363" s="288" t="s">
        <v>382</v>
      </c>
      <c r="D363" s="289" t="str">
        <f t="shared" si="1"/>
        <v>ZOUT-1-16</v>
      </c>
      <c r="E363" s="78">
        <v>45763.0</v>
      </c>
      <c r="F363" s="88" t="s">
        <v>800</v>
      </c>
      <c r="G363" s="80" t="s">
        <v>96</v>
      </c>
      <c r="H363" s="81" t="s">
        <v>97</v>
      </c>
      <c r="I363" s="82">
        <v>15.0</v>
      </c>
      <c r="J363" s="81" t="s">
        <v>463</v>
      </c>
      <c r="K363" s="32" t="str">
        <f t="shared" si="28"/>
        <v>OCUPADO</v>
      </c>
      <c r="L363" s="33">
        <f t="shared" si="23"/>
        <v>362</v>
      </c>
      <c r="M363" s="33" t="s">
        <v>746</v>
      </c>
      <c r="N363" s="122"/>
      <c r="O363" s="169" t="s">
        <v>270</v>
      </c>
    </row>
    <row r="364">
      <c r="A364" s="287" t="s">
        <v>664</v>
      </c>
      <c r="B364" s="288" t="s">
        <v>18</v>
      </c>
      <c r="C364" s="288" t="s">
        <v>396</v>
      </c>
      <c r="D364" s="289" t="str">
        <f t="shared" si="1"/>
        <v>ZOUT-1-17</v>
      </c>
      <c r="E364" s="78">
        <v>45763.0</v>
      </c>
      <c r="F364" s="88" t="s">
        <v>800</v>
      </c>
      <c r="G364" s="80" t="s">
        <v>196</v>
      </c>
      <c r="H364" s="81" t="s">
        <v>197</v>
      </c>
      <c r="I364" s="82">
        <v>30.0</v>
      </c>
      <c r="J364" s="81" t="s">
        <v>43</v>
      </c>
      <c r="K364" s="27" t="str">
        <f t="shared" si="28"/>
        <v>OCUPADO</v>
      </c>
      <c r="L364" s="28">
        <f t="shared" si="23"/>
        <v>363</v>
      </c>
      <c r="M364" s="28" t="s">
        <v>746</v>
      </c>
      <c r="N364" s="109"/>
      <c r="O364" s="168" t="s">
        <v>270</v>
      </c>
    </row>
    <row r="365">
      <c r="A365" s="287" t="s">
        <v>664</v>
      </c>
      <c r="B365" s="288" t="s">
        <v>18</v>
      </c>
      <c r="C365" s="288" t="s">
        <v>411</v>
      </c>
      <c r="D365" s="289" t="str">
        <f t="shared" si="1"/>
        <v>ZOUT-1-18</v>
      </c>
      <c r="E365" s="78">
        <v>45763.0</v>
      </c>
      <c r="F365" s="88" t="s">
        <v>800</v>
      </c>
      <c r="G365" s="80" t="s">
        <v>238</v>
      </c>
      <c r="H365" s="81" t="s">
        <v>239</v>
      </c>
      <c r="I365" s="82">
        <v>10.0</v>
      </c>
      <c r="J365" s="81" t="s">
        <v>43</v>
      </c>
      <c r="K365" s="32" t="str">
        <f t="shared" si="28"/>
        <v>OCUPADO</v>
      </c>
      <c r="L365" s="33">
        <f t="shared" si="23"/>
        <v>364</v>
      </c>
      <c r="M365" s="33" t="s">
        <v>746</v>
      </c>
      <c r="N365" s="122"/>
      <c r="O365" s="169" t="s">
        <v>270</v>
      </c>
    </row>
    <row r="366">
      <c r="A366" s="287" t="s">
        <v>664</v>
      </c>
      <c r="B366" s="288" t="s">
        <v>18</v>
      </c>
      <c r="C366" s="288" t="s">
        <v>425</v>
      </c>
      <c r="D366" s="289" t="str">
        <f t="shared" si="1"/>
        <v>ZOUT-1-19</v>
      </c>
      <c r="E366" s="78">
        <v>45763.0</v>
      </c>
      <c r="F366" s="88" t="s">
        <v>800</v>
      </c>
      <c r="G366" s="80" t="s">
        <v>249</v>
      </c>
      <c r="H366" s="81" t="s">
        <v>250</v>
      </c>
      <c r="I366" s="82">
        <v>20.0</v>
      </c>
      <c r="J366" s="81" t="s">
        <v>274</v>
      </c>
      <c r="K366" s="27" t="str">
        <f t="shared" si="28"/>
        <v>OCUPADO</v>
      </c>
      <c r="L366" s="28">
        <f t="shared" si="23"/>
        <v>365</v>
      </c>
      <c r="M366" s="28" t="s">
        <v>746</v>
      </c>
      <c r="N366" s="109"/>
      <c r="O366" s="168" t="s">
        <v>270</v>
      </c>
    </row>
    <row r="367">
      <c r="A367" s="287" t="s">
        <v>664</v>
      </c>
      <c r="B367" s="288" t="s">
        <v>18</v>
      </c>
      <c r="C367" s="288" t="s">
        <v>451</v>
      </c>
      <c r="D367" s="289" t="str">
        <f t="shared" si="1"/>
        <v>ZOUT-1-20</v>
      </c>
      <c r="E367" s="78">
        <v>45763.0</v>
      </c>
      <c r="F367" s="88" t="s">
        <v>800</v>
      </c>
      <c r="G367" s="80" t="s">
        <v>346</v>
      </c>
      <c r="H367" s="81" t="s">
        <v>347</v>
      </c>
      <c r="I367" s="82">
        <v>10.0</v>
      </c>
      <c r="J367" s="81" t="s">
        <v>767</v>
      </c>
      <c r="K367" s="32" t="str">
        <f t="shared" si="28"/>
        <v>OCUPADO</v>
      </c>
      <c r="L367" s="33">
        <f t="shared" si="23"/>
        <v>366</v>
      </c>
      <c r="M367" s="33" t="s">
        <v>746</v>
      </c>
      <c r="N367" s="122"/>
      <c r="O367" s="169" t="s">
        <v>270</v>
      </c>
    </row>
    <row r="368">
      <c r="A368" s="287" t="s">
        <v>664</v>
      </c>
      <c r="B368" s="288" t="s">
        <v>18</v>
      </c>
      <c r="C368" s="288" t="s">
        <v>467</v>
      </c>
      <c r="D368" s="289" t="str">
        <f t="shared" si="1"/>
        <v>ZOUT-1-21</v>
      </c>
      <c r="E368" s="78">
        <v>45763.0</v>
      </c>
      <c r="F368" s="88" t="s">
        <v>800</v>
      </c>
      <c r="G368" s="80" t="s">
        <v>294</v>
      </c>
      <c r="H368" s="81" t="s">
        <v>295</v>
      </c>
      <c r="I368" s="82">
        <v>6.0</v>
      </c>
      <c r="J368" s="81" t="s">
        <v>274</v>
      </c>
      <c r="K368" s="27" t="str">
        <f t="shared" si="28"/>
        <v>OCUPADO</v>
      </c>
      <c r="L368" s="28">
        <f t="shared" si="23"/>
        <v>367</v>
      </c>
      <c r="M368" s="28" t="s">
        <v>746</v>
      </c>
      <c r="N368" s="109"/>
      <c r="O368" s="168" t="s">
        <v>270</v>
      </c>
    </row>
    <row r="369">
      <c r="A369" s="287" t="s">
        <v>664</v>
      </c>
      <c r="B369" s="288" t="s">
        <v>18</v>
      </c>
      <c r="C369" s="288" t="s">
        <v>620</v>
      </c>
      <c r="D369" s="289" t="str">
        <f t="shared" si="1"/>
        <v>ZOUT-1-22</v>
      </c>
      <c r="E369" s="78">
        <v>45763.0</v>
      </c>
      <c r="F369" s="88" t="s">
        <v>800</v>
      </c>
      <c r="G369" s="80" t="s">
        <v>301</v>
      </c>
      <c r="H369" s="81" t="s">
        <v>302</v>
      </c>
      <c r="I369" s="82">
        <v>6.0</v>
      </c>
      <c r="J369" s="81" t="s">
        <v>274</v>
      </c>
      <c r="K369" s="32" t="str">
        <f t="shared" si="28"/>
        <v>OCUPADO</v>
      </c>
      <c r="L369" s="33">
        <f t="shared" si="23"/>
        <v>368</v>
      </c>
      <c r="M369" s="33" t="s">
        <v>746</v>
      </c>
      <c r="N369" s="122"/>
      <c r="O369" s="169" t="s">
        <v>270</v>
      </c>
    </row>
    <row r="370">
      <c r="A370" s="287" t="s">
        <v>664</v>
      </c>
      <c r="B370" s="288" t="s">
        <v>18</v>
      </c>
      <c r="C370" s="288" t="s">
        <v>561</v>
      </c>
      <c r="D370" s="289" t="str">
        <f t="shared" si="1"/>
        <v>ZOUT-1-23</v>
      </c>
      <c r="E370" s="78">
        <v>45763.0</v>
      </c>
      <c r="F370" s="88" t="s">
        <v>800</v>
      </c>
      <c r="G370" s="80" t="s">
        <v>330</v>
      </c>
      <c r="H370" s="81" t="s">
        <v>331</v>
      </c>
      <c r="I370" s="82">
        <v>10.0</v>
      </c>
      <c r="J370" s="81" t="s">
        <v>43</v>
      </c>
      <c r="K370" s="27" t="str">
        <f t="shared" si="28"/>
        <v>OCUPADO</v>
      </c>
      <c r="L370" s="28">
        <f t="shared" si="23"/>
        <v>369</v>
      </c>
      <c r="M370" s="28" t="s">
        <v>746</v>
      </c>
      <c r="N370" s="109"/>
      <c r="O370" s="168" t="s">
        <v>270</v>
      </c>
    </row>
    <row r="371">
      <c r="A371" s="287" t="s">
        <v>664</v>
      </c>
      <c r="B371" s="288" t="s">
        <v>18</v>
      </c>
      <c r="C371" s="288" t="s">
        <v>563</v>
      </c>
      <c r="D371" s="289" t="str">
        <f t="shared" si="1"/>
        <v>ZOUT-1-24</v>
      </c>
      <c r="E371" s="78">
        <v>45763.0</v>
      </c>
      <c r="F371" s="88" t="s">
        <v>800</v>
      </c>
      <c r="G371" s="80" t="s">
        <v>325</v>
      </c>
      <c r="H371" s="81" t="s">
        <v>326</v>
      </c>
      <c r="I371" s="82">
        <v>20.0</v>
      </c>
      <c r="J371" s="81" t="s">
        <v>43</v>
      </c>
      <c r="K371" s="32" t="str">
        <f t="shared" si="28"/>
        <v>OCUPADO</v>
      </c>
      <c r="L371" s="33">
        <f t="shared" si="23"/>
        <v>370</v>
      </c>
      <c r="M371" s="33" t="s">
        <v>746</v>
      </c>
      <c r="N371" s="122"/>
      <c r="O371" s="169" t="s">
        <v>270</v>
      </c>
    </row>
    <row r="372">
      <c r="A372" s="287" t="s">
        <v>664</v>
      </c>
      <c r="B372" s="288" t="s">
        <v>18</v>
      </c>
      <c r="C372" s="288" t="s">
        <v>565</v>
      </c>
      <c r="D372" s="289" t="str">
        <f t="shared" si="1"/>
        <v>ZOUT-1-25</v>
      </c>
      <c r="E372" s="78">
        <v>45763.0</v>
      </c>
      <c r="F372" s="88" t="s">
        <v>800</v>
      </c>
      <c r="G372" s="80" t="s">
        <v>291</v>
      </c>
      <c r="H372" s="81" t="s">
        <v>292</v>
      </c>
      <c r="I372" s="82">
        <v>10.0</v>
      </c>
      <c r="J372" s="81" t="s">
        <v>43</v>
      </c>
      <c r="K372" s="27" t="str">
        <f t="shared" si="28"/>
        <v>OCUPADO</v>
      </c>
      <c r="L372" s="28">
        <f t="shared" si="23"/>
        <v>371</v>
      </c>
      <c r="M372" s="28" t="s">
        <v>746</v>
      </c>
      <c r="N372" s="109"/>
      <c r="O372" s="168" t="s">
        <v>270</v>
      </c>
    </row>
    <row r="373">
      <c r="A373" s="287" t="s">
        <v>664</v>
      </c>
      <c r="B373" s="288" t="s">
        <v>18</v>
      </c>
      <c r="C373" s="288" t="s">
        <v>622</v>
      </c>
      <c r="D373" s="289" t="str">
        <f t="shared" si="1"/>
        <v>ZOUT-1-26</v>
      </c>
      <c r="E373" s="78">
        <v>45763.0</v>
      </c>
      <c r="F373" s="88" t="s">
        <v>800</v>
      </c>
      <c r="G373" s="80" t="s">
        <v>41</v>
      </c>
      <c r="H373" s="81" t="s">
        <v>42</v>
      </c>
      <c r="I373" s="82">
        <v>10.0</v>
      </c>
      <c r="J373" s="81" t="s">
        <v>43</v>
      </c>
      <c r="K373" s="32" t="str">
        <f t="shared" si="28"/>
        <v>OCUPADO</v>
      </c>
      <c r="L373" s="33">
        <f t="shared" si="23"/>
        <v>372</v>
      </c>
      <c r="M373" s="33" t="s">
        <v>746</v>
      </c>
      <c r="N373" s="122"/>
      <c r="O373" s="169" t="s">
        <v>270</v>
      </c>
    </row>
    <row r="374">
      <c r="A374" s="287" t="s">
        <v>664</v>
      </c>
      <c r="B374" s="288" t="s">
        <v>18</v>
      </c>
      <c r="C374" s="288" t="s">
        <v>669</v>
      </c>
      <c r="D374" s="289" t="str">
        <f t="shared" si="1"/>
        <v>ZOUT-1-27</v>
      </c>
      <c r="E374" s="72"/>
      <c r="F374" s="77"/>
      <c r="G374" s="265"/>
      <c r="H374" s="75"/>
      <c r="I374" s="76"/>
      <c r="J374" s="75"/>
      <c r="K374" s="27" t="str">
        <f t="shared" si="28"/>
        <v>DISPONIBLE</v>
      </c>
      <c r="L374" s="28">
        <f t="shared" si="23"/>
        <v>373</v>
      </c>
      <c r="M374" s="28" t="s">
        <v>746</v>
      </c>
      <c r="N374" s="109"/>
      <c r="O374" s="168"/>
    </row>
    <row r="375">
      <c r="A375" s="287" t="s">
        <v>664</v>
      </c>
      <c r="B375" s="288" t="s">
        <v>18</v>
      </c>
      <c r="C375" s="288" t="s">
        <v>671</v>
      </c>
      <c r="D375" s="289" t="str">
        <f t="shared" si="1"/>
        <v>ZOUT-1-28</v>
      </c>
      <c r="E375" s="72"/>
      <c r="F375" s="77"/>
      <c r="G375" s="265"/>
      <c r="H375" s="75"/>
      <c r="I375" s="76"/>
      <c r="J375" s="75"/>
      <c r="K375" s="32" t="str">
        <f t="shared" si="28"/>
        <v>DISPONIBLE</v>
      </c>
      <c r="L375" s="33">
        <f t="shared" si="23"/>
        <v>374</v>
      </c>
      <c r="M375" s="33" t="s">
        <v>746</v>
      </c>
      <c r="N375" s="122"/>
      <c r="O375" s="169"/>
    </row>
    <row r="376">
      <c r="A376" s="287" t="s">
        <v>664</v>
      </c>
      <c r="B376" s="288" t="s">
        <v>18</v>
      </c>
      <c r="C376" s="288" t="s">
        <v>673</v>
      </c>
      <c r="D376" s="289" t="str">
        <f t="shared" si="1"/>
        <v>ZOUT-1-29</v>
      </c>
      <c r="E376" s="72"/>
      <c r="F376" s="77"/>
      <c r="G376" s="265"/>
      <c r="H376" s="75"/>
      <c r="I376" s="76"/>
      <c r="J376" s="75"/>
      <c r="K376" s="27" t="str">
        <f t="shared" si="28"/>
        <v>DISPONIBLE</v>
      </c>
      <c r="L376" s="28">
        <f t="shared" si="23"/>
        <v>375</v>
      </c>
      <c r="M376" s="28" t="s">
        <v>746</v>
      </c>
      <c r="N376" s="109"/>
      <c r="O376" s="168"/>
    </row>
    <row r="377">
      <c r="A377" s="290" t="s">
        <v>664</v>
      </c>
      <c r="B377" s="291" t="s">
        <v>18</v>
      </c>
      <c r="C377" s="291" t="s">
        <v>677</v>
      </c>
      <c r="D377" s="292" t="str">
        <f t="shared" si="1"/>
        <v>ZOUT-1-30</v>
      </c>
      <c r="E377" s="234"/>
      <c r="F377" s="235"/>
      <c r="G377" s="236"/>
      <c r="H377" s="237"/>
      <c r="I377" s="272"/>
      <c r="J377" s="237"/>
      <c r="K377" s="154" t="str">
        <f t="shared" si="28"/>
        <v>DISPONIBLE</v>
      </c>
      <c r="L377" s="155">
        <f t="shared" si="23"/>
        <v>376</v>
      </c>
      <c r="M377" s="155" t="s">
        <v>746</v>
      </c>
      <c r="N377" s="327"/>
      <c r="O377" s="326"/>
    </row>
    <row r="378">
      <c r="A378" s="295" t="s">
        <v>593</v>
      </c>
      <c r="B378" s="296" t="s">
        <v>18</v>
      </c>
      <c r="C378" s="296" t="s">
        <v>18</v>
      </c>
      <c r="D378" s="297" t="str">
        <f t="shared" si="1"/>
        <v>ZEST-1-1</v>
      </c>
      <c r="E378" s="146"/>
      <c r="F378" s="147"/>
      <c r="G378" s="148"/>
      <c r="H378" s="148"/>
      <c r="I378" s="149"/>
      <c r="J378" s="148"/>
      <c r="K378" s="412" t="str">
        <f t="shared" ref="K378:K379" si="29">IF(ISBLANK(E379),"DISPONIBLE","OCUPADO")</f>
        <v>OCUPADO</v>
      </c>
      <c r="L378" s="28">
        <f t="shared" si="23"/>
        <v>377</v>
      </c>
      <c r="M378" s="28" t="s">
        <v>748</v>
      </c>
      <c r="N378" s="109"/>
      <c r="O378" s="29"/>
    </row>
    <row r="379">
      <c r="A379" s="295" t="s">
        <v>593</v>
      </c>
      <c r="B379" s="296" t="s">
        <v>18</v>
      </c>
      <c r="C379" s="296" t="s">
        <v>32</v>
      </c>
      <c r="D379" s="297" t="str">
        <f t="shared" si="1"/>
        <v>ZEST-1-2</v>
      </c>
      <c r="E379" s="78">
        <v>45755.0</v>
      </c>
      <c r="F379" s="88" t="s">
        <v>19</v>
      </c>
      <c r="G379" s="80">
        <v>691084.0</v>
      </c>
      <c r="H379" s="81" t="s">
        <v>533</v>
      </c>
      <c r="I379" s="82">
        <v>3.0</v>
      </c>
      <c r="J379" s="81" t="s">
        <v>35</v>
      </c>
      <c r="K379" s="413" t="str">
        <f t="shared" si="29"/>
        <v>OCUPADO</v>
      </c>
      <c r="L379" s="33">
        <f t="shared" si="23"/>
        <v>378</v>
      </c>
      <c r="M379" s="33" t="s">
        <v>748</v>
      </c>
      <c r="N379" s="122"/>
      <c r="O379" s="34" t="s">
        <v>24</v>
      </c>
    </row>
    <row r="380">
      <c r="A380" s="295" t="s">
        <v>593</v>
      </c>
      <c r="B380" s="296" t="s">
        <v>18</v>
      </c>
      <c r="C380" s="296" t="s">
        <v>44</v>
      </c>
      <c r="D380" s="297" t="str">
        <f t="shared" si="1"/>
        <v>ZEST-1-3</v>
      </c>
      <c r="E380" s="78">
        <v>45755.0</v>
      </c>
      <c r="F380" s="88" t="s">
        <v>19</v>
      </c>
      <c r="G380" s="80" t="s">
        <v>754</v>
      </c>
      <c r="H380" s="81" t="s">
        <v>755</v>
      </c>
      <c r="I380" s="82">
        <v>24.0</v>
      </c>
      <c r="J380" s="81" t="s">
        <v>35</v>
      </c>
      <c r="K380" s="412" t="str">
        <f>IF(ISBLANK(#REF!),"DISPONIBLE","OCUPADO")</f>
        <v>OCUPADO</v>
      </c>
      <c r="L380" s="28">
        <f t="shared" si="23"/>
        <v>379</v>
      </c>
      <c r="M380" s="28" t="s">
        <v>748</v>
      </c>
      <c r="N380" s="109"/>
      <c r="O380" s="29" t="s">
        <v>24</v>
      </c>
    </row>
    <row r="381">
      <c r="A381" s="295" t="s">
        <v>593</v>
      </c>
      <c r="B381" s="296" t="s">
        <v>18</v>
      </c>
      <c r="C381" s="296" t="s">
        <v>53</v>
      </c>
      <c r="D381" s="297" t="str">
        <f t="shared" si="1"/>
        <v>ZEST-1-4</v>
      </c>
      <c r="E381" s="78">
        <v>45755.0</v>
      </c>
      <c r="F381" s="88" t="s">
        <v>19</v>
      </c>
      <c r="G381" s="80" t="s">
        <v>754</v>
      </c>
      <c r="H381" s="81" t="s">
        <v>755</v>
      </c>
      <c r="I381" s="82">
        <v>24.0</v>
      </c>
      <c r="J381" s="81" t="s">
        <v>35</v>
      </c>
      <c r="K381" s="413" t="str">
        <f>IF(ISBLANK(E381),"DISPONIBLE","OCUPADO")</f>
        <v>OCUPADO</v>
      </c>
      <c r="L381" s="33">
        <f t="shared" si="23"/>
        <v>380</v>
      </c>
      <c r="M381" s="33" t="s">
        <v>748</v>
      </c>
      <c r="N381" s="122"/>
      <c r="O381" s="34" t="s">
        <v>24</v>
      </c>
    </row>
    <row r="382">
      <c r="A382" s="295" t="s">
        <v>593</v>
      </c>
      <c r="B382" s="296" t="s">
        <v>18</v>
      </c>
      <c r="C382" s="296" t="s">
        <v>25</v>
      </c>
      <c r="D382" s="297" t="str">
        <f t="shared" si="1"/>
        <v>ZEST-1-5</v>
      </c>
      <c r="E382" s="78">
        <v>45764.0</v>
      </c>
      <c r="F382" s="79" t="s">
        <v>19</v>
      </c>
      <c r="G382" s="80" t="s">
        <v>101</v>
      </c>
      <c r="H382" s="81" t="s">
        <v>101</v>
      </c>
      <c r="I382" s="82">
        <v>10.0</v>
      </c>
      <c r="J382" s="81" t="s">
        <v>22</v>
      </c>
      <c r="K382" s="412" t="str">
        <f>IF(ISBLANK(E383),"DISPONIBLE","OCUPADO")</f>
        <v>OCUPADO</v>
      </c>
      <c r="L382" s="28">
        <f t="shared" si="23"/>
        <v>381</v>
      </c>
      <c r="M382" s="28" t="s">
        <v>748</v>
      </c>
      <c r="N382" s="109"/>
      <c r="O382" s="29" t="s">
        <v>24</v>
      </c>
    </row>
    <row r="383">
      <c r="A383" s="295" t="s">
        <v>593</v>
      </c>
      <c r="B383" s="296" t="s">
        <v>32</v>
      </c>
      <c r="C383" s="296" t="s">
        <v>18</v>
      </c>
      <c r="D383" s="297" t="str">
        <f t="shared" si="1"/>
        <v>ZEST-2-1</v>
      </c>
      <c r="E383" s="78">
        <v>45764.0</v>
      </c>
      <c r="F383" s="79" t="s">
        <v>19</v>
      </c>
      <c r="G383" s="80" t="s">
        <v>114</v>
      </c>
      <c r="H383" s="81" t="s">
        <v>115</v>
      </c>
      <c r="I383" s="82">
        <v>18.0</v>
      </c>
      <c r="J383" s="81" t="s">
        <v>35</v>
      </c>
      <c r="K383" s="413" t="str">
        <f>IF(ISBLANK(#REF!),"DISPONIBLE","OCUPADO")</f>
        <v>OCUPADO</v>
      </c>
      <c r="L383" s="33">
        <f t="shared" si="23"/>
        <v>382</v>
      </c>
      <c r="M383" s="33" t="s">
        <v>748</v>
      </c>
      <c r="N383" s="122"/>
      <c r="O383" s="34" t="s">
        <v>24</v>
      </c>
    </row>
    <row r="384">
      <c r="A384" s="295" t="s">
        <v>593</v>
      </c>
      <c r="B384" s="296" t="s">
        <v>32</v>
      </c>
      <c r="C384" s="296" t="s">
        <v>32</v>
      </c>
      <c r="D384" s="297" t="str">
        <f t="shared" si="1"/>
        <v>ZEST-2-2</v>
      </c>
      <c r="E384" s="78">
        <v>45764.0</v>
      </c>
      <c r="F384" s="88" t="s">
        <v>19</v>
      </c>
      <c r="G384" s="80" t="s">
        <v>754</v>
      </c>
      <c r="H384" s="81" t="s">
        <v>755</v>
      </c>
      <c r="I384" s="82">
        <v>23.0</v>
      </c>
      <c r="J384" s="81" t="s">
        <v>35</v>
      </c>
      <c r="K384" s="412" t="str">
        <f t="shared" ref="K384:K439" si="30">IF(ISBLANK(E384),"DISPONIBLE","OCUPADO")</f>
        <v>OCUPADO</v>
      </c>
      <c r="L384" s="28">
        <f t="shared" si="23"/>
        <v>383</v>
      </c>
      <c r="M384" s="28" t="s">
        <v>748</v>
      </c>
      <c r="N384" s="109"/>
      <c r="O384" s="29" t="s">
        <v>24</v>
      </c>
    </row>
    <row r="385">
      <c r="A385" s="295" t="s">
        <v>593</v>
      </c>
      <c r="B385" s="296" t="s">
        <v>32</v>
      </c>
      <c r="C385" s="296" t="s">
        <v>44</v>
      </c>
      <c r="D385" s="297" t="str">
        <f t="shared" si="1"/>
        <v>ZEST-2-3</v>
      </c>
      <c r="E385" s="78">
        <v>45764.0</v>
      </c>
      <c r="F385" s="88" t="s">
        <v>19</v>
      </c>
      <c r="G385" s="80" t="s">
        <v>754</v>
      </c>
      <c r="H385" s="81" t="s">
        <v>755</v>
      </c>
      <c r="I385" s="82">
        <v>24.0</v>
      </c>
      <c r="J385" s="81" t="s">
        <v>35</v>
      </c>
      <c r="K385" s="413" t="str">
        <f t="shared" si="30"/>
        <v>OCUPADO</v>
      </c>
      <c r="L385" s="33">
        <f t="shared" si="23"/>
        <v>384</v>
      </c>
      <c r="M385" s="33" t="s">
        <v>748</v>
      </c>
      <c r="N385" s="122"/>
      <c r="O385" s="34" t="s">
        <v>24</v>
      </c>
    </row>
    <row r="386">
      <c r="A386" s="295" t="s">
        <v>593</v>
      </c>
      <c r="B386" s="296" t="s">
        <v>32</v>
      </c>
      <c r="C386" s="296" t="s">
        <v>53</v>
      </c>
      <c r="D386" s="297" t="str">
        <f t="shared" si="1"/>
        <v>ZEST-2-4</v>
      </c>
      <c r="E386" s="78">
        <v>45764.0</v>
      </c>
      <c r="F386" s="88" t="s">
        <v>19</v>
      </c>
      <c r="G386" s="80" t="s">
        <v>754</v>
      </c>
      <c r="H386" s="81" t="s">
        <v>755</v>
      </c>
      <c r="I386" s="82">
        <v>24.0</v>
      </c>
      <c r="J386" s="81" t="s">
        <v>35</v>
      </c>
      <c r="K386" s="412" t="str">
        <f t="shared" si="30"/>
        <v>OCUPADO</v>
      </c>
      <c r="L386" s="28">
        <f t="shared" si="23"/>
        <v>385</v>
      </c>
      <c r="M386" s="28" t="s">
        <v>748</v>
      </c>
      <c r="N386" s="109"/>
      <c r="O386" s="29" t="s">
        <v>24</v>
      </c>
    </row>
    <row r="387">
      <c r="A387" s="295" t="s">
        <v>593</v>
      </c>
      <c r="B387" s="296" t="s">
        <v>32</v>
      </c>
      <c r="C387" s="296" t="s">
        <v>25</v>
      </c>
      <c r="D387" s="297" t="str">
        <f t="shared" si="1"/>
        <v>ZEST-2-5</v>
      </c>
      <c r="E387" s="78">
        <v>45764.0</v>
      </c>
      <c r="F387" s="79" t="s">
        <v>19</v>
      </c>
      <c r="G387" s="80" t="s">
        <v>101</v>
      </c>
      <c r="H387" s="81" t="s">
        <v>101</v>
      </c>
      <c r="I387" s="82">
        <v>10.0</v>
      </c>
      <c r="J387" s="81" t="s">
        <v>22</v>
      </c>
      <c r="K387" s="413" t="str">
        <f t="shared" si="30"/>
        <v>OCUPADO</v>
      </c>
      <c r="L387" s="33">
        <f t="shared" si="23"/>
        <v>386</v>
      </c>
      <c r="M387" s="33" t="s">
        <v>748</v>
      </c>
      <c r="N387" s="122"/>
      <c r="O387" s="34" t="s">
        <v>24</v>
      </c>
    </row>
    <row r="388">
      <c r="A388" s="295" t="s">
        <v>593</v>
      </c>
      <c r="B388" s="296" t="s">
        <v>44</v>
      </c>
      <c r="C388" s="296" t="s">
        <v>18</v>
      </c>
      <c r="D388" s="297" t="str">
        <f t="shared" si="1"/>
        <v>ZEST-3-1</v>
      </c>
      <c r="E388" s="72"/>
      <c r="F388" s="77"/>
      <c r="G388" s="74"/>
      <c r="H388" s="138"/>
      <c r="I388" s="76"/>
      <c r="J388" s="138"/>
      <c r="K388" s="412" t="str">
        <f t="shared" si="30"/>
        <v>DISPONIBLE</v>
      </c>
      <c r="L388" s="28">
        <f t="shared" si="23"/>
        <v>387</v>
      </c>
      <c r="M388" s="28" t="s">
        <v>748</v>
      </c>
      <c r="N388" s="109"/>
      <c r="O388" s="168"/>
    </row>
    <row r="389">
      <c r="A389" s="295" t="s">
        <v>593</v>
      </c>
      <c r="B389" s="296" t="s">
        <v>44</v>
      </c>
      <c r="C389" s="296" t="s">
        <v>32</v>
      </c>
      <c r="D389" s="297" t="str">
        <f t="shared" si="1"/>
        <v>ZEST-3-2</v>
      </c>
      <c r="E389" s="78">
        <v>45764.0</v>
      </c>
      <c r="F389" s="79" t="s">
        <v>19</v>
      </c>
      <c r="G389" s="80" t="s">
        <v>135</v>
      </c>
      <c r="H389" s="81" t="s">
        <v>135</v>
      </c>
      <c r="I389" s="82">
        <v>24.0</v>
      </c>
      <c r="J389" s="81" t="s">
        <v>35</v>
      </c>
      <c r="K389" s="413" t="str">
        <f t="shared" si="30"/>
        <v>OCUPADO</v>
      </c>
      <c r="L389" s="33">
        <f t="shared" si="23"/>
        <v>388</v>
      </c>
      <c r="M389" s="33" t="s">
        <v>748</v>
      </c>
      <c r="N389" s="122"/>
      <c r="O389" s="34" t="s">
        <v>24</v>
      </c>
    </row>
    <row r="390">
      <c r="A390" s="295" t="s">
        <v>593</v>
      </c>
      <c r="B390" s="296" t="s">
        <v>44</v>
      </c>
      <c r="C390" s="296" t="s">
        <v>44</v>
      </c>
      <c r="D390" s="297" t="str">
        <f t="shared" si="1"/>
        <v>ZEST-3-3</v>
      </c>
      <c r="E390" s="78">
        <v>45764.0</v>
      </c>
      <c r="F390" s="79" t="s">
        <v>19</v>
      </c>
      <c r="G390" s="80" t="s">
        <v>759</v>
      </c>
      <c r="H390" s="81" t="s">
        <v>109</v>
      </c>
      <c r="I390" s="82">
        <v>1.0</v>
      </c>
      <c r="J390" s="81" t="s">
        <v>22</v>
      </c>
      <c r="K390" s="412" t="str">
        <f t="shared" si="30"/>
        <v>OCUPADO</v>
      </c>
      <c r="L390" s="28">
        <f t="shared" si="23"/>
        <v>389</v>
      </c>
      <c r="M390" s="28" t="s">
        <v>748</v>
      </c>
      <c r="N390" s="109"/>
      <c r="O390" s="29" t="s">
        <v>24</v>
      </c>
    </row>
    <row r="391">
      <c r="A391" s="295" t="s">
        <v>593</v>
      </c>
      <c r="B391" s="296" t="s">
        <v>44</v>
      </c>
      <c r="C391" s="296" t="s">
        <v>53</v>
      </c>
      <c r="D391" s="297" t="str">
        <f t="shared" si="1"/>
        <v>ZEST-3-4</v>
      </c>
      <c r="E391" s="78">
        <v>45764.0</v>
      </c>
      <c r="F391" s="79" t="s">
        <v>19</v>
      </c>
      <c r="G391" s="80" t="s">
        <v>135</v>
      </c>
      <c r="H391" s="81" t="s">
        <v>135</v>
      </c>
      <c r="I391" s="82">
        <v>2.0</v>
      </c>
      <c r="J391" s="81" t="s">
        <v>22</v>
      </c>
      <c r="K391" s="413" t="str">
        <f t="shared" si="30"/>
        <v>OCUPADO</v>
      </c>
      <c r="L391" s="33">
        <f t="shared" si="23"/>
        <v>390</v>
      </c>
      <c r="M391" s="33" t="s">
        <v>748</v>
      </c>
      <c r="N391" s="122"/>
      <c r="O391" s="34" t="s">
        <v>24</v>
      </c>
    </row>
    <row r="392">
      <c r="A392" s="295" t="s">
        <v>593</v>
      </c>
      <c r="B392" s="296" t="s">
        <v>44</v>
      </c>
      <c r="C392" s="296" t="s">
        <v>25</v>
      </c>
      <c r="D392" s="297" t="str">
        <f t="shared" si="1"/>
        <v>ZEST-3-5</v>
      </c>
      <c r="E392" s="78">
        <v>45764.0</v>
      </c>
      <c r="F392" s="79" t="s">
        <v>19</v>
      </c>
      <c r="G392" s="80" t="s">
        <v>101</v>
      </c>
      <c r="H392" s="81" t="s">
        <v>101</v>
      </c>
      <c r="I392" s="82">
        <v>8.0</v>
      </c>
      <c r="J392" s="81" t="s">
        <v>22</v>
      </c>
      <c r="K392" s="412" t="str">
        <f t="shared" si="30"/>
        <v>OCUPADO</v>
      </c>
      <c r="L392" s="28">
        <f t="shared" si="23"/>
        <v>391</v>
      </c>
      <c r="M392" s="28" t="s">
        <v>748</v>
      </c>
      <c r="N392" s="109"/>
      <c r="O392" s="29" t="s">
        <v>24</v>
      </c>
    </row>
    <row r="393">
      <c r="A393" s="295" t="s">
        <v>593</v>
      </c>
      <c r="B393" s="296" t="s">
        <v>53</v>
      </c>
      <c r="C393" s="296" t="s">
        <v>18</v>
      </c>
      <c r="D393" s="297" t="str">
        <f t="shared" si="1"/>
        <v>ZEST-4-1</v>
      </c>
      <c r="E393" s="72"/>
      <c r="F393" s="77"/>
      <c r="G393" s="74"/>
      <c r="H393" s="138"/>
      <c r="I393" s="76"/>
      <c r="J393" s="138"/>
      <c r="K393" s="413" t="str">
        <f t="shared" si="30"/>
        <v>DISPONIBLE</v>
      </c>
      <c r="L393" s="33">
        <f t="shared" si="23"/>
        <v>392</v>
      </c>
      <c r="M393" s="33" t="s">
        <v>748</v>
      </c>
      <c r="N393" s="122"/>
      <c r="O393" s="169"/>
    </row>
    <row r="394">
      <c r="A394" s="295" t="s">
        <v>593</v>
      </c>
      <c r="B394" s="296" t="s">
        <v>53</v>
      </c>
      <c r="C394" s="296" t="s">
        <v>32</v>
      </c>
      <c r="D394" s="297" t="str">
        <f t="shared" si="1"/>
        <v>ZEST-4-2</v>
      </c>
      <c r="E394" s="78">
        <v>45764.0</v>
      </c>
      <c r="F394" s="79" t="s">
        <v>19</v>
      </c>
      <c r="G394" s="80" t="s">
        <v>63</v>
      </c>
      <c r="H394" s="81" t="s">
        <v>64</v>
      </c>
      <c r="I394" s="82">
        <v>12.0</v>
      </c>
      <c r="J394" s="81" t="s">
        <v>35</v>
      </c>
      <c r="K394" s="412" t="str">
        <f t="shared" si="30"/>
        <v>OCUPADO</v>
      </c>
      <c r="L394" s="28">
        <f t="shared" si="23"/>
        <v>393</v>
      </c>
      <c r="M394" s="28" t="s">
        <v>748</v>
      </c>
      <c r="N394" s="109"/>
      <c r="O394" s="29" t="s">
        <v>24</v>
      </c>
    </row>
    <row r="395">
      <c r="A395" s="295" t="s">
        <v>593</v>
      </c>
      <c r="B395" s="296" t="s">
        <v>53</v>
      </c>
      <c r="C395" s="296" t="s">
        <v>44</v>
      </c>
      <c r="D395" s="297" t="str">
        <f t="shared" si="1"/>
        <v>ZEST-4-3</v>
      </c>
      <c r="E395" s="72"/>
      <c r="F395" s="77"/>
      <c r="G395" s="74"/>
      <c r="H395" s="138"/>
      <c r="I395" s="76"/>
      <c r="J395" s="138"/>
      <c r="K395" s="413" t="str">
        <f t="shared" si="30"/>
        <v>DISPONIBLE</v>
      </c>
      <c r="L395" s="33">
        <f t="shared" si="23"/>
        <v>394</v>
      </c>
      <c r="M395" s="33" t="s">
        <v>748</v>
      </c>
      <c r="N395" s="122"/>
      <c r="O395" s="169"/>
    </row>
    <row r="396">
      <c r="A396" s="295" t="s">
        <v>593</v>
      </c>
      <c r="B396" s="296" t="s">
        <v>53</v>
      </c>
      <c r="C396" s="296" t="s">
        <v>53</v>
      </c>
      <c r="D396" s="297" t="str">
        <f t="shared" si="1"/>
        <v>ZEST-4-4</v>
      </c>
      <c r="E396" s="72"/>
      <c r="F396" s="77"/>
      <c r="G396" s="74"/>
      <c r="H396" s="138"/>
      <c r="I396" s="76"/>
      <c r="J396" s="138"/>
      <c r="K396" s="412" t="str">
        <f t="shared" si="30"/>
        <v>DISPONIBLE</v>
      </c>
      <c r="L396" s="28">
        <f t="shared" si="23"/>
        <v>395</v>
      </c>
      <c r="M396" s="28" t="s">
        <v>748</v>
      </c>
      <c r="N396" s="109"/>
      <c r="O396" s="168"/>
    </row>
    <row r="397">
      <c r="A397" s="295" t="s">
        <v>593</v>
      </c>
      <c r="B397" s="296" t="s">
        <v>53</v>
      </c>
      <c r="C397" s="296" t="s">
        <v>25</v>
      </c>
      <c r="D397" s="297" t="str">
        <f t="shared" si="1"/>
        <v>ZEST-4-5</v>
      </c>
      <c r="E397" s="72"/>
      <c r="F397" s="77"/>
      <c r="G397" s="74"/>
      <c r="H397" s="138"/>
      <c r="I397" s="76"/>
      <c r="J397" s="138"/>
      <c r="K397" s="413" t="str">
        <f t="shared" si="30"/>
        <v>DISPONIBLE</v>
      </c>
      <c r="L397" s="33">
        <f t="shared" si="23"/>
        <v>396</v>
      </c>
      <c r="M397" s="33" t="s">
        <v>748</v>
      </c>
      <c r="N397" s="122"/>
      <c r="O397" s="169"/>
    </row>
    <row r="398">
      <c r="A398" s="295" t="s">
        <v>593</v>
      </c>
      <c r="B398" s="296" t="s">
        <v>25</v>
      </c>
      <c r="C398" s="296" t="s">
        <v>18</v>
      </c>
      <c r="D398" s="297" t="str">
        <f t="shared" si="1"/>
        <v>ZEST-5-1</v>
      </c>
      <c r="E398" s="72"/>
      <c r="F398" s="77"/>
      <c r="G398" s="74"/>
      <c r="H398" s="138"/>
      <c r="I398" s="76"/>
      <c r="J398" s="138"/>
      <c r="K398" s="412" t="str">
        <f t="shared" si="30"/>
        <v>DISPONIBLE</v>
      </c>
      <c r="L398" s="28">
        <f t="shared" si="23"/>
        <v>397</v>
      </c>
      <c r="M398" s="28" t="s">
        <v>748</v>
      </c>
      <c r="N398" s="109"/>
      <c r="O398" s="168"/>
    </row>
    <row r="399">
      <c r="A399" s="295" t="s">
        <v>593</v>
      </c>
      <c r="B399" s="296" t="s">
        <v>25</v>
      </c>
      <c r="C399" s="296" t="s">
        <v>32</v>
      </c>
      <c r="D399" s="297" t="str">
        <f t="shared" si="1"/>
        <v>ZEST-5-2</v>
      </c>
      <c r="E399" s="72"/>
      <c r="F399" s="77"/>
      <c r="G399" s="74"/>
      <c r="H399" s="138"/>
      <c r="I399" s="76"/>
      <c r="J399" s="138"/>
      <c r="K399" s="413" t="str">
        <f t="shared" si="30"/>
        <v>DISPONIBLE</v>
      </c>
      <c r="L399" s="33">
        <f t="shared" si="23"/>
        <v>398</v>
      </c>
      <c r="M399" s="33" t="s">
        <v>748</v>
      </c>
      <c r="N399" s="122"/>
      <c r="O399" s="169"/>
    </row>
    <row r="400">
      <c r="A400" s="295" t="s">
        <v>593</v>
      </c>
      <c r="B400" s="296" t="s">
        <v>25</v>
      </c>
      <c r="C400" s="296" t="s">
        <v>44</v>
      </c>
      <c r="D400" s="297" t="str">
        <f t="shared" si="1"/>
        <v>ZEST-5-3</v>
      </c>
      <c r="E400" s="72"/>
      <c r="F400" s="77"/>
      <c r="G400" s="74"/>
      <c r="H400" s="138"/>
      <c r="I400" s="76"/>
      <c r="J400" s="138"/>
      <c r="K400" s="412" t="str">
        <f t="shared" si="30"/>
        <v>DISPONIBLE</v>
      </c>
      <c r="L400" s="28">
        <f t="shared" si="23"/>
        <v>399</v>
      </c>
      <c r="M400" s="28" t="s">
        <v>748</v>
      </c>
      <c r="N400" s="109"/>
      <c r="O400" s="168"/>
    </row>
    <row r="401">
      <c r="A401" s="295" t="s">
        <v>593</v>
      </c>
      <c r="B401" s="296" t="s">
        <v>25</v>
      </c>
      <c r="C401" s="296" t="s">
        <v>53</v>
      </c>
      <c r="D401" s="297" t="str">
        <f t="shared" si="1"/>
        <v>ZEST-5-4</v>
      </c>
      <c r="E401" s="72"/>
      <c r="F401" s="77"/>
      <c r="G401" s="74"/>
      <c r="H401" s="138"/>
      <c r="I401" s="76"/>
      <c r="J401" s="138"/>
      <c r="K401" s="413" t="str">
        <f t="shared" si="30"/>
        <v>DISPONIBLE</v>
      </c>
      <c r="L401" s="33">
        <f t="shared" si="23"/>
        <v>400</v>
      </c>
      <c r="M401" s="33" t="s">
        <v>748</v>
      </c>
      <c r="N401" s="122"/>
      <c r="O401" s="169"/>
    </row>
    <row r="402">
      <c r="A402" s="295" t="s">
        <v>593</v>
      </c>
      <c r="B402" s="296" t="s">
        <v>25</v>
      </c>
      <c r="C402" s="296" t="s">
        <v>25</v>
      </c>
      <c r="D402" s="297" t="str">
        <f t="shared" si="1"/>
        <v>ZEST-5-5</v>
      </c>
      <c r="E402" s="72"/>
      <c r="F402" s="77"/>
      <c r="G402" s="74"/>
      <c r="H402" s="138"/>
      <c r="I402" s="76"/>
      <c r="J402" s="138"/>
      <c r="K402" s="412" t="str">
        <f t="shared" si="30"/>
        <v>DISPONIBLE</v>
      </c>
      <c r="L402" s="28">
        <f t="shared" si="23"/>
        <v>401</v>
      </c>
      <c r="M402" s="28" t="s">
        <v>748</v>
      </c>
      <c r="N402" s="109"/>
      <c r="O402" s="168"/>
    </row>
    <row r="403">
      <c r="A403" s="295" t="s">
        <v>593</v>
      </c>
      <c r="B403" s="296" t="s">
        <v>25</v>
      </c>
      <c r="C403" s="296" t="s">
        <v>36</v>
      </c>
      <c r="D403" s="297" t="str">
        <f t="shared" si="1"/>
        <v>ZEST-5-6</v>
      </c>
      <c r="E403" s="72"/>
      <c r="F403" s="77"/>
      <c r="G403" s="74"/>
      <c r="H403" s="138"/>
      <c r="I403" s="76"/>
      <c r="J403" s="138"/>
      <c r="K403" s="413" t="str">
        <f t="shared" si="30"/>
        <v>DISPONIBLE</v>
      </c>
      <c r="L403" s="33">
        <f t="shared" si="23"/>
        <v>402</v>
      </c>
      <c r="M403" s="33" t="s">
        <v>748</v>
      </c>
      <c r="N403" s="122"/>
      <c r="O403" s="169"/>
    </row>
    <row r="404">
      <c r="A404" s="295" t="s">
        <v>593</v>
      </c>
      <c r="B404" s="296" t="s">
        <v>25</v>
      </c>
      <c r="C404" s="296" t="s">
        <v>48</v>
      </c>
      <c r="D404" s="297" t="str">
        <f t="shared" si="1"/>
        <v>ZEST-5-7</v>
      </c>
      <c r="E404" s="72"/>
      <c r="F404" s="77"/>
      <c r="G404" s="74"/>
      <c r="H404" s="138"/>
      <c r="I404" s="76"/>
      <c r="J404" s="138"/>
      <c r="K404" s="412" t="str">
        <f t="shared" si="30"/>
        <v>DISPONIBLE</v>
      </c>
      <c r="L404" s="28">
        <f t="shared" si="23"/>
        <v>403</v>
      </c>
      <c r="M404" s="28" t="s">
        <v>748</v>
      </c>
      <c r="N404" s="109"/>
      <c r="O404" s="168"/>
    </row>
    <row r="405">
      <c r="A405" s="295" t="s">
        <v>593</v>
      </c>
      <c r="B405" s="296" t="s">
        <v>36</v>
      </c>
      <c r="C405" s="296" t="s">
        <v>18</v>
      </c>
      <c r="D405" s="297" t="str">
        <f t="shared" si="1"/>
        <v>ZEST-6-1</v>
      </c>
      <c r="E405" s="72"/>
      <c r="F405" s="77"/>
      <c r="G405" s="74"/>
      <c r="H405" s="138"/>
      <c r="I405" s="76"/>
      <c r="J405" s="138"/>
      <c r="K405" s="413" t="str">
        <f t="shared" si="30"/>
        <v>DISPONIBLE</v>
      </c>
      <c r="L405" s="33">
        <f t="shared" si="23"/>
        <v>404</v>
      </c>
      <c r="M405" s="33" t="s">
        <v>748</v>
      </c>
      <c r="N405" s="122"/>
      <c r="O405" s="169"/>
    </row>
    <row r="406">
      <c r="A406" s="295" t="s">
        <v>593</v>
      </c>
      <c r="B406" s="296" t="s">
        <v>36</v>
      </c>
      <c r="C406" s="296" t="s">
        <v>32</v>
      </c>
      <c r="D406" s="297" t="str">
        <f t="shared" si="1"/>
        <v>ZEST-6-2</v>
      </c>
      <c r="E406" s="72"/>
      <c r="F406" s="77"/>
      <c r="G406" s="74"/>
      <c r="H406" s="138"/>
      <c r="I406" s="76"/>
      <c r="J406" s="138"/>
      <c r="K406" s="412" t="str">
        <f t="shared" si="30"/>
        <v>DISPONIBLE</v>
      </c>
      <c r="L406" s="28">
        <f t="shared" si="23"/>
        <v>405</v>
      </c>
      <c r="M406" s="28" t="s">
        <v>748</v>
      </c>
      <c r="N406" s="109"/>
      <c r="O406" s="168"/>
    </row>
    <row r="407">
      <c r="A407" s="295" t="s">
        <v>593</v>
      </c>
      <c r="B407" s="296" t="s">
        <v>36</v>
      </c>
      <c r="C407" s="296" t="s">
        <v>44</v>
      </c>
      <c r="D407" s="297" t="str">
        <f t="shared" si="1"/>
        <v>ZEST-6-3</v>
      </c>
      <c r="E407" s="72"/>
      <c r="F407" s="77"/>
      <c r="G407" s="74"/>
      <c r="H407" s="138"/>
      <c r="I407" s="76"/>
      <c r="J407" s="138"/>
      <c r="K407" s="413" t="str">
        <f t="shared" si="30"/>
        <v>DISPONIBLE</v>
      </c>
      <c r="L407" s="33">
        <f t="shared" si="23"/>
        <v>406</v>
      </c>
      <c r="M407" s="33" t="s">
        <v>748</v>
      </c>
      <c r="N407" s="122"/>
      <c r="O407" s="169"/>
    </row>
    <row r="408">
      <c r="A408" s="295" t="s">
        <v>593</v>
      </c>
      <c r="B408" s="296" t="s">
        <v>36</v>
      </c>
      <c r="C408" s="296" t="s">
        <v>53</v>
      </c>
      <c r="D408" s="297" t="str">
        <f t="shared" si="1"/>
        <v>ZEST-6-4</v>
      </c>
      <c r="E408" s="72"/>
      <c r="F408" s="77"/>
      <c r="G408" s="74"/>
      <c r="H408" s="138"/>
      <c r="I408" s="76"/>
      <c r="J408" s="138"/>
      <c r="K408" s="412" t="str">
        <f t="shared" si="30"/>
        <v>DISPONIBLE</v>
      </c>
      <c r="L408" s="28">
        <f t="shared" si="23"/>
        <v>407</v>
      </c>
      <c r="M408" s="28" t="s">
        <v>748</v>
      </c>
      <c r="N408" s="109"/>
      <c r="O408" s="168"/>
    </row>
    <row r="409">
      <c r="A409" s="295" t="s">
        <v>593</v>
      </c>
      <c r="B409" s="296" t="s">
        <v>36</v>
      </c>
      <c r="C409" s="296" t="s">
        <v>25</v>
      </c>
      <c r="D409" s="297" t="str">
        <f t="shared" si="1"/>
        <v>ZEST-6-5</v>
      </c>
      <c r="E409" s="72"/>
      <c r="F409" s="77"/>
      <c r="G409" s="74"/>
      <c r="H409" s="138"/>
      <c r="I409" s="76"/>
      <c r="J409" s="138"/>
      <c r="K409" s="413" t="str">
        <f t="shared" si="30"/>
        <v>DISPONIBLE</v>
      </c>
      <c r="L409" s="33">
        <f t="shared" si="23"/>
        <v>408</v>
      </c>
      <c r="M409" s="33" t="s">
        <v>748</v>
      </c>
      <c r="N409" s="122"/>
      <c r="O409" s="169"/>
    </row>
    <row r="410">
      <c r="A410" s="295" t="s">
        <v>593</v>
      </c>
      <c r="B410" s="296" t="s">
        <v>48</v>
      </c>
      <c r="C410" s="296" t="s">
        <v>36</v>
      </c>
      <c r="D410" s="297" t="str">
        <f t="shared" si="1"/>
        <v>ZEST-7-6</v>
      </c>
      <c r="E410" s="72"/>
      <c r="F410" s="77"/>
      <c r="G410" s="74"/>
      <c r="H410" s="138"/>
      <c r="I410" s="76"/>
      <c r="J410" s="138"/>
      <c r="K410" s="412" t="str">
        <f t="shared" si="30"/>
        <v>DISPONIBLE</v>
      </c>
      <c r="L410" s="28">
        <f t="shared" si="23"/>
        <v>409</v>
      </c>
      <c r="M410" s="28" t="s">
        <v>748</v>
      </c>
      <c r="N410" s="109"/>
      <c r="O410" s="168"/>
    </row>
    <row r="411">
      <c r="A411" s="295" t="s">
        <v>593</v>
      </c>
      <c r="B411" s="296" t="s">
        <v>48</v>
      </c>
      <c r="C411" s="296" t="s">
        <v>48</v>
      </c>
      <c r="D411" s="297" t="str">
        <f t="shared" si="1"/>
        <v>ZEST-7-7</v>
      </c>
      <c r="E411" s="72"/>
      <c r="F411" s="77"/>
      <c r="G411" s="74"/>
      <c r="H411" s="138"/>
      <c r="I411" s="76"/>
      <c r="J411" s="138"/>
      <c r="K411" s="413" t="str">
        <f t="shared" si="30"/>
        <v>DISPONIBLE</v>
      </c>
      <c r="L411" s="33">
        <f t="shared" si="23"/>
        <v>410</v>
      </c>
      <c r="M411" s="33" t="s">
        <v>748</v>
      </c>
      <c r="N411" s="122"/>
      <c r="O411" s="169"/>
    </row>
    <row r="412">
      <c r="A412" s="295" t="s">
        <v>593</v>
      </c>
      <c r="B412" s="296" t="s">
        <v>48</v>
      </c>
      <c r="C412" s="296" t="s">
        <v>18</v>
      </c>
      <c r="D412" s="297" t="str">
        <f t="shared" si="1"/>
        <v>ZEST-7-1</v>
      </c>
      <c r="E412" s="72"/>
      <c r="F412" s="77"/>
      <c r="G412" s="74"/>
      <c r="H412" s="138"/>
      <c r="I412" s="76"/>
      <c r="J412" s="138"/>
      <c r="K412" s="412" t="str">
        <f t="shared" si="30"/>
        <v>DISPONIBLE</v>
      </c>
      <c r="L412" s="28">
        <f t="shared" si="23"/>
        <v>411</v>
      </c>
      <c r="M412" s="28" t="s">
        <v>748</v>
      </c>
      <c r="N412" s="109"/>
      <c r="O412" s="168"/>
    </row>
    <row r="413">
      <c r="A413" s="295" t="s">
        <v>593</v>
      </c>
      <c r="B413" s="296" t="s">
        <v>48</v>
      </c>
      <c r="C413" s="296" t="s">
        <v>32</v>
      </c>
      <c r="D413" s="297" t="str">
        <f t="shared" si="1"/>
        <v>ZEST-7-2</v>
      </c>
      <c r="E413" s="72"/>
      <c r="F413" s="77"/>
      <c r="G413" s="74"/>
      <c r="H413" s="138"/>
      <c r="I413" s="76"/>
      <c r="J413" s="138"/>
      <c r="K413" s="413" t="str">
        <f t="shared" si="30"/>
        <v>DISPONIBLE</v>
      </c>
      <c r="L413" s="33">
        <f t="shared" si="23"/>
        <v>412</v>
      </c>
      <c r="M413" s="33" t="s">
        <v>748</v>
      </c>
      <c r="N413" s="122"/>
      <c r="O413" s="169"/>
    </row>
    <row r="414">
      <c r="A414" s="295" t="s">
        <v>593</v>
      </c>
      <c r="B414" s="296" t="s">
        <v>48</v>
      </c>
      <c r="C414" s="296" t="s">
        <v>44</v>
      </c>
      <c r="D414" s="297" t="str">
        <f t="shared" si="1"/>
        <v>ZEST-7-3</v>
      </c>
      <c r="E414" s="72"/>
      <c r="F414" s="77"/>
      <c r="G414" s="74"/>
      <c r="H414" s="138"/>
      <c r="I414" s="76"/>
      <c r="J414" s="138"/>
      <c r="K414" s="412" t="str">
        <f t="shared" si="30"/>
        <v>DISPONIBLE</v>
      </c>
      <c r="L414" s="28">
        <f t="shared" si="23"/>
        <v>413</v>
      </c>
      <c r="M414" s="28" t="s">
        <v>748</v>
      </c>
      <c r="N414" s="109"/>
      <c r="O414" s="168"/>
    </row>
    <row r="415">
      <c r="A415" s="295" t="s">
        <v>593</v>
      </c>
      <c r="B415" s="296" t="s">
        <v>48</v>
      </c>
      <c r="C415" s="296" t="s">
        <v>53</v>
      </c>
      <c r="D415" s="297" t="str">
        <f t="shared" si="1"/>
        <v>ZEST-7-4</v>
      </c>
      <c r="E415" s="72"/>
      <c r="F415" s="77"/>
      <c r="G415" s="74"/>
      <c r="H415" s="138"/>
      <c r="I415" s="76"/>
      <c r="J415" s="138"/>
      <c r="K415" s="413" t="str">
        <f t="shared" si="30"/>
        <v>DISPONIBLE</v>
      </c>
      <c r="L415" s="33">
        <f t="shared" si="23"/>
        <v>414</v>
      </c>
      <c r="M415" s="33" t="s">
        <v>748</v>
      </c>
      <c r="N415" s="122"/>
      <c r="O415" s="169"/>
    </row>
    <row r="416">
      <c r="A416" s="295" t="s">
        <v>593</v>
      </c>
      <c r="B416" s="296" t="s">
        <v>48</v>
      </c>
      <c r="C416" s="296" t="s">
        <v>25</v>
      </c>
      <c r="D416" s="297" t="str">
        <f t="shared" si="1"/>
        <v>ZEST-7-5</v>
      </c>
      <c r="E416" s="72"/>
      <c r="F416" s="77"/>
      <c r="G416" s="74"/>
      <c r="H416" s="138"/>
      <c r="I416" s="76"/>
      <c r="J416" s="138"/>
      <c r="K416" s="412" t="str">
        <f t="shared" si="30"/>
        <v>DISPONIBLE</v>
      </c>
      <c r="L416" s="28">
        <f t="shared" si="23"/>
        <v>415</v>
      </c>
      <c r="M416" s="28" t="s">
        <v>748</v>
      </c>
      <c r="N416" s="109"/>
      <c r="O416" s="168"/>
    </row>
    <row r="417">
      <c r="A417" s="295" t="s">
        <v>593</v>
      </c>
      <c r="B417" s="296" t="s">
        <v>48</v>
      </c>
      <c r="C417" s="296" t="s">
        <v>36</v>
      </c>
      <c r="D417" s="297" t="str">
        <f t="shared" si="1"/>
        <v>ZEST-7-6</v>
      </c>
      <c r="E417" s="72"/>
      <c r="F417" s="77"/>
      <c r="G417" s="74"/>
      <c r="H417" s="138"/>
      <c r="I417" s="76"/>
      <c r="J417" s="138"/>
      <c r="K417" s="413" t="str">
        <f t="shared" si="30"/>
        <v>DISPONIBLE</v>
      </c>
      <c r="L417" s="33">
        <f t="shared" si="23"/>
        <v>416</v>
      </c>
      <c r="M417" s="33" t="s">
        <v>748</v>
      </c>
      <c r="N417" s="122"/>
      <c r="O417" s="169"/>
    </row>
    <row r="418">
      <c r="A418" s="295" t="s">
        <v>593</v>
      </c>
      <c r="B418" s="296" t="s">
        <v>48</v>
      </c>
      <c r="C418" s="296" t="s">
        <v>48</v>
      </c>
      <c r="D418" s="297" t="str">
        <f t="shared" si="1"/>
        <v>ZEST-7-7</v>
      </c>
      <c r="E418" s="72"/>
      <c r="F418" s="77"/>
      <c r="G418" s="74"/>
      <c r="H418" s="138"/>
      <c r="I418" s="76"/>
      <c r="J418" s="138"/>
      <c r="K418" s="412" t="str">
        <f t="shared" si="30"/>
        <v>DISPONIBLE</v>
      </c>
      <c r="L418" s="28">
        <f t="shared" si="23"/>
        <v>417</v>
      </c>
      <c r="M418" s="28" t="s">
        <v>748</v>
      </c>
      <c r="N418" s="109"/>
      <c r="O418" s="168"/>
    </row>
    <row r="419">
      <c r="A419" s="295" t="s">
        <v>593</v>
      </c>
      <c r="B419" s="296" t="s">
        <v>465</v>
      </c>
      <c r="C419" s="296" t="s">
        <v>18</v>
      </c>
      <c r="D419" s="297" t="str">
        <f t="shared" si="1"/>
        <v>ZEST-8-1</v>
      </c>
      <c r="E419" s="72"/>
      <c r="F419" s="77"/>
      <c r="G419" s="74"/>
      <c r="H419" s="138"/>
      <c r="I419" s="76"/>
      <c r="J419" s="138"/>
      <c r="K419" s="413" t="str">
        <f t="shared" si="30"/>
        <v>DISPONIBLE</v>
      </c>
      <c r="L419" s="33">
        <f t="shared" si="23"/>
        <v>418</v>
      </c>
      <c r="M419" s="33" t="s">
        <v>748</v>
      </c>
      <c r="N419" s="122"/>
      <c r="O419" s="169"/>
    </row>
    <row r="420">
      <c r="A420" s="295" t="s">
        <v>593</v>
      </c>
      <c r="B420" s="296" t="s">
        <v>465</v>
      </c>
      <c r="C420" s="296" t="s">
        <v>32</v>
      </c>
      <c r="D420" s="297" t="str">
        <f t="shared" si="1"/>
        <v>ZEST-8-2</v>
      </c>
      <c r="E420" s="72"/>
      <c r="F420" s="77"/>
      <c r="G420" s="74"/>
      <c r="H420" s="138"/>
      <c r="I420" s="76"/>
      <c r="J420" s="138"/>
      <c r="K420" s="412" t="str">
        <f t="shared" si="30"/>
        <v>DISPONIBLE</v>
      </c>
      <c r="L420" s="28">
        <f t="shared" si="23"/>
        <v>419</v>
      </c>
      <c r="M420" s="28" t="s">
        <v>748</v>
      </c>
      <c r="N420" s="109"/>
      <c r="O420" s="168"/>
    </row>
    <row r="421">
      <c r="A421" s="295" t="s">
        <v>593</v>
      </c>
      <c r="B421" s="296" t="s">
        <v>465</v>
      </c>
      <c r="C421" s="296" t="s">
        <v>44</v>
      </c>
      <c r="D421" s="297" t="str">
        <f t="shared" si="1"/>
        <v>ZEST-8-3</v>
      </c>
      <c r="E421" s="72"/>
      <c r="F421" s="77"/>
      <c r="G421" s="74"/>
      <c r="H421" s="138"/>
      <c r="I421" s="76"/>
      <c r="J421" s="138"/>
      <c r="K421" s="413" t="str">
        <f t="shared" si="30"/>
        <v>DISPONIBLE</v>
      </c>
      <c r="L421" s="33">
        <f t="shared" si="23"/>
        <v>420</v>
      </c>
      <c r="M421" s="33" t="s">
        <v>748</v>
      </c>
      <c r="N421" s="122"/>
      <c r="O421" s="169"/>
    </row>
    <row r="422">
      <c r="A422" s="295" t="s">
        <v>593</v>
      </c>
      <c r="B422" s="296" t="s">
        <v>465</v>
      </c>
      <c r="C422" s="296" t="s">
        <v>53</v>
      </c>
      <c r="D422" s="297" t="str">
        <f t="shared" si="1"/>
        <v>ZEST-8-4</v>
      </c>
      <c r="E422" s="72"/>
      <c r="F422" s="77"/>
      <c r="G422" s="74"/>
      <c r="H422" s="138"/>
      <c r="I422" s="76"/>
      <c r="J422" s="138"/>
      <c r="K422" s="412" t="str">
        <f t="shared" si="30"/>
        <v>DISPONIBLE</v>
      </c>
      <c r="L422" s="28">
        <f t="shared" si="23"/>
        <v>421</v>
      </c>
      <c r="M422" s="28" t="s">
        <v>748</v>
      </c>
      <c r="N422" s="109"/>
      <c r="O422" s="168"/>
    </row>
    <row r="423">
      <c r="A423" s="295" t="s">
        <v>593</v>
      </c>
      <c r="B423" s="296" t="s">
        <v>465</v>
      </c>
      <c r="C423" s="296" t="s">
        <v>25</v>
      </c>
      <c r="D423" s="297" t="str">
        <f t="shared" si="1"/>
        <v>ZEST-8-5</v>
      </c>
      <c r="E423" s="72"/>
      <c r="F423" s="77"/>
      <c r="G423" s="74"/>
      <c r="H423" s="138"/>
      <c r="I423" s="76"/>
      <c r="J423" s="138"/>
      <c r="K423" s="413" t="str">
        <f t="shared" si="30"/>
        <v>DISPONIBLE</v>
      </c>
      <c r="L423" s="33">
        <f t="shared" si="23"/>
        <v>422</v>
      </c>
      <c r="M423" s="33" t="s">
        <v>748</v>
      </c>
      <c r="N423" s="122"/>
      <c r="O423" s="169"/>
    </row>
    <row r="424">
      <c r="A424" s="295" t="s">
        <v>593</v>
      </c>
      <c r="B424" s="296" t="s">
        <v>465</v>
      </c>
      <c r="C424" s="296" t="s">
        <v>36</v>
      </c>
      <c r="D424" s="297" t="str">
        <f t="shared" si="1"/>
        <v>ZEST-8-6</v>
      </c>
      <c r="E424" s="72"/>
      <c r="F424" s="77"/>
      <c r="G424" s="74"/>
      <c r="H424" s="138"/>
      <c r="I424" s="76"/>
      <c r="J424" s="138"/>
      <c r="K424" s="412" t="str">
        <f t="shared" si="30"/>
        <v>DISPONIBLE</v>
      </c>
      <c r="L424" s="28">
        <f t="shared" si="23"/>
        <v>423</v>
      </c>
      <c r="M424" s="28" t="s">
        <v>748</v>
      </c>
      <c r="N424" s="109"/>
      <c r="O424" s="168"/>
    </row>
    <row r="425">
      <c r="A425" s="295" t="s">
        <v>593</v>
      </c>
      <c r="B425" s="296" t="s">
        <v>465</v>
      </c>
      <c r="C425" s="296" t="s">
        <v>48</v>
      </c>
      <c r="D425" s="297" t="str">
        <f t="shared" si="1"/>
        <v>ZEST-8-7</v>
      </c>
      <c r="E425" s="72"/>
      <c r="F425" s="77"/>
      <c r="G425" s="74"/>
      <c r="H425" s="138"/>
      <c r="I425" s="76"/>
      <c r="J425" s="138"/>
      <c r="K425" s="413" t="str">
        <f t="shared" si="30"/>
        <v>DISPONIBLE</v>
      </c>
      <c r="L425" s="33">
        <f t="shared" si="23"/>
        <v>424</v>
      </c>
      <c r="M425" s="33" t="s">
        <v>748</v>
      </c>
      <c r="N425" s="122"/>
      <c r="O425" s="169"/>
    </row>
    <row r="426">
      <c r="A426" s="295" t="s">
        <v>593</v>
      </c>
      <c r="B426" s="296" t="s">
        <v>511</v>
      </c>
      <c r="C426" s="296" t="s">
        <v>18</v>
      </c>
      <c r="D426" s="297" t="str">
        <f t="shared" si="1"/>
        <v>ZEST-9-1</v>
      </c>
      <c r="E426" s="72"/>
      <c r="F426" s="77"/>
      <c r="G426" s="74"/>
      <c r="H426" s="138"/>
      <c r="I426" s="76"/>
      <c r="J426" s="138"/>
      <c r="K426" s="412" t="str">
        <f t="shared" si="30"/>
        <v>DISPONIBLE</v>
      </c>
      <c r="L426" s="28">
        <f t="shared" si="23"/>
        <v>425</v>
      </c>
      <c r="M426" s="28" t="s">
        <v>748</v>
      </c>
      <c r="N426" s="109"/>
      <c r="O426" s="168"/>
    </row>
    <row r="427">
      <c r="A427" s="295" t="s">
        <v>593</v>
      </c>
      <c r="B427" s="296" t="s">
        <v>511</v>
      </c>
      <c r="C427" s="296" t="s">
        <v>32</v>
      </c>
      <c r="D427" s="297" t="str">
        <f t="shared" si="1"/>
        <v>ZEST-9-2</v>
      </c>
      <c r="E427" s="72"/>
      <c r="F427" s="77"/>
      <c r="G427" s="74"/>
      <c r="H427" s="138"/>
      <c r="I427" s="76"/>
      <c r="J427" s="138"/>
      <c r="K427" s="413" t="str">
        <f t="shared" si="30"/>
        <v>DISPONIBLE</v>
      </c>
      <c r="L427" s="33">
        <f t="shared" si="23"/>
        <v>426</v>
      </c>
      <c r="M427" s="33" t="s">
        <v>748</v>
      </c>
      <c r="N427" s="122"/>
      <c r="O427" s="169"/>
    </row>
    <row r="428">
      <c r="A428" s="295" t="s">
        <v>593</v>
      </c>
      <c r="B428" s="296" t="s">
        <v>511</v>
      </c>
      <c r="C428" s="296" t="s">
        <v>44</v>
      </c>
      <c r="D428" s="297" t="str">
        <f t="shared" si="1"/>
        <v>ZEST-9-3</v>
      </c>
      <c r="E428" s="72"/>
      <c r="F428" s="77"/>
      <c r="G428" s="74"/>
      <c r="H428" s="138"/>
      <c r="I428" s="76"/>
      <c r="J428" s="138"/>
      <c r="K428" s="412" t="str">
        <f t="shared" si="30"/>
        <v>DISPONIBLE</v>
      </c>
      <c r="L428" s="28">
        <f t="shared" si="23"/>
        <v>427</v>
      </c>
      <c r="M428" s="28" t="s">
        <v>748</v>
      </c>
      <c r="N428" s="109"/>
      <c r="O428" s="168"/>
    </row>
    <row r="429">
      <c r="A429" s="295" t="s">
        <v>593</v>
      </c>
      <c r="B429" s="296" t="s">
        <v>511</v>
      </c>
      <c r="C429" s="296" t="s">
        <v>53</v>
      </c>
      <c r="D429" s="297" t="str">
        <f t="shared" si="1"/>
        <v>ZEST-9-4</v>
      </c>
      <c r="E429" s="72"/>
      <c r="F429" s="77"/>
      <c r="G429" s="74"/>
      <c r="H429" s="138"/>
      <c r="I429" s="76"/>
      <c r="J429" s="138"/>
      <c r="K429" s="413" t="str">
        <f t="shared" si="30"/>
        <v>DISPONIBLE</v>
      </c>
      <c r="L429" s="33">
        <f t="shared" si="23"/>
        <v>428</v>
      </c>
      <c r="M429" s="33" t="s">
        <v>748</v>
      </c>
      <c r="N429" s="122"/>
      <c r="O429" s="169"/>
    </row>
    <row r="430">
      <c r="A430" s="295" t="s">
        <v>593</v>
      </c>
      <c r="B430" s="296" t="s">
        <v>511</v>
      </c>
      <c r="C430" s="296" t="s">
        <v>25</v>
      </c>
      <c r="D430" s="297" t="str">
        <f t="shared" si="1"/>
        <v>ZEST-9-5</v>
      </c>
      <c r="E430" s="72"/>
      <c r="F430" s="77"/>
      <c r="G430" s="74"/>
      <c r="H430" s="138"/>
      <c r="I430" s="76"/>
      <c r="J430" s="138"/>
      <c r="K430" s="412" t="str">
        <f t="shared" si="30"/>
        <v>DISPONIBLE</v>
      </c>
      <c r="L430" s="28">
        <f t="shared" si="23"/>
        <v>429</v>
      </c>
      <c r="M430" s="28" t="s">
        <v>748</v>
      </c>
      <c r="N430" s="109"/>
      <c r="O430" s="168"/>
    </row>
    <row r="431">
      <c r="A431" s="295" t="s">
        <v>593</v>
      </c>
      <c r="B431" s="296" t="s">
        <v>511</v>
      </c>
      <c r="C431" s="296" t="s">
        <v>36</v>
      </c>
      <c r="D431" s="297" t="str">
        <f t="shared" si="1"/>
        <v>ZEST-9-6</v>
      </c>
      <c r="E431" s="72"/>
      <c r="F431" s="77"/>
      <c r="G431" s="74"/>
      <c r="H431" s="138"/>
      <c r="I431" s="76"/>
      <c r="J431" s="138"/>
      <c r="K431" s="413" t="str">
        <f t="shared" si="30"/>
        <v>DISPONIBLE</v>
      </c>
      <c r="L431" s="33">
        <f t="shared" si="23"/>
        <v>430</v>
      </c>
      <c r="M431" s="33" t="s">
        <v>748</v>
      </c>
      <c r="N431" s="122"/>
      <c r="O431" s="169"/>
    </row>
    <row r="432">
      <c r="A432" s="295" t="s">
        <v>593</v>
      </c>
      <c r="B432" s="296" t="s">
        <v>511</v>
      </c>
      <c r="C432" s="296" t="s">
        <v>48</v>
      </c>
      <c r="D432" s="297" t="str">
        <f t="shared" si="1"/>
        <v>ZEST-9-7</v>
      </c>
      <c r="E432" s="72"/>
      <c r="F432" s="77"/>
      <c r="G432" s="74"/>
      <c r="H432" s="138"/>
      <c r="I432" s="76"/>
      <c r="J432" s="138"/>
      <c r="K432" s="412" t="str">
        <f t="shared" si="30"/>
        <v>DISPONIBLE</v>
      </c>
      <c r="L432" s="28">
        <f t="shared" si="23"/>
        <v>431</v>
      </c>
      <c r="M432" s="28" t="s">
        <v>748</v>
      </c>
      <c r="N432" s="109"/>
      <c r="O432" s="168"/>
    </row>
    <row r="433">
      <c r="A433" s="295" t="s">
        <v>593</v>
      </c>
      <c r="B433" s="296" t="s">
        <v>296</v>
      </c>
      <c r="C433" s="296" t="s">
        <v>18</v>
      </c>
      <c r="D433" s="297" t="str">
        <f t="shared" si="1"/>
        <v>ZEST-10-1</v>
      </c>
      <c r="E433" s="72"/>
      <c r="F433" s="77"/>
      <c r="G433" s="74"/>
      <c r="H433" s="138"/>
      <c r="I433" s="76"/>
      <c r="J433" s="138"/>
      <c r="K433" s="413" t="str">
        <f t="shared" si="30"/>
        <v>DISPONIBLE</v>
      </c>
      <c r="L433" s="33">
        <f t="shared" si="23"/>
        <v>432</v>
      </c>
      <c r="M433" s="33" t="s">
        <v>748</v>
      </c>
      <c r="N433" s="122"/>
      <c r="O433" s="169"/>
    </row>
    <row r="434">
      <c r="A434" s="295" t="s">
        <v>593</v>
      </c>
      <c r="B434" s="296" t="s">
        <v>296</v>
      </c>
      <c r="C434" s="296" t="s">
        <v>32</v>
      </c>
      <c r="D434" s="297" t="str">
        <f t="shared" si="1"/>
        <v>ZEST-10-2</v>
      </c>
      <c r="E434" s="72"/>
      <c r="F434" s="77"/>
      <c r="G434" s="74"/>
      <c r="H434" s="138"/>
      <c r="I434" s="76"/>
      <c r="J434" s="138"/>
      <c r="K434" s="412" t="str">
        <f t="shared" si="30"/>
        <v>DISPONIBLE</v>
      </c>
      <c r="L434" s="28">
        <f t="shared" si="23"/>
        <v>433</v>
      </c>
      <c r="M434" s="28" t="s">
        <v>748</v>
      </c>
      <c r="N434" s="109"/>
      <c r="O434" s="168"/>
    </row>
    <row r="435">
      <c r="A435" s="295" t="s">
        <v>593</v>
      </c>
      <c r="B435" s="296" t="s">
        <v>296</v>
      </c>
      <c r="C435" s="296" t="s">
        <v>44</v>
      </c>
      <c r="D435" s="297" t="str">
        <f t="shared" si="1"/>
        <v>ZEST-10-3</v>
      </c>
      <c r="E435" s="72"/>
      <c r="F435" s="77"/>
      <c r="G435" s="74"/>
      <c r="H435" s="138"/>
      <c r="I435" s="76"/>
      <c r="J435" s="138"/>
      <c r="K435" s="413" t="str">
        <f t="shared" si="30"/>
        <v>DISPONIBLE</v>
      </c>
      <c r="L435" s="33">
        <f t="shared" si="23"/>
        <v>434</v>
      </c>
      <c r="M435" s="33" t="s">
        <v>748</v>
      </c>
      <c r="N435" s="122"/>
      <c r="O435" s="169"/>
    </row>
    <row r="436">
      <c r="A436" s="295" t="s">
        <v>593</v>
      </c>
      <c r="B436" s="296" t="s">
        <v>296</v>
      </c>
      <c r="C436" s="296" t="s">
        <v>53</v>
      </c>
      <c r="D436" s="297" t="str">
        <f t="shared" si="1"/>
        <v>ZEST-10-4</v>
      </c>
      <c r="E436" s="72"/>
      <c r="F436" s="77"/>
      <c r="G436" s="74"/>
      <c r="H436" s="138"/>
      <c r="I436" s="76"/>
      <c r="J436" s="138"/>
      <c r="K436" s="412" t="str">
        <f t="shared" si="30"/>
        <v>DISPONIBLE</v>
      </c>
      <c r="L436" s="28">
        <f t="shared" si="23"/>
        <v>435</v>
      </c>
      <c r="M436" s="28" t="s">
        <v>748</v>
      </c>
      <c r="N436" s="109"/>
      <c r="O436" s="168"/>
    </row>
    <row r="437">
      <c r="A437" s="295" t="s">
        <v>593</v>
      </c>
      <c r="B437" s="296" t="s">
        <v>296</v>
      </c>
      <c r="C437" s="296" t="s">
        <v>25</v>
      </c>
      <c r="D437" s="297" t="str">
        <f t="shared" si="1"/>
        <v>ZEST-10-5</v>
      </c>
      <c r="E437" s="72"/>
      <c r="F437" s="77"/>
      <c r="G437" s="74"/>
      <c r="H437" s="138"/>
      <c r="I437" s="76"/>
      <c r="J437" s="138"/>
      <c r="K437" s="413" t="str">
        <f t="shared" si="30"/>
        <v>DISPONIBLE</v>
      </c>
      <c r="L437" s="33">
        <f t="shared" si="23"/>
        <v>436</v>
      </c>
      <c r="M437" s="33" t="s">
        <v>748</v>
      </c>
      <c r="N437" s="122"/>
      <c r="O437" s="169"/>
    </row>
    <row r="438">
      <c r="A438" s="295" t="s">
        <v>593</v>
      </c>
      <c r="B438" s="296" t="s">
        <v>296</v>
      </c>
      <c r="C438" s="296" t="s">
        <v>36</v>
      </c>
      <c r="D438" s="297" t="str">
        <f t="shared" si="1"/>
        <v>ZEST-10-6</v>
      </c>
      <c r="E438" s="72"/>
      <c r="F438" s="77"/>
      <c r="G438" s="74"/>
      <c r="H438" s="138"/>
      <c r="I438" s="76"/>
      <c r="J438" s="138"/>
      <c r="K438" s="412" t="str">
        <f t="shared" si="30"/>
        <v>DISPONIBLE</v>
      </c>
      <c r="L438" s="28">
        <f t="shared" si="23"/>
        <v>437</v>
      </c>
      <c r="M438" s="28" t="s">
        <v>748</v>
      </c>
      <c r="N438" s="109"/>
      <c r="O438" s="168"/>
    </row>
    <row r="439">
      <c r="A439" s="298" t="s">
        <v>593</v>
      </c>
      <c r="B439" s="299" t="s">
        <v>296</v>
      </c>
      <c r="C439" s="299" t="s">
        <v>48</v>
      </c>
      <c r="D439" s="300" t="str">
        <f t="shared" si="1"/>
        <v>ZEST-10-7</v>
      </c>
      <c r="E439" s="234"/>
      <c r="F439" s="235"/>
      <c r="G439" s="236"/>
      <c r="H439" s="237"/>
      <c r="I439" s="272"/>
      <c r="J439" s="237"/>
      <c r="K439" s="414" t="str">
        <f t="shared" si="30"/>
        <v>DISPONIBLE</v>
      </c>
      <c r="L439" s="155">
        <f t="shared" si="23"/>
        <v>438</v>
      </c>
      <c r="M439" s="155" t="s">
        <v>748</v>
      </c>
      <c r="N439" s="327"/>
      <c r="O439" s="326"/>
    </row>
  </sheetData>
  <conditionalFormatting sqref="E2:J439">
    <cfRule type="notContainsBlanks" dxfId="0" priority="1">
      <formula>LEN(TRIM(E2))&gt;0</formula>
    </cfRule>
  </conditionalFormatting>
  <conditionalFormatting sqref="E2:J439">
    <cfRule type="containsBlanks" dxfId="1" priority="2">
      <formula>LEN(TRIM(E2))=0</formula>
    </cfRule>
  </conditionalFormatting>
  <dataValidations>
    <dataValidation type="custom" allowBlank="1" showDropDown="1" sqref="E2:E439">
      <formula1>OR(NOT(ISERROR(DATEVALUE(E2))), AND(ISNUMBER(E2), LEFT(CELL("format", E2))="D"))</formula1>
    </dataValidation>
    <dataValidation type="custom" allowBlank="1" showDropDown="1" sqref="I2:I439">
      <formula1>AND(ISNUMBER(I2),(NOT(OR(NOT(ISERROR(DATEVALUE(I2))), AND(ISNUMBER(I2), LEFT(CELL("format", I2))="D")))))</formula1>
    </dataValidation>
    <dataValidation allowBlank="1" showDropDown="1" sqref="F2:F439"/>
  </dataValidations>
  <drawing r:id="rId1"/>
  <tableParts count="1"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39.38"/>
    <col customWidth="1" min="6" max="6" width="16.88"/>
    <col customWidth="1" min="8" max="8" width="39.88"/>
  </cols>
  <sheetData>
    <row r="1">
      <c r="A1" s="415" t="s">
        <v>3</v>
      </c>
      <c r="B1" s="416" t="s">
        <v>4</v>
      </c>
      <c r="C1" s="415" t="s">
        <v>5</v>
      </c>
      <c r="D1" s="415" t="s">
        <v>6</v>
      </c>
      <c r="E1" s="417" t="s">
        <v>7</v>
      </c>
      <c r="F1" s="418" t="s">
        <v>8</v>
      </c>
      <c r="G1" s="416" t="s">
        <v>746</v>
      </c>
      <c r="H1" s="416" t="s">
        <v>13</v>
      </c>
    </row>
    <row r="2" hidden="1">
      <c r="A2" s="419" t="s">
        <v>401</v>
      </c>
      <c r="B2" s="420">
        <v>45733.0</v>
      </c>
      <c r="C2" s="421" t="s">
        <v>19</v>
      </c>
      <c r="D2" s="421" t="s">
        <v>54</v>
      </c>
      <c r="E2" s="422" t="s">
        <v>55</v>
      </c>
      <c r="F2" s="423">
        <v>400.0</v>
      </c>
      <c r="G2" s="422">
        <v>125.0</v>
      </c>
      <c r="H2" s="422" t="s">
        <v>808</v>
      </c>
    </row>
    <row r="3">
      <c r="A3" s="419" t="s">
        <v>453</v>
      </c>
      <c r="B3" s="420">
        <v>45733.0</v>
      </c>
      <c r="C3" s="421" t="s">
        <v>19</v>
      </c>
      <c r="D3" s="421" t="s">
        <v>809</v>
      </c>
      <c r="E3" s="422" t="s">
        <v>138</v>
      </c>
      <c r="F3" s="423">
        <v>150.0</v>
      </c>
      <c r="G3" s="422">
        <v>150.0</v>
      </c>
      <c r="H3" s="422" t="s">
        <v>810</v>
      </c>
    </row>
    <row r="4">
      <c r="A4" s="419" t="s">
        <v>357</v>
      </c>
      <c r="B4" s="420">
        <v>45733.0</v>
      </c>
      <c r="C4" s="421" t="s">
        <v>19</v>
      </c>
      <c r="D4" s="421" t="s">
        <v>183</v>
      </c>
      <c r="E4" s="422" t="s">
        <v>184</v>
      </c>
      <c r="F4" s="423">
        <v>12.0</v>
      </c>
      <c r="G4" s="422">
        <v>12.0</v>
      </c>
      <c r="H4" s="422" t="s">
        <v>811</v>
      </c>
    </row>
    <row r="5">
      <c r="A5" s="419" t="s">
        <v>360</v>
      </c>
      <c r="B5" s="420">
        <v>45733.0</v>
      </c>
      <c r="C5" s="421" t="s">
        <v>19</v>
      </c>
      <c r="D5" s="421" t="s">
        <v>183</v>
      </c>
      <c r="E5" s="422" t="s">
        <v>184</v>
      </c>
      <c r="F5" s="423">
        <v>12.0</v>
      </c>
      <c r="G5" s="422">
        <v>12.0</v>
      </c>
      <c r="H5" s="422" t="s">
        <v>811</v>
      </c>
    </row>
    <row r="6">
      <c r="A6" s="419" t="s">
        <v>364</v>
      </c>
      <c r="B6" s="420">
        <v>45733.0</v>
      </c>
      <c r="C6" s="421" t="s">
        <v>19</v>
      </c>
      <c r="D6" s="421" t="s">
        <v>183</v>
      </c>
      <c r="E6" s="422" t="s">
        <v>184</v>
      </c>
      <c r="F6" s="423">
        <v>12.0</v>
      </c>
      <c r="G6" s="422">
        <v>12.0</v>
      </c>
      <c r="H6" s="422" t="s">
        <v>811</v>
      </c>
    </row>
    <row r="7">
      <c r="A7" s="419" t="s">
        <v>367</v>
      </c>
      <c r="B7" s="420">
        <v>45733.0</v>
      </c>
      <c r="C7" s="421" t="s">
        <v>19</v>
      </c>
      <c r="D7" s="421" t="s">
        <v>183</v>
      </c>
      <c r="E7" s="422" t="s">
        <v>184</v>
      </c>
      <c r="F7" s="423">
        <v>12.0</v>
      </c>
      <c r="G7" s="422">
        <v>12.0</v>
      </c>
      <c r="H7" s="422" t="s">
        <v>811</v>
      </c>
    </row>
    <row r="8">
      <c r="A8" s="419" t="s">
        <v>407</v>
      </c>
      <c r="B8" s="420">
        <v>45733.0</v>
      </c>
      <c r="C8" s="421" t="s">
        <v>19</v>
      </c>
      <c r="D8" s="421" t="s">
        <v>183</v>
      </c>
      <c r="E8" s="422" t="s">
        <v>184</v>
      </c>
      <c r="F8" s="423">
        <v>12.0</v>
      </c>
      <c r="G8" s="422">
        <v>12.0</v>
      </c>
      <c r="H8" s="422" t="s">
        <v>811</v>
      </c>
    </row>
    <row r="9">
      <c r="A9" s="419" t="s">
        <v>537</v>
      </c>
      <c r="B9" s="420">
        <v>45733.0</v>
      </c>
      <c r="C9" s="421" t="s">
        <v>19</v>
      </c>
      <c r="D9" s="421" t="s">
        <v>221</v>
      </c>
      <c r="E9" s="422" t="s">
        <v>222</v>
      </c>
      <c r="F9" s="423">
        <v>300.0</v>
      </c>
      <c r="G9" s="422">
        <v>300.0</v>
      </c>
      <c r="H9" s="422" t="s">
        <v>810</v>
      </c>
    </row>
    <row r="10" hidden="1">
      <c r="A10" s="419" t="s">
        <v>141</v>
      </c>
      <c r="B10" s="420">
        <v>45733.0</v>
      </c>
      <c r="C10" s="421" t="s">
        <v>19</v>
      </c>
      <c r="D10" s="421" t="s">
        <v>114</v>
      </c>
      <c r="E10" s="422" t="s">
        <v>115</v>
      </c>
      <c r="F10" s="423">
        <v>525.0</v>
      </c>
      <c r="G10" s="422">
        <v>100.0</v>
      </c>
      <c r="H10" s="422" t="s">
        <v>812</v>
      </c>
    </row>
    <row r="11" hidden="1">
      <c r="A11" s="419" t="s">
        <v>127</v>
      </c>
      <c r="B11" s="420">
        <v>45733.0</v>
      </c>
      <c r="C11" s="421" t="s">
        <v>19</v>
      </c>
      <c r="D11" s="421" t="s">
        <v>114</v>
      </c>
      <c r="E11" s="422" t="s">
        <v>115</v>
      </c>
      <c r="F11" s="423">
        <v>178.0</v>
      </c>
      <c r="G11" s="422">
        <v>178.0</v>
      </c>
      <c r="H11" s="422" t="s">
        <v>812</v>
      </c>
    </row>
    <row r="12">
      <c r="A12" s="419" t="s">
        <v>182</v>
      </c>
      <c r="B12" s="420">
        <v>45733.0</v>
      </c>
      <c r="C12" s="421" t="s">
        <v>19</v>
      </c>
      <c r="D12" s="421" t="s">
        <v>813</v>
      </c>
      <c r="E12" s="422" t="s">
        <v>144</v>
      </c>
      <c r="F12" s="423">
        <v>350.0</v>
      </c>
      <c r="G12" s="422">
        <v>25.0</v>
      </c>
      <c r="H12" s="422" t="s">
        <v>810</v>
      </c>
    </row>
    <row r="13">
      <c r="A13" s="419" t="s">
        <v>215</v>
      </c>
      <c r="B13" s="420">
        <v>45733.0</v>
      </c>
      <c r="C13" s="421" t="s">
        <v>19</v>
      </c>
      <c r="D13" s="421" t="s">
        <v>809</v>
      </c>
      <c r="E13" s="422" t="s">
        <v>138</v>
      </c>
      <c r="F13" s="423">
        <v>225.0</v>
      </c>
      <c r="G13" s="422">
        <v>25.0</v>
      </c>
      <c r="H13" s="422" t="s">
        <v>810</v>
      </c>
    </row>
    <row r="14">
      <c r="A14" s="419" t="s">
        <v>217</v>
      </c>
      <c r="B14" s="420">
        <v>45733.0</v>
      </c>
      <c r="C14" s="421" t="s">
        <v>19</v>
      </c>
      <c r="D14" s="421" t="s">
        <v>814</v>
      </c>
      <c r="E14" s="422" t="s">
        <v>152</v>
      </c>
      <c r="F14" s="423">
        <v>200.0</v>
      </c>
      <c r="G14" s="422">
        <v>25.0</v>
      </c>
      <c r="H14" s="422" t="s">
        <v>810</v>
      </c>
    </row>
    <row r="15">
      <c r="A15" s="419" t="s">
        <v>223</v>
      </c>
      <c r="B15" s="420">
        <v>45733.0</v>
      </c>
      <c r="C15" s="421" t="s">
        <v>19</v>
      </c>
      <c r="D15" s="421" t="s">
        <v>814</v>
      </c>
      <c r="E15" s="422" t="s">
        <v>152</v>
      </c>
      <c r="F15" s="423">
        <v>200.0</v>
      </c>
      <c r="G15" s="422">
        <v>200.0</v>
      </c>
      <c r="H15" s="422" t="s">
        <v>810</v>
      </c>
    </row>
    <row r="16" hidden="1">
      <c r="A16" s="419" t="s">
        <v>191</v>
      </c>
      <c r="B16" s="420">
        <v>45733.0</v>
      </c>
      <c r="C16" s="421" t="s">
        <v>19</v>
      </c>
      <c r="D16" s="421" t="s">
        <v>93</v>
      </c>
      <c r="E16" s="422" t="s">
        <v>760</v>
      </c>
      <c r="F16" s="423">
        <v>276.0</v>
      </c>
      <c r="G16" s="422">
        <v>276.0</v>
      </c>
      <c r="H16" s="422" t="s">
        <v>812</v>
      </c>
    </row>
    <row r="17" hidden="1">
      <c r="A17" s="419" t="s">
        <v>339</v>
      </c>
      <c r="B17" s="420">
        <v>45733.0</v>
      </c>
      <c r="C17" s="421" t="s">
        <v>19</v>
      </c>
      <c r="D17" s="421" t="s">
        <v>93</v>
      </c>
      <c r="E17" s="422" t="s">
        <v>760</v>
      </c>
      <c r="F17" s="423">
        <v>97.0</v>
      </c>
      <c r="G17" s="423">
        <f>F17-72</f>
        <v>25</v>
      </c>
      <c r="H17" s="422" t="s">
        <v>812</v>
      </c>
    </row>
    <row r="18">
      <c r="A18" s="419" t="s">
        <v>219</v>
      </c>
      <c r="B18" s="420">
        <v>45733.0</v>
      </c>
      <c r="C18" s="421" t="s">
        <v>19</v>
      </c>
      <c r="D18" s="421" t="s">
        <v>172</v>
      </c>
      <c r="E18" s="422" t="s">
        <v>50</v>
      </c>
      <c r="F18" s="423">
        <v>40.0</v>
      </c>
      <c r="G18" s="422">
        <v>40.0</v>
      </c>
      <c r="H18" s="422" t="s">
        <v>810</v>
      </c>
    </row>
  </sheetData>
  <autoFilter ref="$A$1:$H$18">
    <filterColumn colId="7">
      <filters>
        <filter val="EN PRODUCCION OC SODIMAC GENERAR STOCK"/>
        <filter val="OC SODIMAC"/>
      </filters>
    </filterColumn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24" t="s">
        <v>40</v>
      </c>
      <c r="B1" s="425">
        <v>45626.0</v>
      </c>
      <c r="C1" s="416" t="s">
        <v>19</v>
      </c>
      <c r="D1" s="426" t="s">
        <v>41</v>
      </c>
      <c r="E1" s="416" t="s">
        <v>42</v>
      </c>
      <c r="F1" s="416">
        <v>9.0</v>
      </c>
      <c r="G1" s="416" t="s">
        <v>43</v>
      </c>
    </row>
    <row r="2">
      <c r="A2" s="424" t="s">
        <v>52</v>
      </c>
      <c r="B2" s="425">
        <v>45626.0</v>
      </c>
      <c r="C2" s="425" t="s">
        <v>19</v>
      </c>
      <c r="D2" s="426" t="s">
        <v>41</v>
      </c>
      <c r="E2" s="416" t="s">
        <v>42</v>
      </c>
      <c r="F2" s="416">
        <v>12.0</v>
      </c>
      <c r="G2" s="416" t="s">
        <v>43</v>
      </c>
    </row>
    <row r="3">
      <c r="A3" s="424" t="s">
        <v>59</v>
      </c>
      <c r="B3" s="425"/>
      <c r="C3" s="425"/>
      <c r="D3" s="426" t="s">
        <v>815</v>
      </c>
      <c r="E3" s="416"/>
      <c r="F3" s="416"/>
      <c r="G3" s="416"/>
    </row>
    <row r="4">
      <c r="A4" s="424" t="s">
        <v>65</v>
      </c>
      <c r="B4" s="425"/>
      <c r="C4" s="425"/>
      <c r="D4" s="426" t="s">
        <v>815</v>
      </c>
      <c r="E4" s="416"/>
      <c r="F4" s="416"/>
      <c r="G4" s="416"/>
    </row>
    <row r="5">
      <c r="A5" s="424" t="s">
        <v>72</v>
      </c>
      <c r="B5" s="425"/>
      <c r="C5" s="425"/>
      <c r="D5" s="426" t="s">
        <v>815</v>
      </c>
      <c r="E5" s="416"/>
      <c r="F5" s="416"/>
      <c r="G5" s="416"/>
    </row>
    <row r="6">
      <c r="A6" s="424" t="s">
        <v>290</v>
      </c>
      <c r="B6" s="425">
        <v>45626.0</v>
      </c>
      <c r="C6" s="425" t="s">
        <v>19</v>
      </c>
      <c r="D6" s="426" t="s">
        <v>41</v>
      </c>
      <c r="E6" s="416" t="s">
        <v>42</v>
      </c>
      <c r="F6" s="416">
        <v>24.0</v>
      </c>
      <c r="G6" s="416" t="s">
        <v>43</v>
      </c>
    </row>
    <row r="7">
      <c r="A7" s="424" t="s">
        <v>298</v>
      </c>
      <c r="B7" s="425">
        <v>45626.0</v>
      </c>
      <c r="C7" s="425" t="s">
        <v>19</v>
      </c>
      <c r="D7" s="426" t="s">
        <v>41</v>
      </c>
      <c r="E7" s="416" t="s">
        <v>42</v>
      </c>
      <c r="F7" s="416">
        <v>24.0</v>
      </c>
      <c r="G7" s="416" t="s">
        <v>43</v>
      </c>
    </row>
    <row r="8">
      <c r="A8" s="424" t="s">
        <v>303</v>
      </c>
      <c r="B8" s="425">
        <v>45626.0</v>
      </c>
      <c r="C8" s="425" t="s">
        <v>19</v>
      </c>
      <c r="D8" s="426" t="s">
        <v>41</v>
      </c>
      <c r="E8" s="416" t="s">
        <v>42</v>
      </c>
      <c r="F8" s="416">
        <v>14.0</v>
      </c>
      <c r="G8" s="416" t="s">
        <v>43</v>
      </c>
    </row>
    <row r="9">
      <c r="A9" s="424" t="s">
        <v>447</v>
      </c>
      <c r="B9" s="425">
        <v>45626.0</v>
      </c>
      <c r="C9" s="425" t="s">
        <v>19</v>
      </c>
      <c r="D9" s="426" t="s">
        <v>41</v>
      </c>
      <c r="E9" s="416" t="s">
        <v>42</v>
      </c>
      <c r="F9" s="416">
        <v>24.0</v>
      </c>
      <c r="G9" s="416" t="s">
        <v>43</v>
      </c>
    </row>
    <row r="10">
      <c r="A10" s="424" t="s">
        <v>322</v>
      </c>
      <c r="B10" s="425">
        <v>45626.0</v>
      </c>
      <c r="C10" s="425" t="s">
        <v>19</v>
      </c>
      <c r="D10" s="426" t="s">
        <v>41</v>
      </c>
      <c r="E10" s="416" t="s">
        <v>42</v>
      </c>
      <c r="F10" s="416">
        <v>24.0</v>
      </c>
      <c r="G10" s="416" t="s">
        <v>43</v>
      </c>
    </row>
    <row r="11">
      <c r="A11" s="424" t="s">
        <v>327</v>
      </c>
      <c r="B11" s="425">
        <v>45626.0</v>
      </c>
      <c r="C11" s="425" t="s">
        <v>19</v>
      </c>
      <c r="D11" s="426" t="s">
        <v>41</v>
      </c>
      <c r="E11" s="416" t="s">
        <v>42</v>
      </c>
      <c r="F11" s="416">
        <v>24.0</v>
      </c>
      <c r="G11" s="416" t="s">
        <v>43</v>
      </c>
    </row>
    <row r="12">
      <c r="A12" s="424" t="s">
        <v>332</v>
      </c>
      <c r="B12" s="425">
        <v>45626.0</v>
      </c>
      <c r="C12" s="425" t="s">
        <v>19</v>
      </c>
      <c r="D12" s="426" t="s">
        <v>41</v>
      </c>
      <c r="E12" s="416" t="s">
        <v>42</v>
      </c>
      <c r="F12" s="416">
        <v>24.0</v>
      </c>
      <c r="G12" s="416" t="s">
        <v>43</v>
      </c>
    </row>
    <row r="13">
      <c r="A13" s="424" t="s">
        <v>337</v>
      </c>
      <c r="B13" s="425">
        <v>45626.0</v>
      </c>
      <c r="C13" s="425" t="s">
        <v>19</v>
      </c>
      <c r="D13" s="426" t="s">
        <v>41</v>
      </c>
      <c r="E13" s="416" t="s">
        <v>42</v>
      </c>
      <c r="F13" s="416">
        <v>24.0</v>
      </c>
      <c r="G13" s="416" t="s">
        <v>43</v>
      </c>
    </row>
    <row r="14">
      <c r="A14" s="424" t="s">
        <v>340</v>
      </c>
      <c r="B14" s="425">
        <v>45626.0</v>
      </c>
      <c r="C14" s="425" t="s">
        <v>19</v>
      </c>
      <c r="D14" s="426" t="s">
        <v>41</v>
      </c>
      <c r="E14" s="416" t="s">
        <v>42</v>
      </c>
      <c r="F14" s="416">
        <v>24.0</v>
      </c>
      <c r="G14" s="416" t="s">
        <v>43</v>
      </c>
    </row>
    <row r="15">
      <c r="A15" s="424" t="s">
        <v>343</v>
      </c>
      <c r="B15" s="425">
        <v>45626.0</v>
      </c>
      <c r="C15" s="425" t="s">
        <v>19</v>
      </c>
      <c r="D15" s="426" t="s">
        <v>41</v>
      </c>
      <c r="E15" s="416" t="s">
        <v>42</v>
      </c>
      <c r="F15" s="416">
        <v>24.0</v>
      </c>
      <c r="G15" s="416" t="s">
        <v>43</v>
      </c>
    </row>
    <row r="16">
      <c r="A16" s="424" t="s">
        <v>348</v>
      </c>
      <c r="B16" s="425">
        <v>45626.0</v>
      </c>
      <c r="C16" s="425" t="s">
        <v>19</v>
      </c>
      <c r="D16" s="426" t="s">
        <v>41</v>
      </c>
      <c r="E16" s="416" t="s">
        <v>42</v>
      </c>
      <c r="F16" s="416">
        <v>24.0</v>
      </c>
      <c r="G16" s="416" t="s">
        <v>43</v>
      </c>
    </row>
    <row r="17">
      <c r="A17" s="424" t="s">
        <v>457</v>
      </c>
      <c r="B17" s="425">
        <v>45626.0</v>
      </c>
      <c r="C17" s="425" t="s">
        <v>19</v>
      </c>
      <c r="D17" s="426" t="s">
        <v>41</v>
      </c>
      <c r="E17" s="416" t="s">
        <v>42</v>
      </c>
      <c r="F17" s="416">
        <v>24.0</v>
      </c>
      <c r="G17" s="416" t="s">
        <v>43</v>
      </c>
    </row>
    <row r="18">
      <c r="A18" s="424" t="s">
        <v>351</v>
      </c>
      <c r="B18" s="425">
        <v>45626.0</v>
      </c>
      <c r="C18" s="425" t="s">
        <v>19</v>
      </c>
      <c r="D18" s="426" t="s">
        <v>196</v>
      </c>
      <c r="E18" s="416" t="s">
        <v>197</v>
      </c>
      <c r="F18" s="416">
        <v>54.0</v>
      </c>
      <c r="G18" s="416" t="s">
        <v>43</v>
      </c>
    </row>
    <row r="19">
      <c r="A19" s="424" t="s">
        <v>356</v>
      </c>
      <c r="B19" s="425">
        <v>45626.0</v>
      </c>
      <c r="C19" s="425" t="s">
        <v>19</v>
      </c>
      <c r="D19" s="426" t="s">
        <v>196</v>
      </c>
      <c r="E19" s="416" t="s">
        <v>197</v>
      </c>
      <c r="F19" s="416">
        <v>54.0</v>
      </c>
      <c r="G19" s="416" t="s">
        <v>43</v>
      </c>
    </row>
    <row r="20">
      <c r="A20" s="424" t="s">
        <v>359</v>
      </c>
      <c r="B20" s="425">
        <v>45626.0</v>
      </c>
      <c r="C20" s="425" t="s">
        <v>19</v>
      </c>
      <c r="D20" s="426" t="s">
        <v>196</v>
      </c>
      <c r="E20" s="416" t="s">
        <v>197</v>
      </c>
      <c r="F20" s="416">
        <v>54.0</v>
      </c>
      <c r="G20" s="416" t="s">
        <v>43</v>
      </c>
    </row>
    <row r="21">
      <c r="A21" s="424" t="s">
        <v>363</v>
      </c>
      <c r="B21" s="425">
        <v>45626.0</v>
      </c>
      <c r="C21" s="425" t="s">
        <v>19</v>
      </c>
      <c r="D21" s="426" t="s">
        <v>196</v>
      </c>
      <c r="E21" s="416" t="s">
        <v>197</v>
      </c>
      <c r="F21" s="416">
        <v>24.0</v>
      </c>
      <c r="G21" s="416" t="s">
        <v>43</v>
      </c>
    </row>
    <row r="22">
      <c r="A22" s="424" t="s">
        <v>366</v>
      </c>
      <c r="B22" s="425">
        <v>45626.0</v>
      </c>
      <c r="C22" s="425" t="s">
        <v>19</v>
      </c>
      <c r="D22" s="426" t="s">
        <v>196</v>
      </c>
      <c r="E22" s="416" t="s">
        <v>197</v>
      </c>
      <c r="F22" s="416">
        <v>29.0</v>
      </c>
      <c r="G22" s="416" t="s">
        <v>43</v>
      </c>
    </row>
    <row r="23">
      <c r="A23" s="424" t="s">
        <v>369</v>
      </c>
      <c r="B23" s="425"/>
      <c r="C23" s="425"/>
      <c r="D23" s="426" t="s">
        <v>815</v>
      </c>
      <c r="E23" s="416"/>
      <c r="F23" s="416"/>
      <c r="G23" s="416"/>
    </row>
    <row r="24">
      <c r="A24" s="424" t="s">
        <v>373</v>
      </c>
      <c r="B24" s="425"/>
      <c r="C24" s="425"/>
      <c r="D24" s="426" t="s">
        <v>815</v>
      </c>
      <c r="E24" s="416"/>
      <c r="F24" s="416"/>
      <c r="G24" s="416"/>
    </row>
    <row r="25">
      <c r="A25" s="424" t="s">
        <v>461</v>
      </c>
      <c r="B25" s="425"/>
      <c r="C25" s="425"/>
      <c r="D25" s="426" t="s">
        <v>815</v>
      </c>
      <c r="E25" s="416"/>
      <c r="F25" s="416"/>
      <c r="G25" s="416"/>
    </row>
    <row r="26">
      <c r="A26" s="424" t="s">
        <v>376</v>
      </c>
      <c r="B26" s="425">
        <v>45626.0</v>
      </c>
      <c r="C26" s="425" t="s">
        <v>19</v>
      </c>
      <c r="D26" s="426" t="s">
        <v>196</v>
      </c>
      <c r="E26" s="416" t="s">
        <v>197</v>
      </c>
      <c r="F26" s="416">
        <v>63.0</v>
      </c>
      <c r="G26" s="416" t="s">
        <v>43</v>
      </c>
    </row>
    <row r="27">
      <c r="A27" s="424" t="s">
        <v>379</v>
      </c>
      <c r="B27" s="425">
        <v>45626.0</v>
      </c>
      <c r="C27" s="425" t="s">
        <v>19</v>
      </c>
      <c r="D27" s="426" t="s">
        <v>196</v>
      </c>
      <c r="E27" s="416" t="s">
        <v>197</v>
      </c>
      <c r="F27" s="416">
        <v>63.0</v>
      </c>
      <c r="G27" s="416" t="s">
        <v>43</v>
      </c>
    </row>
    <row r="28">
      <c r="A28" s="424" t="s">
        <v>383</v>
      </c>
      <c r="B28" s="425">
        <v>45626.0</v>
      </c>
      <c r="C28" s="425" t="s">
        <v>19</v>
      </c>
      <c r="D28" s="426" t="s">
        <v>196</v>
      </c>
      <c r="E28" s="416" t="s">
        <v>197</v>
      </c>
      <c r="F28" s="416">
        <v>55.0</v>
      </c>
      <c r="G28" s="416" t="s">
        <v>43</v>
      </c>
    </row>
    <row r="29">
      <c r="A29" s="424" t="s">
        <v>386</v>
      </c>
      <c r="B29" s="425"/>
      <c r="C29" s="425"/>
      <c r="D29" s="426" t="s">
        <v>815</v>
      </c>
      <c r="E29" s="416"/>
      <c r="F29" s="416" t="s">
        <v>815</v>
      </c>
      <c r="G29" s="416"/>
    </row>
    <row r="30">
      <c r="A30" s="424" t="s">
        <v>389</v>
      </c>
      <c r="B30" s="425">
        <v>45626.0</v>
      </c>
      <c r="C30" s="425" t="s">
        <v>19</v>
      </c>
      <c r="D30" s="426" t="s">
        <v>196</v>
      </c>
      <c r="E30" s="416" t="s">
        <v>197</v>
      </c>
      <c r="F30" s="416">
        <v>63.0</v>
      </c>
      <c r="G30" s="416" t="s">
        <v>43</v>
      </c>
    </row>
    <row r="31">
      <c r="A31" s="424" t="s">
        <v>392</v>
      </c>
      <c r="B31" s="425">
        <v>45626.0</v>
      </c>
      <c r="C31" s="425" t="s">
        <v>19</v>
      </c>
      <c r="D31" s="426" t="s">
        <v>196</v>
      </c>
      <c r="E31" s="416" t="s">
        <v>197</v>
      </c>
      <c r="F31" s="416">
        <v>63.0</v>
      </c>
      <c r="G31" s="416" t="s">
        <v>43</v>
      </c>
    </row>
    <row r="32">
      <c r="A32" s="424" t="s">
        <v>397</v>
      </c>
      <c r="B32" s="425">
        <v>45626.0</v>
      </c>
      <c r="C32" s="425" t="s">
        <v>19</v>
      </c>
      <c r="D32" s="426" t="s">
        <v>196</v>
      </c>
      <c r="E32" s="416" t="s">
        <v>197</v>
      </c>
      <c r="F32" s="416">
        <v>63.0</v>
      </c>
      <c r="G32" s="416" t="s">
        <v>43</v>
      </c>
    </row>
    <row r="33">
      <c r="A33" s="424" t="s">
        <v>466</v>
      </c>
      <c r="B33" s="425">
        <v>45626.0</v>
      </c>
      <c r="C33" s="425" t="s">
        <v>19</v>
      </c>
      <c r="D33" s="426" t="s">
        <v>196</v>
      </c>
      <c r="E33" s="416" t="s">
        <v>197</v>
      </c>
      <c r="F33" s="416">
        <v>60.0</v>
      </c>
      <c r="G33" s="416" t="s">
        <v>43</v>
      </c>
    </row>
    <row r="34">
      <c r="A34" s="424" t="s">
        <v>400</v>
      </c>
      <c r="B34" s="425">
        <v>45626.0</v>
      </c>
      <c r="C34" s="425" t="s">
        <v>19</v>
      </c>
      <c r="D34" s="426" t="s">
        <v>196</v>
      </c>
      <c r="E34" s="416" t="s">
        <v>197</v>
      </c>
      <c r="F34" s="416">
        <v>63.0</v>
      </c>
      <c r="G34" s="416" t="s">
        <v>43</v>
      </c>
    </row>
    <row r="35">
      <c r="A35" s="424" t="s">
        <v>403</v>
      </c>
      <c r="B35" s="425">
        <v>45626.0</v>
      </c>
      <c r="C35" s="425" t="s">
        <v>19</v>
      </c>
      <c r="D35" s="426" t="s">
        <v>196</v>
      </c>
      <c r="E35" s="416" t="s">
        <v>197</v>
      </c>
      <c r="F35" s="416">
        <v>63.0</v>
      </c>
      <c r="G35" s="416" t="s">
        <v>43</v>
      </c>
    </row>
    <row r="36">
      <c r="A36" s="424" t="s">
        <v>408</v>
      </c>
      <c r="B36" s="425">
        <v>45626.0</v>
      </c>
      <c r="C36" s="425" t="s">
        <v>19</v>
      </c>
      <c r="D36" s="426" t="s">
        <v>196</v>
      </c>
      <c r="E36" s="416" t="s">
        <v>197</v>
      </c>
      <c r="F36" s="416">
        <v>62.0</v>
      </c>
      <c r="G36" s="416" t="s">
        <v>43</v>
      </c>
    </row>
    <row r="37">
      <c r="A37" s="424" t="s">
        <v>412</v>
      </c>
      <c r="B37" s="425">
        <v>45626.0</v>
      </c>
      <c r="C37" s="425" t="s">
        <v>19</v>
      </c>
      <c r="D37" s="426" t="s">
        <v>196</v>
      </c>
      <c r="E37" s="416" t="s">
        <v>197</v>
      </c>
      <c r="F37" s="416">
        <v>53.0</v>
      </c>
      <c r="G37" s="416" t="s">
        <v>43</v>
      </c>
    </row>
    <row r="38">
      <c r="A38" s="424" t="s">
        <v>79</v>
      </c>
      <c r="B38" s="425">
        <v>45626.0</v>
      </c>
      <c r="C38" s="425" t="s">
        <v>19</v>
      </c>
      <c r="D38" s="426" t="s">
        <v>111</v>
      </c>
      <c r="E38" s="416" t="s">
        <v>112</v>
      </c>
      <c r="F38" s="416">
        <v>72.0</v>
      </c>
      <c r="G38" s="416" t="s">
        <v>43</v>
      </c>
    </row>
    <row r="39">
      <c r="A39" s="424" t="s">
        <v>86</v>
      </c>
      <c r="B39" s="425">
        <v>45626.0</v>
      </c>
      <c r="C39" s="425" t="s">
        <v>19</v>
      </c>
      <c r="D39" s="426" t="s">
        <v>111</v>
      </c>
      <c r="E39" s="416" t="s">
        <v>112</v>
      </c>
      <c r="F39" s="416">
        <v>72.0</v>
      </c>
      <c r="G39" s="416" t="s">
        <v>43</v>
      </c>
    </row>
    <row r="40">
      <c r="A40" s="424" t="s">
        <v>95</v>
      </c>
      <c r="B40" s="425">
        <v>45626.0</v>
      </c>
      <c r="C40" s="425" t="s">
        <v>19</v>
      </c>
      <c r="D40" s="426" t="s">
        <v>111</v>
      </c>
      <c r="E40" s="416" t="s">
        <v>112</v>
      </c>
      <c r="F40" s="416">
        <v>72.0</v>
      </c>
      <c r="G40" s="416" t="s">
        <v>43</v>
      </c>
    </row>
    <row r="41">
      <c r="A41" s="424" t="s">
        <v>105</v>
      </c>
      <c r="B41" s="425">
        <v>45626.0</v>
      </c>
      <c r="C41" s="425" t="s">
        <v>19</v>
      </c>
      <c r="D41" s="426" t="s">
        <v>111</v>
      </c>
      <c r="E41" s="416" t="s">
        <v>112</v>
      </c>
      <c r="F41" s="416">
        <v>47.0</v>
      </c>
      <c r="G41" s="416" t="s">
        <v>43</v>
      </c>
    </row>
    <row r="42">
      <c r="A42" s="424" t="s">
        <v>110</v>
      </c>
      <c r="B42" s="425">
        <v>45626.0</v>
      </c>
      <c r="C42" s="425" t="s">
        <v>19</v>
      </c>
      <c r="D42" s="426" t="s">
        <v>111</v>
      </c>
      <c r="E42" s="416" t="s">
        <v>112</v>
      </c>
      <c r="F42" s="416">
        <v>72.0</v>
      </c>
      <c r="G42" s="416" t="s">
        <v>43</v>
      </c>
    </row>
    <row r="43">
      <c r="A43" s="424" t="s">
        <v>120</v>
      </c>
      <c r="B43" s="425">
        <v>45626.0</v>
      </c>
      <c r="C43" s="425" t="s">
        <v>19</v>
      </c>
      <c r="D43" s="426" t="s">
        <v>111</v>
      </c>
      <c r="E43" s="416" t="s">
        <v>112</v>
      </c>
      <c r="F43" s="416">
        <v>72.0</v>
      </c>
      <c r="G43" s="416" t="s">
        <v>43</v>
      </c>
    </row>
    <row r="44">
      <c r="A44" s="424" t="s">
        <v>125</v>
      </c>
      <c r="B44" s="425">
        <v>45626.0</v>
      </c>
      <c r="C44" s="425" t="s">
        <v>19</v>
      </c>
      <c r="D44" s="426" t="s">
        <v>111</v>
      </c>
      <c r="E44" s="416" t="s">
        <v>112</v>
      </c>
      <c r="F44" s="416">
        <v>54.0</v>
      </c>
      <c r="G44" s="416" t="s">
        <v>43</v>
      </c>
    </row>
    <row r="45">
      <c r="A45" s="424" t="s">
        <v>131</v>
      </c>
      <c r="B45" s="425">
        <v>45626.0</v>
      </c>
      <c r="C45" s="425" t="s">
        <v>19</v>
      </c>
      <c r="D45" s="426" t="s">
        <v>111</v>
      </c>
      <c r="E45" s="416" t="s">
        <v>112</v>
      </c>
      <c r="F45" s="416">
        <v>11.0</v>
      </c>
      <c r="G45" s="416" t="s">
        <v>43</v>
      </c>
    </row>
    <row r="46">
      <c r="A46" s="424" t="s">
        <v>139</v>
      </c>
      <c r="B46" s="425">
        <v>45626.0</v>
      </c>
      <c r="C46" s="425" t="s">
        <v>19</v>
      </c>
      <c r="D46" s="426" t="s">
        <v>87</v>
      </c>
      <c r="E46" s="416" t="s">
        <v>88</v>
      </c>
      <c r="F46" s="416">
        <v>72.0</v>
      </c>
      <c r="G46" s="416" t="s">
        <v>43</v>
      </c>
    </row>
    <row r="47">
      <c r="A47" s="424" t="s">
        <v>146</v>
      </c>
      <c r="B47" s="425">
        <v>45626.0</v>
      </c>
      <c r="C47" s="425" t="s">
        <v>19</v>
      </c>
      <c r="D47" s="426" t="s">
        <v>87</v>
      </c>
      <c r="E47" s="416" t="s">
        <v>88</v>
      </c>
      <c r="F47" s="416">
        <v>72.0</v>
      </c>
      <c r="G47" s="416" t="s">
        <v>43</v>
      </c>
    </row>
    <row r="48">
      <c r="A48" s="424" t="s">
        <v>153</v>
      </c>
      <c r="B48" s="425">
        <v>45626.0</v>
      </c>
      <c r="C48" s="425" t="s">
        <v>19</v>
      </c>
      <c r="D48" s="426" t="s">
        <v>87</v>
      </c>
      <c r="E48" s="416" t="s">
        <v>88</v>
      </c>
      <c r="F48" s="416">
        <v>72.0</v>
      </c>
      <c r="G48" s="416" t="s">
        <v>43</v>
      </c>
    </row>
    <row r="49">
      <c r="A49" s="424" t="s">
        <v>159</v>
      </c>
      <c r="B49" s="425">
        <v>45626.0</v>
      </c>
      <c r="C49" s="425" t="s">
        <v>19</v>
      </c>
      <c r="D49" s="426" t="s">
        <v>87</v>
      </c>
      <c r="E49" s="416" t="s">
        <v>88</v>
      </c>
      <c r="F49" s="416">
        <v>72.0</v>
      </c>
      <c r="G49" s="416" t="s">
        <v>43</v>
      </c>
    </row>
    <row r="50">
      <c r="A50" s="424" t="s">
        <v>164</v>
      </c>
      <c r="B50" s="425">
        <v>45626.0</v>
      </c>
      <c r="C50" s="425" t="s">
        <v>19</v>
      </c>
      <c r="D50" s="426" t="s">
        <v>87</v>
      </c>
      <c r="E50" s="416" t="s">
        <v>88</v>
      </c>
      <c r="F50" s="416">
        <v>72.0</v>
      </c>
      <c r="G50" s="416" t="s">
        <v>43</v>
      </c>
    </row>
    <row r="51">
      <c r="A51" s="424" t="s">
        <v>170</v>
      </c>
      <c r="B51" s="425">
        <v>45626.0</v>
      </c>
      <c r="C51" s="425" t="s">
        <v>19</v>
      </c>
      <c r="D51" s="426" t="s">
        <v>87</v>
      </c>
      <c r="E51" s="416" t="s">
        <v>88</v>
      </c>
      <c r="F51" s="416">
        <v>72.0</v>
      </c>
      <c r="G51" s="416" t="s">
        <v>43</v>
      </c>
    </row>
    <row r="52">
      <c r="A52" s="424" t="s">
        <v>174</v>
      </c>
      <c r="B52" s="425">
        <v>45626.0</v>
      </c>
      <c r="C52" s="425" t="s">
        <v>19</v>
      </c>
      <c r="D52" s="426" t="s">
        <v>87</v>
      </c>
      <c r="E52" s="416" t="s">
        <v>88</v>
      </c>
      <c r="F52" s="416">
        <v>72.0</v>
      </c>
      <c r="G52" s="416" t="s">
        <v>43</v>
      </c>
    </row>
    <row r="53">
      <c r="A53" s="424" t="s">
        <v>436</v>
      </c>
      <c r="B53" s="425">
        <v>45626.0</v>
      </c>
      <c r="C53" s="425" t="s">
        <v>19</v>
      </c>
      <c r="D53" s="426" t="s">
        <v>87</v>
      </c>
      <c r="E53" s="416" t="s">
        <v>88</v>
      </c>
      <c r="F53" s="416">
        <v>72.0</v>
      </c>
      <c r="G53" s="416" t="s">
        <v>43</v>
      </c>
    </row>
    <row r="54">
      <c r="A54" s="424" t="s">
        <v>177</v>
      </c>
      <c r="B54" s="425">
        <v>45626.0</v>
      </c>
      <c r="C54" s="425" t="s">
        <v>19</v>
      </c>
      <c r="D54" s="426" t="s">
        <v>87</v>
      </c>
      <c r="E54" s="416" t="s">
        <v>88</v>
      </c>
      <c r="F54" s="416">
        <v>72.0</v>
      </c>
      <c r="G54" s="416" t="s">
        <v>43</v>
      </c>
    </row>
    <row r="55">
      <c r="A55" s="424" t="s">
        <v>186</v>
      </c>
      <c r="B55" s="425">
        <v>45626.0</v>
      </c>
      <c r="C55" s="425" t="s">
        <v>19</v>
      </c>
      <c r="D55" s="426" t="s">
        <v>87</v>
      </c>
      <c r="E55" s="416" t="s">
        <v>88</v>
      </c>
      <c r="F55" s="416">
        <v>72.0</v>
      </c>
      <c r="G55" s="416" t="s">
        <v>43</v>
      </c>
    </row>
    <row r="56">
      <c r="A56" s="424" t="s">
        <v>190</v>
      </c>
      <c r="B56" s="425">
        <v>45626.0</v>
      </c>
      <c r="C56" s="425" t="s">
        <v>19</v>
      </c>
      <c r="D56" s="426" t="s">
        <v>87</v>
      </c>
      <c r="E56" s="416" t="s">
        <v>88</v>
      </c>
      <c r="F56" s="416">
        <v>72.0</v>
      </c>
      <c r="G56" s="416" t="s">
        <v>43</v>
      </c>
    </row>
    <row r="57">
      <c r="A57" s="424" t="s">
        <v>439</v>
      </c>
      <c r="B57" s="425">
        <v>45626.0</v>
      </c>
      <c r="C57" s="425" t="s">
        <v>19</v>
      </c>
      <c r="D57" s="426" t="s">
        <v>87</v>
      </c>
      <c r="E57" s="416" t="s">
        <v>88</v>
      </c>
      <c r="F57" s="416">
        <v>72.0</v>
      </c>
      <c r="G57" s="416" t="s">
        <v>43</v>
      </c>
    </row>
    <row r="58">
      <c r="A58" s="424" t="s">
        <v>195</v>
      </c>
      <c r="B58" s="425"/>
      <c r="C58" s="425"/>
      <c r="D58" s="426" t="s">
        <v>815</v>
      </c>
      <c r="E58" s="416"/>
      <c r="F58" s="416" t="s">
        <v>815</v>
      </c>
      <c r="G58" s="416"/>
    </row>
    <row r="59">
      <c r="A59" s="424" t="s">
        <v>201</v>
      </c>
      <c r="B59" s="425"/>
      <c r="C59" s="425"/>
      <c r="D59" s="426" t="s">
        <v>815</v>
      </c>
      <c r="E59" s="416"/>
      <c r="F59" s="416" t="s">
        <v>815</v>
      </c>
      <c r="G59" s="416"/>
    </row>
    <row r="60">
      <c r="A60" s="424" t="s">
        <v>204</v>
      </c>
      <c r="B60" s="425"/>
      <c r="C60" s="425"/>
      <c r="D60" s="426" t="s">
        <v>815</v>
      </c>
      <c r="E60" s="416"/>
      <c r="F60" s="416"/>
      <c r="G60" s="416"/>
    </row>
    <row r="61">
      <c r="A61" s="424" t="s">
        <v>443</v>
      </c>
      <c r="B61" s="425"/>
      <c r="C61" s="425"/>
      <c r="D61" s="426" t="s">
        <v>815</v>
      </c>
      <c r="E61" s="416"/>
      <c r="F61" s="416"/>
      <c r="G61" s="416"/>
    </row>
    <row r="62">
      <c r="A62" s="424" t="s">
        <v>208</v>
      </c>
      <c r="B62" s="425"/>
      <c r="C62" s="425"/>
      <c r="D62" s="426" t="s">
        <v>815</v>
      </c>
      <c r="E62" s="416"/>
      <c r="F62" s="416"/>
      <c r="G62" s="416"/>
    </row>
    <row r="63">
      <c r="A63" s="424" t="s">
        <v>213</v>
      </c>
      <c r="B63" s="425"/>
      <c r="C63" s="425"/>
      <c r="D63" s="426" t="s">
        <v>815</v>
      </c>
      <c r="E63" s="416"/>
      <c r="F63" s="416" t="s">
        <v>815</v>
      </c>
      <c r="G63" s="416"/>
    </row>
    <row r="64">
      <c r="A64" s="424" t="s">
        <v>218</v>
      </c>
      <c r="B64" s="425"/>
      <c r="C64" s="425"/>
      <c r="D64" s="426" t="s">
        <v>815</v>
      </c>
      <c r="E64" s="416"/>
      <c r="F64" s="416" t="s">
        <v>815</v>
      </c>
      <c r="G64" s="416"/>
    </row>
    <row r="65">
      <c r="A65" s="424" t="s">
        <v>224</v>
      </c>
      <c r="B65" s="425"/>
      <c r="C65" s="425"/>
      <c r="D65" s="426" t="s">
        <v>815</v>
      </c>
      <c r="E65" s="416"/>
      <c r="F65" s="416" t="s">
        <v>815</v>
      </c>
      <c r="G65" s="416"/>
    </row>
    <row r="66">
      <c r="A66" s="424" t="s">
        <v>227</v>
      </c>
      <c r="B66" s="425"/>
      <c r="C66" s="425"/>
      <c r="D66" s="426" t="s">
        <v>815</v>
      </c>
      <c r="E66" s="416"/>
      <c r="F66" s="416" t="s">
        <v>815</v>
      </c>
      <c r="G66" s="416"/>
    </row>
    <row r="67">
      <c r="A67" s="424" t="s">
        <v>231</v>
      </c>
      <c r="B67" s="425"/>
      <c r="C67" s="425"/>
      <c r="D67" s="426" t="s">
        <v>815</v>
      </c>
      <c r="E67" s="416"/>
      <c r="F67" s="416" t="s">
        <v>815</v>
      </c>
      <c r="G67" s="416"/>
    </row>
    <row r="68">
      <c r="A68" s="424" t="s">
        <v>235</v>
      </c>
      <c r="B68" s="425"/>
      <c r="C68" s="425"/>
      <c r="D68" s="426" t="s">
        <v>815</v>
      </c>
      <c r="E68" s="416"/>
      <c r="F68" s="416" t="s">
        <v>815</v>
      </c>
      <c r="G68" s="416"/>
    </row>
    <row r="69">
      <c r="A69" s="424" t="s">
        <v>240</v>
      </c>
      <c r="B69" s="425"/>
      <c r="C69" s="425"/>
      <c r="D69" s="426" t="s">
        <v>815</v>
      </c>
      <c r="E69" s="416"/>
      <c r="F69" s="416" t="s">
        <v>815</v>
      </c>
      <c r="G69" s="416"/>
    </row>
    <row r="70">
      <c r="A70" s="424" t="s">
        <v>248</v>
      </c>
      <c r="B70" s="425"/>
      <c r="C70" s="425"/>
      <c r="D70" s="426" t="s">
        <v>815</v>
      </c>
      <c r="E70" s="416"/>
      <c r="F70" s="416" t="s">
        <v>815</v>
      </c>
      <c r="G70" s="416"/>
    </row>
    <row r="71">
      <c r="A71" s="424" t="s">
        <v>256</v>
      </c>
      <c r="B71" s="425"/>
      <c r="C71" s="425"/>
      <c r="D71" s="426" t="s">
        <v>815</v>
      </c>
      <c r="E71" s="416"/>
      <c r="F71" s="416" t="s">
        <v>815</v>
      </c>
      <c r="G71" s="416"/>
    </row>
    <row r="72">
      <c r="A72" s="424" t="s">
        <v>263</v>
      </c>
      <c r="B72" s="425"/>
      <c r="C72" s="425"/>
      <c r="D72" s="426" t="s">
        <v>815</v>
      </c>
      <c r="E72" s="416"/>
      <c r="F72" s="416"/>
      <c r="G72" s="416"/>
    </row>
    <row r="73">
      <c r="A73" s="424" t="s">
        <v>266</v>
      </c>
      <c r="B73" s="425"/>
      <c r="C73" s="425"/>
      <c r="D73" s="426" t="s">
        <v>815</v>
      </c>
      <c r="E73" s="416"/>
      <c r="F73" s="416" t="s">
        <v>815</v>
      </c>
      <c r="G73" s="416"/>
    </row>
    <row r="74">
      <c r="A74" s="424" t="s">
        <v>816</v>
      </c>
      <c r="B74" s="425">
        <v>45626.0</v>
      </c>
      <c r="C74" s="425" t="s">
        <v>19</v>
      </c>
      <c r="D74" s="426" t="s">
        <v>309</v>
      </c>
      <c r="E74" s="416" t="s">
        <v>310</v>
      </c>
      <c r="F74" s="416">
        <v>71.0</v>
      </c>
      <c r="G74" s="416" t="s">
        <v>43</v>
      </c>
    </row>
    <row r="75">
      <c r="A75" s="424" t="s">
        <v>817</v>
      </c>
      <c r="B75" s="425">
        <v>45626.0</v>
      </c>
      <c r="C75" s="425" t="s">
        <v>19</v>
      </c>
      <c r="D75" s="426" t="s">
        <v>309</v>
      </c>
      <c r="E75" s="416" t="s">
        <v>310</v>
      </c>
      <c r="F75" s="416">
        <v>96.0</v>
      </c>
      <c r="G75" s="416" t="s">
        <v>43</v>
      </c>
    </row>
    <row r="76">
      <c r="A76" s="424" t="s">
        <v>818</v>
      </c>
      <c r="B76" s="425"/>
      <c r="C76" s="425"/>
      <c r="D76" s="426" t="s">
        <v>815</v>
      </c>
      <c r="E76" s="416"/>
      <c r="F76" s="416" t="s">
        <v>815</v>
      </c>
      <c r="G76" s="416"/>
    </row>
    <row r="77">
      <c r="A77" s="424" t="s">
        <v>819</v>
      </c>
      <c r="B77" s="425">
        <v>45626.0</v>
      </c>
      <c r="C77" s="425" t="s">
        <v>19</v>
      </c>
      <c r="D77" s="426" t="s">
        <v>309</v>
      </c>
      <c r="E77" s="416" t="s">
        <v>310</v>
      </c>
      <c r="F77" s="416">
        <v>85.0</v>
      </c>
      <c r="G77" s="416" t="s">
        <v>43</v>
      </c>
    </row>
    <row r="78">
      <c r="A78" s="424" t="s">
        <v>820</v>
      </c>
      <c r="B78" s="425">
        <v>45626.0</v>
      </c>
      <c r="C78" s="425" t="s">
        <v>19</v>
      </c>
      <c r="D78" s="426" t="s">
        <v>309</v>
      </c>
      <c r="E78" s="416" t="s">
        <v>310</v>
      </c>
      <c r="F78" s="416">
        <v>29.0</v>
      </c>
      <c r="G78" s="416" t="s">
        <v>43</v>
      </c>
    </row>
    <row r="79">
      <c r="A79" s="424" t="s">
        <v>821</v>
      </c>
      <c r="B79" s="425">
        <v>45626.0</v>
      </c>
      <c r="C79" s="425" t="s">
        <v>19</v>
      </c>
      <c r="D79" s="426" t="s">
        <v>309</v>
      </c>
      <c r="E79" s="416" t="s">
        <v>310</v>
      </c>
      <c r="F79" s="416">
        <v>117.0</v>
      </c>
      <c r="G79" s="416" t="s">
        <v>43</v>
      </c>
    </row>
    <row r="80">
      <c r="A80" s="424" t="s">
        <v>822</v>
      </c>
      <c r="B80" s="425">
        <v>45626.0</v>
      </c>
      <c r="C80" s="425" t="s">
        <v>19</v>
      </c>
      <c r="D80" s="426" t="s">
        <v>41</v>
      </c>
      <c r="E80" s="416" t="s">
        <v>42</v>
      </c>
      <c r="F80" s="416">
        <v>8.0</v>
      </c>
      <c r="G80" s="416" t="s">
        <v>43</v>
      </c>
    </row>
    <row r="81">
      <c r="A81" s="424" t="s">
        <v>823</v>
      </c>
      <c r="B81" s="425">
        <v>45626.0</v>
      </c>
      <c r="C81" s="425" t="s">
        <v>19</v>
      </c>
      <c r="D81" s="426" t="s">
        <v>301</v>
      </c>
      <c r="E81" s="416" t="s">
        <v>302</v>
      </c>
      <c r="F81" s="416">
        <v>8.0</v>
      </c>
      <c r="G81" s="416" t="s">
        <v>43</v>
      </c>
    </row>
    <row r="82">
      <c r="A82" s="424" t="s">
        <v>824</v>
      </c>
      <c r="B82" s="425">
        <v>45626.0</v>
      </c>
      <c r="C82" s="425" t="s">
        <v>19</v>
      </c>
      <c r="D82" s="426" t="s">
        <v>294</v>
      </c>
      <c r="E82" s="416" t="s">
        <v>295</v>
      </c>
      <c r="F82" s="416">
        <v>40.0</v>
      </c>
      <c r="G82" s="416" t="s">
        <v>43</v>
      </c>
    </row>
    <row r="83">
      <c r="A83" s="424" t="s">
        <v>825</v>
      </c>
      <c r="B83" s="425">
        <v>45626.0</v>
      </c>
      <c r="C83" s="425" t="s">
        <v>19</v>
      </c>
      <c r="D83" s="426" t="s">
        <v>294</v>
      </c>
      <c r="E83" s="416" t="s">
        <v>295</v>
      </c>
      <c r="F83" s="416">
        <v>50.0</v>
      </c>
      <c r="G83" s="416" t="s">
        <v>43</v>
      </c>
    </row>
    <row r="84">
      <c r="A84" s="424" t="s">
        <v>826</v>
      </c>
      <c r="B84" s="425">
        <v>45626.0</v>
      </c>
      <c r="C84" s="425" t="s">
        <v>19</v>
      </c>
      <c r="D84" s="426" t="s">
        <v>294</v>
      </c>
      <c r="E84" s="416" t="s">
        <v>295</v>
      </c>
      <c r="F84" s="416">
        <v>20.0</v>
      </c>
      <c r="G84" s="416" t="s">
        <v>43</v>
      </c>
    </row>
    <row r="85">
      <c r="A85" s="424" t="s">
        <v>827</v>
      </c>
      <c r="B85" s="425">
        <v>45626.0</v>
      </c>
      <c r="C85" s="425" t="s">
        <v>19</v>
      </c>
      <c r="D85" s="426" t="s">
        <v>294</v>
      </c>
      <c r="E85" s="416" t="s">
        <v>295</v>
      </c>
      <c r="F85" s="416">
        <v>50.0</v>
      </c>
      <c r="G85" s="416" t="s">
        <v>43</v>
      </c>
    </row>
    <row r="86">
      <c r="A86" s="424" t="s">
        <v>828</v>
      </c>
      <c r="B86" s="425">
        <v>45626.0</v>
      </c>
      <c r="C86" s="425" t="s">
        <v>19</v>
      </c>
      <c r="D86" s="426" t="s">
        <v>294</v>
      </c>
      <c r="E86" s="416" t="s">
        <v>295</v>
      </c>
      <c r="F86" s="416">
        <v>19.0</v>
      </c>
      <c r="G86" s="416" t="s">
        <v>43</v>
      </c>
    </row>
    <row r="87">
      <c r="A87" s="424" t="s">
        <v>829</v>
      </c>
      <c r="B87" s="425">
        <v>45626.0</v>
      </c>
      <c r="C87" s="425" t="s">
        <v>19</v>
      </c>
      <c r="D87" s="426" t="s">
        <v>294</v>
      </c>
      <c r="E87" s="416" t="s">
        <v>295</v>
      </c>
      <c r="F87" s="416">
        <v>50.0</v>
      </c>
      <c r="G87" s="416" t="s">
        <v>43</v>
      </c>
    </row>
    <row r="88">
      <c r="A88" s="424" t="s">
        <v>830</v>
      </c>
      <c r="B88" s="425"/>
      <c r="C88" s="425"/>
      <c r="D88" s="426" t="s">
        <v>815</v>
      </c>
      <c r="E88" s="416"/>
      <c r="F88" s="416"/>
      <c r="G88" s="416"/>
    </row>
    <row r="89">
      <c r="A89" s="424" t="s">
        <v>831</v>
      </c>
      <c r="B89" s="425"/>
      <c r="C89" s="425"/>
      <c r="D89" s="426" t="s">
        <v>815</v>
      </c>
      <c r="E89" s="416"/>
      <c r="F89" s="416"/>
      <c r="G89" s="416"/>
    </row>
    <row r="90">
      <c r="A90" s="424" t="s">
        <v>832</v>
      </c>
      <c r="B90" s="425"/>
      <c r="C90" s="425"/>
      <c r="D90" s="426" t="s">
        <v>815</v>
      </c>
      <c r="E90" s="416"/>
      <c r="F90" s="416"/>
      <c r="G90" s="416"/>
    </row>
    <row r="91">
      <c r="A91" s="424" t="s">
        <v>833</v>
      </c>
      <c r="B91" s="425"/>
      <c r="C91" s="425"/>
      <c r="D91" s="426" t="s">
        <v>815</v>
      </c>
      <c r="E91" s="416"/>
      <c r="F91" s="416"/>
      <c r="G91" s="416"/>
    </row>
    <row r="92">
      <c r="A92" s="424" t="s">
        <v>834</v>
      </c>
      <c r="B92" s="425"/>
      <c r="C92" s="425"/>
      <c r="D92" s="426" t="s">
        <v>815</v>
      </c>
      <c r="E92" s="416"/>
      <c r="F92" s="416"/>
      <c r="G92" s="416"/>
    </row>
    <row r="93">
      <c r="A93" s="424" t="s">
        <v>835</v>
      </c>
      <c r="B93" s="425"/>
      <c r="C93" s="425"/>
      <c r="D93" s="426" t="s">
        <v>815</v>
      </c>
      <c r="E93" s="416"/>
      <c r="F93" s="416"/>
      <c r="G93" s="416"/>
    </row>
    <row r="94">
      <c r="A94" s="424" t="s">
        <v>409</v>
      </c>
      <c r="B94" s="425">
        <v>45644.0</v>
      </c>
      <c r="C94" s="425">
        <v>568395.0</v>
      </c>
      <c r="D94" s="426" t="s">
        <v>301</v>
      </c>
      <c r="E94" s="416" t="s">
        <v>302</v>
      </c>
      <c r="F94" s="416">
        <v>9.0</v>
      </c>
      <c r="G94" s="416" t="s">
        <v>274</v>
      </c>
    </row>
    <row r="95">
      <c r="A95" s="424" t="s">
        <v>509</v>
      </c>
      <c r="B95" s="425">
        <v>45644.0</v>
      </c>
      <c r="C95" s="425">
        <v>568395.0</v>
      </c>
      <c r="D95" s="426" t="s">
        <v>301</v>
      </c>
      <c r="E95" s="416" t="s">
        <v>302</v>
      </c>
      <c r="F95" s="416">
        <v>9.0</v>
      </c>
      <c r="G95" s="416" t="s">
        <v>274</v>
      </c>
    </row>
    <row r="96">
      <c r="A96" s="424" t="s">
        <v>525</v>
      </c>
      <c r="B96" s="425">
        <v>45644.0</v>
      </c>
      <c r="C96" s="425">
        <v>568395.0</v>
      </c>
      <c r="D96" s="426" t="s">
        <v>301</v>
      </c>
      <c r="E96" s="416" t="s">
        <v>302</v>
      </c>
      <c r="F96" s="416">
        <v>9.0</v>
      </c>
      <c r="G96" s="416" t="s">
        <v>274</v>
      </c>
    </row>
    <row r="97">
      <c r="A97" s="424" t="s">
        <v>519</v>
      </c>
      <c r="B97" s="425">
        <v>45644.0</v>
      </c>
      <c r="C97" s="425">
        <v>568395.0</v>
      </c>
      <c r="D97" s="426" t="s">
        <v>301</v>
      </c>
      <c r="E97" s="416" t="s">
        <v>302</v>
      </c>
      <c r="F97" s="416">
        <v>9.0</v>
      </c>
      <c r="G97" s="416" t="s">
        <v>274</v>
      </c>
    </row>
    <row r="98">
      <c r="A98" s="424" t="s">
        <v>528</v>
      </c>
      <c r="B98" s="425">
        <v>45644.0</v>
      </c>
      <c r="C98" s="425">
        <v>568395.0</v>
      </c>
      <c r="D98" s="426" t="s">
        <v>301</v>
      </c>
      <c r="E98" s="416" t="s">
        <v>302</v>
      </c>
      <c r="F98" s="416">
        <v>9.0</v>
      </c>
      <c r="G98" s="416" t="s">
        <v>274</v>
      </c>
    </row>
    <row r="99">
      <c r="A99" s="424" t="s">
        <v>526</v>
      </c>
      <c r="B99" s="425">
        <v>45644.0</v>
      </c>
      <c r="C99" s="425">
        <v>568395.0</v>
      </c>
      <c r="D99" s="426" t="s">
        <v>301</v>
      </c>
      <c r="E99" s="416" t="s">
        <v>302</v>
      </c>
      <c r="F99" s="416">
        <v>9.0</v>
      </c>
      <c r="G99" s="416" t="s">
        <v>274</v>
      </c>
    </row>
    <row r="100">
      <c r="A100" s="424" t="s">
        <v>531</v>
      </c>
      <c r="B100" s="425">
        <v>45644.0</v>
      </c>
      <c r="C100" s="425">
        <v>568395.0</v>
      </c>
      <c r="D100" s="426" t="s">
        <v>301</v>
      </c>
      <c r="E100" s="416" t="s">
        <v>302</v>
      </c>
      <c r="F100" s="416">
        <v>9.0</v>
      </c>
      <c r="G100" s="416" t="s">
        <v>274</v>
      </c>
    </row>
    <row r="101">
      <c r="A101" s="424" t="s">
        <v>535</v>
      </c>
      <c r="B101" s="425">
        <v>45644.0</v>
      </c>
      <c r="C101" s="425">
        <v>568395.0</v>
      </c>
      <c r="D101" s="426" t="s">
        <v>301</v>
      </c>
      <c r="E101" s="416" t="s">
        <v>302</v>
      </c>
      <c r="F101" s="416">
        <v>10.0</v>
      </c>
      <c r="G101" s="416" t="s">
        <v>274</v>
      </c>
    </row>
    <row r="102">
      <c r="A102" s="424" t="s">
        <v>538</v>
      </c>
      <c r="B102" s="425">
        <v>45644.0</v>
      </c>
      <c r="C102" s="425">
        <v>568395.0</v>
      </c>
      <c r="D102" s="426" t="s">
        <v>301</v>
      </c>
      <c r="E102" s="416" t="s">
        <v>302</v>
      </c>
      <c r="F102" s="416">
        <v>9.0</v>
      </c>
      <c r="G102" s="416" t="s">
        <v>274</v>
      </c>
    </row>
    <row r="103">
      <c r="A103" s="424" t="s">
        <v>413</v>
      </c>
      <c r="B103" s="425">
        <v>45644.0</v>
      </c>
      <c r="C103" s="425">
        <v>568395.0</v>
      </c>
      <c r="D103" s="426" t="s">
        <v>301</v>
      </c>
      <c r="E103" s="416" t="s">
        <v>302</v>
      </c>
      <c r="F103" s="416">
        <v>9.0</v>
      </c>
      <c r="G103" s="416" t="s">
        <v>274</v>
      </c>
    </row>
    <row r="104">
      <c r="A104" s="424" t="s">
        <v>417</v>
      </c>
      <c r="B104" s="425">
        <v>45644.0</v>
      </c>
      <c r="C104" s="425">
        <v>568395.0</v>
      </c>
      <c r="D104" s="426" t="s">
        <v>301</v>
      </c>
      <c r="E104" s="416" t="s">
        <v>302</v>
      </c>
      <c r="F104" s="416">
        <v>9.0</v>
      </c>
      <c r="G104" s="416" t="s">
        <v>274</v>
      </c>
    </row>
    <row r="105">
      <c r="A105" s="424" t="s">
        <v>420</v>
      </c>
      <c r="B105" s="425"/>
      <c r="C105" s="425"/>
      <c r="D105" s="426" t="s">
        <v>815</v>
      </c>
      <c r="E105" s="416"/>
      <c r="F105" s="416"/>
      <c r="G105" s="416"/>
    </row>
    <row r="106">
      <c r="A106" s="424" t="s">
        <v>423</v>
      </c>
      <c r="B106" s="425"/>
      <c r="C106" s="425"/>
      <c r="D106" s="426" t="s">
        <v>815</v>
      </c>
      <c r="E106" s="416"/>
      <c r="F106" s="416"/>
      <c r="G106" s="416"/>
    </row>
    <row r="107">
      <c r="A107" s="424" t="s">
        <v>428</v>
      </c>
      <c r="B107" s="425"/>
      <c r="C107" s="425"/>
      <c r="D107" s="426" t="s">
        <v>815</v>
      </c>
      <c r="E107" s="416"/>
      <c r="F107" s="416"/>
      <c r="G107" s="416"/>
    </row>
    <row r="108">
      <c r="A108" s="424" t="s">
        <v>432</v>
      </c>
      <c r="B108" s="425">
        <v>45646.0</v>
      </c>
      <c r="C108" s="425" t="s">
        <v>836</v>
      </c>
      <c r="D108" s="426" t="s">
        <v>346</v>
      </c>
      <c r="E108" s="416" t="s">
        <v>347</v>
      </c>
      <c r="F108" s="416">
        <v>1.0</v>
      </c>
      <c r="G108" s="416" t="s">
        <v>274</v>
      </c>
    </row>
    <row r="109">
      <c r="A109" s="424" t="s">
        <v>435</v>
      </c>
      <c r="B109" s="425">
        <v>45646.0</v>
      </c>
      <c r="C109" s="425" t="s">
        <v>836</v>
      </c>
      <c r="D109" s="426" t="s">
        <v>96</v>
      </c>
      <c r="E109" s="416" t="s">
        <v>97</v>
      </c>
      <c r="F109" s="416">
        <v>2.0</v>
      </c>
      <c r="G109" s="416" t="s">
        <v>274</v>
      </c>
    </row>
    <row r="110">
      <c r="A110" s="424" t="s">
        <v>438</v>
      </c>
      <c r="B110" s="425">
        <v>45645.0</v>
      </c>
      <c r="C110" s="425" t="s">
        <v>19</v>
      </c>
      <c r="D110" s="426" t="s">
        <v>96</v>
      </c>
      <c r="E110" s="416" t="s">
        <v>97</v>
      </c>
      <c r="F110" s="416">
        <v>8.0</v>
      </c>
      <c r="G110" s="416" t="s">
        <v>274</v>
      </c>
    </row>
    <row r="111">
      <c r="A111" s="424" t="s">
        <v>441</v>
      </c>
      <c r="B111" s="425">
        <v>45645.0</v>
      </c>
      <c r="C111" s="425" t="s">
        <v>19</v>
      </c>
      <c r="D111" s="426" t="s">
        <v>238</v>
      </c>
      <c r="E111" s="416" t="s">
        <v>239</v>
      </c>
      <c r="F111" s="416">
        <v>16.0</v>
      </c>
      <c r="G111" s="416" t="s">
        <v>274</v>
      </c>
    </row>
    <row r="112">
      <c r="A112" s="424" t="s">
        <v>445</v>
      </c>
      <c r="B112" s="425">
        <v>45645.0</v>
      </c>
      <c r="C112" s="425" t="s">
        <v>19</v>
      </c>
      <c r="D112" s="426" t="s">
        <v>346</v>
      </c>
      <c r="E112" s="416" t="s">
        <v>347</v>
      </c>
      <c r="F112" s="416">
        <v>18.0</v>
      </c>
      <c r="G112" s="416" t="s">
        <v>274</v>
      </c>
    </row>
    <row r="113">
      <c r="A113" s="424" t="s">
        <v>449</v>
      </c>
      <c r="B113" s="425">
        <v>45645.0</v>
      </c>
      <c r="C113" s="425" t="s">
        <v>19</v>
      </c>
      <c r="D113" s="426" t="s">
        <v>249</v>
      </c>
      <c r="E113" s="416" t="s">
        <v>250</v>
      </c>
      <c r="F113" s="416">
        <v>96.0</v>
      </c>
      <c r="G113" s="416" t="s">
        <v>274</v>
      </c>
    </row>
    <row r="114">
      <c r="A114" s="424" t="s">
        <v>455</v>
      </c>
      <c r="B114" s="425">
        <v>45646.0</v>
      </c>
      <c r="C114" s="425" t="s">
        <v>19</v>
      </c>
      <c r="D114" s="426" t="s">
        <v>87</v>
      </c>
      <c r="E114" s="416" t="s">
        <v>88</v>
      </c>
      <c r="F114" s="416">
        <v>11.0</v>
      </c>
      <c r="G114" s="416" t="s">
        <v>274</v>
      </c>
    </row>
    <row r="115">
      <c r="A115" s="424" t="s">
        <v>459</v>
      </c>
      <c r="B115" s="425">
        <v>45646.0</v>
      </c>
      <c r="C115" s="425" t="s">
        <v>19</v>
      </c>
      <c r="D115" s="426" t="s">
        <v>272</v>
      </c>
      <c r="E115" s="416" t="s">
        <v>273</v>
      </c>
      <c r="F115" s="416">
        <v>4.0</v>
      </c>
      <c r="G115" s="416" t="s">
        <v>274</v>
      </c>
    </row>
    <row r="116">
      <c r="A116" s="424" t="s">
        <v>464</v>
      </c>
      <c r="B116" s="425"/>
      <c r="C116" s="425"/>
      <c r="D116" s="426" t="s">
        <v>815</v>
      </c>
      <c r="E116" s="416"/>
      <c r="F116" s="416"/>
      <c r="G116" s="416"/>
    </row>
    <row r="117">
      <c r="A117" s="424" t="s">
        <v>469</v>
      </c>
      <c r="B117" s="425"/>
      <c r="C117" s="425"/>
      <c r="D117" s="426" t="s">
        <v>815</v>
      </c>
      <c r="E117" s="416"/>
      <c r="F117" s="416"/>
      <c r="G117" s="416"/>
    </row>
    <row r="118">
      <c r="A118" s="424" t="s">
        <v>513</v>
      </c>
      <c r="B118" s="425"/>
      <c r="C118" s="425"/>
      <c r="D118" s="426" t="s">
        <v>815</v>
      </c>
      <c r="E118" s="416"/>
      <c r="F118" s="416"/>
      <c r="G118" s="416"/>
    </row>
    <row r="119">
      <c r="A119" s="424" t="s">
        <v>518</v>
      </c>
      <c r="B119" s="425">
        <v>45646.0</v>
      </c>
      <c r="C119" s="425" t="s">
        <v>19</v>
      </c>
      <c r="D119" s="426" t="s">
        <v>249</v>
      </c>
      <c r="E119" s="416" t="s">
        <v>250</v>
      </c>
      <c r="F119" s="416">
        <v>2.0</v>
      </c>
      <c r="G119" s="416" t="s">
        <v>274</v>
      </c>
    </row>
    <row r="120">
      <c r="A120" s="424" t="s">
        <v>521</v>
      </c>
      <c r="B120" s="425">
        <v>45646.0</v>
      </c>
      <c r="C120" s="425" t="s">
        <v>836</v>
      </c>
      <c r="D120" s="426" t="s">
        <v>249</v>
      </c>
      <c r="E120" s="416" t="s">
        <v>250</v>
      </c>
      <c r="F120" s="416">
        <v>3.0</v>
      </c>
      <c r="G120" s="416" t="s">
        <v>274</v>
      </c>
    </row>
    <row r="121">
      <c r="A121" s="424" t="s">
        <v>472</v>
      </c>
      <c r="B121" s="425">
        <v>45646.0</v>
      </c>
      <c r="C121" s="425" t="s">
        <v>836</v>
      </c>
      <c r="D121" s="426" t="s">
        <v>87</v>
      </c>
      <c r="E121" s="416" t="s">
        <v>88</v>
      </c>
      <c r="F121" s="416">
        <v>1.0</v>
      </c>
      <c r="G121" s="416" t="s">
        <v>274</v>
      </c>
    </row>
    <row r="122">
      <c r="A122" s="424" t="s">
        <v>475</v>
      </c>
      <c r="B122" s="425">
        <v>45646.0</v>
      </c>
      <c r="C122" s="425" t="s">
        <v>836</v>
      </c>
      <c r="D122" s="426" t="s">
        <v>272</v>
      </c>
      <c r="E122" s="416" t="s">
        <v>273</v>
      </c>
      <c r="F122" s="416">
        <v>4.0</v>
      </c>
      <c r="G122" s="416" t="s">
        <v>274</v>
      </c>
    </row>
    <row r="123">
      <c r="A123" s="424" t="s">
        <v>479</v>
      </c>
      <c r="B123" s="425"/>
      <c r="C123" s="425"/>
      <c r="D123" s="426" t="s">
        <v>815</v>
      </c>
      <c r="E123" s="416"/>
      <c r="F123" s="416"/>
      <c r="G123" s="416"/>
    </row>
    <row r="124">
      <c r="A124" s="424" t="s">
        <v>483</v>
      </c>
      <c r="B124" s="425"/>
      <c r="C124" s="425"/>
      <c r="D124" s="426" t="s">
        <v>815</v>
      </c>
      <c r="E124" s="416"/>
      <c r="F124" s="416"/>
      <c r="G124" s="416"/>
    </row>
    <row r="125">
      <c r="A125" s="424" t="s">
        <v>488</v>
      </c>
      <c r="B125" s="425"/>
      <c r="C125" s="425"/>
      <c r="D125" s="426" t="s">
        <v>815</v>
      </c>
      <c r="E125" s="416"/>
      <c r="F125" s="416"/>
      <c r="G125" s="416"/>
    </row>
    <row r="126">
      <c r="A126" s="424" t="s">
        <v>492</v>
      </c>
      <c r="B126" s="425"/>
      <c r="C126" s="425"/>
      <c r="D126" s="426" t="s">
        <v>815</v>
      </c>
      <c r="E126" s="416"/>
      <c r="F126" s="416"/>
      <c r="G126" s="416"/>
    </row>
    <row r="127">
      <c r="A127" s="424" t="s">
        <v>496</v>
      </c>
      <c r="B127" s="425"/>
      <c r="C127" s="425"/>
      <c r="D127" s="426" t="s">
        <v>815</v>
      </c>
      <c r="E127" s="416"/>
      <c r="F127" s="416"/>
      <c r="G127" s="416"/>
    </row>
    <row r="128">
      <c r="A128" s="424" t="s">
        <v>500</v>
      </c>
      <c r="B128" s="425"/>
      <c r="C128" s="425"/>
      <c r="D128" s="426" t="s">
        <v>815</v>
      </c>
      <c r="E128" s="416"/>
      <c r="F128" s="416"/>
      <c r="G128" s="416"/>
    </row>
    <row r="129">
      <c r="A129" s="424" t="s">
        <v>504</v>
      </c>
      <c r="B129" s="425"/>
      <c r="C129" s="425"/>
      <c r="D129" s="426" t="s">
        <v>815</v>
      </c>
      <c r="E129" s="416"/>
      <c r="F129" s="416"/>
      <c r="G129" s="416"/>
    </row>
    <row r="130">
      <c r="A130" s="424" t="s">
        <v>507</v>
      </c>
      <c r="B130" s="425"/>
      <c r="C130" s="425"/>
      <c r="D130" s="426" t="s">
        <v>815</v>
      </c>
      <c r="E130" s="416"/>
      <c r="F130" s="416"/>
      <c r="G130" s="416"/>
    </row>
    <row r="131">
      <c r="A131" s="424" t="s">
        <v>510</v>
      </c>
      <c r="B131" s="425"/>
      <c r="C131" s="425"/>
      <c r="D131" s="426" t="s">
        <v>815</v>
      </c>
      <c r="E131" s="416"/>
      <c r="F131" s="416"/>
      <c r="G131" s="416"/>
    </row>
    <row r="132">
      <c r="A132" s="424" t="s">
        <v>514</v>
      </c>
      <c r="B132" s="425"/>
      <c r="C132" s="425"/>
      <c r="D132" s="426" t="s">
        <v>815</v>
      </c>
      <c r="E132" s="416"/>
      <c r="F132" s="416"/>
      <c r="G132" s="416"/>
    </row>
    <row r="133">
      <c r="A133" s="424" t="s">
        <v>522</v>
      </c>
      <c r="B133" s="425"/>
      <c r="C133" s="425"/>
      <c r="D133" s="426" t="s">
        <v>815</v>
      </c>
      <c r="E133" s="416"/>
      <c r="F133" s="416"/>
      <c r="G133" s="41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2" width="13.75"/>
    <col customWidth="1" min="4" max="4" width="15.75"/>
    <col customWidth="1" min="5" max="5" width="22.0"/>
    <col customWidth="1" min="6" max="6" width="25.88"/>
  </cols>
  <sheetData>
    <row r="1">
      <c r="A1" s="427" t="s">
        <v>837</v>
      </c>
      <c r="B1" s="428" t="s">
        <v>3</v>
      </c>
      <c r="C1" s="428" t="s">
        <v>6</v>
      </c>
      <c r="D1" s="428" t="s">
        <v>7</v>
      </c>
      <c r="E1" s="428" t="s">
        <v>838</v>
      </c>
      <c r="F1" s="429" t="s">
        <v>839</v>
      </c>
      <c r="H1" s="427" t="s">
        <v>837</v>
      </c>
      <c r="I1" s="428" t="s">
        <v>3</v>
      </c>
      <c r="J1" s="428" t="s">
        <v>6</v>
      </c>
      <c r="K1" s="428" t="s">
        <v>7</v>
      </c>
      <c r="L1" s="428" t="s">
        <v>838</v>
      </c>
      <c r="M1" s="429" t="s">
        <v>839</v>
      </c>
    </row>
  </sheetData>
  <drawing r:id="rId1"/>
  <tableParts count="2">
    <tablePart r:id="rId4"/>
    <tablePart r:id="rId5"/>
  </tableParts>
</worksheet>
</file>