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BARAZO-C" sheetId="1" r:id="rId4"/>
    <sheet state="visible" name="EMBARAZO-G" sheetId="2" r:id="rId5"/>
    <sheet state="visible" name="EMBARAZO-PC" sheetId="3" r:id="rId6"/>
    <sheet state="visible" name="EMBARAZO-SC" sheetId="4" r:id="rId7"/>
  </sheets>
  <definedNames/>
  <calcPr/>
  <extLst>
    <ext uri="GoogleSheetsCustomDataVersion2">
      <go:sheetsCustomData xmlns:go="http://customooxmlschemas.google.com/" r:id="rId8" roundtripDataChecksum="6TJ5lLv9U2N8RfmbqQpyikw0AhmDblyP5RhneBLauHY="/>
    </ext>
  </extLst>
</workbook>
</file>

<file path=xl/sharedStrings.xml><?xml version="1.0" encoding="utf-8"?>
<sst xmlns="http://schemas.openxmlformats.org/spreadsheetml/2006/main" count="76" uniqueCount="12">
  <si>
    <t>G</t>
  </si>
  <si>
    <t>Tipo</t>
  </si>
  <si>
    <t>&lt; 15</t>
  </si>
  <si>
    <t>15-19</t>
  </si>
  <si>
    <t>20-34</t>
  </si>
  <si>
    <t>35-49</t>
  </si>
  <si>
    <t>50+</t>
  </si>
  <si>
    <t>Total</t>
  </si>
  <si>
    <t>&lt; 19</t>
  </si>
  <si>
    <t>Nuevo &lt; 5</t>
  </si>
  <si>
    <t>Nuevo &gt; 5</t>
  </si>
  <si>
    <t>Año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</si>
</sst>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0.0"/>
      <color rgb="FFFFFFFF"/>
      <name val="Calibri"/>
    </font>
    <font>
      <b/>
      <sz val="10.0"/>
      <color theme="0"/>
      <name val="Calibri"/>
    </font>
    <font>
      <color theme="1"/>
      <name val="Calibri"/>
      <scheme val="minor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6">
    <border/>
    <border>
      <left style="thin">
        <color rgb="FF8EAADB"/>
      </left>
      <right/>
      <top/>
      <bottom style="thin">
        <color rgb="FF8EAADB"/>
      </bottom>
    </border>
    <border>
      <left/>
      <right/>
      <top/>
      <bottom style="thin">
        <color rgb="FF8EAADB"/>
      </bottom>
    </border>
    <border>
      <left/>
      <right style="thin">
        <color rgb="FF8EAADB"/>
      </right>
      <top/>
      <bottom style="thin">
        <color rgb="FF8EAADB"/>
      </bottom>
    </border>
    <border>
      <left/>
      <right/>
      <top style="thin">
        <color rgb="FF8EAADB"/>
      </top>
      <bottom style="thin">
        <color rgb="FF8EAADB"/>
      </bottom>
    </border>
    <border>
      <top style="thin">
        <color rgb="FF8EAADB"/>
      </top>
      <bottom style="thin">
        <color rgb="FF8EAADB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readingOrder="0"/>
    </xf>
    <xf borderId="2" fillId="2" fontId="2" numFmtId="49" xfId="0" applyBorder="1" applyFont="1" applyNumberFormat="1"/>
    <xf borderId="2" fillId="2" fontId="1" numFmtId="49" xfId="0" applyAlignment="1" applyBorder="1" applyFont="1" applyNumberFormat="1">
      <alignment readingOrder="0"/>
    </xf>
    <xf borderId="3" fillId="2" fontId="1" numFmtId="49" xfId="0" applyAlignment="1" applyBorder="1" applyFont="1" applyNumberFormat="1">
      <alignment readingOrder="0"/>
    </xf>
    <xf borderId="0" fillId="0" fontId="3" numFmtId="0" xfId="0" applyFont="1"/>
    <xf borderId="0" fillId="0" fontId="3" numFmtId="0" xfId="0" applyFont="1"/>
    <xf borderId="0" fillId="2" fontId="1" numFmtId="0" xfId="0" applyAlignment="1" applyFont="1">
      <alignment readingOrder="0"/>
    </xf>
    <xf borderId="4" fillId="3" fontId="4" numFmtId="0" xfId="0" applyBorder="1" applyFill="1" applyFont="1"/>
    <xf borderId="0" fillId="3" fontId="4" numFmtId="0" xfId="0" applyFont="1"/>
    <xf borderId="5" fillId="0" fontId="4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4">
    <tableStyle count="3" pivot="0" name="EMBARAZO-C-style">
      <tableStyleElement dxfId="1" type="headerRow"/>
      <tableStyleElement dxfId="2" type="firstRowStripe"/>
      <tableStyleElement dxfId="3" type="secondRowStripe"/>
    </tableStyle>
    <tableStyle count="3" pivot="0" name="EMBARAZO-G-style">
      <tableStyleElement dxfId="1" type="headerRow"/>
      <tableStyleElement dxfId="2" type="firstRowStripe"/>
      <tableStyleElement dxfId="3" type="secondRowStripe"/>
    </tableStyle>
    <tableStyle count="3" pivot="0" name="EMBARAZO-PC-style">
      <tableStyleElement dxfId="1" type="headerRow"/>
      <tableStyleElement dxfId="2" type="firstRowStripe"/>
      <tableStyleElement dxfId="3" type="secondRowStripe"/>
    </tableStyle>
    <tableStyle count="3" pivot="0" name="EMBARAZO-SC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1" displayName="Table_1" name="Table_1" id="1">
  <tableColumns count="9">
    <tableColumn name="G" id="1"/>
    <tableColumn name="Tipo" id="2"/>
    <tableColumn name="&lt; 15" id="3"/>
    <tableColumn name="15-19" id="4"/>
    <tableColumn name="20-34" id="5"/>
    <tableColumn name="35-49" id="6"/>
    <tableColumn name="50+" id="7"/>
    <tableColumn name="Total" id="8"/>
    <tableColumn name="&lt; 19" id="9"/>
  </tableColumns>
  <tableStyleInfo name="EMBARAZO-C-style" showColumnStripes="0" showFirstColumn="1" showLastColumn="1" showRowStripes="1"/>
</table>
</file>

<file path=xl/tables/table2.xml><?xml version="1.0" encoding="utf-8"?>
<table xmlns="http://schemas.openxmlformats.org/spreadsheetml/2006/main" ref="A1:I11" displayName="Table_2" name="Table_2" id="2">
  <tableColumns count="9">
    <tableColumn name="Año" id="1"/>
    <tableColumn name="Tipo" id="2"/>
    <tableColumn name="&lt; 15" id="3"/>
    <tableColumn name="15-19" id="4"/>
    <tableColumn name="20-34" id="5"/>
    <tableColumn name="35-49" id="6"/>
    <tableColumn name="50+" id="7"/>
    <tableColumn name="Total" id="8"/>
    <tableColumn name="&lt; 19" id="9"/>
  </tableColumns>
  <tableStyleInfo name="EMBARAZO-G-style" showColumnStripes="0" showFirstColumn="1" showLastColumn="1" showRowStripes="1"/>
</table>
</file>

<file path=xl/tables/table3.xml><?xml version="1.0" encoding="utf-8"?>
<table xmlns="http://schemas.openxmlformats.org/spreadsheetml/2006/main" ref="A1:I11" displayName="Table_3" name="Table_3" id="3">
  <tableColumns count="9">
    <tableColumn name="Año" id="1"/>
    <tableColumn name="Tipo" id="2"/>
    <tableColumn name="&lt; 15" id="3"/>
    <tableColumn name="15-19" id="4"/>
    <tableColumn name="20-34" id="5"/>
    <tableColumn name="35-49" id="6"/>
    <tableColumn name="50+" id="7"/>
    <tableColumn name="Total" id="8"/>
    <tableColumn name="&lt; 19" id="9"/>
  </tableColumns>
  <tableStyleInfo name="EMBARAZO-PC-style" showColumnStripes="0" showFirstColumn="1" showLastColumn="1" showRowStripes="1"/>
</table>
</file>

<file path=xl/tables/table4.xml><?xml version="1.0" encoding="utf-8"?>
<table xmlns="http://schemas.openxmlformats.org/spreadsheetml/2006/main" ref="A1:I11" displayName="Table_4" name="Table_4" id="4">
  <tableColumns count="9">
    <tableColumn name="Año" id="1"/>
    <tableColumn name="Tipo" id="2"/>
    <tableColumn name="&lt; 15" id="3"/>
    <tableColumn name="15-19" id="4"/>
    <tableColumn name="20-34" id="5"/>
    <tableColumn name="35-49" id="6"/>
    <tableColumn name="50+" id="7"/>
    <tableColumn name="Total" id="8"/>
    <tableColumn name="&lt; 19" id="9"/>
  </tableColumns>
  <tableStyleInfo name="EMBARAZO-SC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4" width="10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4" t="s">
        <v>8</v>
      </c>
    </row>
    <row r="2" ht="14.25" customHeight="1">
      <c r="A2" s="5">
        <v>2019.0</v>
      </c>
      <c r="B2" s="5" t="s">
        <v>9</v>
      </c>
      <c r="C2" s="5">
        <v>3.0</v>
      </c>
      <c r="D2" s="5">
        <f>126+8</f>
        <v>134</v>
      </c>
      <c r="E2" s="5">
        <f>493+21</f>
        <v>514</v>
      </c>
      <c r="F2" s="5">
        <f>64+3</f>
        <v>67</v>
      </c>
      <c r="G2" s="5">
        <v>0.0</v>
      </c>
      <c r="H2" s="5">
        <f t="shared" ref="H2:H11" si="1">SUM(C2:G2)</f>
        <v>718</v>
      </c>
      <c r="I2" s="6">
        <f t="shared" ref="I2:I11" si="2">C2+D2</f>
        <v>137</v>
      </c>
    </row>
    <row r="3" ht="14.25" customHeight="1">
      <c r="A3" s="5">
        <v>2019.0</v>
      </c>
      <c r="B3" s="5" t="s">
        <v>10</v>
      </c>
      <c r="C3" s="5">
        <v>2.0</v>
      </c>
      <c r="D3" s="5">
        <f>30+3</f>
        <v>33</v>
      </c>
      <c r="E3" s="5">
        <f>130+15</f>
        <v>145</v>
      </c>
      <c r="F3" s="5">
        <f>19+4</f>
        <v>23</v>
      </c>
      <c r="G3" s="5">
        <v>0.0</v>
      </c>
      <c r="H3" s="5">
        <f t="shared" si="1"/>
        <v>203</v>
      </c>
      <c r="I3" s="6">
        <f t="shared" si="2"/>
        <v>35</v>
      </c>
    </row>
    <row r="4" ht="14.25" customHeight="1">
      <c r="A4" s="5">
        <v>2020.0</v>
      </c>
      <c r="B4" s="5" t="s">
        <v>9</v>
      </c>
      <c r="C4" s="5">
        <v>5.0</v>
      </c>
      <c r="D4" s="5">
        <f>90+4</f>
        <v>94</v>
      </c>
      <c r="E4" s="5">
        <f>302+17</f>
        <v>319</v>
      </c>
      <c r="F4" s="5">
        <f>72+1</f>
        <v>73</v>
      </c>
      <c r="G4" s="5">
        <v>0.0</v>
      </c>
      <c r="H4" s="5">
        <f t="shared" si="1"/>
        <v>491</v>
      </c>
      <c r="I4" s="6">
        <f t="shared" si="2"/>
        <v>99</v>
      </c>
    </row>
    <row r="5" ht="14.25" customHeight="1">
      <c r="A5" s="5">
        <v>2020.0</v>
      </c>
      <c r="B5" s="5" t="s">
        <v>10</v>
      </c>
      <c r="C5" s="5">
        <v>1.0</v>
      </c>
      <c r="D5" s="5">
        <f>32+8</f>
        <v>40</v>
      </c>
      <c r="E5" s="5">
        <f>137+5</f>
        <v>142</v>
      </c>
      <c r="F5" s="5">
        <f>22+1</f>
        <v>23</v>
      </c>
      <c r="G5" s="5">
        <v>0.0</v>
      </c>
      <c r="H5" s="5">
        <f t="shared" si="1"/>
        <v>206</v>
      </c>
      <c r="I5" s="6">
        <f t="shared" si="2"/>
        <v>41</v>
      </c>
    </row>
    <row r="6" ht="14.25" customHeight="1">
      <c r="A6" s="5">
        <v>2021.0</v>
      </c>
      <c r="B6" s="5" t="s">
        <v>9</v>
      </c>
      <c r="C6" s="5">
        <v>2.0</v>
      </c>
      <c r="D6" s="5">
        <f>90+1</f>
        <v>91</v>
      </c>
      <c r="E6" s="5">
        <f>416+14</f>
        <v>430</v>
      </c>
      <c r="F6" s="5">
        <f>68</f>
        <v>68</v>
      </c>
      <c r="G6" s="5">
        <v>0.0</v>
      </c>
      <c r="H6" s="5">
        <f t="shared" si="1"/>
        <v>591</v>
      </c>
      <c r="I6" s="6">
        <f t="shared" si="2"/>
        <v>93</v>
      </c>
    </row>
    <row r="7" ht="14.25" customHeight="1">
      <c r="A7" s="5">
        <v>2021.0</v>
      </c>
      <c r="B7" s="5" t="s">
        <v>10</v>
      </c>
      <c r="C7" s="5">
        <v>1.0</v>
      </c>
      <c r="D7" s="5">
        <f>26+4</f>
        <v>30</v>
      </c>
      <c r="E7" s="5">
        <f>102+9</f>
        <v>111</v>
      </c>
      <c r="F7" s="5">
        <f>17+1</f>
        <v>18</v>
      </c>
      <c r="G7" s="5">
        <v>0.0</v>
      </c>
      <c r="H7" s="5">
        <f t="shared" si="1"/>
        <v>160</v>
      </c>
      <c r="I7" s="6">
        <f t="shared" si="2"/>
        <v>31</v>
      </c>
    </row>
    <row r="8" ht="14.25" customHeight="1">
      <c r="A8" s="5">
        <v>2022.0</v>
      </c>
      <c r="B8" s="5" t="s">
        <v>9</v>
      </c>
      <c r="C8" s="5">
        <v>4.0</v>
      </c>
      <c r="D8" s="5">
        <f>79+3</f>
        <v>82</v>
      </c>
      <c r="E8" s="5">
        <f>456+5</f>
        <v>461</v>
      </c>
      <c r="F8" s="5">
        <v>95.0</v>
      </c>
      <c r="G8" s="5">
        <v>0.0</v>
      </c>
      <c r="H8" s="5">
        <f t="shared" si="1"/>
        <v>642</v>
      </c>
      <c r="I8" s="6">
        <f t="shared" si="2"/>
        <v>86</v>
      </c>
    </row>
    <row r="9" ht="14.25" customHeight="1">
      <c r="A9" s="5">
        <v>2022.0</v>
      </c>
      <c r="B9" s="5" t="s">
        <v>10</v>
      </c>
      <c r="C9" s="5">
        <v>3.0</v>
      </c>
      <c r="D9" s="5">
        <f>25+1</f>
        <v>26</v>
      </c>
      <c r="E9" s="5">
        <f>110+2</f>
        <v>112</v>
      </c>
      <c r="F9" s="5">
        <f>27</f>
        <v>27</v>
      </c>
      <c r="G9" s="5">
        <v>1.0</v>
      </c>
      <c r="H9" s="5">
        <f t="shared" si="1"/>
        <v>169</v>
      </c>
      <c r="I9" s="6">
        <f t="shared" si="2"/>
        <v>29</v>
      </c>
    </row>
    <row r="10" ht="14.25" customHeight="1">
      <c r="A10" s="5">
        <v>2023.0</v>
      </c>
      <c r="B10" s="5" t="s">
        <v>9</v>
      </c>
      <c r="C10" s="5">
        <v>1.0</v>
      </c>
      <c r="D10" s="5">
        <v>63.0</v>
      </c>
      <c r="E10" s="5">
        <f>393+9</f>
        <v>402</v>
      </c>
      <c r="F10" s="5">
        <f>65+1</f>
        <v>66</v>
      </c>
      <c r="G10" s="5">
        <v>0.0</v>
      </c>
      <c r="H10" s="5">
        <f t="shared" si="1"/>
        <v>532</v>
      </c>
      <c r="I10" s="6">
        <f t="shared" si="2"/>
        <v>64</v>
      </c>
    </row>
    <row r="11" ht="14.25" customHeight="1">
      <c r="A11" s="5">
        <v>2023.0</v>
      </c>
      <c r="B11" s="5" t="s">
        <v>10</v>
      </c>
      <c r="C11" s="5">
        <v>0.0</v>
      </c>
      <c r="D11" s="5">
        <f>25+1</f>
        <v>26</v>
      </c>
      <c r="E11" s="5">
        <f>114+4</f>
        <v>118</v>
      </c>
      <c r="F11" s="5">
        <f>29</f>
        <v>29</v>
      </c>
      <c r="G11" s="5">
        <v>1.0</v>
      </c>
      <c r="H11" s="5">
        <f t="shared" si="1"/>
        <v>174</v>
      </c>
      <c r="I11" s="6">
        <f t="shared" si="2"/>
        <v>26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2" t="s">
        <v>11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7" t="s">
        <v>8</v>
      </c>
    </row>
    <row r="2" ht="14.25" customHeight="1">
      <c r="A2" s="8">
        <v>2019.0</v>
      </c>
      <c r="B2" s="8" t="s">
        <v>9</v>
      </c>
      <c r="C2" s="5">
        <v>4.0</v>
      </c>
      <c r="D2" s="5">
        <f>58+2</f>
        <v>60</v>
      </c>
      <c r="E2" s="5">
        <f>103+7</f>
        <v>110</v>
      </c>
      <c r="F2" s="5">
        <v>15.0</v>
      </c>
      <c r="G2" s="5">
        <v>0.0</v>
      </c>
      <c r="H2" s="8">
        <f t="shared" ref="H2:H11" si="1">SUM(C2:G2)</f>
        <v>189</v>
      </c>
      <c r="I2" s="9">
        <f t="shared" ref="I2:I11" si="2">C2+D2</f>
        <v>64</v>
      </c>
    </row>
    <row r="3" ht="14.25" customHeight="1">
      <c r="A3" s="10">
        <v>2019.0</v>
      </c>
      <c r="B3" s="10" t="s">
        <v>10</v>
      </c>
      <c r="C3" s="5">
        <v>0.0</v>
      </c>
      <c r="D3" s="5">
        <f>18+7</f>
        <v>25</v>
      </c>
      <c r="E3" s="5">
        <f>45+5</f>
        <v>50</v>
      </c>
      <c r="F3" s="5">
        <f>4+1</f>
        <v>5</v>
      </c>
      <c r="G3" s="5">
        <v>0.0</v>
      </c>
      <c r="H3" s="10">
        <f t="shared" si="1"/>
        <v>80</v>
      </c>
      <c r="I3" s="9">
        <f t="shared" si="2"/>
        <v>25</v>
      </c>
    </row>
    <row r="4" ht="14.25" customHeight="1">
      <c r="A4" s="10">
        <v>2020.0</v>
      </c>
      <c r="B4" s="10" t="s">
        <v>9</v>
      </c>
      <c r="C4" s="5">
        <f>3+1</f>
        <v>4</v>
      </c>
      <c r="D4" s="5">
        <f>54+3</f>
        <v>57</v>
      </c>
      <c r="E4" s="5">
        <f>113+6</f>
        <v>119</v>
      </c>
      <c r="F4" s="5">
        <f>16</f>
        <v>16</v>
      </c>
      <c r="G4" s="5">
        <v>0.0</v>
      </c>
      <c r="H4" s="10">
        <f t="shared" si="1"/>
        <v>196</v>
      </c>
      <c r="I4" s="9">
        <f t="shared" si="2"/>
        <v>61</v>
      </c>
    </row>
    <row r="5" ht="14.25" customHeight="1">
      <c r="A5" s="8">
        <v>2020.0</v>
      </c>
      <c r="B5" s="8" t="s">
        <v>10</v>
      </c>
      <c r="C5" s="5">
        <v>1.0</v>
      </c>
      <c r="D5" s="5">
        <f>9+2</f>
        <v>11</v>
      </c>
      <c r="E5" s="5">
        <f>45+8</f>
        <v>53</v>
      </c>
      <c r="F5" s="5">
        <f>5</f>
        <v>5</v>
      </c>
      <c r="G5" s="5">
        <v>0.0</v>
      </c>
      <c r="H5" s="8">
        <f t="shared" si="1"/>
        <v>70</v>
      </c>
      <c r="I5" s="9">
        <f t="shared" si="2"/>
        <v>12</v>
      </c>
    </row>
    <row r="6" ht="14.25" customHeight="1">
      <c r="A6" s="8">
        <v>2021.0</v>
      </c>
      <c r="B6" s="8" t="s">
        <v>9</v>
      </c>
      <c r="C6" s="5">
        <v>4.0</v>
      </c>
      <c r="D6" s="5">
        <f>46+3</f>
        <v>49</v>
      </c>
      <c r="E6" s="5">
        <f>123+11</f>
        <v>134</v>
      </c>
      <c r="F6" s="5">
        <f>24+2</f>
        <v>26</v>
      </c>
      <c r="G6" s="5">
        <v>0.0</v>
      </c>
      <c r="H6" s="8">
        <f t="shared" si="1"/>
        <v>213</v>
      </c>
      <c r="I6" s="9">
        <f t="shared" si="2"/>
        <v>53</v>
      </c>
    </row>
    <row r="7" ht="14.25" customHeight="1">
      <c r="A7" s="10">
        <v>2021.0</v>
      </c>
      <c r="B7" s="10" t="s">
        <v>10</v>
      </c>
      <c r="C7" s="5">
        <f>3+1</f>
        <v>4</v>
      </c>
      <c r="D7" s="5">
        <f>18+1</f>
        <v>19</v>
      </c>
      <c r="E7" s="5">
        <f>58+6</f>
        <v>64</v>
      </c>
      <c r="F7" s="5">
        <f>15+2</f>
        <v>17</v>
      </c>
      <c r="G7" s="5">
        <v>0.0</v>
      </c>
      <c r="H7" s="10">
        <f t="shared" si="1"/>
        <v>104</v>
      </c>
      <c r="I7" s="9">
        <f t="shared" si="2"/>
        <v>23</v>
      </c>
    </row>
    <row r="8" ht="14.25" customHeight="1">
      <c r="A8" s="10">
        <v>2022.0</v>
      </c>
      <c r="B8" s="10" t="s">
        <v>9</v>
      </c>
      <c r="C8" s="5">
        <f>6+0</f>
        <v>6</v>
      </c>
      <c r="D8" s="5">
        <f>52+2</f>
        <v>54</v>
      </c>
      <c r="E8" s="5">
        <f>141+5</f>
        <v>146</v>
      </c>
      <c r="F8" s="5">
        <f>27+1</f>
        <v>28</v>
      </c>
      <c r="G8" s="5">
        <v>0.0</v>
      </c>
      <c r="H8" s="10">
        <f t="shared" si="1"/>
        <v>234</v>
      </c>
      <c r="I8" s="9">
        <f t="shared" si="2"/>
        <v>60</v>
      </c>
    </row>
    <row r="9" ht="14.25" customHeight="1">
      <c r="A9" s="8">
        <v>2022.0</v>
      </c>
      <c r="B9" s="8" t="s">
        <v>10</v>
      </c>
      <c r="C9" s="5">
        <v>1.0</v>
      </c>
      <c r="D9" s="5">
        <f>17+1</f>
        <v>18</v>
      </c>
      <c r="E9" s="5">
        <f>54+2</f>
        <v>56</v>
      </c>
      <c r="F9" s="5">
        <f>7+3</f>
        <v>10</v>
      </c>
      <c r="G9" s="5">
        <v>0.0</v>
      </c>
      <c r="H9" s="8">
        <f t="shared" si="1"/>
        <v>85</v>
      </c>
      <c r="I9" s="9">
        <f t="shared" si="2"/>
        <v>19</v>
      </c>
    </row>
    <row r="10" ht="14.25" customHeight="1">
      <c r="A10" s="8">
        <v>2023.0</v>
      </c>
      <c r="B10" s="8" t="s">
        <v>9</v>
      </c>
      <c r="C10" s="5">
        <v>1.0</v>
      </c>
      <c r="D10" s="5">
        <f>54+4</f>
        <v>58</v>
      </c>
      <c r="E10" s="5">
        <f>129+8</f>
        <v>137</v>
      </c>
      <c r="F10" s="5">
        <v>21.0</v>
      </c>
      <c r="G10" s="5">
        <v>0.0</v>
      </c>
      <c r="H10" s="8">
        <f t="shared" si="1"/>
        <v>217</v>
      </c>
      <c r="I10" s="9">
        <f t="shared" si="2"/>
        <v>59</v>
      </c>
    </row>
    <row r="11" ht="14.25" customHeight="1">
      <c r="A11" s="10">
        <v>2023.0</v>
      </c>
      <c r="B11" s="10" t="s">
        <v>10</v>
      </c>
      <c r="C11" s="5">
        <f>1+0</f>
        <v>1</v>
      </c>
      <c r="D11" s="5">
        <f>19+1</f>
        <v>20</v>
      </c>
      <c r="E11" s="5">
        <f>46+5</f>
        <v>51</v>
      </c>
      <c r="F11" s="5">
        <f>9+1</f>
        <v>10</v>
      </c>
      <c r="G11" s="5">
        <v>0.0</v>
      </c>
      <c r="H11" s="10">
        <f t="shared" si="1"/>
        <v>82</v>
      </c>
      <c r="I11" s="9">
        <f t="shared" si="2"/>
        <v>21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2" t="s">
        <v>11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7" t="s">
        <v>8</v>
      </c>
    </row>
    <row r="2" ht="14.25" customHeight="1">
      <c r="A2" s="8">
        <v>2019.0</v>
      </c>
      <c r="B2" s="8" t="s">
        <v>9</v>
      </c>
      <c r="C2" s="5">
        <f>25+3</f>
        <v>28</v>
      </c>
      <c r="D2" s="5">
        <f>476+27</f>
        <v>503</v>
      </c>
      <c r="E2" s="5">
        <f>1337+59</f>
        <v>1396</v>
      </c>
      <c r="F2" s="5">
        <f>229+14</f>
        <v>243</v>
      </c>
      <c r="G2" s="5">
        <v>0.0</v>
      </c>
      <c r="H2" s="8">
        <f t="shared" ref="H2:H11" si="1">SUM(C2:G2)</f>
        <v>2170</v>
      </c>
      <c r="I2" s="9">
        <f t="shared" ref="I2:I11" si="2">C2+D2</f>
        <v>531</v>
      </c>
    </row>
    <row r="3" ht="14.25" customHeight="1">
      <c r="A3" s="10">
        <v>2019.0</v>
      </c>
      <c r="B3" s="10" t="s">
        <v>10</v>
      </c>
      <c r="C3" s="5">
        <v>7.0</v>
      </c>
      <c r="D3" s="5">
        <f>149+22</f>
        <v>171</v>
      </c>
      <c r="E3" s="5">
        <f>492+45</f>
        <v>537</v>
      </c>
      <c r="F3" s="5">
        <f>92+11</f>
        <v>103</v>
      </c>
      <c r="G3" s="5">
        <v>1.0</v>
      </c>
      <c r="H3" s="10">
        <f t="shared" si="1"/>
        <v>819</v>
      </c>
      <c r="I3" s="9">
        <f t="shared" si="2"/>
        <v>178</v>
      </c>
    </row>
    <row r="4" ht="14.25" customHeight="1">
      <c r="A4" s="10">
        <v>2020.0</v>
      </c>
      <c r="B4" s="10" t="s">
        <v>9</v>
      </c>
      <c r="C4" s="5">
        <f>25+2</f>
        <v>27</v>
      </c>
      <c r="D4" s="5">
        <f>378+17</f>
        <v>395</v>
      </c>
      <c r="E4" s="5">
        <f>1066+63</f>
        <v>1129</v>
      </c>
      <c r="F4" s="5">
        <f>192+5</f>
        <v>197</v>
      </c>
      <c r="G4" s="5">
        <v>0.0</v>
      </c>
      <c r="H4" s="10">
        <f t="shared" si="1"/>
        <v>1748</v>
      </c>
      <c r="I4" s="9">
        <f t="shared" si="2"/>
        <v>422</v>
      </c>
    </row>
    <row r="5" ht="14.25" customHeight="1">
      <c r="A5" s="8">
        <v>2020.0</v>
      </c>
      <c r="B5" s="8" t="s">
        <v>10</v>
      </c>
      <c r="C5" s="5">
        <f>4+1</f>
        <v>5</v>
      </c>
      <c r="D5" s="5">
        <f>132+14</f>
        <v>146</v>
      </c>
      <c r="E5" s="5">
        <f>502+41</f>
        <v>543</v>
      </c>
      <c r="F5" s="5">
        <f>92+5</f>
        <v>97</v>
      </c>
      <c r="G5" s="5">
        <f>1+0</f>
        <v>1</v>
      </c>
      <c r="H5" s="8">
        <f t="shared" si="1"/>
        <v>792</v>
      </c>
      <c r="I5" s="9">
        <f t="shared" si="2"/>
        <v>151</v>
      </c>
    </row>
    <row r="6" ht="14.25" customHeight="1">
      <c r="A6" s="8">
        <v>2021.0</v>
      </c>
      <c r="B6" s="8" t="s">
        <v>9</v>
      </c>
      <c r="C6" s="5">
        <v>25.0</v>
      </c>
      <c r="D6" s="5">
        <f>342+24</f>
        <v>366</v>
      </c>
      <c r="E6" s="5">
        <f>1148+67</f>
        <v>1215</v>
      </c>
      <c r="F6" s="5">
        <f>188+9</f>
        <v>197</v>
      </c>
      <c r="G6" s="5">
        <v>0.0</v>
      </c>
      <c r="H6" s="8">
        <f t="shared" si="1"/>
        <v>1803</v>
      </c>
      <c r="I6" s="9">
        <f t="shared" si="2"/>
        <v>391</v>
      </c>
    </row>
    <row r="7" ht="14.25" customHeight="1">
      <c r="A7" s="10">
        <v>2021.0</v>
      </c>
      <c r="B7" s="10" t="s">
        <v>10</v>
      </c>
      <c r="C7" s="5">
        <f>10+3</f>
        <v>13</v>
      </c>
      <c r="D7" s="5">
        <f>107+19</f>
        <v>126</v>
      </c>
      <c r="E7" s="5">
        <f>431+36</f>
        <v>467</v>
      </c>
      <c r="F7" s="5">
        <f>74+8</f>
        <v>82</v>
      </c>
      <c r="G7" s="5">
        <v>0.0</v>
      </c>
      <c r="H7" s="10">
        <f t="shared" si="1"/>
        <v>688</v>
      </c>
      <c r="I7" s="9">
        <f t="shared" si="2"/>
        <v>139</v>
      </c>
    </row>
    <row r="8" ht="14.25" customHeight="1">
      <c r="A8" s="10">
        <v>2022.0</v>
      </c>
      <c r="B8" s="10" t="s">
        <v>9</v>
      </c>
      <c r="C8" s="5">
        <f>24+3</f>
        <v>27</v>
      </c>
      <c r="D8" s="5">
        <f>317+13</f>
        <v>330</v>
      </c>
      <c r="E8" s="5">
        <f>1220+65</f>
        <v>1285</v>
      </c>
      <c r="F8" s="5">
        <f>219+6</f>
        <v>225</v>
      </c>
      <c r="G8" s="5">
        <v>0.0</v>
      </c>
      <c r="H8" s="10">
        <f t="shared" si="1"/>
        <v>1867</v>
      </c>
      <c r="I8" s="9">
        <f t="shared" si="2"/>
        <v>357</v>
      </c>
    </row>
    <row r="9" ht="14.25" customHeight="1">
      <c r="A9" s="8">
        <v>2022.0</v>
      </c>
      <c r="B9" s="8" t="s">
        <v>10</v>
      </c>
      <c r="C9" s="5">
        <f>8+1</f>
        <v>9</v>
      </c>
      <c r="D9" s="5">
        <f>104+9</f>
        <v>113</v>
      </c>
      <c r="E9" s="5">
        <f>429+35</f>
        <v>464</v>
      </c>
      <c r="F9" s="5">
        <f>93+4</f>
        <v>97</v>
      </c>
      <c r="G9" s="5">
        <f>1+0</f>
        <v>1</v>
      </c>
      <c r="H9" s="8">
        <f t="shared" si="1"/>
        <v>684</v>
      </c>
      <c r="I9" s="9">
        <f t="shared" si="2"/>
        <v>122</v>
      </c>
    </row>
    <row r="10" ht="14.25" customHeight="1">
      <c r="A10" s="8">
        <v>2023.0</v>
      </c>
      <c r="B10" s="8" t="s">
        <v>9</v>
      </c>
      <c r="C10" s="5">
        <f>15+2</f>
        <v>17</v>
      </c>
      <c r="D10" s="5">
        <f>299+14</f>
        <v>313</v>
      </c>
      <c r="E10" s="5">
        <f>1157+48</f>
        <v>1205</v>
      </c>
      <c r="F10" s="5">
        <f>185+8</f>
        <v>193</v>
      </c>
      <c r="G10" s="5">
        <f>0</f>
        <v>0</v>
      </c>
      <c r="H10" s="8">
        <f t="shared" si="1"/>
        <v>1728</v>
      </c>
      <c r="I10" s="9">
        <f t="shared" si="2"/>
        <v>330</v>
      </c>
    </row>
    <row r="11" ht="14.25" customHeight="1">
      <c r="A11" s="10">
        <v>2023.0</v>
      </c>
      <c r="B11" s="10" t="s">
        <v>10</v>
      </c>
      <c r="C11" s="5">
        <f>3+0</f>
        <v>3</v>
      </c>
      <c r="D11" s="5">
        <f>127+17</f>
        <v>144</v>
      </c>
      <c r="E11" s="5">
        <f>429+39</f>
        <v>468</v>
      </c>
      <c r="F11" s="5">
        <f>91+4</f>
        <v>95</v>
      </c>
      <c r="G11" s="5">
        <f>1+0</f>
        <v>1</v>
      </c>
      <c r="H11" s="10">
        <f t="shared" si="1"/>
        <v>711</v>
      </c>
      <c r="I11" s="9">
        <f t="shared" si="2"/>
        <v>147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2" t="s">
        <v>11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7" t="s">
        <v>8</v>
      </c>
    </row>
    <row r="2" ht="14.25" customHeight="1">
      <c r="A2" s="8">
        <v>2019.0</v>
      </c>
      <c r="B2" s="8" t="s">
        <v>9</v>
      </c>
      <c r="C2" s="5">
        <f>792+49</f>
        <v>841</v>
      </c>
      <c r="D2" s="5">
        <f>9876+440</f>
        <v>10316</v>
      </c>
      <c r="E2" s="5">
        <f>37192+1585</f>
        <v>38777</v>
      </c>
      <c r="F2" s="5">
        <f>6432+401</f>
        <v>6833</v>
      </c>
      <c r="G2" s="5">
        <f>29+4</f>
        <v>33</v>
      </c>
      <c r="H2" s="8">
        <f t="shared" ref="H2:H11" si="1">SUM(C2:G2)</f>
        <v>56800</v>
      </c>
      <c r="I2" s="9">
        <f t="shared" ref="I2:I11" si="2">C2+D2</f>
        <v>11157</v>
      </c>
    </row>
    <row r="3" ht="14.25" customHeight="1">
      <c r="A3" s="10">
        <v>2019.0</v>
      </c>
      <c r="B3" s="10" t="s">
        <v>10</v>
      </c>
      <c r="C3" s="5">
        <f>345+70</f>
        <v>415</v>
      </c>
      <c r="D3" s="5">
        <f>5257+496</f>
        <v>5753</v>
      </c>
      <c r="E3" s="5">
        <f>20976+1857</f>
        <v>22833</v>
      </c>
      <c r="F3" s="5">
        <f>3666+459</f>
        <v>4125</v>
      </c>
      <c r="G3" s="5">
        <f>35+2</f>
        <v>37</v>
      </c>
      <c r="H3" s="10">
        <f t="shared" si="1"/>
        <v>33163</v>
      </c>
      <c r="I3" s="9">
        <f t="shared" si="2"/>
        <v>6168</v>
      </c>
    </row>
    <row r="4" ht="14.25" customHeight="1">
      <c r="A4" s="10">
        <v>2020.0</v>
      </c>
      <c r="B4" s="10" t="s">
        <v>9</v>
      </c>
      <c r="C4" s="5">
        <f>542+37</f>
        <v>579</v>
      </c>
      <c r="D4" s="5">
        <f>7617+390</f>
        <v>8007</v>
      </c>
      <c r="E4" s="5">
        <f>29579+1214</f>
        <v>30793</v>
      </c>
      <c r="F4" s="5">
        <f>5435+328</f>
        <v>5763</v>
      </c>
      <c r="G4" s="5">
        <f>30+2</f>
        <v>32</v>
      </c>
      <c r="H4" s="10">
        <f t="shared" si="1"/>
        <v>45174</v>
      </c>
      <c r="I4" s="9">
        <f t="shared" si="2"/>
        <v>8586</v>
      </c>
    </row>
    <row r="5" ht="14.25" customHeight="1">
      <c r="A5" s="8">
        <v>2020.0</v>
      </c>
      <c r="B5" s="8" t="s">
        <v>10</v>
      </c>
      <c r="C5" s="5">
        <f>270+41</f>
        <v>311</v>
      </c>
      <c r="D5" s="5">
        <f>4492+413</f>
        <v>4905</v>
      </c>
      <c r="E5" s="5">
        <f>18304+1961</f>
        <v>20265</v>
      </c>
      <c r="F5" s="5">
        <f>3679+433</f>
        <v>4112</v>
      </c>
      <c r="G5" s="5">
        <f>30+0</f>
        <v>30</v>
      </c>
      <c r="H5" s="8">
        <f t="shared" si="1"/>
        <v>29623</v>
      </c>
      <c r="I5" s="9">
        <f t="shared" si="2"/>
        <v>5216</v>
      </c>
    </row>
    <row r="6" ht="14.25" customHeight="1">
      <c r="A6" s="8">
        <v>2021.0</v>
      </c>
      <c r="B6" s="8" t="s">
        <v>9</v>
      </c>
      <c r="C6" s="5">
        <f>552+43</f>
        <v>595</v>
      </c>
      <c r="D6" s="5">
        <f>8199+600</f>
        <v>8799</v>
      </c>
      <c r="E6" s="5">
        <f>35290+1418</f>
        <v>36708</v>
      </c>
      <c r="F6" s="5">
        <f>6770+621</f>
        <v>7391</v>
      </c>
      <c r="G6" s="5">
        <f>38+1</f>
        <v>39</v>
      </c>
      <c r="H6" s="8">
        <f t="shared" si="1"/>
        <v>53532</v>
      </c>
      <c r="I6" s="9">
        <f t="shared" si="2"/>
        <v>9394</v>
      </c>
    </row>
    <row r="7" ht="14.25" customHeight="1">
      <c r="A7" s="10">
        <v>2021.0</v>
      </c>
      <c r="B7" s="10" t="s">
        <v>10</v>
      </c>
      <c r="C7" s="5">
        <f>312+70</f>
        <v>382</v>
      </c>
      <c r="D7" s="5">
        <f>4781+626</f>
        <v>5407</v>
      </c>
      <c r="E7" s="5">
        <f>17996+1335</f>
        <v>19331</v>
      </c>
      <c r="F7" s="5">
        <f>3921+770</f>
        <v>4691</v>
      </c>
      <c r="G7" s="5">
        <f>18+1</f>
        <v>19</v>
      </c>
      <c r="H7" s="10">
        <f t="shared" si="1"/>
        <v>29830</v>
      </c>
      <c r="I7" s="9">
        <f t="shared" si="2"/>
        <v>5789</v>
      </c>
    </row>
    <row r="8" ht="14.25" customHeight="1">
      <c r="A8" s="10">
        <v>2022.0</v>
      </c>
      <c r="B8" s="10" t="s">
        <v>9</v>
      </c>
      <c r="C8" s="5">
        <f>525+35</f>
        <v>560</v>
      </c>
      <c r="D8" s="5">
        <f>7167+468</f>
        <v>7635</v>
      </c>
      <c r="E8" s="5">
        <f>33818+1318</f>
        <v>35136</v>
      </c>
      <c r="F8" s="5">
        <f>6907+579</f>
        <v>7486</v>
      </c>
      <c r="G8" s="5">
        <f>64+20</f>
        <v>84</v>
      </c>
      <c r="H8" s="10">
        <f t="shared" si="1"/>
        <v>50901</v>
      </c>
      <c r="I8" s="9">
        <f t="shared" si="2"/>
        <v>8195</v>
      </c>
    </row>
    <row r="9" ht="14.25" customHeight="1">
      <c r="A9" s="8">
        <v>2022.0</v>
      </c>
      <c r="B9" s="8" t="s">
        <v>10</v>
      </c>
      <c r="C9" s="5">
        <f>313+33</f>
        <v>346</v>
      </c>
      <c r="D9" s="5">
        <f>4038+602</f>
        <v>4640</v>
      </c>
      <c r="E9" s="5">
        <f>17249+1215</f>
        <v>18464</v>
      </c>
      <c r="F9" s="5">
        <f>4032+808</f>
        <v>4840</v>
      </c>
      <c r="G9" s="5">
        <f>4+2</f>
        <v>6</v>
      </c>
      <c r="H9" s="8">
        <f t="shared" si="1"/>
        <v>28296</v>
      </c>
      <c r="I9" s="9">
        <f t="shared" si="2"/>
        <v>4986</v>
      </c>
    </row>
    <row r="10" ht="14.25" customHeight="1">
      <c r="A10" s="8">
        <v>2023.0</v>
      </c>
      <c r="B10" s="8" t="s">
        <v>9</v>
      </c>
      <c r="C10" s="5">
        <f>605+36</f>
        <v>641</v>
      </c>
      <c r="D10" s="5">
        <f>6558+621</f>
        <v>7179</v>
      </c>
      <c r="E10" s="5">
        <f>31801+1167</f>
        <v>32968</v>
      </c>
      <c r="F10" s="5">
        <f>6813+673</f>
        <v>7486</v>
      </c>
      <c r="G10" s="5">
        <f>76+10</f>
        <v>86</v>
      </c>
      <c r="H10" s="8">
        <f t="shared" si="1"/>
        <v>48360</v>
      </c>
      <c r="I10" s="9">
        <f t="shared" si="2"/>
        <v>7820</v>
      </c>
    </row>
    <row r="11" ht="14.25" customHeight="1">
      <c r="A11" s="10">
        <v>2023.0</v>
      </c>
      <c r="B11" s="10" t="s">
        <v>10</v>
      </c>
      <c r="C11" s="5">
        <f>367+116</f>
        <v>483</v>
      </c>
      <c r="D11" s="5">
        <f>3591+636</f>
        <v>4227</v>
      </c>
      <c r="E11" s="5">
        <f>16565+1213</f>
        <v>17778</v>
      </c>
      <c r="F11" s="5">
        <f>4353+743</f>
        <v>5096</v>
      </c>
      <c r="G11" s="5">
        <f>39+26</f>
        <v>65</v>
      </c>
      <c r="H11" s="10">
        <f t="shared" si="1"/>
        <v>27649</v>
      </c>
      <c r="I11" s="9">
        <f t="shared" si="2"/>
        <v>4710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2024-06-20T00:17:44Z</dcterms:created>
  <dc:creator>Noemi Guarachi</dc:creator>
</cp:coreProperties>
</file>