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git\warehouse\templates\"/>
    </mc:Choice>
  </mc:AlternateContent>
  <xr:revisionPtr revIDLastSave="0" documentId="13_ncr:1_{A2A27F14-5D0D-40EB-926F-CD3A2C0F72D0}" xr6:coauthVersionLast="47" xr6:coauthVersionMax="47" xr10:uidLastSave="{00000000-0000-0000-0000-000000000000}"/>
  <bookViews>
    <workbookView xWindow="-120" yWindow="-120" windowWidth="34080" windowHeight="22200" tabRatio="500" activeTab="3" xr2:uid="{00000000-000D-0000-FFFF-FFFF00000000}"/>
  </bookViews>
  <sheets>
    <sheet name="Assay" sheetId="1" r:id="rId1"/>
    <sheet name="Library" sheetId="2" r:id="rId2"/>
    <sheet name="reference" sheetId="4" r:id="rId3"/>
    <sheet name="Instructions" sheetId="3" r:id="rId4"/>
    <sheet name="expt_metadata" sheetId="5" r:id="rId5"/>
    <sheet name="rxn_metadata" sheetId="6" r:id="rId6"/>
  </sheets>
  <definedNames>
    <definedName name="adaptlig_dna_maxvol">reference!$B$4</definedName>
    <definedName name="adaptlig_rxn_vol">Assay!$F$43</definedName>
    <definedName name="adaptlig_targetmass">Assay!$B$43</definedName>
    <definedName name="DNAconc_library">Assay!$G$57</definedName>
    <definedName name="DNAconc_pooled">Assay!$D$40</definedName>
    <definedName name="endrepair_maxvol">reference!$B$3</definedName>
    <definedName name="endrepair_targetmass">Assay!$F$17</definedName>
    <definedName name="exp_date">Assay!$C$2</definedName>
    <definedName name="exp_id">Assay!$C$5</definedName>
    <definedName name="exp_notes">Assay!$C$13</definedName>
    <definedName name="exp_rxns">Assay!$C$12</definedName>
    <definedName name="exp_summary">Assay!$C$9</definedName>
    <definedName name="exp_type">reference!$B$10</definedName>
    <definedName name="exp_user">Assay!$C$3</definedName>
    <definedName name="exp_version">reference!$B$11</definedName>
    <definedName name="flowcell_checkpores">Assay!$C$73</definedName>
    <definedName name="flowcell_chemisty">Assay!$C$72</definedName>
    <definedName name="flowcell_id">Assay!$C$69</definedName>
    <definedName name="flowcell_maxvol">reference!$B$5</definedName>
    <definedName name="flowcell_runduration">Assay!$C$74</definedName>
    <definedName name="flowcell_status">Assay!$C$70</definedName>
    <definedName name="flowcell_targetmass">Assay!$B$60</definedName>
    <definedName name="flowcell_usage_hrs">Assay!$C$71</definedName>
    <definedName name="library_washbuffer">Assay!$P$45</definedName>
    <definedName name="missing_qc_resolution">reference!$B$7</definedName>
    <definedName name="seq_platform">Assay!$C$68</definedName>
    <definedName name="vol_calc">reference!$B$6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43" i="1" l="1"/>
  <c r="B35" i="1"/>
  <c r="D35" i="1" s="1"/>
  <c r="L7" i="2" l="1"/>
  <c r="AB7" i="2" s="1"/>
  <c r="L9" i="2"/>
  <c r="Y9" i="2" s="1"/>
  <c r="L10" i="2"/>
  <c r="L14" i="2"/>
  <c r="AB14" i="2" s="1"/>
  <c r="L15" i="2"/>
  <c r="T15" i="2" s="1"/>
  <c r="L16" i="2"/>
  <c r="S16" i="2" s="1"/>
  <c r="X16" i="2" s="1"/>
  <c r="L17" i="2"/>
  <c r="Y17" i="2" s="1"/>
  <c r="L18" i="2"/>
  <c r="Y18" i="2" s="1"/>
  <c r="L19" i="2"/>
  <c r="AB19" i="2" s="1"/>
  <c r="L20" i="2"/>
  <c r="AB20" i="2" s="1"/>
  <c r="L21" i="2"/>
  <c r="AD21" i="2" s="1"/>
  <c r="L22" i="2"/>
  <c r="L23" i="2"/>
  <c r="AB23" i="2" s="1"/>
  <c r="L24" i="2"/>
  <c r="T24" i="2" s="1"/>
  <c r="L25" i="2"/>
  <c r="L26" i="2"/>
  <c r="Y26" i="2" s="1"/>
  <c r="L27" i="2"/>
  <c r="Y27" i="2" s="1"/>
  <c r="L28" i="2"/>
  <c r="L29" i="2"/>
  <c r="Y29" i="2" s="1"/>
  <c r="L30" i="2"/>
  <c r="AD30" i="2" s="1"/>
  <c r="L31" i="2"/>
  <c r="L32" i="2"/>
  <c r="AB32" i="2" s="1"/>
  <c r="L33" i="2"/>
  <c r="T33" i="2" s="1"/>
  <c r="L34" i="2"/>
  <c r="L35" i="2"/>
  <c r="AB35" i="2" s="1"/>
  <c r="L36" i="2"/>
  <c r="Y36" i="2" s="1"/>
  <c r="L37" i="2"/>
  <c r="L38" i="2"/>
  <c r="L39" i="2"/>
  <c r="Y39" i="2" s="1"/>
  <c r="L40" i="2"/>
  <c r="L41" i="2"/>
  <c r="L42" i="2"/>
  <c r="T42" i="2" s="1"/>
  <c r="L43" i="2"/>
  <c r="S43" i="2" s="1"/>
  <c r="X43" i="2" s="1"/>
  <c r="L44" i="2"/>
  <c r="L45" i="2"/>
  <c r="Y45" i="2" s="1"/>
  <c r="L46" i="2"/>
  <c r="L47" i="2"/>
  <c r="L48" i="2"/>
  <c r="Y48" i="2" s="1"/>
  <c r="L49" i="2"/>
  <c r="L50" i="2"/>
  <c r="L51" i="2"/>
  <c r="T51" i="2" s="1"/>
  <c r="L52" i="2"/>
  <c r="M52" i="2" s="1"/>
  <c r="L53" i="2"/>
  <c r="L54" i="2"/>
  <c r="S54" i="2" s="1"/>
  <c r="X54" i="2" s="1"/>
  <c r="L55" i="2"/>
  <c r="L56" i="2"/>
  <c r="L57" i="2"/>
  <c r="AB57" i="2" s="1"/>
  <c r="L58" i="2"/>
  <c r="L59" i="2"/>
  <c r="L60" i="2"/>
  <c r="Y60" i="2" s="1"/>
  <c r="L61" i="2"/>
  <c r="L62" i="2"/>
  <c r="L63" i="2"/>
  <c r="S63" i="2" s="1"/>
  <c r="X63" i="2" s="1"/>
  <c r="L64" i="2"/>
  <c r="S64" i="2" s="1"/>
  <c r="X64" i="2" s="1"/>
  <c r="L65" i="2"/>
  <c r="L66" i="2"/>
  <c r="Y66" i="2" s="1"/>
  <c r="L67" i="2"/>
  <c r="T67" i="2" s="1"/>
  <c r="L68" i="2"/>
  <c r="L69" i="2"/>
  <c r="Y69" i="2" s="1"/>
  <c r="L70" i="2"/>
  <c r="AB70" i="2" s="1"/>
  <c r="L71" i="2"/>
  <c r="L72" i="2"/>
  <c r="S72" i="2" s="1"/>
  <c r="X72" i="2" s="1"/>
  <c r="L73" i="2"/>
  <c r="S73" i="2" s="1"/>
  <c r="X73" i="2" s="1"/>
  <c r="L74" i="2"/>
  <c r="L75" i="2"/>
  <c r="Y75" i="2" s="1"/>
  <c r="L76" i="2"/>
  <c r="T76" i="2" s="1"/>
  <c r="L77" i="2"/>
  <c r="L78" i="2"/>
  <c r="Y78" i="2" s="1"/>
  <c r="L79" i="2"/>
  <c r="L80" i="2"/>
  <c r="L81" i="2"/>
  <c r="S81" i="2" s="1"/>
  <c r="X81" i="2" s="1"/>
  <c r="L82" i="2"/>
  <c r="S82" i="2" s="1"/>
  <c r="X82" i="2" s="1"/>
  <c r="L83" i="2"/>
  <c r="L84" i="2"/>
  <c r="Y84" i="2" s="1"/>
  <c r="L85" i="2"/>
  <c r="T85" i="2" s="1"/>
  <c r="L86" i="2"/>
  <c r="L87" i="2"/>
  <c r="Y87" i="2" s="1"/>
  <c r="L88" i="2"/>
  <c r="L89" i="2"/>
  <c r="L90" i="2"/>
  <c r="S90" i="2" s="1"/>
  <c r="X90" i="2" s="1"/>
  <c r="L91" i="2"/>
  <c r="S91" i="2" s="1"/>
  <c r="X91" i="2" s="1"/>
  <c r="L92" i="2"/>
  <c r="L93" i="2"/>
  <c r="Y93" i="2" s="1"/>
  <c r="L94" i="2"/>
  <c r="T94" i="2" s="1"/>
  <c r="L95" i="2"/>
  <c r="L96" i="2"/>
  <c r="Y96" i="2" s="1"/>
  <c r="L97" i="2"/>
  <c r="S97" i="2" s="1"/>
  <c r="X97" i="2" s="1"/>
  <c r="L98" i="2"/>
  <c r="N2" i="5"/>
  <c r="M32" i="2" l="1"/>
  <c r="M96" i="2"/>
  <c r="M69" i="2"/>
  <c r="S84" i="2"/>
  <c r="X84" i="2" s="1"/>
  <c r="S57" i="2"/>
  <c r="X57" i="2" s="1"/>
  <c r="S30" i="2"/>
  <c r="X30" i="2" s="1"/>
  <c r="AB87" i="2"/>
  <c r="AB60" i="2"/>
  <c r="AB33" i="2"/>
  <c r="M87" i="2"/>
  <c r="M60" i="2"/>
  <c r="S75" i="2"/>
  <c r="X75" i="2" s="1"/>
  <c r="S48" i="2"/>
  <c r="X48" i="2" s="1"/>
  <c r="S21" i="2"/>
  <c r="X21" i="2" s="1"/>
  <c r="AB78" i="2"/>
  <c r="AB51" i="2"/>
  <c r="AB24" i="2"/>
  <c r="M78" i="2"/>
  <c r="S93" i="2"/>
  <c r="X93" i="2" s="1"/>
  <c r="S66" i="2"/>
  <c r="X66" i="2" s="1"/>
  <c r="S39" i="2"/>
  <c r="X39" i="2" s="1"/>
  <c r="AB96" i="2"/>
  <c r="AB69" i="2"/>
  <c r="AB42" i="2"/>
  <c r="AB15" i="2"/>
  <c r="M88" i="2"/>
  <c r="AB88" i="2"/>
  <c r="S55" i="2"/>
  <c r="X55" i="2" s="1"/>
  <c r="T55" i="2"/>
  <c r="S46" i="2"/>
  <c r="X46" i="2" s="1"/>
  <c r="M46" i="2"/>
  <c r="T46" i="2"/>
  <c r="S37" i="2"/>
  <c r="X37" i="2" s="1"/>
  <c r="T37" i="2"/>
  <c r="AB25" i="2"/>
  <c r="T25" i="2"/>
  <c r="M10" i="2"/>
  <c r="AB10" i="2"/>
  <c r="S70" i="2"/>
  <c r="X70" i="2" s="1"/>
  <c r="AB73" i="2"/>
  <c r="AB46" i="2"/>
  <c r="AB97" i="2"/>
  <c r="M97" i="2"/>
  <c r="S94" i="2"/>
  <c r="X94" i="2" s="1"/>
  <c r="AB94" i="2"/>
  <c r="AB79" i="2"/>
  <c r="M79" i="2"/>
  <c r="S76" i="2"/>
  <c r="X76" i="2" s="1"/>
  <c r="AB76" i="2"/>
  <c r="S67" i="2"/>
  <c r="X67" i="2" s="1"/>
  <c r="AB67" i="2"/>
  <c r="M61" i="2"/>
  <c r="AB61" i="2"/>
  <c r="S58" i="2"/>
  <c r="X58" i="2" s="1"/>
  <c r="AB58" i="2"/>
  <c r="T58" i="2"/>
  <c r="AB52" i="2"/>
  <c r="T52" i="2"/>
  <c r="S49" i="2"/>
  <c r="X49" i="2" s="1"/>
  <c r="AB49" i="2"/>
  <c r="T49" i="2"/>
  <c r="AB43" i="2"/>
  <c r="T43" i="2"/>
  <c r="M40" i="2"/>
  <c r="S40" i="2"/>
  <c r="X40" i="2" s="1"/>
  <c r="AB40" i="2"/>
  <c r="T40" i="2"/>
  <c r="AB34" i="2"/>
  <c r="T34" i="2"/>
  <c r="S31" i="2"/>
  <c r="X31" i="2" s="1"/>
  <c r="AB31" i="2"/>
  <c r="T31" i="2"/>
  <c r="S28" i="2"/>
  <c r="X28" i="2" s="1"/>
  <c r="T28" i="2"/>
  <c r="S22" i="2"/>
  <c r="X22" i="2" s="1"/>
  <c r="AB22" i="2"/>
  <c r="T22" i="2"/>
  <c r="S19" i="2"/>
  <c r="X19" i="2" s="1"/>
  <c r="M19" i="2"/>
  <c r="T19" i="2"/>
  <c r="AB16" i="2"/>
  <c r="T16" i="2"/>
  <c r="M25" i="2"/>
  <c r="S79" i="2"/>
  <c r="X79" i="2" s="1"/>
  <c r="S52" i="2"/>
  <c r="X52" i="2" s="1"/>
  <c r="S25" i="2"/>
  <c r="X25" i="2" s="1"/>
  <c r="AB82" i="2"/>
  <c r="AB55" i="2"/>
  <c r="AB28" i="2"/>
  <c r="T91" i="2"/>
  <c r="T82" i="2"/>
  <c r="T73" i="2"/>
  <c r="T64" i="2"/>
  <c r="S85" i="2"/>
  <c r="X85" i="2" s="1"/>
  <c r="AB85" i="2"/>
  <c r="M70" i="2"/>
  <c r="AD98" i="2"/>
  <c r="T98" i="2"/>
  <c r="AD95" i="2"/>
  <c r="T95" i="2"/>
  <c r="AD92" i="2"/>
  <c r="T92" i="2"/>
  <c r="AD89" i="2"/>
  <c r="T89" i="2"/>
  <c r="AD86" i="2"/>
  <c r="T86" i="2"/>
  <c r="AD83" i="2"/>
  <c r="T83" i="2"/>
  <c r="AD80" i="2"/>
  <c r="T80" i="2"/>
  <c r="AD77" i="2"/>
  <c r="T77" i="2"/>
  <c r="AD74" i="2"/>
  <c r="T74" i="2"/>
  <c r="AD71" i="2"/>
  <c r="T71" i="2"/>
  <c r="AD68" i="2"/>
  <c r="T68" i="2"/>
  <c r="AD65" i="2"/>
  <c r="T65" i="2"/>
  <c r="AD62" i="2"/>
  <c r="T62" i="2"/>
  <c r="AB59" i="2"/>
  <c r="T59" i="2"/>
  <c r="Y56" i="2"/>
  <c r="T56" i="2"/>
  <c r="Y53" i="2"/>
  <c r="T53" i="2"/>
  <c r="AB50" i="2"/>
  <c r="T50" i="2"/>
  <c r="AB47" i="2"/>
  <c r="T47" i="2"/>
  <c r="Y44" i="2"/>
  <c r="T44" i="2"/>
  <c r="AB41" i="2"/>
  <c r="T41" i="2"/>
  <c r="Y38" i="2"/>
  <c r="T38" i="2"/>
  <c r="S88" i="2"/>
  <c r="X88" i="2" s="1"/>
  <c r="S61" i="2"/>
  <c r="X61" i="2" s="1"/>
  <c r="S34" i="2"/>
  <c r="X34" i="2" s="1"/>
  <c r="AB91" i="2"/>
  <c r="AB64" i="2"/>
  <c r="AB37" i="2"/>
  <c r="T97" i="2"/>
  <c r="T88" i="2"/>
  <c r="T79" i="2"/>
  <c r="T70" i="2"/>
  <c r="T61" i="2"/>
  <c r="S96" i="2"/>
  <c r="X96" i="2" s="1"/>
  <c r="S87" i="2"/>
  <c r="X87" i="2" s="1"/>
  <c r="S78" i="2"/>
  <c r="X78" i="2" s="1"/>
  <c r="S69" i="2"/>
  <c r="X69" i="2" s="1"/>
  <c r="S60" i="2"/>
  <c r="X60" i="2" s="1"/>
  <c r="S51" i="2"/>
  <c r="X51" i="2" s="1"/>
  <c r="S42" i="2"/>
  <c r="X42" i="2" s="1"/>
  <c r="S33" i="2"/>
  <c r="X33" i="2" s="1"/>
  <c r="S24" i="2"/>
  <c r="X24" i="2" s="1"/>
  <c r="S15" i="2"/>
  <c r="X15" i="2" s="1"/>
  <c r="AB90" i="2"/>
  <c r="AB81" i="2"/>
  <c r="AB72" i="2"/>
  <c r="AB63" i="2"/>
  <c r="AB54" i="2"/>
  <c r="AB45" i="2"/>
  <c r="AB36" i="2"/>
  <c r="AB27" i="2"/>
  <c r="AB18" i="2"/>
  <c r="T96" i="2"/>
  <c r="T93" i="2"/>
  <c r="T90" i="2"/>
  <c r="T87" i="2"/>
  <c r="T84" i="2"/>
  <c r="T81" i="2"/>
  <c r="T78" i="2"/>
  <c r="T75" i="2"/>
  <c r="T72" i="2"/>
  <c r="T69" i="2"/>
  <c r="T66" i="2"/>
  <c r="T63" i="2"/>
  <c r="T60" i="2"/>
  <c r="T57" i="2"/>
  <c r="T54" i="2"/>
  <c r="T48" i="2"/>
  <c r="T45" i="2"/>
  <c r="T39" i="2"/>
  <c r="T36" i="2"/>
  <c r="T30" i="2"/>
  <c r="T27" i="2"/>
  <c r="T21" i="2"/>
  <c r="T18" i="2"/>
  <c r="S45" i="2"/>
  <c r="X45" i="2" s="1"/>
  <c r="S36" i="2"/>
  <c r="X36" i="2" s="1"/>
  <c r="S27" i="2"/>
  <c r="X27" i="2" s="1"/>
  <c r="S18" i="2"/>
  <c r="X18" i="2" s="1"/>
  <c r="AB93" i="2"/>
  <c r="AB84" i="2"/>
  <c r="AB75" i="2"/>
  <c r="AB66" i="2"/>
  <c r="AB48" i="2"/>
  <c r="AB39" i="2"/>
  <c r="AB30" i="2"/>
  <c r="AB21" i="2"/>
  <c r="T35" i="2"/>
  <c r="T32" i="2"/>
  <c r="T29" i="2"/>
  <c r="T26" i="2"/>
  <c r="T23" i="2"/>
  <c r="T20" i="2"/>
  <c r="T17" i="2"/>
  <c r="T14" i="2"/>
  <c r="T10" i="2"/>
  <c r="S7" i="2"/>
  <c r="X7" i="2" s="1"/>
  <c r="T7" i="2"/>
  <c r="AB9" i="2"/>
  <c r="T9" i="2"/>
  <c r="Y74" i="2"/>
  <c r="Y35" i="2"/>
  <c r="M41" i="2"/>
  <c r="M14" i="2"/>
  <c r="Y62" i="2"/>
  <c r="Y20" i="2"/>
  <c r="S10" i="2"/>
  <c r="X10" i="2" s="1"/>
  <c r="M50" i="2"/>
  <c r="M23" i="2"/>
  <c r="Y89" i="2"/>
  <c r="Y47" i="2"/>
  <c r="S98" i="2"/>
  <c r="X98" i="2" s="1"/>
  <c r="S95" i="2"/>
  <c r="X95" i="2" s="1"/>
  <c r="S92" i="2"/>
  <c r="X92" i="2" s="1"/>
  <c r="S89" i="2"/>
  <c r="X89" i="2" s="1"/>
  <c r="S86" i="2"/>
  <c r="X86" i="2" s="1"/>
  <c r="S83" i="2"/>
  <c r="X83" i="2" s="1"/>
  <c r="S80" i="2"/>
  <c r="X80" i="2" s="1"/>
  <c r="S77" i="2"/>
  <c r="X77" i="2" s="1"/>
  <c r="S74" i="2"/>
  <c r="X74" i="2" s="1"/>
  <c r="S71" i="2"/>
  <c r="X71" i="2" s="1"/>
  <c r="S68" i="2"/>
  <c r="X68" i="2" s="1"/>
  <c r="S65" i="2"/>
  <c r="X65" i="2" s="1"/>
  <c r="S62" i="2"/>
  <c r="X62" i="2" s="1"/>
  <c r="S59" i="2"/>
  <c r="X59" i="2" s="1"/>
  <c r="S56" i="2"/>
  <c r="X56" i="2" s="1"/>
  <c r="S53" i="2"/>
  <c r="X53" i="2" s="1"/>
  <c r="S50" i="2"/>
  <c r="X50" i="2" s="1"/>
  <c r="S47" i="2"/>
  <c r="X47" i="2" s="1"/>
  <c r="S44" i="2"/>
  <c r="X44" i="2" s="1"/>
  <c r="S41" i="2"/>
  <c r="X41" i="2" s="1"/>
  <c r="S38" i="2"/>
  <c r="X38" i="2" s="1"/>
  <c r="S35" i="2"/>
  <c r="X35" i="2" s="1"/>
  <c r="S32" i="2"/>
  <c r="X32" i="2" s="1"/>
  <c r="S29" i="2"/>
  <c r="X29" i="2" s="1"/>
  <c r="S26" i="2"/>
  <c r="X26" i="2" s="1"/>
  <c r="S23" i="2"/>
  <c r="X23" i="2" s="1"/>
  <c r="S20" i="2"/>
  <c r="X20" i="2" s="1"/>
  <c r="S17" i="2"/>
  <c r="X17" i="2" s="1"/>
  <c r="S14" i="2"/>
  <c r="X14" i="2" s="1"/>
  <c r="S9" i="2"/>
  <c r="X9" i="2" s="1"/>
  <c r="AB98" i="2"/>
  <c r="AB95" i="2"/>
  <c r="AB92" i="2"/>
  <c r="AB89" i="2"/>
  <c r="AB86" i="2"/>
  <c r="AB83" i="2"/>
  <c r="AB80" i="2"/>
  <c r="AB77" i="2"/>
  <c r="AB74" i="2"/>
  <c r="AB71" i="2"/>
  <c r="AB68" i="2"/>
  <c r="AB65" i="2"/>
  <c r="AB62" i="2"/>
  <c r="AB56" i="2"/>
  <c r="AB53" i="2"/>
  <c r="AB44" i="2"/>
  <c r="AB38" i="2"/>
  <c r="AB29" i="2"/>
  <c r="AB26" i="2"/>
  <c r="AB17" i="2"/>
  <c r="M84" i="2"/>
  <c r="M66" i="2"/>
  <c r="M57" i="2"/>
  <c r="AD84" i="2"/>
  <c r="AD57" i="2"/>
  <c r="Y98" i="2"/>
  <c r="Y83" i="2"/>
  <c r="Y71" i="2"/>
  <c r="AD93" i="2"/>
  <c r="AD66" i="2"/>
  <c r="AD39" i="2"/>
  <c r="AD9" i="2"/>
  <c r="M93" i="2"/>
  <c r="M75" i="2"/>
  <c r="AD75" i="2"/>
  <c r="AD48" i="2"/>
  <c r="Y92" i="2"/>
  <c r="Y80" i="2"/>
  <c r="Y65" i="2"/>
  <c r="AD97" i="2"/>
  <c r="Y97" i="2"/>
  <c r="AD94" i="2"/>
  <c r="Y94" i="2"/>
  <c r="M94" i="2"/>
  <c r="AD91" i="2"/>
  <c r="Y91" i="2"/>
  <c r="M91" i="2"/>
  <c r="AD88" i="2"/>
  <c r="Y88" i="2"/>
  <c r="AD85" i="2"/>
  <c r="Y85" i="2"/>
  <c r="M85" i="2"/>
  <c r="AD82" i="2"/>
  <c r="Y82" i="2"/>
  <c r="M82" i="2"/>
  <c r="AD79" i="2"/>
  <c r="Y79" i="2"/>
  <c r="AD76" i="2"/>
  <c r="Y76" i="2"/>
  <c r="AD73" i="2"/>
  <c r="Y73" i="2"/>
  <c r="P70" i="2"/>
  <c r="AD70" i="2"/>
  <c r="Y70" i="2"/>
  <c r="AD67" i="2"/>
  <c r="Y67" i="2"/>
  <c r="N64" i="2"/>
  <c r="AD64" i="2"/>
  <c r="Y64" i="2"/>
  <c r="P61" i="2"/>
  <c r="AD61" i="2"/>
  <c r="Y61" i="2"/>
  <c r="AD58" i="2"/>
  <c r="Y58" i="2"/>
  <c r="N55" i="2"/>
  <c r="AD55" i="2"/>
  <c r="Y55" i="2"/>
  <c r="N52" i="2"/>
  <c r="AD52" i="2"/>
  <c r="Y52" i="2"/>
  <c r="AD49" i="2"/>
  <c r="Y49" i="2"/>
  <c r="N46" i="2"/>
  <c r="AD46" i="2"/>
  <c r="Y46" i="2"/>
  <c r="P43" i="2"/>
  <c r="AD43" i="2"/>
  <c r="Y43" i="2"/>
  <c r="AD40" i="2"/>
  <c r="Y40" i="2"/>
  <c r="N37" i="2"/>
  <c r="AD37" i="2"/>
  <c r="Y37" i="2"/>
  <c r="AD34" i="2"/>
  <c r="Y34" i="2"/>
  <c r="AD31" i="2"/>
  <c r="Y31" i="2"/>
  <c r="N28" i="2"/>
  <c r="AD28" i="2"/>
  <c r="Y28" i="2"/>
  <c r="N25" i="2"/>
  <c r="AD25" i="2"/>
  <c r="Y25" i="2"/>
  <c r="AD22" i="2"/>
  <c r="Y22" i="2"/>
  <c r="N19" i="2"/>
  <c r="AD19" i="2"/>
  <c r="Y19" i="2"/>
  <c r="P16" i="2"/>
  <c r="AD16" i="2"/>
  <c r="Y16" i="2"/>
  <c r="AD10" i="2"/>
  <c r="Y10" i="2"/>
  <c r="AD7" i="2"/>
  <c r="Y7" i="2"/>
  <c r="N43" i="2"/>
  <c r="P34" i="2"/>
  <c r="M73" i="2"/>
  <c r="M64" i="2"/>
  <c r="M55" i="2"/>
  <c r="M43" i="2"/>
  <c r="M37" i="2"/>
  <c r="M31" i="2"/>
  <c r="M16" i="2"/>
  <c r="M7" i="2"/>
  <c r="Z90" i="2"/>
  <c r="Y90" i="2"/>
  <c r="Z81" i="2"/>
  <c r="Y81" i="2"/>
  <c r="Z72" i="2"/>
  <c r="Y72" i="2"/>
  <c r="Z63" i="2"/>
  <c r="Y63" i="2"/>
  <c r="Z57" i="2"/>
  <c r="Y57" i="2"/>
  <c r="Z54" i="2"/>
  <c r="Y54" i="2"/>
  <c r="M51" i="2"/>
  <c r="Y51" i="2"/>
  <c r="M42" i="2"/>
  <c r="Y42" i="2"/>
  <c r="M33" i="2"/>
  <c r="Y33" i="2"/>
  <c r="M30" i="2"/>
  <c r="Y30" i="2"/>
  <c r="M24" i="2"/>
  <c r="Y24" i="2"/>
  <c r="M21" i="2"/>
  <c r="Y21" i="2"/>
  <c r="M15" i="2"/>
  <c r="Y15" i="2"/>
  <c r="Z21" i="2"/>
  <c r="N34" i="2"/>
  <c r="U7" i="2"/>
  <c r="AD90" i="2"/>
  <c r="AD81" i="2"/>
  <c r="AD72" i="2"/>
  <c r="AD63" i="2"/>
  <c r="AD54" i="2"/>
  <c r="AD45" i="2"/>
  <c r="AD36" i="2"/>
  <c r="AD27" i="2"/>
  <c r="AD18" i="2"/>
  <c r="M90" i="2"/>
  <c r="M81" i="2"/>
  <c r="M76" i="2"/>
  <c r="M72" i="2"/>
  <c r="M67" i="2"/>
  <c r="M63" i="2"/>
  <c r="M58" i="2"/>
  <c r="M54" i="2"/>
  <c r="M49" i="2"/>
  <c r="M34" i="2"/>
  <c r="M28" i="2"/>
  <c r="M22" i="2"/>
  <c r="AD59" i="2"/>
  <c r="AD56" i="2"/>
  <c r="AD53" i="2"/>
  <c r="AD50" i="2"/>
  <c r="AD47" i="2"/>
  <c r="AD44" i="2"/>
  <c r="AD41" i="2"/>
  <c r="AD38" i="2"/>
  <c r="AD35" i="2"/>
  <c r="AD32" i="2"/>
  <c r="AD29" i="2"/>
  <c r="AD26" i="2"/>
  <c r="AD23" i="2"/>
  <c r="AD20" i="2"/>
  <c r="AD17" i="2"/>
  <c r="AD14" i="2"/>
  <c r="N61" i="2"/>
  <c r="N16" i="2"/>
  <c r="AD96" i="2"/>
  <c r="AD87" i="2"/>
  <c r="AD78" i="2"/>
  <c r="AD69" i="2"/>
  <c r="AD60" i="2"/>
  <c r="AD51" i="2"/>
  <c r="AD42" i="2"/>
  <c r="AD33" i="2"/>
  <c r="AD24" i="2"/>
  <c r="AD15" i="2"/>
  <c r="Y95" i="2"/>
  <c r="Y86" i="2"/>
  <c r="Y77" i="2"/>
  <c r="Y68" i="2"/>
  <c r="Y59" i="2"/>
  <c r="Y50" i="2"/>
  <c r="Y41" i="2"/>
  <c r="Y32" i="2"/>
  <c r="Y23" i="2"/>
  <c r="Y14" i="2"/>
  <c r="V98" i="2"/>
  <c r="U92" i="2"/>
  <c r="P92" i="2"/>
  <c r="V89" i="2"/>
  <c r="O89" i="2"/>
  <c r="U83" i="2"/>
  <c r="V80" i="2"/>
  <c r="U74" i="2"/>
  <c r="V74" i="2"/>
  <c r="U62" i="2"/>
  <c r="O98" i="2"/>
  <c r="P83" i="2"/>
  <c r="U89" i="2"/>
  <c r="V47" i="2"/>
  <c r="M98" i="2"/>
  <c r="M95" i="2"/>
  <c r="M92" i="2"/>
  <c r="M89" i="2"/>
  <c r="M86" i="2"/>
  <c r="M83" i="2"/>
  <c r="M80" i="2"/>
  <c r="M77" i="2"/>
  <c r="M74" i="2"/>
  <c r="M71" i="2"/>
  <c r="M68" i="2"/>
  <c r="M65" i="2"/>
  <c r="M62" i="2"/>
  <c r="M59" i="2"/>
  <c r="M56" i="2"/>
  <c r="M53" i="2"/>
  <c r="M44" i="2"/>
  <c r="M35" i="2"/>
  <c r="M26" i="2"/>
  <c r="M17" i="2"/>
  <c r="O80" i="2"/>
  <c r="P74" i="2"/>
  <c r="U35" i="2"/>
  <c r="V20" i="2"/>
  <c r="M47" i="2"/>
  <c r="M38" i="2"/>
  <c r="M29" i="2"/>
  <c r="M20" i="2"/>
  <c r="Z48" i="2"/>
  <c r="AA48" i="2" s="1"/>
  <c r="M48" i="2"/>
  <c r="Z45" i="2"/>
  <c r="AA45" i="2" s="1"/>
  <c r="M45" i="2"/>
  <c r="Z39" i="2"/>
  <c r="AA39" i="2" s="1"/>
  <c r="M39" i="2"/>
  <c r="Z36" i="2"/>
  <c r="AA36" i="2" s="1"/>
  <c r="M36" i="2"/>
  <c r="Z27" i="2"/>
  <c r="AA27" i="2" s="1"/>
  <c r="M27" i="2"/>
  <c r="Z18" i="2"/>
  <c r="AA18" i="2" s="1"/>
  <c r="M18" i="2"/>
  <c r="Z30" i="2"/>
  <c r="O71" i="2"/>
  <c r="U9" i="2"/>
  <c r="O9" i="2"/>
  <c r="P9" i="2"/>
  <c r="V9" i="2"/>
  <c r="N9" i="2"/>
  <c r="Z93" i="2"/>
  <c r="AA93" i="2" s="1"/>
  <c r="Z84" i="2"/>
  <c r="AA84" i="2" s="1"/>
  <c r="Z75" i="2"/>
  <c r="AA75" i="2" s="1"/>
  <c r="Z66" i="2"/>
  <c r="AA66" i="2" s="1"/>
  <c r="Z9" i="2"/>
  <c r="AA9" i="2" s="1"/>
  <c r="M9" i="2"/>
  <c r="P96" i="2"/>
  <c r="U96" i="2"/>
  <c r="V96" i="2"/>
  <c r="O96" i="2"/>
  <c r="N96" i="2"/>
  <c r="V93" i="2"/>
  <c r="P93" i="2"/>
  <c r="U93" i="2"/>
  <c r="O93" i="2"/>
  <c r="N93" i="2"/>
  <c r="U90" i="2"/>
  <c r="P90" i="2"/>
  <c r="V90" i="2"/>
  <c r="O90" i="2"/>
  <c r="N90" i="2"/>
  <c r="P87" i="2"/>
  <c r="U87" i="2"/>
  <c r="N87" i="2"/>
  <c r="O87" i="2"/>
  <c r="V87" i="2"/>
  <c r="V84" i="2"/>
  <c r="P84" i="2"/>
  <c r="O84" i="2"/>
  <c r="N84" i="2"/>
  <c r="U84" i="2"/>
  <c r="U81" i="2"/>
  <c r="P81" i="2"/>
  <c r="V81" i="2"/>
  <c r="O81" i="2"/>
  <c r="N81" i="2"/>
  <c r="P78" i="2"/>
  <c r="U78" i="2"/>
  <c r="V78" i="2"/>
  <c r="N78" i="2"/>
  <c r="O78" i="2"/>
  <c r="V75" i="2"/>
  <c r="P75" i="2"/>
  <c r="U75" i="2"/>
  <c r="O75" i="2"/>
  <c r="N75" i="2"/>
  <c r="U72" i="2"/>
  <c r="P72" i="2"/>
  <c r="V72" i="2"/>
  <c r="O72" i="2"/>
  <c r="N72" i="2"/>
  <c r="U69" i="2"/>
  <c r="P69" i="2"/>
  <c r="V69" i="2"/>
  <c r="O69" i="2"/>
  <c r="N69" i="2"/>
  <c r="V66" i="2"/>
  <c r="U66" i="2"/>
  <c r="P66" i="2"/>
  <c r="O66" i="2"/>
  <c r="N66" i="2"/>
  <c r="U63" i="2"/>
  <c r="P63" i="2"/>
  <c r="V63" i="2"/>
  <c r="O63" i="2"/>
  <c r="N63" i="2"/>
  <c r="U60" i="2"/>
  <c r="P60" i="2"/>
  <c r="O60" i="2"/>
  <c r="N60" i="2"/>
  <c r="V60" i="2"/>
  <c r="V57" i="2"/>
  <c r="N57" i="2"/>
  <c r="U57" i="2"/>
  <c r="P57" i="2"/>
  <c r="O57" i="2"/>
  <c r="U54" i="2"/>
  <c r="P54" i="2"/>
  <c r="V54" i="2"/>
  <c r="O54" i="2"/>
  <c r="N54" i="2"/>
  <c r="U51" i="2"/>
  <c r="P51" i="2"/>
  <c r="V51" i="2"/>
  <c r="N51" i="2"/>
  <c r="O51" i="2"/>
  <c r="V48" i="2"/>
  <c r="N48" i="2"/>
  <c r="O48" i="2"/>
  <c r="U48" i="2"/>
  <c r="P48" i="2"/>
  <c r="U45" i="2"/>
  <c r="P45" i="2"/>
  <c r="V45" i="2"/>
  <c r="O45" i="2"/>
  <c r="N45" i="2"/>
  <c r="U42" i="2"/>
  <c r="P42" i="2"/>
  <c r="O42" i="2"/>
  <c r="V42" i="2"/>
  <c r="N42" i="2"/>
  <c r="V39" i="2"/>
  <c r="U39" i="2"/>
  <c r="P39" i="2"/>
  <c r="O39" i="2"/>
  <c r="N39" i="2"/>
  <c r="U36" i="2"/>
  <c r="P36" i="2"/>
  <c r="V36" i="2"/>
  <c r="O36" i="2"/>
  <c r="N36" i="2"/>
  <c r="U33" i="2"/>
  <c r="P33" i="2"/>
  <c r="N33" i="2"/>
  <c r="V33" i="2"/>
  <c r="O33" i="2"/>
  <c r="V30" i="2"/>
  <c r="N30" i="2"/>
  <c r="U30" i="2"/>
  <c r="P30" i="2"/>
  <c r="O30" i="2"/>
  <c r="U27" i="2"/>
  <c r="P27" i="2"/>
  <c r="V27" i="2"/>
  <c r="O27" i="2"/>
  <c r="N27" i="2"/>
  <c r="U24" i="2"/>
  <c r="P24" i="2"/>
  <c r="V24" i="2"/>
  <c r="N24" i="2"/>
  <c r="O24" i="2"/>
  <c r="V21" i="2"/>
  <c r="N21" i="2"/>
  <c r="O21" i="2"/>
  <c r="U21" i="2"/>
  <c r="P21" i="2"/>
  <c r="U18" i="2"/>
  <c r="P18" i="2"/>
  <c r="V18" i="2"/>
  <c r="O18" i="2"/>
  <c r="N18" i="2"/>
  <c r="U15" i="2"/>
  <c r="P15" i="2"/>
  <c r="V15" i="2"/>
  <c r="N15" i="2"/>
  <c r="O15" i="2"/>
  <c r="Z96" i="2"/>
  <c r="AA96" i="2" s="1"/>
  <c r="Z87" i="2"/>
  <c r="AA87" i="2" s="1"/>
  <c r="Z78" i="2"/>
  <c r="AA78" i="2" s="1"/>
  <c r="Z69" i="2"/>
  <c r="AA69" i="2" s="1"/>
  <c r="Z60" i="2"/>
  <c r="AA60" i="2" s="1"/>
  <c r="Z51" i="2"/>
  <c r="Z42" i="2"/>
  <c r="Z33" i="2"/>
  <c r="Z24" i="2"/>
  <c r="Z15" i="2"/>
  <c r="U95" i="2"/>
  <c r="V95" i="2"/>
  <c r="U86" i="2"/>
  <c r="V86" i="2"/>
  <c r="U77" i="2"/>
  <c r="V77" i="2"/>
  <c r="P71" i="2"/>
  <c r="V71" i="2"/>
  <c r="P68" i="2"/>
  <c r="U68" i="2"/>
  <c r="V68" i="2"/>
  <c r="P65" i="2"/>
  <c r="N65" i="2"/>
  <c r="U65" i="2"/>
  <c r="P62" i="2"/>
  <c r="V62" i="2"/>
  <c r="N62" i="2"/>
  <c r="O62" i="2"/>
  <c r="P59" i="2"/>
  <c r="U59" i="2"/>
  <c r="N59" i="2"/>
  <c r="V59" i="2"/>
  <c r="O59" i="2"/>
  <c r="P56" i="2"/>
  <c r="N56" i="2"/>
  <c r="U56" i="2"/>
  <c r="O56" i="2"/>
  <c r="P53" i="2"/>
  <c r="V53" i="2"/>
  <c r="N53" i="2"/>
  <c r="O53" i="2"/>
  <c r="P50" i="2"/>
  <c r="U50" i="2"/>
  <c r="N50" i="2"/>
  <c r="V50" i="2"/>
  <c r="O50" i="2"/>
  <c r="P47" i="2"/>
  <c r="N47" i="2"/>
  <c r="U47" i="2"/>
  <c r="O47" i="2"/>
  <c r="P44" i="2"/>
  <c r="V44" i="2"/>
  <c r="N44" i="2"/>
  <c r="O44" i="2"/>
  <c r="P41" i="2"/>
  <c r="U41" i="2"/>
  <c r="N41" i="2"/>
  <c r="V41" i="2"/>
  <c r="O41" i="2"/>
  <c r="P38" i="2"/>
  <c r="N38" i="2"/>
  <c r="U38" i="2"/>
  <c r="O38" i="2"/>
  <c r="P35" i="2"/>
  <c r="V35" i="2"/>
  <c r="N35" i="2"/>
  <c r="O35" i="2"/>
  <c r="P32" i="2"/>
  <c r="U32" i="2"/>
  <c r="N32" i="2"/>
  <c r="V32" i="2"/>
  <c r="O32" i="2"/>
  <c r="P29" i="2"/>
  <c r="N29" i="2"/>
  <c r="U29" i="2"/>
  <c r="O29" i="2"/>
  <c r="P26" i="2"/>
  <c r="V26" i="2"/>
  <c r="N26" i="2"/>
  <c r="O26" i="2"/>
  <c r="P23" i="2"/>
  <c r="U23" i="2"/>
  <c r="N23" i="2"/>
  <c r="V23" i="2"/>
  <c r="O23" i="2"/>
  <c r="P20" i="2"/>
  <c r="N20" i="2"/>
  <c r="U20" i="2"/>
  <c r="O20" i="2"/>
  <c r="P17" i="2"/>
  <c r="V17" i="2"/>
  <c r="N17" i="2"/>
  <c r="O17" i="2"/>
  <c r="P14" i="2"/>
  <c r="U14" i="2"/>
  <c r="N14" i="2"/>
  <c r="V14" i="2"/>
  <c r="O14" i="2"/>
  <c r="Z98" i="2"/>
  <c r="Z95" i="2"/>
  <c r="Z92" i="2"/>
  <c r="Z89" i="2"/>
  <c r="Z86" i="2"/>
  <c r="Z83" i="2"/>
  <c r="Z80" i="2"/>
  <c r="Z77" i="2"/>
  <c r="Z74" i="2"/>
  <c r="Z71" i="2"/>
  <c r="Z68" i="2"/>
  <c r="Z65" i="2"/>
  <c r="Z62" i="2"/>
  <c r="Z59" i="2"/>
  <c r="Z56" i="2"/>
  <c r="AA56" i="2" s="1"/>
  <c r="Z53" i="2"/>
  <c r="AA53" i="2" s="1"/>
  <c r="Z50" i="2"/>
  <c r="Z47" i="2"/>
  <c r="Z44" i="2"/>
  <c r="AA44" i="2" s="1"/>
  <c r="Z41" i="2"/>
  <c r="Z38" i="2"/>
  <c r="AA38" i="2" s="1"/>
  <c r="Z35" i="2"/>
  <c r="Z32" i="2"/>
  <c r="Z29" i="2"/>
  <c r="AA29" i="2" s="1"/>
  <c r="Z26" i="2"/>
  <c r="AA26" i="2" s="1"/>
  <c r="Z23" i="2"/>
  <c r="Z20" i="2"/>
  <c r="Z17" i="2"/>
  <c r="AA17" i="2" s="1"/>
  <c r="Z14" i="2"/>
  <c r="N98" i="2"/>
  <c r="N95" i="2"/>
  <c r="N92" i="2"/>
  <c r="N89" i="2"/>
  <c r="N86" i="2"/>
  <c r="N83" i="2"/>
  <c r="N80" i="2"/>
  <c r="N77" i="2"/>
  <c r="N74" i="2"/>
  <c r="N71" i="2"/>
  <c r="N68" i="2"/>
  <c r="O92" i="2"/>
  <c r="O83" i="2"/>
  <c r="O74" i="2"/>
  <c r="O65" i="2"/>
  <c r="P98" i="2"/>
  <c r="P89" i="2"/>
  <c r="P80" i="2"/>
  <c r="U98" i="2"/>
  <c r="U71" i="2"/>
  <c r="U44" i="2"/>
  <c r="U17" i="2"/>
  <c r="V83" i="2"/>
  <c r="V56" i="2"/>
  <c r="V29" i="2"/>
  <c r="V97" i="2"/>
  <c r="U97" i="2"/>
  <c r="O97" i="2"/>
  <c r="P97" i="2"/>
  <c r="V94" i="2"/>
  <c r="U94" i="2"/>
  <c r="O94" i="2"/>
  <c r="P94" i="2"/>
  <c r="V91" i="2"/>
  <c r="U91" i="2"/>
  <c r="O91" i="2"/>
  <c r="P91" i="2"/>
  <c r="V88" i="2"/>
  <c r="U88" i="2"/>
  <c r="O88" i="2"/>
  <c r="P88" i="2"/>
  <c r="V85" i="2"/>
  <c r="U85" i="2"/>
  <c r="O85" i="2"/>
  <c r="P85" i="2"/>
  <c r="V82" i="2"/>
  <c r="U82" i="2"/>
  <c r="O82" i="2"/>
  <c r="P82" i="2"/>
  <c r="V79" i="2"/>
  <c r="U79" i="2"/>
  <c r="O79" i="2"/>
  <c r="P79" i="2"/>
  <c r="V76" i="2"/>
  <c r="U76" i="2"/>
  <c r="O76" i="2"/>
  <c r="P76" i="2"/>
  <c r="V73" i="2"/>
  <c r="U73" i="2"/>
  <c r="O73" i="2"/>
  <c r="P73" i="2"/>
  <c r="V70" i="2"/>
  <c r="U70" i="2"/>
  <c r="O70" i="2"/>
  <c r="V67" i="2"/>
  <c r="U67" i="2"/>
  <c r="P67" i="2"/>
  <c r="O67" i="2"/>
  <c r="V64" i="2"/>
  <c r="U64" i="2"/>
  <c r="O64" i="2"/>
  <c r="P64" i="2"/>
  <c r="V61" i="2"/>
  <c r="U61" i="2"/>
  <c r="O61" i="2"/>
  <c r="V58" i="2"/>
  <c r="U58" i="2"/>
  <c r="P58" i="2"/>
  <c r="O58" i="2"/>
  <c r="V55" i="2"/>
  <c r="U55" i="2"/>
  <c r="O55" i="2"/>
  <c r="P55" i="2"/>
  <c r="V52" i="2"/>
  <c r="U52" i="2"/>
  <c r="O52" i="2"/>
  <c r="V49" i="2"/>
  <c r="U49" i="2"/>
  <c r="P49" i="2"/>
  <c r="O49" i="2"/>
  <c r="V46" i="2"/>
  <c r="U46" i="2"/>
  <c r="O46" i="2"/>
  <c r="P46" i="2"/>
  <c r="V43" i="2"/>
  <c r="U43" i="2"/>
  <c r="O43" i="2"/>
  <c r="V40" i="2"/>
  <c r="U40" i="2"/>
  <c r="P40" i="2"/>
  <c r="O40" i="2"/>
  <c r="V37" i="2"/>
  <c r="U37" i="2"/>
  <c r="O37" i="2"/>
  <c r="P37" i="2"/>
  <c r="V34" i="2"/>
  <c r="U34" i="2"/>
  <c r="O34" i="2"/>
  <c r="V31" i="2"/>
  <c r="U31" i="2"/>
  <c r="P31" i="2"/>
  <c r="O31" i="2"/>
  <c r="V28" i="2"/>
  <c r="U28" i="2"/>
  <c r="O28" i="2"/>
  <c r="P28" i="2"/>
  <c r="V25" i="2"/>
  <c r="U25" i="2"/>
  <c r="O25" i="2"/>
  <c r="V22" i="2"/>
  <c r="U22" i="2"/>
  <c r="P22" i="2"/>
  <c r="O22" i="2"/>
  <c r="V19" i="2"/>
  <c r="U19" i="2"/>
  <c r="O19" i="2"/>
  <c r="P19" i="2"/>
  <c r="V16" i="2"/>
  <c r="U16" i="2"/>
  <c r="O16" i="2"/>
  <c r="P10" i="2"/>
  <c r="V10" i="2"/>
  <c r="N10" i="2"/>
  <c r="U10" i="2"/>
  <c r="O10" i="2"/>
  <c r="P7" i="2"/>
  <c r="N7" i="2"/>
  <c r="V7" i="2"/>
  <c r="O7" i="2"/>
  <c r="Z97" i="2"/>
  <c r="Z94" i="2"/>
  <c r="Z91" i="2"/>
  <c r="Z88" i="2"/>
  <c r="Z85" i="2"/>
  <c r="Z82" i="2"/>
  <c r="Z79" i="2"/>
  <c r="Z76" i="2"/>
  <c r="Z73" i="2"/>
  <c r="Z70" i="2"/>
  <c r="Z67" i="2"/>
  <c r="Z64" i="2"/>
  <c r="Z61" i="2"/>
  <c r="Z58" i="2"/>
  <c r="Z55" i="2"/>
  <c r="Z52" i="2"/>
  <c r="Z49" i="2"/>
  <c r="Z46" i="2"/>
  <c r="Z43" i="2"/>
  <c r="Z40" i="2"/>
  <c r="Z37" i="2"/>
  <c r="Z34" i="2"/>
  <c r="Z31" i="2"/>
  <c r="Z28" i="2"/>
  <c r="Z25" i="2"/>
  <c r="Z22" i="2"/>
  <c r="Z19" i="2"/>
  <c r="Z16" i="2"/>
  <c r="Z10" i="2"/>
  <c r="Z7" i="2"/>
  <c r="N97" i="2"/>
  <c r="N94" i="2"/>
  <c r="N91" i="2"/>
  <c r="N88" i="2"/>
  <c r="N85" i="2"/>
  <c r="N82" i="2"/>
  <c r="N79" i="2"/>
  <c r="N76" i="2"/>
  <c r="N73" i="2"/>
  <c r="N70" i="2"/>
  <c r="N67" i="2"/>
  <c r="N58" i="2"/>
  <c r="N49" i="2"/>
  <c r="N40" i="2"/>
  <c r="N31" i="2"/>
  <c r="N22" i="2"/>
  <c r="O95" i="2"/>
  <c r="O86" i="2"/>
  <c r="O77" i="2"/>
  <c r="O68" i="2"/>
  <c r="P95" i="2"/>
  <c r="P86" i="2"/>
  <c r="P77" i="2"/>
  <c r="P52" i="2"/>
  <c r="P25" i="2"/>
  <c r="U80" i="2"/>
  <c r="U53" i="2"/>
  <c r="U26" i="2"/>
  <c r="V92" i="2"/>
  <c r="V65" i="2"/>
  <c r="V38" i="2"/>
  <c r="G17" i="1"/>
  <c r="C60" i="1"/>
  <c r="J6" i="2"/>
  <c r="L6" i="2" s="1"/>
  <c r="AA57" i="2" l="1"/>
  <c r="AA81" i="2"/>
  <c r="AA54" i="2"/>
  <c r="AA72" i="2"/>
  <c r="AA14" i="2"/>
  <c r="AA41" i="2"/>
  <c r="AA68" i="2"/>
  <c r="AA95" i="2"/>
  <c r="AA42" i="2"/>
  <c r="AA19" i="2"/>
  <c r="AA22" i="2"/>
  <c r="AA37" i="2"/>
  <c r="AA40" i="2"/>
  <c r="AA64" i="2"/>
  <c r="AA67" i="2"/>
  <c r="AA82" i="2"/>
  <c r="AA85" i="2"/>
  <c r="AA65" i="2"/>
  <c r="AA83" i="2"/>
  <c r="AA47" i="2"/>
  <c r="AA23" i="2"/>
  <c r="AA50" i="2"/>
  <c r="AA77" i="2"/>
  <c r="AA10" i="2"/>
  <c r="AA58" i="2"/>
  <c r="AA76" i="2"/>
  <c r="Y6" i="2"/>
  <c r="AA24" i="2"/>
  <c r="AA16" i="2"/>
  <c r="AA61" i="2"/>
  <c r="AA79" i="2"/>
  <c r="AA62" i="2"/>
  <c r="AA35" i="2"/>
  <c r="AA21" i="2"/>
  <c r="AA33" i="2"/>
  <c r="AA34" i="2"/>
  <c r="AA52" i="2"/>
  <c r="AA55" i="2"/>
  <c r="AA97" i="2"/>
  <c r="AA80" i="2"/>
  <c r="AA98" i="2"/>
  <c r="AA89" i="2"/>
  <c r="AA74" i="2"/>
  <c r="AA32" i="2"/>
  <c r="AA59" i="2"/>
  <c r="AA86" i="2"/>
  <c r="AA15" i="2"/>
  <c r="AA30" i="2"/>
  <c r="AA51" i="2"/>
  <c r="AA63" i="2"/>
  <c r="AA90" i="2"/>
  <c r="AA7" i="2"/>
  <c r="AA25" i="2"/>
  <c r="AA28" i="2"/>
  <c r="AA31" i="2"/>
  <c r="AA43" i="2"/>
  <c r="AA46" i="2"/>
  <c r="AA49" i="2"/>
  <c r="AA70" i="2"/>
  <c r="AA73" i="2"/>
  <c r="AA88" i="2"/>
  <c r="AA91" i="2"/>
  <c r="AA94" i="2"/>
  <c r="AA92" i="2"/>
  <c r="AA71" i="2"/>
  <c r="AA20" i="2"/>
  <c r="Z6" i="2"/>
  <c r="M6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3" i="2"/>
  <c r="R2" i="5"/>
  <c r="L2" i="5"/>
  <c r="J2" i="5"/>
  <c r="E2" i="5"/>
  <c r="D2" i="5"/>
  <c r="AA6" i="2" l="1"/>
  <c r="W2" i="5"/>
  <c r="V2" i="5"/>
  <c r="U2" i="5"/>
  <c r="T2" i="5"/>
  <c r="S2" i="5"/>
  <c r="Q2" i="5"/>
  <c r="P2" i="5"/>
  <c r="I2" i="5"/>
  <c r="H2" i="5"/>
  <c r="F2" i="5"/>
  <c r="C2" i="5"/>
  <c r="B2" i="5"/>
  <c r="G3" i="6" l="1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2" i="6"/>
  <c r="AE4" i="2"/>
  <c r="AE5" i="2"/>
  <c r="AE6" i="2"/>
  <c r="AE7" i="2"/>
  <c r="AE8" i="2"/>
  <c r="AE9" i="2"/>
  <c r="AE10" i="2"/>
  <c r="AE11" i="2"/>
  <c r="AE12" i="2"/>
  <c r="AE13" i="2"/>
  <c r="AE14" i="2"/>
  <c r="AE15" i="2"/>
  <c r="AE16" i="2"/>
  <c r="AE17" i="2"/>
  <c r="AE18" i="2"/>
  <c r="AE19" i="2"/>
  <c r="AE20" i="2"/>
  <c r="AE21" i="2"/>
  <c r="AE22" i="2"/>
  <c r="AE23" i="2"/>
  <c r="AE24" i="2"/>
  <c r="AE25" i="2"/>
  <c r="AE26" i="2"/>
  <c r="AE27" i="2"/>
  <c r="AE28" i="2"/>
  <c r="AE29" i="2"/>
  <c r="AE30" i="2"/>
  <c r="AE31" i="2"/>
  <c r="AE32" i="2"/>
  <c r="AE33" i="2"/>
  <c r="AE34" i="2"/>
  <c r="AE35" i="2"/>
  <c r="AE36" i="2"/>
  <c r="AE37" i="2"/>
  <c r="AE38" i="2"/>
  <c r="AE39" i="2"/>
  <c r="AE40" i="2"/>
  <c r="AE41" i="2"/>
  <c r="AE42" i="2"/>
  <c r="AE43" i="2"/>
  <c r="AE44" i="2"/>
  <c r="AE45" i="2"/>
  <c r="AE46" i="2"/>
  <c r="AE47" i="2"/>
  <c r="AE48" i="2"/>
  <c r="AE49" i="2"/>
  <c r="AE50" i="2"/>
  <c r="AE51" i="2"/>
  <c r="AE52" i="2"/>
  <c r="AE53" i="2"/>
  <c r="AE54" i="2"/>
  <c r="AE55" i="2"/>
  <c r="AE56" i="2"/>
  <c r="AE57" i="2"/>
  <c r="AE58" i="2"/>
  <c r="AE59" i="2"/>
  <c r="AE60" i="2"/>
  <c r="AE61" i="2"/>
  <c r="AE62" i="2"/>
  <c r="AE63" i="2"/>
  <c r="AE64" i="2"/>
  <c r="AE65" i="2"/>
  <c r="AE66" i="2"/>
  <c r="AE67" i="2"/>
  <c r="AE68" i="2"/>
  <c r="AE69" i="2"/>
  <c r="AE70" i="2"/>
  <c r="AE71" i="2"/>
  <c r="AE72" i="2"/>
  <c r="AE73" i="2"/>
  <c r="AE74" i="2"/>
  <c r="AE75" i="2"/>
  <c r="AE76" i="2"/>
  <c r="AE77" i="2"/>
  <c r="AE78" i="2"/>
  <c r="AE79" i="2"/>
  <c r="AE80" i="2"/>
  <c r="AE81" i="2"/>
  <c r="AE82" i="2"/>
  <c r="AE83" i="2"/>
  <c r="AE84" i="2"/>
  <c r="AE85" i="2"/>
  <c r="AE86" i="2"/>
  <c r="AE87" i="2"/>
  <c r="AE88" i="2"/>
  <c r="AE89" i="2"/>
  <c r="AE90" i="2"/>
  <c r="AE91" i="2"/>
  <c r="AE92" i="2"/>
  <c r="AE93" i="2"/>
  <c r="AE94" i="2"/>
  <c r="AE95" i="2"/>
  <c r="AE96" i="2"/>
  <c r="AE97" i="2"/>
  <c r="AE98" i="2"/>
  <c r="F31" i="1"/>
  <c r="F27" i="1"/>
  <c r="F24" i="1"/>
  <c r="D21" i="1"/>
  <c r="F19" i="1"/>
  <c r="C9" i="1"/>
  <c r="G2" i="5" s="1"/>
  <c r="C6" i="1"/>
  <c r="C5" i="1"/>
  <c r="A57" i="1"/>
  <c r="D49" i="1"/>
  <c r="D48" i="1"/>
  <c r="B4" i="4"/>
  <c r="M2" i="5" l="1"/>
  <c r="C10" i="1"/>
  <c r="AE3" i="2"/>
  <c r="F2" i="6" s="1"/>
  <c r="A2" i="5"/>
  <c r="E97" i="6"/>
  <c r="D97" i="6"/>
  <c r="C97" i="6"/>
  <c r="B97" i="6"/>
  <c r="A97" i="6"/>
  <c r="E96" i="6"/>
  <c r="D96" i="6"/>
  <c r="C96" i="6"/>
  <c r="B96" i="6"/>
  <c r="A96" i="6"/>
  <c r="E95" i="6"/>
  <c r="D95" i="6"/>
  <c r="C95" i="6"/>
  <c r="B95" i="6"/>
  <c r="A95" i="6"/>
  <c r="E94" i="6"/>
  <c r="D94" i="6"/>
  <c r="C94" i="6"/>
  <c r="B94" i="6"/>
  <c r="A94" i="6"/>
  <c r="E93" i="6"/>
  <c r="D93" i="6"/>
  <c r="C93" i="6"/>
  <c r="B93" i="6"/>
  <c r="A93" i="6"/>
  <c r="E92" i="6"/>
  <c r="D92" i="6"/>
  <c r="C92" i="6"/>
  <c r="B92" i="6"/>
  <c r="A92" i="6"/>
  <c r="E91" i="6"/>
  <c r="D91" i="6"/>
  <c r="C91" i="6"/>
  <c r="B91" i="6"/>
  <c r="A91" i="6"/>
  <c r="E90" i="6"/>
  <c r="D90" i="6"/>
  <c r="C90" i="6"/>
  <c r="B90" i="6"/>
  <c r="A90" i="6"/>
  <c r="E89" i="6"/>
  <c r="D89" i="6"/>
  <c r="C89" i="6"/>
  <c r="B89" i="6"/>
  <c r="A89" i="6"/>
  <c r="E88" i="6"/>
  <c r="D88" i="6"/>
  <c r="C88" i="6"/>
  <c r="B88" i="6"/>
  <c r="A88" i="6"/>
  <c r="E87" i="6"/>
  <c r="D87" i="6"/>
  <c r="C87" i="6"/>
  <c r="B87" i="6"/>
  <c r="A87" i="6"/>
  <c r="E86" i="6"/>
  <c r="D86" i="6"/>
  <c r="C86" i="6"/>
  <c r="B86" i="6"/>
  <c r="A86" i="6"/>
  <c r="E85" i="6"/>
  <c r="D85" i="6"/>
  <c r="C85" i="6"/>
  <c r="B85" i="6"/>
  <c r="A85" i="6"/>
  <c r="E84" i="6"/>
  <c r="D84" i="6"/>
  <c r="C84" i="6"/>
  <c r="B84" i="6"/>
  <c r="A84" i="6"/>
  <c r="E83" i="6"/>
  <c r="D83" i="6"/>
  <c r="C83" i="6"/>
  <c r="B83" i="6"/>
  <c r="A83" i="6"/>
  <c r="E82" i="6"/>
  <c r="D82" i="6"/>
  <c r="C82" i="6"/>
  <c r="B82" i="6"/>
  <c r="A82" i="6"/>
  <c r="E81" i="6"/>
  <c r="D81" i="6"/>
  <c r="C81" i="6"/>
  <c r="B81" i="6"/>
  <c r="A81" i="6"/>
  <c r="E80" i="6"/>
  <c r="D80" i="6"/>
  <c r="C80" i="6"/>
  <c r="B80" i="6"/>
  <c r="A80" i="6"/>
  <c r="E79" i="6"/>
  <c r="D79" i="6"/>
  <c r="C79" i="6"/>
  <c r="B79" i="6"/>
  <c r="A79" i="6"/>
  <c r="E78" i="6"/>
  <c r="D78" i="6"/>
  <c r="C78" i="6"/>
  <c r="B78" i="6"/>
  <c r="A78" i="6"/>
  <c r="E77" i="6"/>
  <c r="D77" i="6"/>
  <c r="C77" i="6"/>
  <c r="B77" i="6"/>
  <c r="A77" i="6"/>
  <c r="E76" i="6"/>
  <c r="D76" i="6"/>
  <c r="C76" i="6"/>
  <c r="B76" i="6"/>
  <c r="A76" i="6"/>
  <c r="E75" i="6"/>
  <c r="D75" i="6"/>
  <c r="C75" i="6"/>
  <c r="B75" i="6"/>
  <c r="A75" i="6"/>
  <c r="E74" i="6"/>
  <c r="D74" i="6"/>
  <c r="C74" i="6"/>
  <c r="B74" i="6"/>
  <c r="A74" i="6"/>
  <c r="E73" i="6"/>
  <c r="D73" i="6"/>
  <c r="C73" i="6"/>
  <c r="B73" i="6"/>
  <c r="A73" i="6"/>
  <c r="E72" i="6"/>
  <c r="D72" i="6"/>
  <c r="C72" i="6"/>
  <c r="B72" i="6"/>
  <c r="A72" i="6"/>
  <c r="E71" i="6"/>
  <c r="D71" i="6"/>
  <c r="C71" i="6"/>
  <c r="B71" i="6"/>
  <c r="A71" i="6"/>
  <c r="E70" i="6"/>
  <c r="D70" i="6"/>
  <c r="C70" i="6"/>
  <c r="B70" i="6"/>
  <c r="A70" i="6"/>
  <c r="E69" i="6"/>
  <c r="D69" i="6"/>
  <c r="C69" i="6"/>
  <c r="B69" i="6"/>
  <c r="A69" i="6"/>
  <c r="E68" i="6"/>
  <c r="D68" i="6"/>
  <c r="C68" i="6"/>
  <c r="B68" i="6"/>
  <c r="A68" i="6"/>
  <c r="E67" i="6"/>
  <c r="D67" i="6"/>
  <c r="C67" i="6"/>
  <c r="B67" i="6"/>
  <c r="A67" i="6"/>
  <c r="E66" i="6"/>
  <c r="D66" i="6"/>
  <c r="C66" i="6"/>
  <c r="B66" i="6"/>
  <c r="A66" i="6"/>
  <c r="E65" i="6"/>
  <c r="D65" i="6"/>
  <c r="C65" i="6"/>
  <c r="B65" i="6"/>
  <c r="A65" i="6"/>
  <c r="E64" i="6"/>
  <c r="D64" i="6"/>
  <c r="C64" i="6"/>
  <c r="B64" i="6"/>
  <c r="A64" i="6"/>
  <c r="E63" i="6"/>
  <c r="D63" i="6"/>
  <c r="C63" i="6"/>
  <c r="B63" i="6"/>
  <c r="A63" i="6"/>
  <c r="E62" i="6"/>
  <c r="D62" i="6"/>
  <c r="C62" i="6"/>
  <c r="B62" i="6"/>
  <c r="A62" i="6"/>
  <c r="E61" i="6"/>
  <c r="D61" i="6"/>
  <c r="C61" i="6"/>
  <c r="B61" i="6"/>
  <c r="A61" i="6"/>
  <c r="E60" i="6"/>
  <c r="D60" i="6"/>
  <c r="C60" i="6"/>
  <c r="B60" i="6"/>
  <c r="A60" i="6"/>
  <c r="E59" i="6"/>
  <c r="D59" i="6"/>
  <c r="C59" i="6"/>
  <c r="B59" i="6"/>
  <c r="A59" i="6"/>
  <c r="E58" i="6"/>
  <c r="D58" i="6"/>
  <c r="C58" i="6"/>
  <c r="B58" i="6"/>
  <c r="A58" i="6"/>
  <c r="E57" i="6"/>
  <c r="D57" i="6"/>
  <c r="C57" i="6"/>
  <c r="B57" i="6"/>
  <c r="A57" i="6"/>
  <c r="E56" i="6"/>
  <c r="D56" i="6"/>
  <c r="C56" i="6"/>
  <c r="B56" i="6"/>
  <c r="A56" i="6"/>
  <c r="E55" i="6"/>
  <c r="D55" i="6"/>
  <c r="C55" i="6"/>
  <c r="B55" i="6"/>
  <c r="A55" i="6"/>
  <c r="E54" i="6"/>
  <c r="D54" i="6"/>
  <c r="C54" i="6"/>
  <c r="B54" i="6"/>
  <c r="A54" i="6"/>
  <c r="E53" i="6"/>
  <c r="D53" i="6"/>
  <c r="C53" i="6"/>
  <c r="B53" i="6"/>
  <c r="A53" i="6"/>
  <c r="E52" i="6"/>
  <c r="D52" i="6"/>
  <c r="C52" i="6"/>
  <c r="B52" i="6"/>
  <c r="A52" i="6"/>
  <c r="E51" i="6"/>
  <c r="D51" i="6"/>
  <c r="C51" i="6"/>
  <c r="B51" i="6"/>
  <c r="A51" i="6"/>
  <c r="E50" i="6"/>
  <c r="D50" i="6"/>
  <c r="C50" i="6"/>
  <c r="B50" i="6"/>
  <c r="A50" i="6"/>
  <c r="E49" i="6"/>
  <c r="D49" i="6"/>
  <c r="C49" i="6"/>
  <c r="B49" i="6"/>
  <c r="A49" i="6"/>
  <c r="E48" i="6"/>
  <c r="D48" i="6"/>
  <c r="C48" i="6"/>
  <c r="B48" i="6"/>
  <c r="A48" i="6"/>
  <c r="E47" i="6"/>
  <c r="D47" i="6"/>
  <c r="C47" i="6"/>
  <c r="B47" i="6"/>
  <c r="A47" i="6"/>
  <c r="E46" i="6"/>
  <c r="D46" i="6"/>
  <c r="C46" i="6"/>
  <c r="B46" i="6"/>
  <c r="A46" i="6"/>
  <c r="E45" i="6"/>
  <c r="D45" i="6"/>
  <c r="C45" i="6"/>
  <c r="B45" i="6"/>
  <c r="A45" i="6"/>
  <c r="E44" i="6"/>
  <c r="D44" i="6"/>
  <c r="C44" i="6"/>
  <c r="B44" i="6"/>
  <c r="A44" i="6"/>
  <c r="E43" i="6"/>
  <c r="D43" i="6"/>
  <c r="C43" i="6"/>
  <c r="B43" i="6"/>
  <c r="A43" i="6"/>
  <c r="E42" i="6"/>
  <c r="D42" i="6"/>
  <c r="C42" i="6"/>
  <c r="B42" i="6"/>
  <c r="A42" i="6"/>
  <c r="E41" i="6"/>
  <c r="D41" i="6"/>
  <c r="C41" i="6"/>
  <c r="B41" i="6"/>
  <c r="A41" i="6"/>
  <c r="E40" i="6"/>
  <c r="D40" i="6"/>
  <c r="C40" i="6"/>
  <c r="B40" i="6"/>
  <c r="A40" i="6"/>
  <c r="E39" i="6"/>
  <c r="D39" i="6"/>
  <c r="C39" i="6"/>
  <c r="B39" i="6"/>
  <c r="A39" i="6"/>
  <c r="E38" i="6"/>
  <c r="D38" i="6"/>
  <c r="C38" i="6"/>
  <c r="B38" i="6"/>
  <c r="A38" i="6"/>
  <c r="E37" i="6"/>
  <c r="D37" i="6"/>
  <c r="C37" i="6"/>
  <c r="B37" i="6"/>
  <c r="A37" i="6"/>
  <c r="E36" i="6"/>
  <c r="D36" i="6"/>
  <c r="C36" i="6"/>
  <c r="B36" i="6"/>
  <c r="A36" i="6"/>
  <c r="E35" i="6"/>
  <c r="D35" i="6"/>
  <c r="C35" i="6"/>
  <c r="B35" i="6"/>
  <c r="A35" i="6"/>
  <c r="E34" i="6"/>
  <c r="D34" i="6"/>
  <c r="C34" i="6"/>
  <c r="B34" i="6"/>
  <c r="A34" i="6"/>
  <c r="E33" i="6"/>
  <c r="D33" i="6"/>
  <c r="C33" i="6"/>
  <c r="B33" i="6"/>
  <c r="A33" i="6"/>
  <c r="E32" i="6"/>
  <c r="D32" i="6"/>
  <c r="C32" i="6"/>
  <c r="B32" i="6"/>
  <c r="A32" i="6"/>
  <c r="E31" i="6"/>
  <c r="D31" i="6"/>
  <c r="C31" i="6"/>
  <c r="B31" i="6"/>
  <c r="A31" i="6"/>
  <c r="E30" i="6"/>
  <c r="D30" i="6"/>
  <c r="C30" i="6"/>
  <c r="B30" i="6"/>
  <c r="A30" i="6"/>
  <c r="E29" i="6"/>
  <c r="D29" i="6"/>
  <c r="C29" i="6"/>
  <c r="B29" i="6"/>
  <c r="A29" i="6"/>
  <c r="E28" i="6"/>
  <c r="D28" i="6"/>
  <c r="C28" i="6"/>
  <c r="B28" i="6"/>
  <c r="A28" i="6"/>
  <c r="E27" i="6"/>
  <c r="D27" i="6"/>
  <c r="C27" i="6"/>
  <c r="B27" i="6"/>
  <c r="A27" i="6"/>
  <c r="E26" i="6"/>
  <c r="D26" i="6"/>
  <c r="C26" i="6"/>
  <c r="B26" i="6"/>
  <c r="A26" i="6"/>
  <c r="E25" i="6"/>
  <c r="D25" i="6"/>
  <c r="C25" i="6"/>
  <c r="B25" i="6"/>
  <c r="A25" i="6"/>
  <c r="E24" i="6"/>
  <c r="D24" i="6"/>
  <c r="C24" i="6"/>
  <c r="B24" i="6"/>
  <c r="A24" i="6"/>
  <c r="E23" i="6"/>
  <c r="D23" i="6"/>
  <c r="C23" i="6"/>
  <c r="B23" i="6"/>
  <c r="A23" i="6"/>
  <c r="E22" i="6"/>
  <c r="D22" i="6"/>
  <c r="C22" i="6"/>
  <c r="B22" i="6"/>
  <c r="A22" i="6"/>
  <c r="E21" i="6"/>
  <c r="D21" i="6"/>
  <c r="C21" i="6"/>
  <c r="B21" i="6"/>
  <c r="A21" i="6"/>
  <c r="E20" i="6"/>
  <c r="D20" i="6"/>
  <c r="C20" i="6"/>
  <c r="B20" i="6"/>
  <c r="A20" i="6"/>
  <c r="E19" i="6"/>
  <c r="D19" i="6"/>
  <c r="C19" i="6"/>
  <c r="B19" i="6"/>
  <c r="A19" i="6"/>
  <c r="E18" i="6"/>
  <c r="D18" i="6"/>
  <c r="C18" i="6"/>
  <c r="B18" i="6"/>
  <c r="A18" i="6"/>
  <c r="E17" i="6"/>
  <c r="D17" i="6"/>
  <c r="C17" i="6"/>
  <c r="B17" i="6"/>
  <c r="A17" i="6"/>
  <c r="E16" i="6"/>
  <c r="D16" i="6"/>
  <c r="C16" i="6"/>
  <c r="B16" i="6"/>
  <c r="A16" i="6"/>
  <c r="E15" i="6"/>
  <c r="D15" i="6"/>
  <c r="C15" i="6"/>
  <c r="B15" i="6"/>
  <c r="A15" i="6"/>
  <c r="E14" i="6"/>
  <c r="D14" i="6"/>
  <c r="C14" i="6"/>
  <c r="B14" i="6"/>
  <c r="A14" i="6"/>
  <c r="E13" i="6"/>
  <c r="D13" i="6"/>
  <c r="C13" i="6"/>
  <c r="B13" i="6"/>
  <c r="A13" i="6"/>
  <c r="E12" i="6"/>
  <c r="D12" i="6"/>
  <c r="C12" i="6"/>
  <c r="B12" i="6"/>
  <c r="A12" i="6"/>
  <c r="E11" i="6"/>
  <c r="D11" i="6"/>
  <c r="C11" i="6"/>
  <c r="B11" i="6"/>
  <c r="A11" i="6"/>
  <c r="E10" i="6"/>
  <c r="D10" i="6"/>
  <c r="C10" i="6"/>
  <c r="B10" i="6"/>
  <c r="A10" i="6"/>
  <c r="E9" i="6"/>
  <c r="D9" i="6"/>
  <c r="C9" i="6"/>
  <c r="B9" i="6"/>
  <c r="A9" i="6"/>
  <c r="E8" i="6"/>
  <c r="D8" i="6"/>
  <c r="C8" i="6"/>
  <c r="B8" i="6"/>
  <c r="A8" i="6"/>
  <c r="E7" i="6"/>
  <c r="D7" i="6"/>
  <c r="C7" i="6"/>
  <c r="B7" i="6"/>
  <c r="A7" i="6"/>
  <c r="E6" i="6"/>
  <c r="D6" i="6"/>
  <c r="C6" i="6"/>
  <c r="B6" i="6"/>
  <c r="A6" i="6"/>
  <c r="E5" i="6"/>
  <c r="D5" i="6"/>
  <c r="C5" i="6"/>
  <c r="B5" i="6"/>
  <c r="A5" i="6"/>
  <c r="E4" i="6"/>
  <c r="D4" i="6"/>
  <c r="C4" i="6"/>
  <c r="B4" i="6"/>
  <c r="A4" i="6"/>
  <c r="E3" i="6"/>
  <c r="D3" i="6"/>
  <c r="C3" i="6"/>
  <c r="B3" i="6"/>
  <c r="A3" i="6"/>
  <c r="E2" i="6"/>
  <c r="D2" i="6"/>
  <c r="C2" i="6"/>
  <c r="B2" i="6"/>
  <c r="A2" i="6"/>
  <c r="F97" i="6"/>
  <c r="J98" i="2"/>
  <c r="F96" i="6"/>
  <c r="J97" i="2"/>
  <c r="F95" i="6"/>
  <c r="J96" i="2"/>
  <c r="F94" i="6"/>
  <c r="J95" i="2"/>
  <c r="F93" i="6"/>
  <c r="J94" i="2"/>
  <c r="F92" i="6"/>
  <c r="J93" i="2"/>
  <c r="F91" i="6"/>
  <c r="J92" i="2"/>
  <c r="F90" i="6"/>
  <c r="J91" i="2"/>
  <c r="F89" i="6"/>
  <c r="J90" i="2"/>
  <c r="F88" i="6"/>
  <c r="J89" i="2"/>
  <c r="F87" i="6"/>
  <c r="J88" i="2"/>
  <c r="F86" i="6"/>
  <c r="J87" i="2"/>
  <c r="F85" i="6"/>
  <c r="J86" i="2"/>
  <c r="F84" i="6"/>
  <c r="J85" i="2"/>
  <c r="F83" i="6"/>
  <c r="J84" i="2"/>
  <c r="F82" i="6"/>
  <c r="J83" i="2"/>
  <c r="F81" i="6"/>
  <c r="J82" i="2"/>
  <c r="F80" i="6"/>
  <c r="J81" i="2"/>
  <c r="F79" i="6"/>
  <c r="J80" i="2"/>
  <c r="F78" i="6"/>
  <c r="J79" i="2"/>
  <c r="F77" i="6"/>
  <c r="J78" i="2"/>
  <c r="F76" i="6"/>
  <c r="J77" i="2"/>
  <c r="F75" i="6"/>
  <c r="J76" i="2"/>
  <c r="F74" i="6"/>
  <c r="J75" i="2"/>
  <c r="F73" i="6"/>
  <c r="J74" i="2"/>
  <c r="F72" i="6"/>
  <c r="J73" i="2"/>
  <c r="F71" i="6"/>
  <c r="J72" i="2"/>
  <c r="F70" i="6"/>
  <c r="J71" i="2"/>
  <c r="F69" i="6"/>
  <c r="J70" i="2"/>
  <c r="F68" i="6"/>
  <c r="J69" i="2"/>
  <c r="F67" i="6"/>
  <c r="J68" i="2"/>
  <c r="F66" i="6"/>
  <c r="J67" i="2"/>
  <c r="F65" i="6"/>
  <c r="J66" i="2"/>
  <c r="F64" i="6"/>
  <c r="J65" i="2"/>
  <c r="F63" i="6"/>
  <c r="J64" i="2"/>
  <c r="F62" i="6"/>
  <c r="J63" i="2"/>
  <c r="F61" i="6"/>
  <c r="J62" i="2"/>
  <c r="F60" i="6"/>
  <c r="J61" i="2"/>
  <c r="F59" i="6"/>
  <c r="J60" i="2"/>
  <c r="F58" i="6"/>
  <c r="J59" i="2"/>
  <c r="F57" i="6"/>
  <c r="J58" i="2"/>
  <c r="F56" i="6"/>
  <c r="J57" i="2"/>
  <c r="F55" i="6"/>
  <c r="J56" i="2"/>
  <c r="F54" i="6"/>
  <c r="J55" i="2"/>
  <c r="F53" i="6"/>
  <c r="J54" i="2"/>
  <c r="F52" i="6"/>
  <c r="J53" i="2"/>
  <c r="F51" i="6"/>
  <c r="J52" i="2"/>
  <c r="F50" i="6"/>
  <c r="J51" i="2"/>
  <c r="F49" i="6"/>
  <c r="J50" i="2"/>
  <c r="F48" i="6"/>
  <c r="J49" i="2"/>
  <c r="F47" i="6"/>
  <c r="J48" i="2"/>
  <c r="F46" i="6"/>
  <c r="J47" i="2"/>
  <c r="F45" i="6"/>
  <c r="J46" i="2"/>
  <c r="F44" i="6"/>
  <c r="J45" i="2"/>
  <c r="F43" i="6"/>
  <c r="J44" i="2"/>
  <c r="F42" i="6"/>
  <c r="J43" i="2"/>
  <c r="F41" i="6"/>
  <c r="J42" i="2"/>
  <c r="F40" i="6"/>
  <c r="J41" i="2"/>
  <c r="F39" i="6"/>
  <c r="J40" i="2"/>
  <c r="F38" i="6"/>
  <c r="J39" i="2"/>
  <c r="F37" i="6"/>
  <c r="J38" i="2"/>
  <c r="F36" i="6"/>
  <c r="J37" i="2"/>
  <c r="F35" i="6"/>
  <c r="J36" i="2"/>
  <c r="F34" i="6"/>
  <c r="J35" i="2"/>
  <c r="F33" i="6"/>
  <c r="J34" i="2"/>
  <c r="F32" i="6"/>
  <c r="J33" i="2"/>
  <c r="F31" i="6"/>
  <c r="J32" i="2"/>
  <c r="F30" i="6"/>
  <c r="J31" i="2"/>
  <c r="J30" i="2"/>
  <c r="F28" i="6"/>
  <c r="J29" i="2"/>
  <c r="F27" i="6"/>
  <c r="J28" i="2"/>
  <c r="F26" i="6"/>
  <c r="J27" i="2"/>
  <c r="F25" i="6"/>
  <c r="J26" i="2"/>
  <c r="F24" i="6"/>
  <c r="J25" i="2"/>
  <c r="F23" i="6"/>
  <c r="J24" i="2"/>
  <c r="F22" i="6"/>
  <c r="J23" i="2"/>
  <c r="F21" i="6"/>
  <c r="J22" i="2"/>
  <c r="F20" i="6"/>
  <c r="J21" i="2"/>
  <c r="F19" i="6"/>
  <c r="J20" i="2"/>
  <c r="F18" i="6"/>
  <c r="J19" i="2"/>
  <c r="F17" i="6"/>
  <c r="J18" i="2"/>
  <c r="F16" i="6"/>
  <c r="J17" i="2"/>
  <c r="F15" i="6"/>
  <c r="J16" i="2"/>
  <c r="F14" i="6"/>
  <c r="J15" i="2"/>
  <c r="F13" i="6"/>
  <c r="J14" i="2"/>
  <c r="F12" i="6"/>
  <c r="J13" i="2"/>
  <c r="L13" i="2" s="1"/>
  <c r="F11" i="6"/>
  <c r="J12" i="2"/>
  <c r="L12" i="2" s="1"/>
  <c r="F10" i="6"/>
  <c r="J11" i="2"/>
  <c r="L11" i="2" s="1"/>
  <c r="F9" i="6"/>
  <c r="J10" i="2"/>
  <c r="F8" i="6"/>
  <c r="J9" i="2"/>
  <c r="F7" i="6"/>
  <c r="J8" i="2"/>
  <c r="L8" i="2" s="1"/>
  <c r="F6" i="6"/>
  <c r="J7" i="2"/>
  <c r="F5" i="6"/>
  <c r="F4" i="6"/>
  <c r="J5" i="2"/>
  <c r="L5" i="2" s="1"/>
  <c r="F3" i="6"/>
  <c r="J4" i="2"/>
  <c r="L4" i="2" s="1"/>
  <c r="J3" i="2"/>
  <c r="L3" i="2" s="1"/>
  <c r="C71" i="1"/>
  <c r="X2" i="5" s="1"/>
  <c r="G57" i="1"/>
  <c r="O2" i="5" s="1"/>
  <c r="D40" i="1"/>
  <c r="K2" i="5" s="1"/>
  <c r="F30" i="1"/>
  <c r="F29" i="1"/>
  <c r="D24" i="1"/>
  <c r="D31" i="1" s="1"/>
  <c r="A40" i="1" s="1"/>
  <c r="F23" i="1"/>
  <c r="F22" i="1"/>
  <c r="S4" i="2" l="1"/>
  <c r="X4" i="2" s="1"/>
  <c r="T4" i="2"/>
  <c r="Y12" i="2"/>
  <c r="Y11" i="2"/>
  <c r="Y3" i="2"/>
  <c r="Y5" i="2"/>
  <c r="S13" i="2"/>
  <c r="X13" i="2" s="1"/>
  <c r="T13" i="2"/>
  <c r="Y8" i="2"/>
  <c r="M8" i="2"/>
  <c r="Z8" i="2"/>
  <c r="Z3" i="2"/>
  <c r="M3" i="2"/>
  <c r="Z5" i="2"/>
  <c r="M5" i="2"/>
  <c r="V13" i="2"/>
  <c r="U13" i="2"/>
  <c r="P13" i="2"/>
  <c r="O13" i="2"/>
  <c r="N13" i="2"/>
  <c r="M13" i="2"/>
  <c r="M11" i="2"/>
  <c r="Z11" i="2"/>
  <c r="V4" i="2"/>
  <c r="P4" i="2"/>
  <c r="N4" i="2"/>
  <c r="U4" i="2"/>
  <c r="O4" i="2"/>
  <c r="M4" i="2"/>
  <c r="Z12" i="2"/>
  <c r="M12" i="2"/>
  <c r="D62" i="1"/>
  <c r="D63" i="1" s="1"/>
  <c r="D45" i="1"/>
  <c r="D46" i="1" s="1"/>
  <c r="D50" i="1" s="1"/>
  <c r="AA8" i="2" l="1"/>
  <c r="AA11" i="2"/>
  <c r="AA3" i="2"/>
  <c r="AA5" i="2"/>
  <c r="AA12" i="2"/>
  <c r="P11" i="2"/>
  <c r="T11" i="2" s="1"/>
  <c r="O8" i="2"/>
  <c r="S8" i="2" s="1"/>
  <c r="X8" i="2" s="1"/>
  <c r="U8" i="2"/>
  <c r="P8" i="2"/>
  <c r="T8" i="2" s="1"/>
  <c r="V8" i="2"/>
  <c r="N8" i="2"/>
  <c r="N5" i="2"/>
  <c r="Z4" i="2"/>
  <c r="Y4" i="2"/>
  <c r="Y13" i="2"/>
  <c r="V5" i="2"/>
  <c r="N12" i="2"/>
  <c r="N11" i="2"/>
  <c r="O5" i="2"/>
  <c r="S5" i="2" s="1"/>
  <c r="X5" i="2" s="1"/>
  <c r="O12" i="2"/>
  <c r="S12" i="2" s="1"/>
  <c r="X12" i="2" s="1"/>
  <c r="O11" i="2"/>
  <c r="S11" i="2" s="1"/>
  <c r="X11" i="2" s="1"/>
  <c r="V6" i="2"/>
  <c r="U6" i="2"/>
  <c r="P6" i="2"/>
  <c r="T6" i="2" s="1"/>
  <c r="N6" i="2"/>
  <c r="O6" i="2"/>
  <c r="S6" i="2" s="1"/>
  <c r="X6" i="2" s="1"/>
  <c r="N3" i="2"/>
  <c r="V11" i="2"/>
  <c r="P12" i="2"/>
  <c r="T12" i="2" s="1"/>
  <c r="V12" i="2"/>
  <c r="U5" i="2"/>
  <c r="O3" i="2"/>
  <c r="S3" i="2" s="1"/>
  <c r="X3" i="2" s="1"/>
  <c r="U12" i="2"/>
  <c r="W12" i="2" s="1" a="1"/>
  <c r="W12" i="2" s="1"/>
  <c r="U11" i="2"/>
  <c r="V3" i="2"/>
  <c r="Z13" i="2"/>
  <c r="P5" i="2"/>
  <c r="T5" i="2" s="1"/>
  <c r="U3" i="2"/>
  <c r="P3" i="2"/>
  <c r="T3" i="2" s="1"/>
  <c r="W98" i="2" a="1"/>
  <c r="W98" i="2" s="1"/>
  <c r="W89" i="2" a="1"/>
  <c r="W89" i="2" s="1"/>
  <c r="W80" i="2" a="1"/>
  <c r="W80" i="2" s="1"/>
  <c r="W71" i="2" a="1"/>
  <c r="W71" i="2" s="1"/>
  <c r="W62" i="2" a="1"/>
  <c r="W62" i="2" s="1"/>
  <c r="W53" i="2" a="1"/>
  <c r="W53" i="2" s="1"/>
  <c r="W44" i="2" a="1"/>
  <c r="W44" i="2" s="1"/>
  <c r="W35" i="2" a="1"/>
  <c r="W35" i="2" s="1"/>
  <c r="W26" i="2" a="1"/>
  <c r="W26" i="2" s="1"/>
  <c r="W96" i="2" a="1"/>
  <c r="W96" i="2" s="1"/>
  <c r="W87" i="2" a="1"/>
  <c r="W87" i="2" s="1"/>
  <c r="W78" i="2" a="1"/>
  <c r="W78" i="2" s="1"/>
  <c r="W69" i="2" a="1"/>
  <c r="W69" i="2" s="1"/>
  <c r="W60" i="2" a="1"/>
  <c r="W60" i="2" s="1"/>
  <c r="W51" i="2" a="1"/>
  <c r="W51" i="2" s="1"/>
  <c r="W42" i="2" a="1"/>
  <c r="W42" i="2" s="1"/>
  <c r="W33" i="2" a="1"/>
  <c r="W33" i="2" s="1"/>
  <c r="W24" i="2" a="1"/>
  <c r="W24" i="2" s="1"/>
  <c r="R85" i="2" a="1"/>
  <c r="R85" i="2" s="1"/>
  <c r="R76" i="2" a="1"/>
  <c r="R76" i="2" s="1"/>
  <c r="R67" i="2" a="1"/>
  <c r="R67" i="2" s="1"/>
  <c r="R96" i="2" a="1"/>
  <c r="R96" i="2" s="1"/>
  <c r="R69" i="2" a="1"/>
  <c r="R69" i="2" s="1"/>
  <c r="R33" i="2" a="1"/>
  <c r="R33" i="2" s="1"/>
  <c r="W58" i="2" a="1"/>
  <c r="W58" i="2" s="1"/>
  <c r="W40" i="2" a="1"/>
  <c r="W40" i="2" s="1"/>
  <c r="W22" i="2" a="1"/>
  <c r="W22" i="2" s="1"/>
  <c r="R97" i="2" a="1"/>
  <c r="R97" i="2" s="1"/>
  <c r="R70" i="2" a="1"/>
  <c r="R70" i="2" s="1"/>
  <c r="R37" i="2" a="1"/>
  <c r="R37" i="2" s="1"/>
  <c r="R93" i="2" a="1"/>
  <c r="R93" i="2" s="1"/>
  <c r="R84" i="2" a="1"/>
  <c r="R84" i="2" s="1"/>
  <c r="R75" i="2" a="1"/>
  <c r="R75" i="2" s="1"/>
  <c r="R66" i="2" a="1"/>
  <c r="R66" i="2" s="1"/>
  <c r="R57" i="2" a="1"/>
  <c r="R57" i="2" s="1"/>
  <c r="R48" i="2" a="1"/>
  <c r="R48" i="2" s="1"/>
  <c r="R39" i="2" a="1"/>
  <c r="R39" i="2" s="1"/>
  <c r="R30" i="2" a="1"/>
  <c r="R30" i="2" s="1"/>
  <c r="R21" i="2" a="1"/>
  <c r="R21" i="2" s="1"/>
  <c r="W97" i="2" a="1"/>
  <c r="W97" i="2" s="1"/>
  <c r="W88" i="2" a="1"/>
  <c r="W88" i="2" s="1"/>
  <c r="W79" i="2" a="1"/>
  <c r="W79" i="2" s="1"/>
  <c r="W70" i="2" a="1"/>
  <c r="W70" i="2" s="1"/>
  <c r="W61" i="2" a="1"/>
  <c r="W61" i="2" s="1"/>
  <c r="W52" i="2" a="1"/>
  <c r="W52" i="2" s="1"/>
  <c r="W43" i="2" a="1"/>
  <c r="W43" i="2" s="1"/>
  <c r="W34" i="2" a="1"/>
  <c r="W34" i="2" s="1"/>
  <c r="W25" i="2" a="1"/>
  <c r="W25" i="2" s="1"/>
  <c r="W92" i="2" a="1"/>
  <c r="W92" i="2" s="1"/>
  <c r="W83" i="2" a="1"/>
  <c r="W83" i="2" s="1"/>
  <c r="W74" i="2" a="1"/>
  <c r="W74" i="2" s="1"/>
  <c r="W65" i="2" a="1"/>
  <c r="W65" i="2" s="1"/>
  <c r="W56" i="2" a="1"/>
  <c r="W56" i="2" s="1"/>
  <c r="W47" i="2" a="1"/>
  <c r="W47" i="2" s="1"/>
  <c r="W38" i="2" a="1"/>
  <c r="W38" i="2" s="1"/>
  <c r="W29" i="2" a="1"/>
  <c r="W29" i="2" s="1"/>
  <c r="W20" i="2" a="1"/>
  <c r="W20" i="2" s="1"/>
  <c r="W90" i="2" a="1"/>
  <c r="W90" i="2" s="1"/>
  <c r="W81" i="2" a="1"/>
  <c r="W81" i="2" s="1"/>
  <c r="W72" i="2" a="1"/>
  <c r="W72" i="2" s="1"/>
  <c r="W63" i="2" a="1"/>
  <c r="W63" i="2" s="1"/>
  <c r="W54" i="2" a="1"/>
  <c r="W54" i="2" s="1"/>
  <c r="W45" i="2" a="1"/>
  <c r="W45" i="2" s="1"/>
  <c r="W36" i="2" a="1"/>
  <c r="W36" i="2" s="1"/>
  <c r="W27" i="2" a="1"/>
  <c r="W27" i="2" s="1"/>
  <c r="W18" i="2" a="1"/>
  <c r="W18" i="2" s="1"/>
  <c r="R94" i="2" a="1"/>
  <c r="R94" i="2" s="1"/>
  <c r="R87" i="2" a="1"/>
  <c r="R87" i="2" s="1"/>
  <c r="R78" i="2" a="1"/>
  <c r="R78" i="2" s="1"/>
  <c r="R60" i="2" a="1"/>
  <c r="R60" i="2" s="1"/>
  <c r="R51" i="2" a="1"/>
  <c r="R51" i="2" s="1"/>
  <c r="R42" i="2" a="1"/>
  <c r="R42" i="2" s="1"/>
  <c r="R24" i="2" a="1"/>
  <c r="R24" i="2" s="1"/>
  <c r="W85" i="2" a="1"/>
  <c r="W85" i="2" s="1"/>
  <c r="W76" i="2" a="1"/>
  <c r="W76" i="2" s="1"/>
  <c r="W67" i="2" a="1"/>
  <c r="W67" i="2" s="1"/>
  <c r="W49" i="2" a="1"/>
  <c r="W49" i="2" s="1"/>
  <c r="W31" i="2" a="1"/>
  <c r="W31" i="2" s="1"/>
  <c r="R91" i="2" a="1"/>
  <c r="R91" i="2" s="1"/>
  <c r="R88" i="2" a="1"/>
  <c r="R88" i="2" s="1"/>
  <c r="R82" i="2" a="1"/>
  <c r="R82" i="2" s="1"/>
  <c r="R79" i="2" a="1"/>
  <c r="R79" i="2" s="1"/>
  <c r="R73" i="2" a="1"/>
  <c r="R73" i="2" s="1"/>
  <c r="R64" i="2" a="1"/>
  <c r="R64" i="2" s="1"/>
  <c r="R61" i="2" a="1"/>
  <c r="R61" i="2" s="1"/>
  <c r="R58" i="2" a="1"/>
  <c r="R58" i="2" s="1"/>
  <c r="R55" i="2" a="1"/>
  <c r="R55" i="2" s="1"/>
  <c r="R52" i="2" a="1"/>
  <c r="R52" i="2" s="1"/>
  <c r="R49" i="2" a="1"/>
  <c r="R49" i="2" s="1"/>
  <c r="R46" i="2" a="1"/>
  <c r="R46" i="2" s="1"/>
  <c r="R43" i="2" a="1"/>
  <c r="R43" i="2" s="1"/>
  <c r="R40" i="2" a="1"/>
  <c r="R40" i="2" s="1"/>
  <c r="R34" i="2" a="1"/>
  <c r="R34" i="2" s="1"/>
  <c r="R31" i="2" a="1"/>
  <c r="R31" i="2" s="1"/>
  <c r="R28" i="2" a="1"/>
  <c r="R28" i="2" s="1"/>
  <c r="R25" i="2" a="1"/>
  <c r="R25" i="2" s="1"/>
  <c r="R22" i="2" a="1"/>
  <c r="R22" i="2" s="1"/>
  <c r="R19" i="2" a="1"/>
  <c r="R19" i="2" s="1"/>
  <c r="R98" i="2" a="1"/>
  <c r="R98" i="2" s="1"/>
  <c r="R95" i="2" a="1"/>
  <c r="R95" i="2" s="1"/>
  <c r="R92" i="2" a="1"/>
  <c r="R92" i="2" s="1"/>
  <c r="R89" i="2" a="1"/>
  <c r="R89" i="2" s="1"/>
  <c r="R86" i="2" a="1"/>
  <c r="R86" i="2" s="1"/>
  <c r="R83" i="2" a="1"/>
  <c r="R83" i="2" s="1"/>
  <c r="R80" i="2" a="1"/>
  <c r="R80" i="2" s="1"/>
  <c r="R77" i="2" a="1"/>
  <c r="R77" i="2" s="1"/>
  <c r="R74" i="2" a="1"/>
  <c r="R74" i="2" s="1"/>
  <c r="R71" i="2" a="1"/>
  <c r="R71" i="2" s="1"/>
  <c r="R68" i="2" a="1"/>
  <c r="R68" i="2" s="1"/>
  <c r="R65" i="2" a="1"/>
  <c r="R65" i="2" s="1"/>
  <c r="R62" i="2" a="1"/>
  <c r="R62" i="2" s="1"/>
  <c r="R59" i="2" a="1"/>
  <c r="R59" i="2" s="1"/>
  <c r="R56" i="2" a="1"/>
  <c r="R56" i="2" s="1"/>
  <c r="R53" i="2" a="1"/>
  <c r="R53" i="2" s="1"/>
  <c r="R50" i="2" a="1"/>
  <c r="R50" i="2" s="1"/>
  <c r="R47" i="2" a="1"/>
  <c r="R47" i="2" s="1"/>
  <c r="R44" i="2" a="1"/>
  <c r="R44" i="2" s="1"/>
  <c r="R41" i="2" a="1"/>
  <c r="R41" i="2" s="1"/>
  <c r="R38" i="2" a="1"/>
  <c r="R38" i="2" s="1"/>
  <c r="R35" i="2" a="1"/>
  <c r="R35" i="2" s="1"/>
  <c r="R32" i="2" a="1"/>
  <c r="R32" i="2" s="1"/>
  <c r="R29" i="2" a="1"/>
  <c r="R29" i="2" s="1"/>
  <c r="R26" i="2" a="1"/>
  <c r="R26" i="2" s="1"/>
  <c r="R23" i="2" a="1"/>
  <c r="R23" i="2" s="1"/>
  <c r="R20" i="2" a="1"/>
  <c r="R20" i="2" s="1"/>
  <c r="R90" i="2" a="1"/>
  <c r="R90" i="2" s="1"/>
  <c r="R81" i="2" a="1"/>
  <c r="R81" i="2" s="1"/>
  <c r="R72" i="2" a="1"/>
  <c r="R72" i="2" s="1"/>
  <c r="R63" i="2" a="1"/>
  <c r="R63" i="2" s="1"/>
  <c r="R54" i="2" a="1"/>
  <c r="R54" i="2" s="1"/>
  <c r="R45" i="2" a="1"/>
  <c r="R45" i="2" s="1"/>
  <c r="R36" i="2" a="1"/>
  <c r="R36" i="2" s="1"/>
  <c r="R27" i="2" a="1"/>
  <c r="R27" i="2" s="1"/>
  <c r="R18" i="2" a="1"/>
  <c r="R18" i="2" s="1"/>
  <c r="W94" i="2" a="1"/>
  <c r="W94" i="2" s="1"/>
  <c r="W91" i="2" a="1"/>
  <c r="W91" i="2" s="1"/>
  <c r="W82" i="2" a="1"/>
  <c r="W82" i="2" s="1"/>
  <c r="W73" i="2" a="1"/>
  <c r="W73" i="2" s="1"/>
  <c r="W64" i="2" a="1"/>
  <c r="W64" i="2" s="1"/>
  <c r="W55" i="2" a="1"/>
  <c r="W55" i="2" s="1"/>
  <c r="W46" i="2" a="1"/>
  <c r="W46" i="2" s="1"/>
  <c r="W37" i="2" a="1"/>
  <c r="W37" i="2" s="1"/>
  <c r="W28" i="2" a="1"/>
  <c r="W28" i="2" s="1"/>
  <c r="W19" i="2" a="1"/>
  <c r="W19" i="2" s="1"/>
  <c r="W95" i="2" a="1"/>
  <c r="W95" i="2" s="1"/>
  <c r="W86" i="2" a="1"/>
  <c r="W86" i="2" s="1"/>
  <c r="W77" i="2" a="1"/>
  <c r="W77" i="2" s="1"/>
  <c r="W68" i="2" a="1"/>
  <c r="W68" i="2" s="1"/>
  <c r="W59" i="2" a="1"/>
  <c r="W59" i="2" s="1"/>
  <c r="W50" i="2" a="1"/>
  <c r="W50" i="2" s="1"/>
  <c r="W41" i="2" a="1"/>
  <c r="W41" i="2" s="1"/>
  <c r="W32" i="2" a="1"/>
  <c r="W32" i="2" s="1"/>
  <c r="W23" i="2" a="1"/>
  <c r="W23" i="2" s="1"/>
  <c r="W93" i="2" a="1"/>
  <c r="W93" i="2" s="1"/>
  <c r="W84" i="2" a="1"/>
  <c r="W84" i="2" s="1"/>
  <c r="W75" i="2" a="1"/>
  <c r="W75" i="2" s="1"/>
  <c r="W66" i="2" a="1"/>
  <c r="W66" i="2" s="1"/>
  <c r="W57" i="2" a="1"/>
  <c r="W57" i="2" s="1"/>
  <c r="W48" i="2" a="1"/>
  <c r="W48" i="2" s="1"/>
  <c r="W39" i="2" a="1"/>
  <c r="W39" i="2" s="1"/>
  <c r="W30" i="2" a="1"/>
  <c r="W30" i="2" s="1"/>
  <c r="W21" i="2" a="1"/>
  <c r="W21" i="2" s="1"/>
  <c r="W4" i="2" a="1"/>
  <c r="W4" i="2" s="1"/>
  <c r="W7" i="2" a="1"/>
  <c r="W7" i="2" s="1"/>
  <c r="W10" i="2" a="1"/>
  <c r="W10" i="2" s="1"/>
  <c r="Q94" i="2" a="1"/>
  <c r="Q94" i="2" s="1"/>
  <c r="Q85" i="2" a="1"/>
  <c r="Q85" i="2" s="1"/>
  <c r="Q76" i="2" a="1"/>
  <c r="Q76" i="2" s="1"/>
  <c r="Q67" i="2" a="1"/>
  <c r="Q67" i="2" s="1"/>
  <c r="Q95" i="2" a="1"/>
  <c r="Q95" i="2" s="1"/>
  <c r="Q86" i="2" a="1"/>
  <c r="Q86" i="2" s="1"/>
  <c r="Q77" i="2" a="1"/>
  <c r="Q77" i="2" s="1"/>
  <c r="Q71" i="2" a="1"/>
  <c r="Q71" i="2" s="1"/>
  <c r="Q68" i="2" a="1"/>
  <c r="Q68" i="2" s="1"/>
  <c r="Q35" i="2" a="1"/>
  <c r="Q35" i="2" s="1"/>
  <c r="Q93" i="2" a="1"/>
  <c r="Q93" i="2" s="1"/>
  <c r="Q84" i="2" a="1"/>
  <c r="Q84" i="2" s="1"/>
  <c r="Q75" i="2" a="1"/>
  <c r="Q75" i="2" s="1"/>
  <c r="Q66" i="2" a="1"/>
  <c r="Q66" i="2" s="1"/>
  <c r="Q57" i="2" a="1"/>
  <c r="Q57" i="2" s="1"/>
  <c r="Q48" i="2" a="1"/>
  <c r="Q48" i="2" s="1"/>
  <c r="Q39" i="2" a="1"/>
  <c r="Q39" i="2" s="1"/>
  <c r="Q30" i="2" a="1"/>
  <c r="Q30" i="2" s="1"/>
  <c r="Q21" i="2" a="1"/>
  <c r="Q21" i="2" s="1"/>
  <c r="Q98" i="2" a="1"/>
  <c r="Q98" i="2" s="1"/>
  <c r="Q92" i="2" a="1"/>
  <c r="Q92" i="2" s="1"/>
  <c r="Q89" i="2" a="1"/>
  <c r="Q89" i="2" s="1"/>
  <c r="Q83" i="2" a="1"/>
  <c r="Q83" i="2" s="1"/>
  <c r="Q80" i="2" a="1"/>
  <c r="Q80" i="2" s="1"/>
  <c r="Q74" i="2" a="1"/>
  <c r="Q74" i="2" s="1"/>
  <c r="Q65" i="2" a="1"/>
  <c r="Q65" i="2" s="1"/>
  <c r="Q62" i="2" a="1"/>
  <c r="Q62" i="2" s="1"/>
  <c r="Q59" i="2" a="1"/>
  <c r="Q59" i="2" s="1"/>
  <c r="Q56" i="2" a="1"/>
  <c r="Q56" i="2" s="1"/>
  <c r="Q53" i="2" a="1"/>
  <c r="Q53" i="2" s="1"/>
  <c r="Q50" i="2" a="1"/>
  <c r="Q50" i="2" s="1"/>
  <c r="Q47" i="2" a="1"/>
  <c r="Q47" i="2" s="1"/>
  <c r="Q44" i="2" a="1"/>
  <c r="Q44" i="2" s="1"/>
  <c r="Q41" i="2" a="1"/>
  <c r="Q41" i="2" s="1"/>
  <c r="Q38" i="2" a="1"/>
  <c r="Q38" i="2" s="1"/>
  <c r="Q32" i="2" a="1"/>
  <c r="Q32" i="2" s="1"/>
  <c r="Q29" i="2" a="1"/>
  <c r="Q29" i="2" s="1"/>
  <c r="Q26" i="2" a="1"/>
  <c r="Q26" i="2" s="1"/>
  <c r="Q23" i="2" a="1"/>
  <c r="Q23" i="2" s="1"/>
  <c r="Q20" i="2" a="1"/>
  <c r="Q20" i="2" s="1"/>
  <c r="Q90" i="2" a="1"/>
  <c r="Q90" i="2" s="1"/>
  <c r="Q81" i="2" a="1"/>
  <c r="Q81" i="2" s="1"/>
  <c r="Q72" i="2" a="1"/>
  <c r="Q72" i="2" s="1"/>
  <c r="Q63" i="2" a="1"/>
  <c r="Q63" i="2" s="1"/>
  <c r="Q54" i="2" a="1"/>
  <c r="Q54" i="2" s="1"/>
  <c r="Q45" i="2" a="1"/>
  <c r="Q45" i="2" s="1"/>
  <c r="Q36" i="2" a="1"/>
  <c r="Q36" i="2" s="1"/>
  <c r="Q27" i="2" a="1"/>
  <c r="Q27" i="2" s="1"/>
  <c r="Q18" i="2" a="1"/>
  <c r="Q18" i="2" s="1"/>
  <c r="Q97" i="2" a="1"/>
  <c r="Q97" i="2" s="1"/>
  <c r="Q91" i="2" a="1"/>
  <c r="Q91" i="2" s="1"/>
  <c r="Q88" i="2" a="1"/>
  <c r="Q88" i="2" s="1"/>
  <c r="Q82" i="2" a="1"/>
  <c r="Q82" i="2" s="1"/>
  <c r="Q79" i="2" a="1"/>
  <c r="Q79" i="2" s="1"/>
  <c r="Q73" i="2" a="1"/>
  <c r="Q73" i="2" s="1"/>
  <c r="Q70" i="2" a="1"/>
  <c r="Q70" i="2" s="1"/>
  <c r="Q64" i="2" a="1"/>
  <c r="Q64" i="2" s="1"/>
  <c r="Q61" i="2" a="1"/>
  <c r="Q61" i="2" s="1"/>
  <c r="Q58" i="2" a="1"/>
  <c r="Q58" i="2" s="1"/>
  <c r="Q55" i="2" a="1"/>
  <c r="Q55" i="2" s="1"/>
  <c r="Q52" i="2" a="1"/>
  <c r="Q52" i="2" s="1"/>
  <c r="Q49" i="2" a="1"/>
  <c r="Q49" i="2" s="1"/>
  <c r="Q46" i="2" a="1"/>
  <c r="Q46" i="2" s="1"/>
  <c r="Q43" i="2" a="1"/>
  <c r="Q43" i="2" s="1"/>
  <c r="Q40" i="2" a="1"/>
  <c r="Q40" i="2" s="1"/>
  <c r="Q37" i="2" a="1"/>
  <c r="Q37" i="2" s="1"/>
  <c r="Q34" i="2" a="1"/>
  <c r="Q34" i="2" s="1"/>
  <c r="Q31" i="2" a="1"/>
  <c r="Q31" i="2" s="1"/>
  <c r="Q28" i="2" a="1"/>
  <c r="Q28" i="2" s="1"/>
  <c r="Q25" i="2" a="1"/>
  <c r="Q25" i="2" s="1"/>
  <c r="Q22" i="2" a="1"/>
  <c r="Q22" i="2" s="1"/>
  <c r="Q19" i="2" a="1"/>
  <c r="Q19" i="2" s="1"/>
  <c r="Q96" i="2" a="1"/>
  <c r="Q96" i="2" s="1"/>
  <c r="Q87" i="2" a="1"/>
  <c r="Q87" i="2" s="1"/>
  <c r="Q78" i="2" a="1"/>
  <c r="Q78" i="2" s="1"/>
  <c r="Q69" i="2" a="1"/>
  <c r="Q69" i="2" s="1"/>
  <c r="Q60" i="2" a="1"/>
  <c r="Q60" i="2" s="1"/>
  <c r="Q51" i="2" a="1"/>
  <c r="Q51" i="2" s="1"/>
  <c r="Q42" i="2" a="1"/>
  <c r="Q42" i="2" s="1"/>
  <c r="Q33" i="2" a="1"/>
  <c r="Q33" i="2" s="1"/>
  <c r="Q24" i="2" a="1"/>
  <c r="Q24" i="2" s="1"/>
  <c r="AA4" i="2" l="1"/>
  <c r="AA13" i="2"/>
  <c r="AB13" i="2" s="1"/>
  <c r="AD13" i="2" s="1"/>
  <c r="AB4" i="2"/>
  <c r="AD4" i="2" s="1"/>
  <c r="H70" i="6"/>
  <c r="H94" i="6"/>
  <c r="H33" i="6"/>
  <c r="H28" i="6"/>
  <c r="H75" i="6"/>
  <c r="H97" i="6"/>
  <c r="W3" i="2" a="1"/>
  <c r="W3" i="2" s="1"/>
  <c r="R3" i="2" a="1"/>
  <c r="R3" i="2" s="1"/>
  <c r="R6" i="2" a="1"/>
  <c r="R6" i="2" s="1"/>
  <c r="H24" i="6"/>
  <c r="H73" i="6"/>
  <c r="H42" i="6"/>
  <c r="H51" i="6"/>
  <c r="H26" i="6"/>
  <c r="H53" i="6"/>
  <c r="H80" i="6"/>
  <c r="H40" i="6"/>
  <c r="H58" i="6"/>
  <c r="H20" i="6"/>
  <c r="H47" i="6"/>
  <c r="H74" i="6"/>
  <c r="H52" i="6"/>
  <c r="H79" i="6"/>
  <c r="H60" i="6"/>
  <c r="H72" i="6"/>
  <c r="H87" i="6"/>
  <c r="H18" i="6"/>
  <c r="H36" i="6"/>
  <c r="H54" i="6"/>
  <c r="H23" i="6"/>
  <c r="H50" i="6"/>
  <c r="H37" i="6"/>
  <c r="H46" i="6"/>
  <c r="H55" i="6"/>
  <c r="H64" i="6"/>
  <c r="H82" i="6"/>
  <c r="Q10" i="2" a="1"/>
  <c r="Q10" i="2" s="1"/>
  <c r="Q13" i="2" a="1"/>
  <c r="Q13" i="2" s="1"/>
  <c r="W17" i="2" a="1"/>
  <c r="W17" i="2" s="1"/>
  <c r="W9" i="2" a="1"/>
  <c r="W9" i="2" s="1"/>
  <c r="Q11" i="2" a="1"/>
  <c r="Q11" i="2" s="1"/>
  <c r="Q16" i="2" a="1"/>
  <c r="Q16" i="2" s="1"/>
  <c r="W11" i="2" a="1"/>
  <c r="W11" i="2" s="1"/>
  <c r="W13" i="2" a="1"/>
  <c r="W13" i="2" s="1"/>
  <c r="H32" i="6"/>
  <c r="H59" i="6"/>
  <c r="H77" i="6"/>
  <c r="H48" i="6"/>
  <c r="H57" i="6"/>
  <c r="H81" i="6"/>
  <c r="H96" i="6"/>
  <c r="H91" i="6"/>
  <c r="H67" i="6"/>
  <c r="H85" i="6"/>
  <c r="H93" i="6"/>
  <c r="Q14" i="2" a="1"/>
  <c r="Q14" i="2" s="1"/>
  <c r="H27" i="6"/>
  <c r="H78" i="6"/>
  <c r="H35" i="6"/>
  <c r="H62" i="6"/>
  <c r="H89" i="6"/>
  <c r="H86" i="6"/>
  <c r="H45" i="6"/>
  <c r="H63" i="6"/>
  <c r="H90" i="6"/>
  <c r="H25" i="6"/>
  <c r="H38" i="6"/>
  <c r="H65" i="6"/>
  <c r="H92" i="6"/>
  <c r="Q17" i="2" a="1"/>
  <c r="Q17" i="2" s="1"/>
  <c r="H95" i="6"/>
  <c r="H69" i="6"/>
  <c r="H17" i="6"/>
  <c r="H44" i="6"/>
  <c r="H71" i="6"/>
  <c r="H19" i="6"/>
  <c r="H84" i="6"/>
  <c r="H41" i="6"/>
  <c r="H68" i="6"/>
  <c r="H21" i="6"/>
  <c r="H30" i="6"/>
  <c r="H39" i="6"/>
  <c r="H49" i="6"/>
  <c r="H88" i="6"/>
  <c r="H34" i="6"/>
  <c r="H76" i="6"/>
  <c r="H22" i="6"/>
  <c r="H31" i="6"/>
  <c r="H43" i="6"/>
  <c r="H61" i="6"/>
  <c r="H29" i="6"/>
  <c r="H56" i="6"/>
  <c r="H83" i="6"/>
  <c r="H66" i="6"/>
  <c r="R10" i="2" a="1"/>
  <c r="R10" i="2" s="1"/>
  <c r="R15" i="2" a="1"/>
  <c r="R15" i="2" s="1"/>
  <c r="R9" i="2" a="1"/>
  <c r="R9" i="2" s="1"/>
  <c r="W8" i="2" a="1"/>
  <c r="W8" i="2" s="1"/>
  <c r="R13" i="2" a="1"/>
  <c r="R13" i="2" s="1"/>
  <c r="R14" i="2" a="1"/>
  <c r="R14" i="2" s="1"/>
  <c r="R7" i="2" a="1"/>
  <c r="R7" i="2" s="1"/>
  <c r="Q12" i="2" a="1"/>
  <c r="Q12" i="2" s="1"/>
  <c r="R12" i="2" a="1"/>
  <c r="R12" i="2" s="1"/>
  <c r="R8" i="2" a="1"/>
  <c r="R8" i="2" s="1"/>
  <c r="R4" i="2" a="1"/>
  <c r="R4" i="2" s="1"/>
  <c r="W15" i="2" a="1"/>
  <c r="W15" i="2" s="1"/>
  <c r="W16" i="2" a="1"/>
  <c r="W16" i="2" s="1"/>
  <c r="R11" i="2" a="1"/>
  <c r="R11" i="2" s="1"/>
  <c r="W14" i="2" a="1"/>
  <c r="W14" i="2" s="1"/>
  <c r="R16" i="2" a="1"/>
  <c r="R16" i="2" s="1"/>
  <c r="R17" i="2" a="1"/>
  <c r="R17" i="2" s="1"/>
  <c r="Q15" i="2" a="1"/>
  <c r="Q15" i="2" s="1"/>
  <c r="Q8" i="2" a="1"/>
  <c r="Q8" i="2" s="1"/>
  <c r="Q9" i="2" a="1"/>
  <c r="Q9" i="2" s="1"/>
  <c r="Q4" i="2" a="1"/>
  <c r="Q4" i="2" s="1"/>
  <c r="Q7" i="2" a="1"/>
  <c r="Q7" i="2" s="1"/>
  <c r="AB11" i="2" l="1"/>
  <c r="AD11" i="2" s="1"/>
  <c r="AB8" i="2"/>
  <c r="AD8" i="2" s="1"/>
  <c r="R5" i="2" a="1"/>
  <c r="R5" i="2" s="1"/>
  <c r="W5" i="2" a="1"/>
  <c r="W5" i="2" s="1"/>
  <c r="Q3" i="2" a="1"/>
  <c r="Q3" i="2" s="1"/>
  <c r="W6" i="2" a="1"/>
  <c r="W6" i="2" s="1"/>
  <c r="Q5" i="2" a="1"/>
  <c r="Q5" i="2" s="1"/>
  <c r="AB5" i="2" s="1"/>
  <c r="Q6" i="2" a="1"/>
  <c r="Q6" i="2" s="1"/>
  <c r="H13" i="6"/>
  <c r="H9" i="6"/>
  <c r="H16" i="6"/>
  <c r="H10" i="6" l="1"/>
  <c r="AB6" i="2"/>
  <c r="AD6" i="2" s="1"/>
  <c r="AB12" i="2"/>
  <c r="AD12" i="2" s="1"/>
  <c r="H4" i="6"/>
  <c r="AD5" i="2"/>
  <c r="H14" i="6"/>
  <c r="H8" i="6"/>
  <c r="H12" i="6"/>
  <c r="H15" i="6"/>
  <c r="H6" i="6"/>
  <c r="H7" i="6"/>
  <c r="H3" i="6"/>
  <c r="H11" i="6" l="1"/>
  <c r="H5" i="6"/>
  <c r="AB3" i="2"/>
  <c r="AD3" i="2" s="1"/>
  <c r="H2" i="6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<sst xmlns="http://schemas.openxmlformats.org/spreadsheetml/2006/main" count="471" uniqueCount="436">
  <si>
    <t>Date:</t>
  </si>
  <si>
    <t>(YYYY-MM-DD)</t>
  </si>
  <si>
    <t>KEY</t>
  </si>
  <si>
    <t>User:</t>
  </si>
  <si>
    <t>(select from dropdown)</t>
  </si>
  <si>
    <t>Required fields</t>
  </si>
  <si>
    <t>Exp Number:</t>
  </si>
  <si>
    <t>(user created three digit ID)</t>
  </si>
  <si>
    <t>Calculated fields</t>
  </si>
  <si>
    <t>Exp ID:</t>
  </si>
  <si>
    <t>(SL = Sequencing Library)</t>
  </si>
  <si>
    <t>Do NOT use any commas in fields</t>
  </si>
  <si>
    <t>Exp Name:</t>
  </si>
  <si>
    <t>Project:</t>
  </si>
  <si>
    <t>Batch:</t>
  </si>
  <si>
    <t>(e.g. A, B, C etc)</t>
  </si>
  <si>
    <t>Exp Summary:</t>
  </si>
  <si>
    <t>(Overwrite if necessary)</t>
  </si>
  <si>
    <t>Filename:</t>
  </si>
  <si>
    <t>Number of samples:</t>
  </si>
  <si>
    <t>Notes:</t>
  </si>
  <si>
    <t>1 - Library Preparation</t>
  </si>
  <si>
    <t>(Values in Library Tab)</t>
  </si>
  <si>
    <t>2. End-repair rxn:</t>
  </si>
  <si>
    <t>Overage</t>
  </si>
  <si>
    <t>Item</t>
  </si>
  <si>
    <t>Per tube (µl)</t>
  </si>
  <si>
    <r>
      <rPr>
        <sz val="12"/>
        <color theme="1"/>
        <rFont val="Calibri"/>
        <family val="2"/>
        <charset val="1"/>
      </rPr>
      <t>Temperature (</t>
    </r>
    <r>
      <rPr>
        <vertAlign val="superscript"/>
        <sz val="12"/>
        <color theme="1"/>
        <rFont val="Calibri"/>
        <family val="2"/>
        <charset val="1"/>
      </rPr>
      <t>o</t>
    </r>
    <r>
      <rPr>
        <sz val="12"/>
        <color theme="1"/>
        <rFont val="Calibri"/>
        <family val="2"/>
        <charset val="1"/>
      </rPr>
      <t>C)</t>
    </r>
  </si>
  <si>
    <t>Time (min)</t>
  </si>
  <si>
    <t>PCR product</t>
  </si>
  <si>
    <t>x</t>
  </si>
  <si>
    <t>-</t>
  </si>
  <si>
    <r>
      <rPr>
        <sz val="12"/>
        <color theme="1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</t>
    </r>
  </si>
  <si>
    <t>NEBNext End repair reaction buffer (10x)</t>
  </si>
  <si>
    <t>∞</t>
  </si>
  <si>
    <t>NEBNext end prep enzyme mix</t>
  </si>
  <si>
    <t>3. Barcoding Ligation:</t>
  </si>
  <si>
    <t>Native Barcode (1-96)</t>
  </si>
  <si>
    <t>Ultra II Ligation MM</t>
  </si>
  <si>
    <t>Ultra II Ligation Enhancer</t>
  </si>
  <si>
    <t>2 - Pooling and clean-up</t>
  </si>
  <si>
    <t>AMPPure Volume (µl)</t>
  </si>
  <si>
    <t>Pooled DNA 
(ng / µl)</t>
  </si>
  <si>
    <t>Dilution Factor</t>
  </si>
  <si>
    <t>Final Pooled [DNA] (ng/µl)*</t>
  </si>
  <si>
    <t>3 - Adapter Ligation</t>
  </si>
  <si>
    <t>Barcoded pool</t>
  </si>
  <si>
    <t>RT</t>
  </si>
  <si>
    <t>Ligation Adapter (NA)</t>
  </si>
  <si>
    <t>Quick T4 DNA Ligase (NEBNext)</t>
  </si>
  <si>
    <t>Library DNA 
(ng / µl)</t>
  </si>
  <si>
    <t>Final Library [DNA] (ng/µl)</t>
  </si>
  <si>
    <t>5 - Loading Library</t>
  </si>
  <si>
    <t>Library DNA</t>
  </si>
  <si>
    <t>Elution Buffer (EB)</t>
  </si>
  <si>
    <t>(ensure mixed thoroughly just before addition)</t>
  </si>
  <si>
    <t>Sequencing Run Details</t>
  </si>
  <si>
    <t>Platform:</t>
  </si>
  <si>
    <t>Mk1b</t>
  </si>
  <si>
    <t>Flow Cell ID:</t>
  </si>
  <si>
    <t>Flow Cell status:</t>
  </si>
  <si>
    <t>Flow Cell usage:</t>
  </si>
  <si>
    <t>(if used state hrs)</t>
  </si>
  <si>
    <t>Flow Chemistry:</t>
  </si>
  <si>
    <t>R10.4.1</t>
  </si>
  <si>
    <t>Flow cell check:</t>
  </si>
  <si>
    <t xml:space="preserve"> (# functioning pores)</t>
  </si>
  <si>
    <t>Run Length:</t>
  </si>
  <si>
    <t>hrs</t>
  </si>
  <si>
    <t>Sample Information</t>
  </si>
  <si>
    <t>SWGA</t>
  </si>
  <si>
    <t>Multiplex PCR</t>
  </si>
  <si>
    <t>Library Prep</t>
  </si>
  <si>
    <t>#</t>
  </si>
  <si>
    <t>Well</t>
  </si>
  <si>
    <t>Sample ID</t>
  </si>
  <si>
    <t>Extraction ID</t>
  </si>
  <si>
    <t>sWGA Identifier</t>
  </si>
  <si>
    <t>PCR Identifier</t>
  </si>
  <si>
    <t>Qubit PCR [DNA] (ng/µl)</t>
  </si>
  <si>
    <t>PCR Dilution Factor</t>
  </si>
  <si>
    <t>PCR [DNA] (ng / µl)</t>
  </si>
  <si>
    <t>Barcode#</t>
  </si>
  <si>
    <r>
      <rPr>
        <sz val="12"/>
        <rFont val="Calibri"/>
        <family val="2"/>
        <charset val="1"/>
      </rPr>
      <t>NF H</t>
    </r>
    <r>
      <rPr>
        <vertAlign val="subscript"/>
        <sz val="12"/>
        <color theme="1"/>
        <rFont val="Calibri"/>
        <family val="2"/>
        <charset val="1"/>
      </rPr>
      <t>2</t>
    </r>
    <r>
      <rPr>
        <sz val="12"/>
        <color theme="1"/>
        <rFont val="Calibri"/>
        <family val="2"/>
        <charset val="1"/>
      </rPr>
      <t>0 (µl)</t>
    </r>
  </si>
  <si>
    <t>SeqLib Identifier</t>
  </si>
  <si>
    <t>A1</t>
  </si>
  <si>
    <t>01</t>
  </si>
  <si>
    <t>B1</t>
  </si>
  <si>
    <t>02</t>
  </si>
  <si>
    <t>C1</t>
  </si>
  <si>
    <t>03</t>
  </si>
  <si>
    <t>D1</t>
  </si>
  <si>
    <t>04</t>
  </si>
  <si>
    <t>E1</t>
  </si>
  <si>
    <t>05</t>
  </si>
  <si>
    <t>F1</t>
  </si>
  <si>
    <t>06</t>
  </si>
  <si>
    <t>G1</t>
  </si>
  <si>
    <t>07</t>
  </si>
  <si>
    <t>H1</t>
  </si>
  <si>
    <t>08</t>
  </si>
  <si>
    <t>A2</t>
  </si>
  <si>
    <t>09</t>
  </si>
  <si>
    <t>B2</t>
  </si>
  <si>
    <t>10</t>
  </si>
  <si>
    <t>C2</t>
  </si>
  <si>
    <t>11</t>
  </si>
  <si>
    <t>D2</t>
  </si>
  <si>
    <t>12</t>
  </si>
  <si>
    <t>E2</t>
  </si>
  <si>
    <t>13</t>
  </si>
  <si>
    <t>F2</t>
  </si>
  <si>
    <t>14</t>
  </si>
  <si>
    <t>G2</t>
  </si>
  <si>
    <t>15</t>
  </si>
  <si>
    <t>H2</t>
  </si>
  <si>
    <t>16</t>
  </si>
  <si>
    <t>A3</t>
  </si>
  <si>
    <t>17</t>
  </si>
  <si>
    <t>B3</t>
  </si>
  <si>
    <t>18</t>
  </si>
  <si>
    <t>C3</t>
  </si>
  <si>
    <t>19</t>
  </si>
  <si>
    <t>D3</t>
  </si>
  <si>
    <t>20</t>
  </si>
  <si>
    <t>E3</t>
  </si>
  <si>
    <t>21</t>
  </si>
  <si>
    <t>F3</t>
  </si>
  <si>
    <t>22</t>
  </si>
  <si>
    <t>G3</t>
  </si>
  <si>
    <t>23</t>
  </si>
  <si>
    <t>H3</t>
  </si>
  <si>
    <t>24</t>
  </si>
  <si>
    <t>A4</t>
  </si>
  <si>
    <t>25</t>
  </si>
  <si>
    <t>B4</t>
  </si>
  <si>
    <t>26</t>
  </si>
  <si>
    <t>C4</t>
  </si>
  <si>
    <t>27</t>
  </si>
  <si>
    <t>D4</t>
  </si>
  <si>
    <t>28</t>
  </si>
  <si>
    <t>E4</t>
  </si>
  <si>
    <t>29</t>
  </si>
  <si>
    <t>F4</t>
  </si>
  <si>
    <t>30</t>
  </si>
  <si>
    <t>G4</t>
  </si>
  <si>
    <t>31</t>
  </si>
  <si>
    <t>H4</t>
  </si>
  <si>
    <t>32</t>
  </si>
  <si>
    <t>A5</t>
  </si>
  <si>
    <t>33</t>
  </si>
  <si>
    <t>B5</t>
  </si>
  <si>
    <t>34</t>
  </si>
  <si>
    <t>C5</t>
  </si>
  <si>
    <t>35</t>
  </si>
  <si>
    <t>D5</t>
  </si>
  <si>
    <t>36</t>
  </si>
  <si>
    <t>E5</t>
  </si>
  <si>
    <t>37</t>
  </si>
  <si>
    <t>F5</t>
  </si>
  <si>
    <t>38</t>
  </si>
  <si>
    <t>G5</t>
  </si>
  <si>
    <t>39</t>
  </si>
  <si>
    <t>H5</t>
  </si>
  <si>
    <t>40</t>
  </si>
  <si>
    <t>A6</t>
  </si>
  <si>
    <t>41</t>
  </si>
  <si>
    <t>B6</t>
  </si>
  <si>
    <t>42</t>
  </si>
  <si>
    <t>C6</t>
  </si>
  <si>
    <t>43</t>
  </si>
  <si>
    <t>D6</t>
  </si>
  <si>
    <t>44</t>
  </si>
  <si>
    <t>E6</t>
  </si>
  <si>
    <t>45</t>
  </si>
  <si>
    <t>F6</t>
  </si>
  <si>
    <t>46</t>
  </si>
  <si>
    <t>G6</t>
  </si>
  <si>
    <t>47</t>
  </si>
  <si>
    <t>H6</t>
  </si>
  <si>
    <t>48</t>
  </si>
  <si>
    <t>A7</t>
  </si>
  <si>
    <t>49</t>
  </si>
  <si>
    <t>B7</t>
  </si>
  <si>
    <t>50</t>
  </si>
  <si>
    <t>C7</t>
  </si>
  <si>
    <t>51</t>
  </si>
  <si>
    <t>D7</t>
  </si>
  <si>
    <t>52</t>
  </si>
  <si>
    <t>E7</t>
  </si>
  <si>
    <t>53</t>
  </si>
  <si>
    <t>F7</t>
  </si>
  <si>
    <t>54</t>
  </si>
  <si>
    <t>G7</t>
  </si>
  <si>
    <t>55</t>
  </si>
  <si>
    <t>H7</t>
  </si>
  <si>
    <t>56</t>
  </si>
  <si>
    <t>A8</t>
  </si>
  <si>
    <t>57</t>
  </si>
  <si>
    <t>B8</t>
  </si>
  <si>
    <t>58</t>
  </si>
  <si>
    <t>C8</t>
  </si>
  <si>
    <t>59</t>
  </si>
  <si>
    <t>D8</t>
  </si>
  <si>
    <t>60</t>
  </si>
  <si>
    <t>E8</t>
  </si>
  <si>
    <t>61</t>
  </si>
  <si>
    <t>F8</t>
  </si>
  <si>
    <t>62</t>
  </si>
  <si>
    <t>G8</t>
  </si>
  <si>
    <t>63</t>
  </si>
  <si>
    <t>H8</t>
  </si>
  <si>
    <t>64</t>
  </si>
  <si>
    <t>A9</t>
  </si>
  <si>
    <t>65</t>
  </si>
  <si>
    <t>B9</t>
  </si>
  <si>
    <t>66</t>
  </si>
  <si>
    <t>C9</t>
  </si>
  <si>
    <t>67</t>
  </si>
  <si>
    <t>D9</t>
  </si>
  <si>
    <t>68</t>
  </si>
  <si>
    <t>E9</t>
  </si>
  <si>
    <t>69</t>
  </si>
  <si>
    <t>F9</t>
  </si>
  <si>
    <t>70</t>
  </si>
  <si>
    <t>G9</t>
  </si>
  <si>
    <t>71</t>
  </si>
  <si>
    <t>H9</t>
  </si>
  <si>
    <t>72</t>
  </si>
  <si>
    <t>A10</t>
  </si>
  <si>
    <t>73</t>
  </si>
  <si>
    <t>B10</t>
  </si>
  <si>
    <t>74</t>
  </si>
  <si>
    <t>C10</t>
  </si>
  <si>
    <t>75</t>
  </si>
  <si>
    <t>D10</t>
  </si>
  <si>
    <t>76</t>
  </si>
  <si>
    <t>E10</t>
  </si>
  <si>
    <t>77</t>
  </si>
  <si>
    <t>F10</t>
  </si>
  <si>
    <t>78</t>
  </si>
  <si>
    <t>G10</t>
  </si>
  <si>
    <t>79</t>
  </si>
  <si>
    <t>H10</t>
  </si>
  <si>
    <t>80</t>
  </si>
  <si>
    <t>A11</t>
  </si>
  <si>
    <t>81</t>
  </si>
  <si>
    <t>B11</t>
  </si>
  <si>
    <t>82</t>
  </si>
  <si>
    <t>C11</t>
  </si>
  <si>
    <t>83</t>
  </si>
  <si>
    <t>D11</t>
  </si>
  <si>
    <t>84</t>
  </si>
  <si>
    <t>E11</t>
  </si>
  <si>
    <t>85</t>
  </si>
  <si>
    <t>F11</t>
  </si>
  <si>
    <t>86</t>
  </si>
  <si>
    <t>G11</t>
  </si>
  <si>
    <t>87</t>
  </si>
  <si>
    <t>H11</t>
  </si>
  <si>
    <t>88</t>
  </si>
  <si>
    <t>A12</t>
  </si>
  <si>
    <t>89</t>
  </si>
  <si>
    <t>B12</t>
  </si>
  <si>
    <t>90</t>
  </si>
  <si>
    <t>C12</t>
  </si>
  <si>
    <t>91</t>
  </si>
  <si>
    <t>D12</t>
  </si>
  <si>
    <t>92</t>
  </si>
  <si>
    <t>E12</t>
  </si>
  <si>
    <t>93</t>
  </si>
  <si>
    <t>F12</t>
  </si>
  <si>
    <t>94</t>
  </si>
  <si>
    <t>G12</t>
  </si>
  <si>
    <t>95</t>
  </si>
  <si>
    <t>H12</t>
  </si>
  <si>
    <t>96</t>
  </si>
  <si>
    <t>Assay</t>
  </si>
  <si>
    <t>Library</t>
  </si>
  <si>
    <t>Sample level details associated with the library procedure</t>
  </si>
  <si>
    <t>reference</t>
  </si>
  <si>
    <t>exp_metadata</t>
  </si>
  <si>
    <t>rxn_metadata</t>
  </si>
  <si>
    <t>Assumptions</t>
  </si>
  <si>
    <t>Look-ups</t>
  </si>
  <si>
    <t>User-defined</t>
  </si>
  <si>
    <t>Description</t>
  </si>
  <si>
    <t>Flow cell status</t>
  </si>
  <si>
    <t>User</t>
  </si>
  <si>
    <t>Initials</t>
  </si>
  <si>
    <t>Project</t>
  </si>
  <si>
    <t>New</t>
  </si>
  <si>
    <t>End repair max volume</t>
  </si>
  <si>
    <t>ul</t>
  </si>
  <si>
    <t>Used</t>
  </si>
  <si>
    <t>Adapter ligation max volume</t>
  </si>
  <si>
    <t>NB. The entries above are used for dropdown options in other tabs. To add additional entries and maintain the dropdowns, do the following:</t>
  </si>
  <si>
    <t>1. Select a complete entry i.e. for names you would highlight two cells e.g. G5 and H5</t>
  </si>
  <si>
    <t>Flow cell load max volume</t>
  </si>
  <si>
    <t xml:space="preserve">2. Right click on the highlighted cells and select 'insert'
</t>
  </si>
  <si>
    <t>3. Select 'Shift cells down'</t>
  </si>
  <si>
    <t>Experiment</t>
  </si>
  <si>
    <t>4. Enter the new details into the new row</t>
  </si>
  <si>
    <t>type</t>
  </si>
  <si>
    <t>seqlib</t>
  </si>
  <si>
    <t>version</t>
  </si>
  <si>
    <t>expt_id</t>
  </si>
  <si>
    <t>expt_date</t>
  </si>
  <si>
    <t>expt_user</t>
  </si>
  <si>
    <t>expt_type</t>
  </si>
  <si>
    <t>expt_version</t>
  </si>
  <si>
    <t>expt_notes</t>
  </si>
  <si>
    <t>expt_summary</t>
  </si>
  <si>
    <t>expt_rxns</t>
  </si>
  <si>
    <t>endrepair_targetmass_ng</t>
  </si>
  <si>
    <t>endrepair_maxvol_ul</t>
  </si>
  <si>
    <t>endrepair_dnaconc_ngul</t>
  </si>
  <si>
    <t>adaptlig_targetmass_ng</t>
  </si>
  <si>
    <t>adaptlig_maxvol_ul</t>
  </si>
  <si>
    <t>library_dnaconc_ngul</t>
  </si>
  <si>
    <t>seq_platform</t>
  </si>
  <si>
    <t>flowcell_targetmass_ng</t>
  </si>
  <si>
    <t>flowcell_maxvol_ul</t>
  </si>
  <si>
    <t>flowcell_id</t>
  </si>
  <si>
    <t>flowcell_chemistry</t>
  </si>
  <si>
    <t>flowcell_status</t>
  </si>
  <si>
    <t>flowcell_checkpores</t>
  </si>
  <si>
    <t>flowcell_runlength_hrs</t>
  </si>
  <si>
    <t>flowcell_prevusage_hrs</t>
  </si>
  <si>
    <t>sample_id</t>
  </si>
  <si>
    <t>extraction_id</t>
  </si>
  <si>
    <t>swga_identifier</t>
  </si>
  <si>
    <t>pcr_identifier</t>
  </si>
  <si>
    <t>seqlib_identifier</t>
  </si>
  <si>
    <t>barcode</t>
  </si>
  <si>
    <t>endrepair_vol_ul</t>
  </si>
  <si>
    <t>Changelog from prev version</t>
  </si>
  <si>
    <t>1. Add PCR product per sample for end repair:</t>
  </si>
  <si>
    <t>Added</t>
  </si>
  <si>
    <t>ng of product in rxn volume of</t>
  </si>
  <si>
    <t>Adaptor ligation rxn vol</t>
  </si>
  <si>
    <t>Instructions</t>
  </si>
  <si>
    <t>Tabs</t>
  </si>
  <si>
    <t>There are two tabs to complete (green), two tabs for exporting data (red) and one tab (orange) for reference values:</t>
  </si>
  <si>
    <t>A simplified list of assay steps / components including master mix calculations and plate layouts</t>
  </si>
  <si>
    <t>Contains look-up tables, assumptions etc. Edit the entries in green according to your needs</t>
  </si>
  <si>
    <t>To prevent inadvertent loss of data, cells are protected from editing.</t>
  </si>
  <si>
    <t>Process</t>
  </si>
  <si>
    <t>This template is to be used to record  library and sequencing steps as part of a NOMADS sequencing run.</t>
  </si>
  <si>
    <r>
      <t xml:space="preserve">1. Enter all experimental and sample details on the </t>
    </r>
    <r>
      <rPr>
        <b/>
        <sz val="24"/>
        <color theme="1"/>
        <rFont val="Calibri"/>
        <family val="2"/>
        <scheme val="minor"/>
      </rPr>
      <t>'Assay'</t>
    </r>
    <r>
      <rPr>
        <sz val="24"/>
        <color theme="1"/>
        <rFont val="Calibri"/>
        <family val="2"/>
        <scheme val="minor"/>
      </rPr>
      <t xml:space="preserve"> and </t>
    </r>
    <r>
      <rPr>
        <b/>
        <sz val="24"/>
        <color theme="1"/>
        <rFont val="Calibri"/>
        <family val="2"/>
        <scheme val="minor"/>
      </rPr>
      <t>'Library'</t>
    </r>
    <r>
      <rPr>
        <sz val="24"/>
        <color theme="1"/>
        <rFont val="Calibri"/>
        <family val="2"/>
        <scheme val="minor"/>
      </rPr>
      <t xml:space="preserve"> tabs before / during the experiment</t>
    </r>
  </si>
  <si>
    <t>Please contact the NOMADS team if any changes need to be made to the template.</t>
  </si>
  <si>
    <r>
      <t xml:space="preserve">Contains rxn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</si>
  <si>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r>
      <t xml:space="preserve">Contains experiment level metadata for export with </t>
    </r>
    <r>
      <rPr>
        <b/>
        <sz val="24"/>
        <color rgb="FF000000"/>
        <rFont val="Calibri"/>
        <family val="2"/>
      </rPr>
      <t>warehouse</t>
    </r>
    <r>
      <rPr>
        <sz val="24"/>
        <color rgb="FF000000"/>
        <rFont val="Calibri"/>
        <family val="2"/>
      </rPr>
      <t xml:space="preserve"> (NO EDITING)</t>
    </r>
  </si>
  <si>
    <t>Notes</t>
  </si>
  <si>
    <r>
      <t xml:space="preserve">3. All experimental data can now be extracted using </t>
    </r>
    <r>
      <rPr>
        <b/>
        <sz val="24"/>
        <color rgb="FF000000"/>
        <rFont val="Calibri"/>
        <family val="2"/>
      </rPr>
      <t>warehouse</t>
    </r>
  </si>
  <si>
    <r>
      <t xml:space="preserve">2.  Ensure that all identifier columns (sWGA / PCR) have a value for each reaction. If there was no sWGA step, enter  </t>
    </r>
    <r>
      <rPr>
        <b/>
        <sz val="24"/>
        <color rgb="FF000000"/>
        <rFont val="Calibri"/>
        <family val="2"/>
      </rPr>
      <t>'no swga'</t>
    </r>
    <r>
      <rPr>
        <sz val="24"/>
        <color rgb="FF000000"/>
        <rFont val="Calibri"/>
        <family val="2"/>
      </rPr>
      <t xml:space="preserve"> in the </t>
    </r>
    <r>
      <rPr>
        <b/>
        <sz val="24"/>
        <color rgb="FF000000"/>
        <rFont val="Calibri"/>
        <family val="2"/>
      </rPr>
      <t>'sWGA identifier'</t>
    </r>
    <r>
      <rPr>
        <sz val="24"/>
        <color rgb="FF000000"/>
        <rFont val="Calibri"/>
        <family val="2"/>
      </rPr>
      <t xml:space="preserve"> column</t>
    </r>
  </si>
  <si>
    <t>ONT Platforms</t>
  </si>
  <si>
    <t>Mk1c</t>
  </si>
  <si>
    <t>GridIon</t>
  </si>
  <si>
    <t>Promethion</t>
  </si>
  <si>
    <t>P2</t>
  </si>
  <si>
    <t>Flow Chemistry</t>
  </si>
  <si>
    <t>R9.4.1</t>
  </si>
  <si>
    <t>Column</t>
  </si>
  <si>
    <t>End-repair vol calculation type</t>
  </si>
  <si>
    <t>Exact</t>
  </si>
  <si>
    <t>2 per column</t>
  </si>
  <si>
    <t>3 per column</t>
  </si>
  <si>
    <t>PCR prodct (µl) to add for end-repair (calculated)</t>
  </si>
  <si>
    <t>PCR prodct (µl) added (if different from calculated)</t>
  </si>
  <si>
    <t>Avg Per plate</t>
  </si>
  <si>
    <t>Max per plate</t>
  </si>
  <si>
    <t>2 per plate</t>
  </si>
  <si>
    <t>Volume Calculation Types</t>
  </si>
  <si>
    <t>Name</t>
  </si>
  <si>
    <t>Per well</t>
  </si>
  <si>
    <t>max volume per column</t>
  </si>
  <si>
    <t>max per plate</t>
  </si>
  <si>
    <t>avg per plate</t>
  </si>
  <si>
    <t>max and avg per plate</t>
  </si>
  <si>
    <t>(recommend 1 per column)</t>
  </si>
  <si>
    <t>Person A</t>
  </si>
  <si>
    <t>PA</t>
  </si>
  <si>
    <t>PB</t>
  </si>
  <si>
    <t>PC</t>
  </si>
  <si>
    <t>Project 1</t>
  </si>
  <si>
    <t>Project 2</t>
  </si>
  <si>
    <t>Project 3</t>
  </si>
  <si>
    <t>Ligation Buffer (LIS)</t>
  </si>
  <si>
    <t>4 - DNA Clean-up</t>
  </si>
  <si>
    <t>Select Buffer:</t>
  </si>
  <si>
    <r>
      <t>Clean up:</t>
    </r>
    <r>
      <rPr>
        <sz val="12"/>
        <color theme="1"/>
        <rFont val="Calibri"/>
        <family val="2"/>
        <charset val="1"/>
      </rPr>
      <t xml:space="preserve"> Add 0.5x vol AMPPure beads, 5 min RT with mixing, wash 2 x 250 µl SFB/LFB, spin, dry, re-suspend in 15 µl EB and transfer  eluate to fresh tube</t>
    </r>
  </si>
  <si>
    <t>library_washbuffer</t>
  </si>
  <si>
    <t>Person B</t>
  </si>
  <si>
    <t>Person C</t>
  </si>
  <si>
    <t>NOMADS Library Worksheet - Ligation</t>
  </si>
  <si>
    <t>Sequencing Buffer (SB)</t>
  </si>
  <si>
    <t>Loading Beads (LIB)</t>
  </si>
  <si>
    <t>Missing quantification</t>
  </si>
  <si>
    <t>column average</t>
  </si>
  <si>
    <t>plate average</t>
  </si>
  <si>
    <t>avg of quantifications in the same column</t>
  </si>
  <si>
    <t>avg of quantifications across plate</t>
  </si>
  <si>
    <t>entry</t>
  </si>
  <si>
    <t>(recommend plate average)</t>
  </si>
  <si>
    <t>Avg per plate</t>
  </si>
  <si>
    <t>Avg per col (missing)</t>
  </si>
  <si>
    <t>Avg per plate (missing)</t>
  </si>
  <si>
    <t>Quantified</t>
  </si>
  <si>
    <t>Not quantified</t>
  </si>
  <si>
    <t>Min for col</t>
  </si>
  <si>
    <t>Max for col</t>
  </si>
  <si>
    <t>2 per col</t>
  </si>
  <si>
    <t>3 per col</t>
  </si>
  <si>
    <t>avg and max per column, pick closest</t>
  </si>
  <si>
    <t>min, max or avg per column, pick closest</t>
  </si>
  <si>
    <t>avg volume for the column</t>
  </si>
  <si>
    <t>1 per col (max)</t>
  </si>
  <si>
    <t>1 per col (avg)</t>
  </si>
  <si>
    <t>Avg for col</t>
  </si>
  <si>
    <t>1 per column (max)</t>
  </si>
  <si>
    <t>1 per column (avg)</t>
  </si>
  <si>
    <t>Logic to deal with samples that have not been quantified</t>
  </si>
  <si>
    <t>DNA source:</t>
  </si>
  <si>
    <t>Incorporation of Anophelese protocol</t>
  </si>
  <si>
    <t>Sample vol (µl)</t>
  </si>
  <si>
    <t>Total vol (µl)</t>
  </si>
  <si>
    <t>EtOH wash vol (µl)</t>
  </si>
  <si>
    <t>Total bead vol (µl)</t>
  </si>
  <si>
    <t>Incubation time (min)</t>
  </si>
  <si>
    <t>Bead ratio (x)</t>
  </si>
  <si>
    <t>Resuspension vol (µl)</t>
  </si>
  <si>
    <r>
      <t xml:space="preserve">(Amplicons should be washed with LFB, if </t>
    </r>
    <r>
      <rPr>
        <sz val="12"/>
        <color theme="1"/>
        <rFont val="Aptos Narrow"/>
        <family val="2"/>
      </rPr>
      <t>≥</t>
    </r>
    <r>
      <rPr>
        <sz val="12"/>
        <color theme="1"/>
        <rFont val="Calibri"/>
        <family val="2"/>
      </rPr>
      <t>3kb or SFB, if ≤ 3kb)</t>
    </r>
  </si>
  <si>
    <r>
      <rPr>
        <b/>
        <sz val="12"/>
        <color theme="1"/>
        <rFont val="Calibri"/>
        <family val="2"/>
      </rPr>
      <t xml:space="preserve">Quantify: </t>
    </r>
    <r>
      <rPr>
        <sz val="12"/>
        <color theme="1"/>
        <rFont val="Calibri"/>
        <family val="2"/>
        <charset val="1"/>
      </rPr>
      <t>1 µl as a 1:10 dilution on Qubit. Dilute further if required</t>
    </r>
  </si>
  <si>
    <r>
      <rPr>
        <b/>
        <sz val="12"/>
        <color theme="1"/>
        <rFont val="Calibri"/>
        <family val="2"/>
      </rPr>
      <t>Clean up:</t>
    </r>
    <r>
      <rPr>
        <sz val="12"/>
        <color theme="1"/>
        <rFont val="Calibri"/>
        <family val="2"/>
        <charset val="1"/>
      </rPr>
      <t xml:space="preserve"> Add AMPPure beads, at RT with mixing, wash twice in 80% EtOH, spin, dry, re-suspend in EB and transfer  eluate to fresh tube</t>
    </r>
  </si>
  <si>
    <r>
      <rPr>
        <b/>
        <sz val="12"/>
        <color theme="1"/>
        <rFont val="Calibri"/>
        <family val="2"/>
      </rPr>
      <t xml:space="preserve">Pool: </t>
    </r>
    <r>
      <rPr>
        <sz val="12"/>
        <color theme="1"/>
        <rFont val="Calibri"/>
        <family val="2"/>
        <charset val="1"/>
      </rPr>
      <t>Combine equal volume of all samples into a new LoBind tube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</si>
</sst>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\-??_);_(@_)"/>
    <numFmt numFmtId="165" formatCode="0.0"/>
  </numFmts>
  <fonts count="21" x14ac:knownFonts="1">
    <font>
      <sz val="12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b/>
      <u/>
      <sz val="12"/>
      <color theme="1"/>
      <name val="Calibri"/>
      <family val="2"/>
      <charset val="1"/>
    </font>
    <font>
      <vertAlign val="superscript"/>
      <sz val="12"/>
      <color theme="1"/>
      <name val="Calibri"/>
      <family val="2"/>
      <charset val="1"/>
    </font>
    <font>
      <vertAlign val="subscript"/>
      <sz val="12"/>
      <color theme="1"/>
      <name val="Calibri"/>
      <family val="2"/>
      <charset val="1"/>
    </font>
    <font>
      <b/>
      <sz val="12"/>
      <color theme="1"/>
      <name val="Calibri"/>
      <family val="2"/>
      <charset val="1"/>
    </font>
    <font>
      <sz val="12"/>
      <name val="Calibri"/>
      <family val="2"/>
      <charset val="1"/>
    </font>
    <font>
      <sz val="12"/>
      <color theme="0"/>
      <name val="Calibri"/>
      <family val="2"/>
      <charset val="1"/>
    </font>
    <font>
      <b/>
      <u/>
      <sz val="14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color theme="1"/>
      <name val="Calibri"/>
      <family val="2"/>
    </font>
    <font>
      <b/>
      <u/>
      <sz val="36"/>
      <color rgb="FF000000"/>
      <name val="Calibri"/>
      <family val="2"/>
    </font>
    <font>
      <sz val="24"/>
      <color theme="1"/>
      <name val="Calibri"/>
      <family val="2"/>
      <scheme val="minor"/>
    </font>
    <font>
      <sz val="24"/>
      <color rgb="FF000000"/>
      <name val="Calibri"/>
      <family val="2"/>
    </font>
    <font>
      <b/>
      <u/>
      <sz val="24"/>
      <color rgb="FF000000"/>
      <name val="Calibri"/>
      <family val="2"/>
    </font>
    <font>
      <b/>
      <sz val="2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24"/>
      <color rgb="FF000000"/>
      <name val="Calibri"/>
      <family val="2"/>
    </font>
    <font>
      <sz val="8"/>
      <name val="Calibri"/>
      <family val="2"/>
      <charset val="1"/>
    </font>
    <font>
      <b/>
      <sz val="12"/>
      <color theme="1"/>
      <name val="Calibri"/>
      <family val="2"/>
    </font>
    <font>
      <sz val="12"/>
      <color theme="1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249977111117893"/>
        <bgColor rgb="FFD0CECE"/>
      </patternFill>
    </fill>
    <fill>
      <patternFill patternType="solid">
        <fgColor rgb="FFFF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92D050"/>
        <bgColor rgb="FFBFBFBF"/>
      </patternFill>
    </fill>
    <fill>
      <patternFill patternType="solid">
        <fgColor theme="4" tint="0.39988402966399123"/>
        <bgColor rgb="FF969696"/>
      </patternFill>
    </fill>
    <fill>
      <patternFill patternType="solid">
        <fgColor theme="5" tint="-0.249977111117893"/>
        <bgColor rgb="FF993300"/>
      </patternFill>
    </fill>
    <fill>
      <patternFill patternType="solid">
        <fgColor theme="2" tint="-9.9978637043366805E-2"/>
        <bgColor rgb="FFD9D9D9"/>
      </patternFill>
    </fill>
    <fill>
      <patternFill patternType="solid">
        <fgColor theme="0" tint="-0.14999847407452621"/>
        <bgColor rgb="FFD0CECE"/>
      </patternFill>
    </fill>
    <fill>
      <patternFill patternType="solid">
        <fgColor rgb="FF00B050"/>
        <bgColor rgb="FF00808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7">
    <xf numFmtId="0" fontId="0" fillId="0" borderId="0"/>
    <xf numFmtId="164" fontId="9" fillId="0" borderId="0" applyBorder="0" applyProtection="0"/>
    <xf numFmtId="9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1" fillId="0" borderId="0"/>
  </cellStyleXfs>
  <cellXfs count="139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9" fontId="9" fillId="0" borderId="0" xfId="2" applyBorder="1" applyAlignment="1" applyProtection="1">
      <alignment horizontal="center"/>
    </xf>
    <xf numFmtId="0" fontId="0" fillId="0" borderId="1" xfId="0" applyBorder="1" applyAlignment="1">
      <alignment horizontal="center"/>
    </xf>
    <xf numFmtId="1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left"/>
    </xf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" fontId="0" fillId="6" borderId="2" xfId="0" applyNumberFormat="1" applyFill="1" applyBorder="1" applyAlignment="1">
      <alignment horizontal="center"/>
    </xf>
    <xf numFmtId="0" fontId="5" fillId="0" borderId="0" xfId="0" applyFont="1" applyAlignment="1">
      <alignment horizontal="left" vertical="center"/>
    </xf>
    <xf numFmtId="0" fontId="0" fillId="0" borderId="7" xfId="0" applyBorder="1" applyAlignment="1" applyProtection="1">
      <alignment horizontal="center"/>
      <protection locked="0"/>
    </xf>
    <xf numFmtId="0" fontId="0" fillId="11" borderId="5" xfId="0" applyFill="1" applyBorder="1" applyAlignment="1">
      <alignment horizontal="center"/>
    </xf>
    <xf numFmtId="49" fontId="0" fillId="0" borderId="7" xfId="0" applyNumberFormat="1" applyBorder="1" applyAlignment="1" applyProtection="1">
      <alignment horizontal="center"/>
      <protection locked="0"/>
    </xf>
    <xf numFmtId="0" fontId="7" fillId="0" borderId="0" xfId="0" applyFont="1" applyAlignment="1">
      <alignment horizontal="center"/>
    </xf>
    <xf numFmtId="0" fontId="7" fillId="0" borderId="0" xfId="0" applyFont="1"/>
    <xf numFmtId="0" fontId="1" fillId="0" borderId="0" xfId="6"/>
    <xf numFmtId="1" fontId="9" fillId="0" borderId="0" xfId="1" applyNumberFormat="1" applyBorder="1" applyAlignment="1" applyProtection="1">
      <alignment vertical="center"/>
    </xf>
    <xf numFmtId="0" fontId="6" fillId="0" borderId="0" xfId="0" applyFont="1" applyAlignment="1">
      <alignment horizontal="left" vertical="center"/>
    </xf>
    <xf numFmtId="1" fontId="9" fillId="0" borderId="0" xfId="1" applyNumberFormat="1" applyBorder="1" applyAlignment="1" applyProtection="1">
      <alignment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5" xfId="0" applyFill="1" applyBorder="1" applyAlignment="1" applyProtection="1">
      <alignment horizontal="center"/>
      <protection locked="0"/>
    </xf>
    <xf numFmtId="165" fontId="0" fillId="10" borderId="5" xfId="0" applyNumberFormat="1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49" fontId="0" fillId="0" borderId="5" xfId="0" applyNumberFormat="1" applyBorder="1" applyAlignment="1" applyProtection="1">
      <alignment horizontal="center"/>
      <protection locked="0"/>
    </xf>
    <xf numFmtId="9" fontId="9" fillId="0" borderId="0" xfId="2" applyBorder="1" applyAlignment="1" applyProtection="1">
      <alignment horizontal="center"/>
      <protection locked="0"/>
    </xf>
    <xf numFmtId="1" fontId="0" fillId="0" borderId="2" xfId="0" applyNumberFormat="1" applyBorder="1" applyAlignment="1" applyProtection="1">
      <alignment horizontal="center"/>
      <protection locked="0"/>
    </xf>
    <xf numFmtId="0" fontId="0" fillId="7" borderId="0" xfId="0" applyFill="1" applyProtection="1">
      <protection locked="0"/>
    </xf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13" borderId="0" xfId="0" applyFont="1" applyFill="1" applyAlignment="1">
      <alignment horizontal="center"/>
    </xf>
    <xf numFmtId="0" fontId="15" fillId="14" borderId="0" xfId="0" applyFont="1" applyFill="1" applyAlignment="1">
      <alignment horizontal="center"/>
    </xf>
    <xf numFmtId="0" fontId="15" fillId="15" borderId="0" xfId="0" applyFont="1" applyFill="1" applyAlignment="1">
      <alignment horizontal="center"/>
    </xf>
    <xf numFmtId="0" fontId="16" fillId="0" borderId="0" xfId="0" applyFont="1"/>
    <xf numFmtId="165" fontId="0" fillId="11" borderId="7" xfId="0" applyNumberFormat="1" applyFill="1" applyBorder="1" applyAlignment="1">
      <alignment horizontal="center"/>
    </xf>
    <xf numFmtId="0" fontId="0" fillId="0" borderId="8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6" fillId="0" borderId="10" xfId="0" applyFont="1" applyBorder="1" applyAlignment="1" applyProtection="1">
      <alignment horizontal="center" wrapText="1"/>
      <protection locked="0"/>
    </xf>
    <xf numFmtId="0" fontId="0" fillId="0" borderId="11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3" xfId="0" applyBorder="1" applyAlignment="1" applyProtection="1">
      <alignment horizontal="center"/>
      <protection locked="0"/>
    </xf>
    <xf numFmtId="0" fontId="0" fillId="3" borderId="13" xfId="0" applyFill="1" applyBorder="1" applyAlignment="1" applyProtection="1">
      <alignment horizontal="center"/>
      <protection locked="0"/>
    </xf>
    <xf numFmtId="165" fontId="0" fillId="10" borderId="13" xfId="0" applyNumberFormat="1" applyFill="1" applyBorder="1" applyAlignment="1" applyProtection="1">
      <alignment horizontal="center"/>
      <protection locked="0"/>
    </xf>
    <xf numFmtId="0" fontId="0" fillId="11" borderId="13" xfId="0" applyFill="1" applyBorder="1" applyAlignment="1">
      <alignment horizontal="center"/>
    </xf>
    <xf numFmtId="49" fontId="0" fillId="0" borderId="13" xfId="0" applyNumberFormat="1" applyBorder="1" applyAlignment="1" applyProtection="1">
      <alignment horizontal="center"/>
      <protection locked="0"/>
    </xf>
    <xf numFmtId="165" fontId="0" fillId="11" borderId="13" xfId="0" applyNumberFormat="1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0" borderId="15" xfId="0" applyBorder="1" applyAlignment="1" applyProtection="1">
      <alignment horizontal="center"/>
      <protection locked="0"/>
    </xf>
    <xf numFmtId="0" fontId="0" fillId="11" borderId="16" xfId="0" applyFill="1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49" fontId="0" fillId="0" borderId="19" xfId="0" applyNumberFormat="1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/>
      <protection locked="0"/>
    </xf>
    <xf numFmtId="0" fontId="0" fillId="11" borderId="20" xfId="0" applyFill="1" applyBorder="1" applyAlignment="1">
      <alignment horizontal="center"/>
    </xf>
    <xf numFmtId="49" fontId="0" fillId="0" borderId="20" xfId="0" applyNumberFormat="1" applyBorder="1" applyAlignment="1" applyProtection="1">
      <alignment horizontal="center"/>
      <protection locked="0"/>
    </xf>
    <xf numFmtId="165" fontId="0" fillId="11" borderId="19" xfId="0" applyNumberFormat="1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0" borderId="22" xfId="0" applyBorder="1" applyAlignment="1" applyProtection="1">
      <alignment horizontal="center"/>
      <protection locked="0"/>
    </xf>
    <xf numFmtId="0" fontId="10" fillId="0" borderId="0" xfId="0" applyFont="1" applyAlignment="1">
      <alignment horizontal="left" vertical="center"/>
    </xf>
    <xf numFmtId="0" fontId="5" fillId="8" borderId="4" xfId="0" applyFont="1" applyFill="1" applyBorder="1" applyAlignment="1" applyProtection="1">
      <alignment horizontal="center"/>
      <protection locked="0"/>
    </xf>
    <xf numFmtId="0" fontId="6" fillId="7" borderId="9" xfId="0" applyFont="1" applyFill="1" applyBorder="1" applyAlignment="1" applyProtection="1">
      <alignment horizontal="center" wrapText="1"/>
      <protection locked="0"/>
    </xf>
    <xf numFmtId="0" fontId="6" fillId="8" borderId="9" xfId="0" applyFont="1" applyFill="1" applyBorder="1" applyAlignment="1" applyProtection="1">
      <alignment horizontal="center" wrapText="1"/>
      <protection locked="0"/>
    </xf>
    <xf numFmtId="0" fontId="6" fillId="9" borderId="9" xfId="0" applyFont="1" applyFill="1" applyBorder="1" applyAlignment="1" applyProtection="1">
      <alignment horizontal="center" wrapText="1"/>
      <protection locked="0"/>
    </xf>
    <xf numFmtId="0" fontId="6" fillId="5" borderId="9" xfId="0" applyFont="1" applyFill="1" applyBorder="1" applyAlignment="1" applyProtection="1">
      <alignment horizontal="center" wrapText="1"/>
      <protection locked="0"/>
    </xf>
    <xf numFmtId="0" fontId="8" fillId="0" borderId="0" xfId="6" applyFont="1"/>
    <xf numFmtId="0" fontId="5" fillId="5" borderId="1" xfId="0" applyFont="1" applyFill="1" applyBorder="1"/>
    <xf numFmtId="0" fontId="0" fillId="5" borderId="1" xfId="0" applyFill="1" applyBorder="1"/>
    <xf numFmtId="0" fontId="0" fillId="5" borderId="0" xfId="0" applyFill="1"/>
    <xf numFmtId="0" fontId="0" fillId="12" borderId="1" xfId="0" applyFill="1" applyBorder="1"/>
    <xf numFmtId="0" fontId="0" fillId="0" borderId="0" xfId="0" applyAlignment="1">
      <alignment vertical="center"/>
    </xf>
    <xf numFmtId="0" fontId="10" fillId="5" borderId="1" xfId="0" applyFont="1" applyFill="1" applyBorder="1"/>
    <xf numFmtId="0" fontId="0" fillId="16" borderId="13" xfId="0" applyFill="1" applyBorder="1" applyAlignment="1">
      <alignment horizontal="center"/>
    </xf>
    <xf numFmtId="0" fontId="0" fillId="16" borderId="7" xfId="0" applyFill="1" applyBorder="1" applyAlignment="1">
      <alignment horizontal="center"/>
    </xf>
    <xf numFmtId="0" fontId="0" fillId="16" borderId="19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5" fillId="0" borderId="0" xfId="0" applyFont="1" applyAlignment="1">
      <alignment wrapText="1"/>
    </xf>
    <xf numFmtId="0" fontId="0" fillId="18" borderId="0" xfId="0" applyFill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>
      <alignment horizontal="right" wrapText="1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 wrapText="1"/>
      <protection locked="0"/>
    </xf>
    <xf numFmtId="0" fontId="0" fillId="3" borderId="0" xfId="0" applyFill="1" applyAlignment="1" applyProtection="1">
      <alignment horizontal="center" vertical="center"/>
      <protection locked="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wrapText="1"/>
    </xf>
    <xf numFmtId="165" fontId="0" fillId="3" borderId="0" xfId="0" applyNumberFormat="1" applyFill="1" applyAlignment="1">
      <alignment horizontal="center"/>
    </xf>
    <xf numFmtId="0" fontId="0" fillId="0" borderId="0" xfId="0" applyAlignment="1">
      <alignment horizontal="center" vertical="center" wrapText="1"/>
    </xf>
    <xf numFmtId="165" fontId="0" fillId="3" borderId="0" xfId="0" applyNumberFormat="1" applyFill="1" applyAlignment="1">
      <alignment horizontal="center" vertical="center"/>
    </xf>
    <xf numFmtId="0" fontId="0" fillId="0" borderId="1" xfId="0" applyBorder="1" applyAlignment="1">
      <alignment horizontal="center" wrapText="1"/>
    </xf>
    <xf numFmtId="1" fontId="0" fillId="3" borderId="0" xfId="0" applyNumberFormat="1" applyFill="1" applyAlignment="1">
      <alignment horizontal="center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left" wrapText="1"/>
    </xf>
    <xf numFmtId="0" fontId="0" fillId="3" borderId="0" xfId="0" applyFill="1" applyAlignment="1">
      <alignment horizontal="center" vertical="center"/>
    </xf>
    <xf numFmtId="165" fontId="5" fillId="0" borderId="0" xfId="0" applyNumberFormat="1" applyFont="1" applyAlignment="1">
      <alignment horizont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165" fontId="0" fillId="0" borderId="0" xfId="0" applyNumberFormat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65" fontId="5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0" xfId="0" applyFill="1" applyAlignment="1">
      <alignment horizontal="right"/>
    </xf>
    <xf numFmtId="1" fontId="9" fillId="3" borderId="0" xfId="1" applyNumberFormat="1" applyFill="1" applyBorder="1" applyAlignment="1" applyProtection="1">
      <alignment horizontal="center" vertical="center"/>
    </xf>
    <xf numFmtId="1" fontId="9" fillId="0" borderId="0" xfId="1" applyNumberFormat="1" applyBorder="1" applyAlignment="1" applyProtection="1">
      <alignment horizontal="left" vertical="top"/>
      <protection locked="0"/>
    </xf>
    <xf numFmtId="0" fontId="0" fillId="5" borderId="0" xfId="0" applyFill="1" applyAlignment="1">
      <alignment horizontal="center" vertical="center"/>
    </xf>
    <xf numFmtId="1" fontId="9" fillId="17" borderId="0" xfId="1" applyNumberFormat="1" applyFill="1" applyBorder="1" applyAlignment="1" applyProtection="1">
      <alignment horizontal="center" vertical="center"/>
      <protection locked="0"/>
    </xf>
    <xf numFmtId="0" fontId="0" fillId="3" borderId="0" xfId="0" applyFill="1" applyAlignment="1">
      <alignment horizontal="right" wrapText="1"/>
    </xf>
    <xf numFmtId="0" fontId="0" fillId="4" borderId="0" xfId="0" applyFill="1" applyAlignment="1">
      <alignment horizontal="center" wrapText="1"/>
    </xf>
    <xf numFmtId="0" fontId="9" fillId="3" borderId="0" xfId="1" applyNumberFormat="1" applyFill="1" applyBorder="1" applyAlignment="1" applyProtection="1">
      <alignment horizontal="center" vertical="center"/>
    </xf>
    <xf numFmtId="0" fontId="0" fillId="0" borderId="0" xfId="0" applyAlignment="1">
      <alignment horizontal="right"/>
    </xf>
    <xf numFmtId="1" fontId="9" fillId="0" borderId="0" xfId="1" applyNumberFormat="1" applyBorder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9" fontId="0" fillId="0" borderId="0" xfId="0" applyNumberFormat="1" applyAlignment="1" applyProtection="1">
      <alignment horizontal="center" vertical="center"/>
      <protection locked="0"/>
    </xf>
    <xf numFmtId="0" fontId="2" fillId="0" borderId="0" xfId="0" applyFont="1" applyAlignment="1">
      <alignment horizontal="center" wrapText="1"/>
    </xf>
    <xf numFmtId="14" fontId="0" fillId="0" borderId="0" xfId="0" applyNumberFormat="1" applyAlignment="1" applyProtection="1">
      <alignment horizontal="center" vertical="center"/>
      <protection locked="0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5" fillId="7" borderId="3" xfId="0" applyFont="1" applyFill="1" applyBorder="1" applyAlignment="1" applyProtection="1">
      <alignment horizontal="center"/>
      <protection locked="0"/>
    </xf>
    <xf numFmtId="0" fontId="5" fillId="9" borderId="5" xfId="0" applyFont="1" applyFill="1" applyBorder="1" applyAlignment="1" applyProtection="1">
      <alignment horizontal="center"/>
      <protection locked="0"/>
    </xf>
    <xf numFmtId="0" fontId="5" fillId="5" borderId="4" xfId="0" applyFont="1" applyFill="1" applyBorder="1" applyAlignment="1" applyProtection="1">
      <alignment horizontal="center"/>
      <protection locked="0"/>
    </xf>
    <xf numFmtId="2" fontId="0" fillId="0" borderId="13" xfId="0" applyNumberFormat="1" applyBorder="1" applyAlignment="1" applyProtection="1">
      <alignment horizontal="center"/>
      <protection locked="0"/>
    </xf>
    <xf numFmtId="2" fontId="0" fillId="0" borderId="7" xfId="0" applyNumberFormat="1" applyBorder="1" applyAlignment="1" applyProtection="1">
      <alignment horizontal="center"/>
      <protection locked="0"/>
    </xf>
    <xf numFmtId="2" fontId="0" fillId="0" borderId="19" xfId="0" applyNumberFormat="1" applyBorder="1" applyAlignment="1" applyProtection="1">
      <alignment horizontal="center"/>
      <protection locked="0"/>
    </xf>
  </cellXfs>
  <cellStyles count="7">
    <cellStyle name="Comma" xfId="1" builtinId="3"/>
    <cellStyle name="Comma 2" xfId="3" xr:uid="{00000000-0005-0000-0000-000006000000}"/>
    <cellStyle name="Normal" xfId="0" builtinId="0"/>
    <cellStyle name="Normal 2" xfId="4" xr:uid="{00000000-0005-0000-0000-000007000000}"/>
    <cellStyle name="Normal 3" xfId="5" xr:uid="{00000000-0005-0000-0000-000008000000}"/>
    <cellStyle name="Normal 4" xfId="6" xr:uid="{00000000-0005-0000-0000-000009000000}"/>
    <cellStyle name="Percent" xfId="2" builtinId="5"/>
  </cellStyles>
  <dxfs count="45">
    <dxf>
      <numFmt numFmtId="2" formatCode="0.0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0" hidden="0"/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protection locked="1" hidden="0"/>
    </dxf>
    <dxf>
      <numFmt numFmtId="165" formatCode="0.0"/>
      <border>
        <left style="thin">
          <color auto="1"/>
        </left>
      </border>
      <protection locked="1" hidden="0"/>
    </dxf>
    <dxf>
      <numFmt numFmtId="165" formatCode="0.0"/>
      <border>
        <left style="thin">
          <color auto="1"/>
        </left>
        <right style="thin">
          <color auto="1"/>
        </right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fill>
        <patternFill patternType="solid">
          <fgColor rgb="FFD0CECE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</dxf>
    <dxf>
      <numFmt numFmtId="165" formatCode="0.0"/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  <protection locked="0" hidden="0"/>
    </dxf>
    <dxf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</border>
      <protection locked="1" hidden="0"/>
    </dxf>
    <dxf>
      <border outline="0">
        <right style="thin">
          <color auto="1"/>
        </right>
      </border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border>
        <left style="thin">
          <color auto="1"/>
        </left>
      </border>
      <protection locked="0" hidden="0"/>
    </dxf>
    <dxf>
      <fill>
        <patternFill patternType="none">
          <fgColor indexed="64"/>
          <bgColor auto="1"/>
        </patternFill>
      </fill>
      <border>
        <left style="thin">
          <color auto="1"/>
        </left>
      </border>
      <protection locked="0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ill>
        <patternFill patternType="none">
          <fgColor indexed="64"/>
          <bgColor auto="1"/>
        </patternFill>
      </fill>
      <protection locked="0" hidden="0"/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BFBFBF"/>
      <rgbColor rgb="FF808080"/>
      <rgbColor rgb="FF8FAADC"/>
      <rgbColor rgb="FF993366"/>
      <rgbColor rgb="FFF2F2F2"/>
      <rgbColor rgb="FFD9D9D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FC7CE"/>
      <rgbColor rgb="FF3366FF"/>
      <rgbColor rgb="FF33CCCC"/>
      <rgbColor rgb="FF92D050"/>
      <rgbColor rgb="FFFFC000"/>
      <rgbColor rgb="FFFF9900"/>
      <rgbColor rgb="FFC55A1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bl_SeqLib" displayName="tbl_SeqLib" ref="A2:AE98" totalsRowShown="0">
  <autoFilter ref="A2:AE98" xr:uid="{00000000-0009-0000-0100-000003000000}"/>
  <tableColumns count="31">
    <tableColumn id="1" xr3:uid="{00000000-0010-0000-0000-000001000000}" name="#" dataDxfId="44"/>
    <tableColumn id="16" xr3:uid="{D11167BC-CEB0-4BCF-918C-7AFD807B17A9}" name="Column" dataDxfId="43">
      <calculatedColumnFormula>RIGHT(tbl_SeqLib[[#This Row],[Well]],LEN(tbl_SeqLib[[#This Row],[Well]])-1)</calculatedColumnFormula>
    </tableColumn>
    <tableColumn id="2" xr3:uid="{00000000-0010-0000-0000-000002000000}" name="Well" dataDxfId="42"/>
    <tableColumn id="3" xr3:uid="{00000000-0010-0000-0000-000003000000}" name="Sample ID" dataDxfId="41"/>
    <tableColumn id="4" xr3:uid="{00000000-0010-0000-0000-000004000000}" name="Extraction ID" dataDxfId="40"/>
    <tableColumn id="5" xr3:uid="{00000000-0010-0000-0000-000005000000}" name="sWGA Identifier" dataDxfId="39"/>
    <tableColumn id="6" xr3:uid="{00000000-0010-0000-0000-000006000000}" name="PCR Identifier" dataDxfId="38"/>
    <tableColumn id="7" xr3:uid="{00000000-0010-0000-0000-000007000000}" name="Qubit PCR [DNA] (ng/µl)" dataDxfId="37"/>
    <tableColumn id="8" xr3:uid="{00000000-0010-0000-0000-000008000000}" name="PCR Dilution Factor" dataDxfId="36"/>
    <tableColumn id="9" xr3:uid="{00000000-0010-0000-0000-000009000000}" name="PCR [DNA] (ng / µl)"/>
    <tableColumn id="10" xr3:uid="{00000000-0010-0000-0000-00000A000000}" name="Barcode#" dataDxfId="35"/>
    <tableColumn id="26" xr3:uid="{F1EFF32A-7BE1-415D-A6C1-EB6298E86B67}" name="entry" dataDxfId="34">
      <calculatedColumnFormula>IF(OR(ISBLANK(tbl_SeqLib[[#This Row],[Sample ID]]),ISBLANK(endrepair_targetmass)),0,IF(LEN(tbl_SeqLib[[#This Row],[PCR '[DNA'] (ng / µl)]])=0,1,2))</calculatedColumnFormula>
    </tableColumn>
    <tableColumn id="14" xr3:uid="{001B4B8A-7DCB-4BB4-B720-5DA9C2A7387A}" name="Exact" dataDxfId="33">
      <calculatedColumnFormula>IF(tbl_SeqLib[[#This Row],[entry]]&lt;2,"",IF(endrepair_targetmass/tbl_SeqLib[[#This Row],[PCR '[DNA'] (ng / µl)]]&gt;endrepair_maxvol,endrepair_maxvol,ROUNDUP(SUM(endrepair_targetmass/tbl_SeqLib[[#This Row],[PCR '[DNA'] (ng / µl)]]),1)))</calculatedColumnFormula>
    </tableColumn>
    <tableColumn id="19" xr3:uid="{93494231-5E3B-4D67-8106-A21E3E62E444}" name="Min for col" dataDxfId="32">
      <calculatedColumnFormula>IF(tbl_SeqLib[[#This Row],[entry]]=2,ROUNDUP(_xlfn.MINIFS(tbl_SeqLib[Exact],tbl_SeqLib[Column],tbl_SeqLib[[#This Row],[Column]]),1),"")</calculatedColumnFormula>
    </tableColumn>
    <tableColumn id="20" xr3:uid="{1FEA1346-E871-470E-AA2A-C8AFB0F9A249}" name="Max for col" dataDxfId="31">
      <calculatedColumnFormula>IF(tbl_SeqLib[[#This Row],[entry]]=2,ROUNDDOWN(_xlfn.MAXIFS(tbl_SeqLib[Exact],tbl_SeqLib[Column],tbl_SeqLib[[#This Row],[Column]]),1),"")</calculatedColumnFormula>
    </tableColumn>
    <tableColumn id="21" xr3:uid="{6A9EBE31-586B-4F64-B082-46847B0D6428}" name="Avg for col" dataDxfId="30">
      <calculatedColumnFormula>IF(tbl_SeqLib[[#This Row],[entry]]=2,ROUNDUP(AVERAGEIFS(tbl_SeqLib[Exact],tbl_SeqLib[Column],tbl_SeqLib[[#This Row],[Column]]),1),"")</calculatedColumnFormula>
    </tableColumn>
    <tableColumn id="25" xr3:uid="{D59FA2D5-564A-45ED-A2E9-851026B8F744}" name="3 per col" dataDxfId="29">
      <calculatedColumnFormula array="1">_xlfn.XLOOKUP(0,ABS(tbl_SeqLib[[#This Row],[Min for col]:[Avg for col]]-tbl_SeqLib[[#This Row],[Exact]]),tbl_SeqLib[[#This Row],[Min for col]:[Avg for col]],"",1)</calculatedColumnFormula>
    </tableColumn>
    <tableColumn id="17" xr3:uid="{BAABBDBE-05B7-486D-848A-EDB46E768A26}" name="2 per col" dataDxfId="28">
      <calculatedColumnFormula array="1">_xlfn.XLOOKUP(0,ABS(tbl_SeqLib[[#This Row],[Max for col]:[Avg for col]]-tbl_SeqLib[[#This Row],[Exact]]),tbl_SeqLib[[#This Row],[Max for col]:[Avg for col]],"",1)</calculatedColumnFormula>
    </tableColumn>
    <tableColumn id="18" xr3:uid="{FEDA3D60-A493-4564-992B-620C2DCBD54F}" name="1 per col (max)" dataDxfId="27">
      <calculatedColumnFormula>IF(tbl_SeqLib[[#This Row],[entry]]=2,tbl_SeqLib[[#This Row],[Max for col]],"")</calculatedColumnFormula>
    </tableColumn>
    <tableColumn id="34" xr3:uid="{B52F91B1-8FA3-4813-9699-EE87E0A73E1F}" name="1 per col (avg)" dataDxfId="26">
      <calculatedColumnFormula>IF(tbl_SeqLib[[#This Row],[entry]]=2,tbl_SeqLib[[#This Row],[Avg for col]],"")</calculatedColumnFormula>
    </tableColumn>
    <tableColumn id="22" xr3:uid="{3DBE046E-BBA1-40FE-9D15-A56B3030C6C7}" name="Avg per plate" dataDxfId="25">
      <calculatedColumnFormula>IF(tbl_SeqLib[[#This Row],[entry]]=2,AVERAGE(tbl_SeqLib[Exact]),"")</calculatedColumnFormula>
    </tableColumn>
    <tableColumn id="23" xr3:uid="{C00DCD81-1FEF-4ABB-8CC7-499C0C2570E9}" name="Max per plate" dataDxfId="24">
      <calculatedColumnFormula>IF(tbl_SeqLib[[#This Row],[entry]]=2,MAX(tbl_SeqLib[Exact]),"")</calculatedColumnFormula>
    </tableColumn>
    <tableColumn id="24" xr3:uid="{5078A409-FC75-4147-9A85-9D0F799A65C0}" name="2 per plate" dataDxfId="23">
      <calculatedColumnFormula array="1">_xlfn.XLOOKUP(0,ABS(tbl_SeqLib[[#This Row],[Avg per plate]:[Max per plate]]-tbl_SeqLib[[#This Row],[Exact]]),tbl_SeqLib[[#This Row],[Avg per plate]:[Max per plate]],,1)</calculatedColumnFormula>
    </tableColumn>
    <tableColumn id="32" xr3:uid="{B05461DD-A312-4983-ABE1-1FB7EFDBEC61}" name="Quantified" dataDxfId="22">
      <calculatedColumnFormula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calculatedColumnFormula>
    </tableColumn>
    <tableColumn id="30" xr3:uid="{31A406DE-6554-495B-953B-40F9644FB053}" name="Avg per plate (missing)" dataDxfId="21">
      <calculatedColumnFormula>IF(tbl_SeqLib[[#This Row],[entry]]=1,ROUNDUP(AVERAGE(tbl_SeqLib[Exact]),1),"")</calculatedColumnFormula>
    </tableColumn>
    <tableColumn id="29" xr3:uid="{C102ACE7-217E-4DB5-BABC-91C1DAD8AB2B}" name="Avg per col (missing)" dataDxfId="20">
      <calculatedColumnFormula>IF(tbl_SeqLib[[#This Row],[entry]]=1,ROUNDUP(AVERAGEIFS(tbl_SeqLib[Exact],tbl_SeqLib[Column],tbl_SeqLib[[#This Row],[Column]]),1),"")</calculatedColumnFormula>
    </tableColumn>
    <tableColumn id="33" xr3:uid="{EF7D6D48-AEC3-450E-B0D6-BDE3BF99E719}" name="Not quantified" dataDxfId="19">
      <calculatedColumnFormula>IF(missing_qc_resolution=reference!$E$34,tbl_SeqLib[[#This Row],[Avg per col (missing)]],tbl_SeqLib[[#This Row],[Avg per plate (missing)]])</calculatedColumnFormula>
    </tableColumn>
    <tableColumn id="11" xr3:uid="{00000000-0010-0000-0000-00000B000000}" name="PCR prodct (µl) to add for end-repair (calculated)" dataDxfId="18">
      <calculatedColumnFormula>IF(tbl_SeqLib[[#This Row],[entry]]=0,"",IF(tbl_SeqLib[[#This Row],[entry]]=1,tbl_SeqLib[[#This Row],[Not quantified]],IF(tbl_SeqLib[[#This Row],[entry]]=2,tbl_SeqLib[[#This Row],[Quantified]])))</calculatedColumnFormula>
    </tableColumn>
    <tableColumn id="15" xr3:uid="{22CC5A4D-2B43-425F-9880-9E27A697A4AC}" name="PCR prodct (µl) added (if different from calculated)" dataDxfId="0"/>
    <tableColumn id="12" xr3:uid="{00000000-0010-0000-0000-00000C000000}" name="NF H20 (µl)" dataDxfId="17">
      <calculatedColumnFormula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calculatedColumnFormula>
    </tableColumn>
    <tableColumn id="13" xr3:uid="{00000000-0010-0000-0000-00000D000000}" name="SeqLib Identifier" dataDxfId="16">
      <calculatedColumnFormula>IF(ISBLANK(tbl_SeqLib[[#This Row],[sWGA Identifier]]),"",CONCATENATE(exp_id,"_",tbl_SeqLib[[#This Row],[Well]]))</calculatedColumnFormula>
    </tableColumn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bl_expt_metadata" displayName="tbl_expt_metadata" ref="A1:X2" totalsRowShown="0">
  <autoFilter ref="A1:X2" xr:uid="{00000000-0009-0000-0100-000001000000}"/>
  <tableColumns count="24">
    <tableColumn id="1" xr3:uid="{00000000-0010-0000-0100-000001000000}" name="expt_id">
      <calculatedColumnFormula>IF(LEN(exp_id)=0,"",exp_id)</calculatedColumnFormula>
    </tableColumn>
    <tableColumn id="2" xr3:uid="{00000000-0010-0000-0100-000002000000}" name="expt_date">
      <calculatedColumnFormula>IF(LEN(exp_date)=0,"",exp_date)</calculatedColumnFormula>
    </tableColumn>
    <tableColumn id="3" xr3:uid="{00000000-0010-0000-0100-000003000000}" name="expt_user">
      <calculatedColumnFormula>IF(LEN(exp_user)=0,"",exp_user)</calculatedColumnFormula>
    </tableColumn>
    <tableColumn id="4" xr3:uid="{00000000-0010-0000-0100-000004000000}" name="expt_type">
      <calculatedColumnFormula>IF(LEN(exp_type)=0,"",exp_type)</calculatedColumnFormula>
    </tableColumn>
    <tableColumn id="5" xr3:uid="{00000000-0010-0000-0100-000005000000}" name="expt_version">
      <calculatedColumnFormula>IF(LEN(exp_version)=0,"",exp_version)</calculatedColumnFormula>
    </tableColumn>
    <tableColumn id="6" xr3:uid="{00000000-0010-0000-0100-000006000000}" name="expt_notes">
      <calculatedColumnFormula>IF(LEN(exp_notes)=0,"",exp_notes)</calculatedColumnFormula>
    </tableColumn>
    <tableColumn id="7" xr3:uid="{00000000-0010-0000-0100-000007000000}" name="expt_summary">
      <calculatedColumnFormula>IF(LEN(exp_summary)=0,"",exp_summary)</calculatedColumnFormula>
    </tableColumn>
    <tableColumn id="8" xr3:uid="{00000000-0010-0000-0100-000008000000}" name="expt_rxns">
      <calculatedColumnFormula>IF(LEN(exp_rxns)=0,"",exp_rxns)</calculatedColumnFormula>
    </tableColumn>
    <tableColumn id="9" xr3:uid="{00000000-0010-0000-0100-000009000000}" name="endrepair_targetmass_ng">
      <calculatedColumnFormula>IF(LEN(endrepair_targetmass)=0,"",endrepair_targetmass)</calculatedColumnFormula>
    </tableColumn>
    <tableColumn id="10" xr3:uid="{00000000-0010-0000-0100-00000A000000}" name="endrepair_maxvol_ul">
      <calculatedColumnFormula>IF(LEN(endrepair_maxvol)=0,"",endrepair_maxvol)</calculatedColumnFormula>
    </tableColumn>
    <tableColumn id="11" xr3:uid="{00000000-0010-0000-0100-00000B000000}" name="endrepair_dnaconc_ngul">
      <calculatedColumnFormula>IF(DNAconc_pooled=0,"",DNAconc_pooled)</calculatedColumnFormula>
    </tableColumn>
    <tableColumn id="12" xr3:uid="{00000000-0010-0000-0100-00000C000000}" name="adaptlig_targetmass_ng">
      <calculatedColumnFormula>IF(adaptlig_targetmass=0,"",adaptlig_targetmass)</calculatedColumnFormula>
    </tableColumn>
    <tableColumn id="13" xr3:uid="{00000000-0010-0000-0100-00000D000000}" name="adaptlig_maxvol_ul">
      <calculatedColumnFormula>IF(adaptlig_dna_maxvol=0,"",adaptlig_dna_maxvol)</calculatedColumnFormula>
    </tableColumn>
    <tableColumn id="24" xr3:uid="{6D9F8C6F-618C-4B3F-BDC7-82D40CFF4B2B}" name="library_washbuffer">
      <calculatedColumnFormula>IF(LEN(library_washbuffer)&gt;0,library_washbuffer,"")</calculatedColumnFormula>
    </tableColumn>
    <tableColumn id="14" xr3:uid="{00000000-0010-0000-0100-00000E000000}" name="library_dnaconc_ngul">
      <calculatedColumnFormula>IF(DNAconc_library=0,"",DNAconc_library)</calculatedColumnFormula>
    </tableColumn>
    <tableColumn id="15" xr3:uid="{00000000-0010-0000-0100-00000F000000}" name="seq_platform">
      <calculatedColumnFormula>IF(LEN(seq_platform)=0,"",seq_platform)</calculatedColumnFormula>
    </tableColumn>
    <tableColumn id="16" xr3:uid="{00000000-0010-0000-0100-000010000000}" name="flowcell_targetmass_ng">
      <calculatedColumnFormula>IF(LEN(flowcell_targetmass)=0,"",flowcell_targetmass)</calculatedColumnFormula>
    </tableColumn>
    <tableColumn id="17" xr3:uid="{00000000-0010-0000-0100-000011000000}" name="flowcell_maxvol_ul">
      <calculatedColumnFormula>IF(LEN(flowcell_maxvol)=0,"",flowcell_maxvol)</calculatedColumnFormula>
    </tableColumn>
    <tableColumn id="18" xr3:uid="{00000000-0010-0000-0100-000012000000}" name="flowcell_id">
      <calculatedColumnFormula>IF(LEN(flowcell_id)=0,"",flowcell_id)</calculatedColumnFormula>
    </tableColumn>
    <tableColumn id="19" xr3:uid="{00000000-0010-0000-0100-000013000000}" name="flowcell_chemistry">
      <calculatedColumnFormula>IF(LEN(flowcell_chemisty)=0,"",flowcell_chemisty)</calculatedColumnFormula>
    </tableColumn>
    <tableColumn id="20" xr3:uid="{00000000-0010-0000-0100-000014000000}" name="flowcell_status">
      <calculatedColumnFormula>IF(LEN(flowcell_status)=0,"",flowcell_status)</calculatedColumnFormula>
    </tableColumn>
    <tableColumn id="21" xr3:uid="{00000000-0010-0000-0100-000015000000}" name="flowcell_checkpores">
      <calculatedColumnFormula>IF(LEN(flowcell_checkpores)=0,"",flowcell_checkpores)</calculatedColumnFormula>
    </tableColumn>
    <tableColumn id="22" xr3:uid="{00000000-0010-0000-0100-000016000000}" name="flowcell_runlength_hrs">
      <calculatedColumnFormula>IF(LEN(flowcell_runduration)=0,"",flowcell_runduration)</calculatedColumnFormula>
    </tableColumn>
    <tableColumn id="23" xr3:uid="{00000000-0010-0000-0100-000017000000}" name="flowcell_prevusage_hrs">
      <calculatedColumnFormula>IF(LEN(flowcell_usage_hrs)=0,"",flowcell_usage_hrs)</calculatedColumnFormula>
    </tableColumn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tbl_rxn_metadata" displayName="tbl_rxn_metadata" ref="A1:H97" totalsRowShown="0">
  <autoFilter ref="A1:H97" xr:uid="{00000000-0009-0000-0100-000002000000}"/>
  <tableColumns count="8">
    <tableColumn id="1" xr3:uid="{00000000-0010-0000-0200-000001000000}" name="sample_id"/>
    <tableColumn id="2" xr3:uid="{00000000-0010-0000-0200-000002000000}" name="extraction_id"/>
    <tableColumn id="3" xr3:uid="{00000000-0010-0000-0200-000003000000}" name="expt_id"/>
    <tableColumn id="4" xr3:uid="{00000000-0010-0000-0200-000004000000}" name="swga_identifier"/>
    <tableColumn id="5" xr3:uid="{00000000-0010-0000-0200-000005000000}" name="pcr_identifier"/>
    <tableColumn id="6" xr3:uid="{00000000-0010-0000-0200-000006000000}" name="seqlib_identifier"/>
    <tableColumn id="7" xr3:uid="{00000000-0010-0000-0200-000007000000}" name="barcode">
      <calculatedColumnFormula>IF(LEN(Library!F3)=0,"",CONCATENATE("barcode",Library!K3))</calculatedColumnFormula>
    </tableColumn>
    <tableColumn id="8" xr3:uid="{00000000-0010-0000-0200-000008000000}" name="endrepair_vol_ul">
      <calculatedColumnFormula>IF(LEN(Library!AB3)=0,"",IF(Library!AC3&gt;0,Library!AC3,Library!AB3))</calculatedColumnFormula>
    </tableColumn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  <pageSetUpPr fitToPage="1"/>
  </sheetPr>
  <dimension ref="A1:L74"/>
  <sheetViews>
    <sheetView zoomScale="160" zoomScaleNormal="160" workbookViewId="0">
      <selection activeCell="C12" sqref="C12"/>
    </sheetView>
  </sheetViews>
  <sheetFormatPr defaultColWidth="8.625" defaultRowHeight="15.75" x14ac:dyDescent="0.25"/>
  <cols>
    <col min="1" max="8" width="9" style="3" customWidth="1"/>
  </cols>
  <sheetData>
    <row r="1" spans="1:12" x14ac:dyDescent="0.25">
      <c r="A1" s="127" t="s">
        <v>395</v>
      </c>
      <c r="B1" s="127"/>
      <c r="C1" s="127"/>
      <c r="D1" s="127"/>
      <c r="E1" s="127"/>
      <c r="F1" s="127"/>
      <c r="G1" s="127"/>
      <c r="H1" s="127"/>
      <c r="I1" s="127"/>
      <c r="J1" s="127"/>
      <c r="K1" s="127"/>
      <c r="L1" s="127"/>
    </row>
    <row r="2" spans="1:12" ht="15.75" customHeight="1" x14ac:dyDescent="0.25">
      <c r="A2" s="91" t="s">
        <v>0</v>
      </c>
      <c r="B2" s="91"/>
      <c r="C2" s="128"/>
      <c r="D2" s="128"/>
      <c r="E2" s="128"/>
      <c r="F2" s="128"/>
      <c r="G2" s="110" t="s">
        <v>1</v>
      </c>
      <c r="H2" s="110"/>
      <c r="J2" s="129" t="s">
        <v>2</v>
      </c>
      <c r="K2" s="129"/>
    </row>
    <row r="3" spans="1:12" ht="15.75" customHeight="1" x14ac:dyDescent="0.25">
      <c r="A3" s="91" t="s">
        <v>3</v>
      </c>
      <c r="B3" s="91"/>
      <c r="C3" s="130"/>
      <c r="D3" s="130"/>
      <c r="E3" s="130"/>
      <c r="F3" s="130"/>
      <c r="G3" s="3" t="s">
        <v>4</v>
      </c>
      <c r="J3" s="131" t="s">
        <v>5</v>
      </c>
      <c r="K3" s="131"/>
    </row>
    <row r="4" spans="1:12" ht="15.75" customHeight="1" x14ac:dyDescent="0.25">
      <c r="A4" s="91" t="s">
        <v>6</v>
      </c>
      <c r="B4" s="91"/>
      <c r="C4" s="128"/>
      <c r="D4" s="128"/>
      <c r="E4" s="128"/>
      <c r="F4" s="128"/>
      <c r="G4" s="4" t="s">
        <v>7</v>
      </c>
      <c r="J4" s="132" t="s">
        <v>8</v>
      </c>
      <c r="K4" s="132"/>
    </row>
    <row r="5" spans="1:12" ht="15.75" customHeight="1" x14ac:dyDescent="0.25">
      <c r="A5" s="122" t="s">
        <v>9</v>
      </c>
      <c r="B5" s="122"/>
      <c r="C5" s="106" t="str">
        <f>IF(OR(ISBLANK(C3),ISBLANK(C4)),"",CONCATENATE("SL",VLOOKUP(C3,reference!H3:I9,2,FALSE()),C4))</f>
        <v/>
      </c>
      <c r="D5" s="106"/>
      <c r="E5" s="106"/>
      <c r="F5" s="106"/>
      <c r="G5" s="5" t="s">
        <v>10</v>
      </c>
      <c r="J5" s="123" t="s">
        <v>11</v>
      </c>
      <c r="K5" s="123"/>
    </row>
    <row r="6" spans="1:12" ht="15.75" customHeight="1" x14ac:dyDescent="0.25">
      <c r="A6" s="122" t="s">
        <v>12</v>
      </c>
      <c r="B6" s="122"/>
      <c r="C6" s="124" t="str">
        <f>IF(OR(ISBLANK(C2),ISBLANK(C3),ISBLANK(C4)),"",CONCATENATE(C2,"_SeqLib_",C5))</f>
        <v/>
      </c>
      <c r="D6" s="124"/>
      <c r="E6" s="124"/>
      <c r="F6" s="124"/>
      <c r="G6" s="5"/>
      <c r="J6" s="123"/>
      <c r="K6" s="123"/>
    </row>
    <row r="7" spans="1:12" ht="15.75" customHeight="1" x14ac:dyDescent="0.25">
      <c r="A7" s="125" t="s">
        <v>13</v>
      </c>
      <c r="B7" s="125"/>
      <c r="C7" s="126"/>
      <c r="D7" s="126"/>
      <c r="E7" s="126"/>
      <c r="F7" s="126"/>
      <c r="G7" s="5" t="s">
        <v>4</v>
      </c>
    </row>
    <row r="8" spans="1:12" ht="15.75" customHeight="1" x14ac:dyDescent="0.25">
      <c r="A8" s="125" t="s">
        <v>14</v>
      </c>
      <c r="B8" s="125"/>
      <c r="C8" s="126"/>
      <c r="D8" s="126"/>
      <c r="E8" s="126"/>
      <c r="F8" s="126"/>
      <c r="G8" s="3" t="s">
        <v>15</v>
      </c>
    </row>
    <row r="9" spans="1:12" ht="15.75" customHeight="1" x14ac:dyDescent="0.25">
      <c r="A9" s="117" t="s">
        <v>16</v>
      </c>
      <c r="B9" s="117"/>
      <c r="C9" s="118" t="str">
        <f>IF(OR(LEN(C7)=0, LEN(C8)=0),"",CONCATENATE(C7,"_Batch",C8))</f>
        <v/>
      </c>
      <c r="D9" s="118"/>
      <c r="E9" s="118"/>
      <c r="F9" s="118"/>
      <c r="G9" s="5" t="s">
        <v>17</v>
      </c>
    </row>
    <row r="10" spans="1:12" ht="15.75" customHeight="1" x14ac:dyDescent="0.25">
      <c r="A10" s="117" t="s">
        <v>18</v>
      </c>
      <c r="B10" s="117"/>
      <c r="C10" s="118" t="str">
        <f>IF(OR(LEN(C6)=0,LEN(exp_summary)=0),"",CONCATENATE(C6,"_",exp_summary))</f>
        <v/>
      </c>
      <c r="D10" s="118"/>
      <c r="E10" s="118"/>
      <c r="F10" s="118"/>
      <c r="G10" s="118"/>
      <c r="H10" s="118"/>
    </row>
    <row r="11" spans="1:12" ht="15.75" customHeight="1" x14ac:dyDescent="0.25">
      <c r="A11" s="91" t="s">
        <v>423</v>
      </c>
      <c r="B11" s="91"/>
      <c r="C11" s="121"/>
      <c r="D11" s="121"/>
      <c r="E11" s="121"/>
      <c r="F11" s="121"/>
      <c r="G11" s="5" t="s">
        <v>4</v>
      </c>
      <c r="H11" s="25"/>
      <c r="I11" s="25"/>
    </row>
    <row r="12" spans="1:12" ht="15.75" customHeight="1" x14ac:dyDescent="0.25">
      <c r="A12" s="91" t="s">
        <v>19</v>
      </c>
      <c r="B12" s="91"/>
      <c r="C12" s="27"/>
      <c r="D12" s="25"/>
      <c r="E12" s="25"/>
      <c r="F12" s="25"/>
      <c r="G12" s="5"/>
    </row>
    <row r="13" spans="1:12" ht="15.75" customHeight="1" x14ac:dyDescent="0.25">
      <c r="A13" s="91" t="s">
        <v>20</v>
      </c>
      <c r="B13" s="91"/>
      <c r="C13" s="119"/>
      <c r="D13" s="119"/>
      <c r="E13" s="119"/>
      <c r="F13" s="119"/>
      <c r="G13" s="119"/>
      <c r="H13" s="119"/>
      <c r="I13" s="119"/>
      <c r="J13" s="119"/>
      <c r="K13" s="119"/>
    </row>
    <row r="14" spans="1:12" x14ac:dyDescent="0.25">
      <c r="A14" s="1"/>
      <c r="B14" s="1"/>
      <c r="C14" s="119"/>
      <c r="D14" s="119"/>
      <c r="E14" s="119"/>
      <c r="F14" s="119"/>
      <c r="G14" s="119"/>
      <c r="H14" s="119"/>
      <c r="I14" s="119"/>
      <c r="J14" s="119"/>
      <c r="K14" s="119"/>
    </row>
    <row r="15" spans="1:12" x14ac:dyDescent="0.25">
      <c r="C15" s="6"/>
    </row>
    <row r="16" spans="1:12" x14ac:dyDescent="0.25">
      <c r="A16" s="7" t="s">
        <v>21</v>
      </c>
      <c r="C16" s="8"/>
      <c r="G16" s="8"/>
      <c r="I16" s="120" t="s">
        <v>22</v>
      </c>
      <c r="J16" s="120"/>
      <c r="K16" s="120"/>
    </row>
    <row r="17" spans="1:11" x14ac:dyDescent="0.25">
      <c r="A17" s="9" t="s">
        <v>337</v>
      </c>
      <c r="B17" s="9"/>
      <c r="C17" s="9"/>
      <c r="D17" s="9"/>
      <c r="E17" s="9"/>
      <c r="F17" s="28"/>
      <c r="G17" s="9" t="str">
        <f>CONCATENATE("ng added, max vol = ", endrepair_maxvol, " µl, max 800ng")</f>
        <v>ng added, max vol = 10 µl, max 800ng</v>
      </c>
      <c r="H17" s="5"/>
    </row>
    <row r="18" spans="1:11" s="3" customFormat="1" x14ac:dyDescent="0.25">
      <c r="A18" s="5" t="s">
        <v>23</v>
      </c>
      <c r="C18" s="2" t="s">
        <v>24</v>
      </c>
      <c r="D18" s="33">
        <v>0.1</v>
      </c>
      <c r="F18" s="6"/>
    </row>
    <row r="19" spans="1:11" s="3" customFormat="1" ht="15.75" customHeight="1" x14ac:dyDescent="0.25">
      <c r="A19" s="101" t="s">
        <v>25</v>
      </c>
      <c r="B19" s="101"/>
      <c r="C19" s="101"/>
      <c r="D19" s="116" t="s">
        <v>26</v>
      </c>
      <c r="E19" s="116"/>
      <c r="F19" s="116" t="str">
        <f>CONCATENATE("MM x",exp_rxns," (µl)")</f>
        <v>MM x (µl)</v>
      </c>
      <c r="G19" s="116"/>
      <c r="I19" s="95" t="s">
        <v>27</v>
      </c>
      <c r="J19" s="95"/>
      <c r="K19" s="11" t="s">
        <v>28</v>
      </c>
    </row>
    <row r="20" spans="1:11" s="3" customFormat="1" ht="15.75" customHeight="1" x14ac:dyDescent="0.25">
      <c r="A20" s="99" t="s">
        <v>29</v>
      </c>
      <c r="B20" s="99"/>
      <c r="C20" s="99"/>
      <c r="D20" s="111" t="s">
        <v>30</v>
      </c>
      <c r="E20" s="111"/>
      <c r="F20" s="112" t="s">
        <v>31</v>
      </c>
      <c r="G20" s="112"/>
      <c r="I20" s="104">
        <v>20</v>
      </c>
      <c r="J20" s="104"/>
      <c r="K20" s="8">
        <v>15</v>
      </c>
    </row>
    <row r="21" spans="1:11" s="3" customFormat="1" ht="18.75" customHeight="1" x14ac:dyDescent="0.25">
      <c r="A21" s="99" t="s">
        <v>32</v>
      </c>
      <c r="B21" s="99"/>
      <c r="C21" s="99"/>
      <c r="D21" s="111" t="str">
        <f>CONCATENATE(endrepair_maxvol, " - x")</f>
        <v>10 - x</v>
      </c>
      <c r="E21" s="111"/>
      <c r="F21" s="112" t="s">
        <v>31</v>
      </c>
      <c r="G21" s="112"/>
      <c r="I21" s="104">
        <v>65</v>
      </c>
      <c r="J21" s="104"/>
      <c r="K21" s="8">
        <v>15</v>
      </c>
    </row>
    <row r="22" spans="1:11" s="3" customFormat="1" ht="25.35" customHeight="1" x14ac:dyDescent="0.25">
      <c r="A22" s="99" t="s">
        <v>33</v>
      </c>
      <c r="B22" s="99"/>
      <c r="C22" s="99"/>
      <c r="D22" s="114">
        <v>1.4</v>
      </c>
      <c r="E22" s="114"/>
      <c r="F22" s="112">
        <f>SUM(D22*exp_rxns*(1+$D$18))</f>
        <v>0</v>
      </c>
      <c r="G22" s="112"/>
      <c r="I22" s="104">
        <v>4</v>
      </c>
      <c r="J22" s="104"/>
      <c r="K22" s="3" t="s">
        <v>34</v>
      </c>
    </row>
    <row r="23" spans="1:11" s="3" customFormat="1" ht="15.75" customHeight="1" x14ac:dyDescent="0.25">
      <c r="A23" s="99" t="s">
        <v>35</v>
      </c>
      <c r="B23" s="99"/>
      <c r="C23" s="99"/>
      <c r="D23" s="114">
        <v>0.6</v>
      </c>
      <c r="E23" s="114"/>
      <c r="F23" s="112">
        <f>SUM(D23*exp_rxns*(1+$D$18))</f>
        <v>0</v>
      </c>
      <c r="G23" s="112"/>
    </row>
    <row r="24" spans="1:11" s="3" customFormat="1" x14ac:dyDescent="0.25">
      <c r="A24" s="8"/>
      <c r="D24" s="115">
        <f>SUM(D22:D23)+endrepair_maxvol</f>
        <v>12</v>
      </c>
      <c r="E24" s="115"/>
      <c r="F24" s="13" t="str">
        <f>CONCATENATE("Add ",SUM(D22:D23)," µl of MM to each")</f>
        <v>Add 2 µl of MM to each</v>
      </c>
    </row>
    <row r="25" spans="1:11" s="3" customFormat="1" x14ac:dyDescent="0.25">
      <c r="A25" s="8"/>
      <c r="D25" s="12"/>
      <c r="E25" s="12"/>
      <c r="F25" s="13"/>
    </row>
    <row r="26" spans="1:11" s="3" customFormat="1" x14ac:dyDescent="0.25">
      <c r="A26" s="9" t="s">
        <v>36</v>
      </c>
      <c r="B26" s="14"/>
      <c r="C26" s="2" t="s">
        <v>24</v>
      </c>
      <c r="D26" s="10">
        <v>0.1</v>
      </c>
    </row>
    <row r="27" spans="1:11" s="3" customFormat="1" ht="15.75" customHeight="1" x14ac:dyDescent="0.25">
      <c r="A27" s="101" t="s">
        <v>25</v>
      </c>
      <c r="B27" s="101"/>
      <c r="C27" s="101"/>
      <c r="D27" s="116" t="s">
        <v>26</v>
      </c>
      <c r="E27" s="116"/>
      <c r="F27" s="116" t="str">
        <f>CONCATENATE("MM x",exp_rxns," (µl)")</f>
        <v>MM x (µl)</v>
      </c>
      <c r="G27" s="116"/>
      <c r="I27" s="95" t="s">
        <v>27</v>
      </c>
      <c r="J27" s="95"/>
      <c r="K27" s="11" t="s">
        <v>28</v>
      </c>
    </row>
    <row r="28" spans="1:11" s="3" customFormat="1" ht="15.75" customHeight="1" x14ac:dyDescent="0.25">
      <c r="A28" s="99" t="s">
        <v>37</v>
      </c>
      <c r="B28" s="99"/>
      <c r="C28" s="99"/>
      <c r="D28" s="111">
        <v>0.5</v>
      </c>
      <c r="E28" s="111"/>
      <c r="F28" s="112" t="s">
        <v>31</v>
      </c>
      <c r="G28" s="112"/>
      <c r="I28" s="104">
        <v>20</v>
      </c>
      <c r="J28" s="104"/>
      <c r="K28" s="8">
        <v>20</v>
      </c>
    </row>
    <row r="29" spans="1:11" s="3" customFormat="1" ht="15.75" customHeight="1" x14ac:dyDescent="0.25">
      <c r="A29" s="99" t="s">
        <v>38</v>
      </c>
      <c r="B29" s="99"/>
      <c r="C29" s="99"/>
      <c r="D29" s="111">
        <v>6</v>
      </c>
      <c r="E29" s="111"/>
      <c r="F29" s="112">
        <f>SUM(D29*exp_rxns*(1+$D$26))</f>
        <v>0</v>
      </c>
      <c r="G29" s="112"/>
      <c r="I29" s="104">
        <v>65</v>
      </c>
      <c r="J29" s="104"/>
      <c r="K29" s="8">
        <v>10</v>
      </c>
    </row>
    <row r="30" spans="1:11" s="3" customFormat="1" ht="15.75" customHeight="1" x14ac:dyDescent="0.25">
      <c r="A30" s="99" t="s">
        <v>39</v>
      </c>
      <c r="B30" s="99"/>
      <c r="C30" s="99"/>
      <c r="D30" s="111">
        <v>0.2</v>
      </c>
      <c r="E30" s="111"/>
      <c r="F30" s="112">
        <f>SUM(D30*exp_rxns*(1+$D$26))</f>
        <v>0</v>
      </c>
      <c r="G30" s="112"/>
      <c r="I30" s="104">
        <v>8</v>
      </c>
      <c r="J30" s="104"/>
      <c r="K30" s="3" t="s">
        <v>34</v>
      </c>
    </row>
    <row r="31" spans="1:11" s="3" customFormat="1" x14ac:dyDescent="0.25">
      <c r="A31" s="8"/>
      <c r="D31" s="113">
        <f>SUM(D28:D30)+D24</f>
        <v>18.7</v>
      </c>
      <c r="E31" s="113"/>
      <c r="F31" s="13" t="str">
        <f>CONCATENATE("Add ",SUM(D29:D30)," µl of MM to each")</f>
        <v>Add 6.2 µl of MM to each</v>
      </c>
    </row>
    <row r="33" spans="1:11" x14ac:dyDescent="0.25">
      <c r="A33" s="7" t="s">
        <v>40</v>
      </c>
      <c r="C33" s="8"/>
    </row>
    <row r="34" spans="1:11" ht="48" thickBot="1" x14ac:dyDescent="0.3">
      <c r="A34" s="87" t="s">
        <v>425</v>
      </c>
      <c r="B34" s="87" t="s">
        <v>426</v>
      </c>
      <c r="C34" s="87" t="s">
        <v>430</v>
      </c>
      <c r="D34" s="87" t="s">
        <v>428</v>
      </c>
      <c r="E34" s="87" t="s">
        <v>429</v>
      </c>
      <c r="F34" s="87" t="s">
        <v>427</v>
      </c>
      <c r="G34" s="87" t="s">
        <v>431</v>
      </c>
    </row>
    <row r="35" spans="1:11" x14ac:dyDescent="0.25">
      <c r="A35" s="90"/>
      <c r="B35" s="89" t="str">
        <f>IF(OR(ISBLANK(A35),ISBLANK(exp_rxns)),"",SUM(A35*exp_rxns))</f>
        <v/>
      </c>
      <c r="C35" s="90">
        <v>0.4</v>
      </c>
      <c r="D35" s="89" t="str">
        <f>IFERROR(SUM(B35*C35),"")</f>
        <v/>
      </c>
      <c r="E35" s="90"/>
      <c r="F35" s="90"/>
      <c r="G35" s="90"/>
    </row>
    <row r="36" spans="1:11" ht="15.75" customHeight="1" x14ac:dyDescent="0.25">
      <c r="A36" s="71" t="s">
        <v>435</v>
      </c>
      <c r="B36" s="9"/>
      <c r="C36" s="9"/>
      <c r="D36" s="9"/>
      <c r="E36" s="9"/>
      <c r="F36" s="9"/>
      <c r="G36" s="26"/>
    </row>
    <row r="37" spans="1:11" ht="30.75" customHeight="1" x14ac:dyDescent="0.25">
      <c r="A37" s="109" t="s">
        <v>434</v>
      </c>
      <c r="B37" s="110"/>
      <c r="C37" s="110"/>
      <c r="D37" s="110"/>
      <c r="E37" s="110"/>
      <c r="F37" s="110"/>
      <c r="G37" s="110"/>
      <c r="H37" s="110"/>
      <c r="I37" s="110"/>
      <c r="J37" s="110"/>
      <c r="K37" s="110"/>
    </row>
    <row r="38" spans="1:11" ht="15.75" customHeight="1" x14ac:dyDescent="0.25">
      <c r="A38" s="71" t="s">
        <v>433</v>
      </c>
      <c r="B38" s="9"/>
      <c r="C38" s="9"/>
      <c r="D38" s="9"/>
      <c r="E38" s="9"/>
      <c r="F38" s="9"/>
      <c r="G38" s="9"/>
    </row>
    <row r="39" spans="1:11" ht="46.5" customHeight="1" x14ac:dyDescent="0.25">
      <c r="A39" s="15" t="s">
        <v>41</v>
      </c>
      <c r="B39" s="16" t="s">
        <v>42</v>
      </c>
      <c r="C39" s="16" t="s">
        <v>43</v>
      </c>
      <c r="D39" s="97" t="s">
        <v>44</v>
      </c>
      <c r="E39" s="97"/>
    </row>
    <row r="40" spans="1:11" x14ac:dyDescent="0.25">
      <c r="A40" s="17">
        <f>SUM(exp_rxns*D31)*0.4</f>
        <v>0</v>
      </c>
      <c r="B40" s="34"/>
      <c r="C40" s="34"/>
      <c r="D40" s="108">
        <f>SUM(B40*C40)</f>
        <v>0</v>
      </c>
      <c r="E40" s="108"/>
    </row>
    <row r="42" spans="1:11" x14ac:dyDescent="0.25">
      <c r="A42" s="7" t="s">
        <v>45</v>
      </c>
    </row>
    <row r="43" spans="1:11" x14ac:dyDescent="0.25">
      <c r="A43" s="5" t="s">
        <v>338</v>
      </c>
      <c r="B43" s="28"/>
      <c r="C43" s="9" t="s">
        <v>339</v>
      </c>
      <c r="F43" s="28">
        <v>50</v>
      </c>
      <c r="G43" s="5" t="str">
        <f>_xlfn.CONCAT("µl (recommend 1500 ng of product in ",adaptlig_dna_maxvol," µl max)")</f>
        <v>µl (recommend 1500 ng of product in 30 µl max)</v>
      </c>
    </row>
    <row r="44" spans="1:11" ht="15.75" customHeight="1" thickBot="1" x14ac:dyDescent="0.3">
      <c r="A44" s="95" t="s">
        <v>25</v>
      </c>
      <c r="B44" s="95"/>
      <c r="C44" s="95"/>
      <c r="D44" s="96" t="s">
        <v>26</v>
      </c>
      <c r="E44" s="96"/>
      <c r="I44" s="95" t="s">
        <v>27</v>
      </c>
      <c r="J44" s="95"/>
      <c r="K44" s="11" t="s">
        <v>28</v>
      </c>
    </row>
    <row r="45" spans="1:11" ht="15.75" customHeight="1" x14ac:dyDescent="0.25">
      <c r="A45" s="99" t="s">
        <v>46</v>
      </c>
      <c r="B45" s="99"/>
      <c r="C45" s="99"/>
      <c r="D45" s="98">
        <f>IF(B40="",adaptlig_dna_maxvol,IF(SUM(adaptlig_targetmass/D40)&gt;adaptlig_dna_maxvol,adaptlig_dna_maxvol,SUM(adaptlig_targetmass/D40)))</f>
        <v>30</v>
      </c>
      <c r="E45" s="98"/>
      <c r="F45" s="5"/>
      <c r="I45" s="104" t="s">
        <v>47</v>
      </c>
      <c r="J45" s="104"/>
      <c r="K45" s="8">
        <v>10</v>
      </c>
    </row>
    <row r="46" spans="1:11" ht="15.75" customHeight="1" x14ac:dyDescent="0.25">
      <c r="A46" s="99" t="s">
        <v>32</v>
      </c>
      <c r="B46" s="99"/>
      <c r="C46" s="99"/>
      <c r="D46" s="98">
        <f>IFERROR(SUM(adaptlig_dna_maxvol-D45),"")</f>
        <v>0</v>
      </c>
      <c r="E46" s="98"/>
      <c r="F46" s="8"/>
    </row>
    <row r="47" spans="1:11" ht="15.75" customHeight="1" x14ac:dyDescent="0.25">
      <c r="A47" s="99" t="s">
        <v>48</v>
      </c>
      <c r="B47" s="99"/>
      <c r="C47" s="99"/>
      <c r="D47" s="106">
        <v>5</v>
      </c>
      <c r="E47" s="106"/>
    </row>
    <row r="48" spans="1:11" ht="15.75" customHeight="1" x14ac:dyDescent="0.25">
      <c r="A48" s="99" t="s">
        <v>388</v>
      </c>
      <c r="B48" s="99"/>
      <c r="C48" s="99"/>
      <c r="D48" s="106">
        <f>SUM(adaptlig_rxn_vol/5)</f>
        <v>10</v>
      </c>
      <c r="E48" s="106"/>
    </row>
    <row r="49" spans="1:12" ht="15.75" customHeight="1" x14ac:dyDescent="0.25">
      <c r="A49" s="99" t="s">
        <v>49</v>
      </c>
      <c r="B49" s="99"/>
      <c r="C49" s="99"/>
      <c r="D49" s="106">
        <f>SUM(adaptlig_rxn_vol/10)</f>
        <v>5</v>
      </c>
      <c r="E49" s="106"/>
    </row>
    <row r="50" spans="1:12" x14ac:dyDescent="0.25">
      <c r="D50" s="107">
        <f>SUM(D45:D49)</f>
        <v>50</v>
      </c>
      <c r="E50" s="107"/>
    </row>
    <row r="52" spans="1:12" x14ac:dyDescent="0.25">
      <c r="A52" s="7" t="s">
        <v>389</v>
      </c>
    </row>
    <row r="53" spans="1:12" x14ac:dyDescent="0.25">
      <c r="B53" s="1" t="s">
        <v>390</v>
      </c>
      <c r="C53" s="47"/>
      <c r="D53" s="71" t="s">
        <v>432</v>
      </c>
    </row>
    <row r="54" spans="1:12" x14ac:dyDescent="0.25">
      <c r="A54" s="105" t="s">
        <v>391</v>
      </c>
      <c r="B54" s="105"/>
      <c r="C54" s="105"/>
      <c r="D54" s="105"/>
      <c r="E54" s="105"/>
      <c r="F54" s="105"/>
      <c r="G54" s="105"/>
      <c r="H54" s="105"/>
      <c r="I54" s="105"/>
      <c r="J54" s="105"/>
      <c r="K54" s="105"/>
      <c r="L54" s="105"/>
    </row>
    <row r="55" spans="1:12" x14ac:dyDescent="0.25">
      <c r="A55" s="71" t="s">
        <v>433</v>
      </c>
      <c r="B55" s="9"/>
      <c r="C55" s="9"/>
      <c r="D55" s="9"/>
      <c r="E55" s="9"/>
      <c r="F55" s="9"/>
      <c r="G55" s="9"/>
      <c r="I55" s="71"/>
      <c r="J55" s="71"/>
      <c r="K55" s="71"/>
      <c r="L55" s="88"/>
    </row>
    <row r="56" spans="1:12" ht="32.25" customHeight="1" thickBot="1" x14ac:dyDescent="0.3">
      <c r="A56" s="101" t="s">
        <v>41</v>
      </c>
      <c r="B56" s="101"/>
      <c r="C56" s="101" t="s">
        <v>50</v>
      </c>
      <c r="D56" s="101"/>
      <c r="E56" s="101" t="s">
        <v>43</v>
      </c>
      <c r="F56" s="101"/>
      <c r="G56" s="101" t="s">
        <v>51</v>
      </c>
      <c r="H56" s="101"/>
    </row>
    <row r="57" spans="1:12" x14ac:dyDescent="0.25">
      <c r="A57" s="102">
        <f>SUM(adaptlig_rxn_vol*0.5)</f>
        <v>25</v>
      </c>
      <c r="B57" s="102"/>
      <c r="C57" s="103"/>
      <c r="D57" s="103"/>
      <c r="E57" s="103"/>
      <c r="F57" s="103"/>
      <c r="G57" s="104">
        <f>SUM(C57*E57)</f>
        <v>0</v>
      </c>
      <c r="H57" s="104"/>
    </row>
    <row r="59" spans="1:12" x14ac:dyDescent="0.25">
      <c r="A59" s="7" t="s">
        <v>52</v>
      </c>
    </row>
    <row r="60" spans="1:12" x14ac:dyDescent="0.25">
      <c r="A60" s="5" t="s">
        <v>338</v>
      </c>
      <c r="B60" s="28"/>
      <c r="C60" s="9" t="str">
        <f>CONCATENATE("ng of library (max volume = ", flowcell_maxvol,"µl), recommend 800 ng")</f>
        <v>ng of library (max volume = 12µl), recommend 800 ng</v>
      </c>
      <c r="H60" s="18"/>
    </row>
    <row r="61" spans="1:12" ht="15.75" customHeight="1" x14ac:dyDescent="0.25">
      <c r="A61" s="95" t="s">
        <v>25</v>
      </c>
      <c r="B61" s="95"/>
      <c r="C61" s="95"/>
      <c r="D61" s="96" t="s">
        <v>26</v>
      </c>
      <c r="E61" s="96"/>
    </row>
    <row r="62" spans="1:12" ht="15.75" customHeight="1" x14ac:dyDescent="0.25">
      <c r="A62" s="97" t="s">
        <v>53</v>
      </c>
      <c r="B62" s="97"/>
      <c r="C62" s="97"/>
      <c r="D62" s="98">
        <f>IF(C57="",flowcell_maxvol,IF(SUM(flowcell_targetmass/G57)&gt;flowcell_maxvol,flowcell_maxvol,SUM(flowcell_targetmass/G57)))</f>
        <v>12</v>
      </c>
      <c r="E62" s="98"/>
    </row>
    <row r="63" spans="1:12" ht="15.75" customHeight="1" x14ac:dyDescent="0.25">
      <c r="A63" s="97" t="s">
        <v>54</v>
      </c>
      <c r="B63" s="97"/>
      <c r="C63" s="97"/>
      <c r="D63" s="98" t="str">
        <f>IFERROR((IF(SUM(12-D62)=0,"-",SUM(12-D62))),"")</f>
        <v>-</v>
      </c>
      <c r="E63" s="98"/>
    </row>
    <row r="64" spans="1:12" ht="15.75" customHeight="1" x14ac:dyDescent="0.25">
      <c r="A64" s="99" t="s">
        <v>396</v>
      </c>
      <c r="B64" s="99"/>
      <c r="C64" s="99"/>
      <c r="D64" s="100">
        <v>37.5</v>
      </c>
      <c r="E64" s="100"/>
    </row>
    <row r="65" spans="1:6" ht="15.75" customHeight="1" x14ac:dyDescent="0.25">
      <c r="A65" s="99" t="s">
        <v>397</v>
      </c>
      <c r="B65" s="99"/>
      <c r="C65" s="99"/>
      <c r="D65" s="100">
        <v>25.5</v>
      </c>
      <c r="E65" s="100"/>
      <c r="F65" s="5" t="s">
        <v>55</v>
      </c>
    </row>
    <row r="67" spans="1:6" x14ac:dyDescent="0.25">
      <c r="A67" s="7" t="s">
        <v>56</v>
      </c>
      <c r="C67" s="5"/>
    </row>
    <row r="68" spans="1:6" ht="15.75" customHeight="1" x14ac:dyDescent="0.25">
      <c r="A68" s="91" t="s">
        <v>57</v>
      </c>
      <c r="B68" s="91"/>
      <c r="C68" s="93"/>
      <c r="D68" s="93"/>
      <c r="E68" s="5" t="s">
        <v>4</v>
      </c>
    </row>
    <row r="69" spans="1:6" ht="15.75" customHeight="1" x14ac:dyDescent="0.25">
      <c r="A69" s="91" t="s">
        <v>59</v>
      </c>
      <c r="B69" s="91"/>
      <c r="C69" s="92"/>
      <c r="D69" s="92"/>
    </row>
    <row r="70" spans="1:6" ht="15.75" customHeight="1" x14ac:dyDescent="0.25">
      <c r="A70" s="91" t="s">
        <v>60</v>
      </c>
      <c r="B70" s="91"/>
      <c r="C70" s="92"/>
      <c r="D70" s="92"/>
    </row>
    <row r="71" spans="1:6" ht="15.75" customHeight="1" x14ac:dyDescent="0.25">
      <c r="A71" s="91" t="s">
        <v>61</v>
      </c>
      <c r="B71" s="91"/>
      <c r="C71" s="94" t="str">
        <f>IF(flowcell_status="New",0,"")</f>
        <v/>
      </c>
      <c r="D71" s="94"/>
      <c r="E71" s="9" t="s">
        <v>62</v>
      </c>
    </row>
    <row r="72" spans="1:6" ht="15.75" customHeight="1" x14ac:dyDescent="0.25">
      <c r="A72" s="91" t="s">
        <v>63</v>
      </c>
      <c r="B72" s="91"/>
      <c r="C72" s="93"/>
      <c r="D72" s="93"/>
      <c r="E72" s="5" t="s">
        <v>4</v>
      </c>
    </row>
    <row r="73" spans="1:6" ht="15.75" customHeight="1" x14ac:dyDescent="0.25">
      <c r="A73" s="91" t="s">
        <v>65</v>
      </c>
      <c r="B73" s="91"/>
      <c r="C73" s="92"/>
      <c r="D73" s="92"/>
      <c r="E73" s="9" t="s">
        <v>66</v>
      </c>
    </row>
    <row r="74" spans="1:6" ht="15.75" customHeight="1" x14ac:dyDescent="0.25">
      <c r="A74" s="91" t="s">
        <v>67</v>
      </c>
      <c r="B74" s="91"/>
      <c r="C74" s="92"/>
      <c r="D74" s="92"/>
      <c r="E74" s="9" t="s">
        <v>68</v>
      </c>
    </row>
  </sheetData>
  <sheetProtection sheet="1" objects="1" scenarios="1"/>
  <mergeCells count="118">
    <mergeCell ref="A1:L1"/>
    <mergeCell ref="A2:B2"/>
    <mergeCell ref="C2:F2"/>
    <mergeCell ref="G2:H2"/>
    <mergeCell ref="J2:K2"/>
    <mergeCell ref="A3:B3"/>
    <mergeCell ref="C3:F3"/>
    <mergeCell ref="J3:K3"/>
    <mergeCell ref="A4:B4"/>
    <mergeCell ref="C4:F4"/>
    <mergeCell ref="J4:K4"/>
    <mergeCell ref="A5:B5"/>
    <mergeCell ref="C5:F5"/>
    <mergeCell ref="J5:K6"/>
    <mergeCell ref="A6:B6"/>
    <mergeCell ref="C6:F6"/>
    <mergeCell ref="A7:B7"/>
    <mergeCell ref="C7:F7"/>
    <mergeCell ref="A8:B8"/>
    <mergeCell ref="C8:F8"/>
    <mergeCell ref="A9:B9"/>
    <mergeCell ref="C9:F9"/>
    <mergeCell ref="A10:B10"/>
    <mergeCell ref="C10:H10"/>
    <mergeCell ref="A12:B12"/>
    <mergeCell ref="A13:B13"/>
    <mergeCell ref="C13:K14"/>
    <mergeCell ref="I16:K16"/>
    <mergeCell ref="A19:C19"/>
    <mergeCell ref="D19:E19"/>
    <mergeCell ref="F19:G19"/>
    <mergeCell ref="I19:J19"/>
    <mergeCell ref="A11:B11"/>
    <mergeCell ref="C11:F11"/>
    <mergeCell ref="A20:C20"/>
    <mergeCell ref="D20:E20"/>
    <mergeCell ref="F20:G20"/>
    <mergeCell ref="I20:J20"/>
    <mergeCell ref="A21:C21"/>
    <mergeCell ref="D21:E21"/>
    <mergeCell ref="F21:G21"/>
    <mergeCell ref="I21:J21"/>
    <mergeCell ref="A22:C22"/>
    <mergeCell ref="D22:E22"/>
    <mergeCell ref="F22:G22"/>
    <mergeCell ref="I22:J22"/>
    <mergeCell ref="A23:C23"/>
    <mergeCell ref="D23:E23"/>
    <mergeCell ref="F23:G23"/>
    <mergeCell ref="D24:E24"/>
    <mergeCell ref="A27:C27"/>
    <mergeCell ref="D27:E27"/>
    <mergeCell ref="F27:G27"/>
    <mergeCell ref="I27:J27"/>
    <mergeCell ref="A28:C28"/>
    <mergeCell ref="D28:E28"/>
    <mergeCell ref="F28:G28"/>
    <mergeCell ref="I28:J28"/>
    <mergeCell ref="A29:C29"/>
    <mergeCell ref="D29:E29"/>
    <mergeCell ref="F29:G29"/>
    <mergeCell ref="I29:J29"/>
    <mergeCell ref="A30:C30"/>
    <mergeCell ref="D30:E30"/>
    <mergeCell ref="F30:G30"/>
    <mergeCell ref="I30:J30"/>
    <mergeCell ref="D31:E31"/>
    <mergeCell ref="D39:E39"/>
    <mergeCell ref="D40:E40"/>
    <mergeCell ref="A44:C44"/>
    <mergeCell ref="D44:E44"/>
    <mergeCell ref="I44:J44"/>
    <mergeCell ref="A45:C45"/>
    <mergeCell ref="D45:E45"/>
    <mergeCell ref="I45:J45"/>
    <mergeCell ref="A37:K37"/>
    <mergeCell ref="A46:C46"/>
    <mergeCell ref="D46:E46"/>
    <mergeCell ref="A47:C47"/>
    <mergeCell ref="D47:E47"/>
    <mergeCell ref="A48:C48"/>
    <mergeCell ref="D48:E48"/>
    <mergeCell ref="A49:C49"/>
    <mergeCell ref="D49:E49"/>
    <mergeCell ref="D50:E50"/>
    <mergeCell ref="A56:B56"/>
    <mergeCell ref="C56:D56"/>
    <mergeCell ref="E56:F56"/>
    <mergeCell ref="G56:H56"/>
    <mergeCell ref="A57:B57"/>
    <mergeCell ref="C57:D57"/>
    <mergeCell ref="E57:F57"/>
    <mergeCell ref="G57:H57"/>
    <mergeCell ref="A54:L54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73:B73"/>
    <mergeCell ref="C73:D73"/>
    <mergeCell ref="A74:B74"/>
    <mergeCell ref="C74:D74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</mergeCells>
  <conditionalFormatting sqref="A35">
    <cfRule type="expression" dxfId="15" priority="5">
      <formula>COUNTIF(A35,"")</formula>
    </cfRule>
  </conditionalFormatting>
  <conditionalFormatting sqref="B60">
    <cfRule type="expression" dxfId="14" priority="7">
      <formula>COUNTIF(B60,"")</formula>
    </cfRule>
  </conditionalFormatting>
  <conditionalFormatting sqref="C2:C4 C7:C8 C11:C13 F17 B40:C40 B43 C57:E57 C68:C70 C72:C74">
    <cfRule type="expression" dxfId="13" priority="10">
      <formula>COUNTIF(B2,"")</formula>
    </cfRule>
  </conditionalFormatting>
  <conditionalFormatting sqref="C35">
    <cfRule type="expression" dxfId="12" priority="1">
      <formula>COUNTIF(C35,"")</formula>
    </cfRule>
  </conditionalFormatting>
  <conditionalFormatting sqref="C53">
    <cfRule type="expression" dxfId="11" priority="2">
      <formula>COUNTIF(C53,"")</formula>
    </cfRule>
  </conditionalFormatting>
  <conditionalFormatting sqref="C73">
    <cfRule type="cellIs" dxfId="9" priority="11" operator="lessThan">
      <formula>800</formula>
    </cfRule>
    <cfRule type="cellIs" dxfId="8" priority="12" operator="greaterThanOrEqual">
      <formula>800</formula>
    </cfRule>
  </conditionalFormatting>
  <conditionalFormatting sqref="D40">
    <cfRule type="cellIs" dxfId="7" priority="15" operator="lessThan">
      <formula>2</formula>
    </cfRule>
    <cfRule type="cellIs" dxfId="6" priority="16" operator="greaterThanOrEqual">
      <formula>2</formula>
    </cfRule>
  </conditionalFormatting>
  <conditionalFormatting sqref="E35:G35">
    <cfRule type="expression" dxfId="5" priority="4">
      <formula>COUNTIF(E35,"")</formula>
    </cfRule>
  </conditionalFormatting>
  <conditionalFormatting sqref="F43">
    <cfRule type="expression" dxfId="4" priority="8">
      <formula>COUNTIF(F43,"")</formula>
    </cfRule>
  </conditionalFormatting>
  <conditionalFormatting sqref="G57">
    <cfRule type="cellIs" dxfId="3" priority="13" operator="lessThan">
      <formula>2</formula>
    </cfRule>
    <cfRule type="cellIs" dxfId="2" priority="14" operator="greaterThanOrEqual">
      <formula>2</formula>
    </cfRule>
  </conditionalFormatting>
  <dataValidations count="3">
    <dataValidation allowBlank="1" showInputMessage="1" showErrorMessage="1" errorTitle="Experimental Aim" error="The aim must be 5-20 characters long as it is used to name folders downstream so can not be too verbose." sqref="C9:F9 C10" xr:uid="{00000000-0002-0000-0000-000000000000}">
      <formula1>0</formula1>
      <formula2>0</formula2>
    </dataValidation>
    <dataValidation type="whole" allowBlank="1" showInputMessage="1" showErrorMessage="1" error="Minimum 200ng / Maximum 800 ng should be added per sample" sqref="F17" xr:uid="{77FA29BE-4BF7-4DBB-8F9D-E8DA28B60EE6}">
      <formula1>200</formula1>
      <formula2>800</formula2>
    </dataValidation>
    <dataValidation type="whole" allowBlank="1" showInputMessage="1" showErrorMessage="1" sqref="B60" xr:uid="{9692DBAD-DA3C-491D-943D-13D26695D34C}">
      <formula1>400</formula1>
      <formula2>1500</formula2>
    </dataValidation>
  </dataValidations>
  <pageMargins left="0.70833333333333304" right="0.70833333333333304" top="0.74791666666666701" bottom="0.74861111111111101" header="0.511811023622047" footer="0.31527777777777799"/>
  <pageSetup paperSize="9" scale="75" fitToHeight="0" orientation="portrait" horizontalDpi="300" verticalDpi="300" r:id="rId1"/>
  <headerFooter>
    <oddFooter>&amp;CPage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7" id="{7D748971-4ED9-4DAD-A430-377FADB0435A}">
            <xm:f>COUNTIF($C$70,reference!$E$4)</xm:f>
            <x14:dxf>
              <fill>
                <patternFill>
                  <bgColor rgb="FFFFFF00"/>
                </patternFill>
              </fill>
            </x14:dxf>
          </x14:cfRule>
          <xm:sqref>C71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1000000}">
          <x14:formula1>
            <xm:f>reference!$E$3:$E$4</xm:f>
          </x14:formula1>
          <x14:formula2>
            <xm:f>0</xm:f>
          </x14:formula2>
          <xm:sqref>C70</xm:sqref>
        </x14:dataValidation>
        <x14:dataValidation type="list" allowBlank="1" showInputMessage="1" showErrorMessage="1" xr:uid="{A9EA06E1-B72E-4158-9E78-547DCB9CC597}">
          <x14:formula1>
            <xm:f>reference!$E$7:$E$8</xm:f>
          </x14:formula1>
          <xm:sqref>F43</xm:sqref>
        </x14:dataValidation>
        <x14:dataValidation type="list" allowBlank="1" showInputMessage="1" showErrorMessage="1" xr:uid="{86E97738-BE4E-45D2-82E4-9BB20B6C5270}">
          <x14:formula1>
            <xm:f>reference!$E$11:$E$15</xm:f>
          </x14:formula1>
          <xm:sqref>C68:D68</xm:sqref>
        </x14:dataValidation>
        <x14:dataValidation type="list" allowBlank="1" showInputMessage="1" showErrorMessage="1" xr:uid="{2FD70BE5-C9FE-4FC2-BCF1-8C135E992CE5}">
          <x14:formula1>
            <xm:f>reference!$E$18:$E$19</xm:f>
          </x14:formula1>
          <xm:sqref>C72:D72</xm:sqref>
        </x14:dataValidation>
        <x14:dataValidation type="list" allowBlank="1" showInputMessage="1" showErrorMessage="1" errorTitle="Experimental Aim" error="The aim must be 5-20 characters long as it is used to name folders downstream so can not be too verbose." xr:uid="{00000000-0002-0000-0000-000002000000}">
          <x14:formula1>
            <xm:f>reference!$K$3:$K$9</xm:f>
          </x14:formula1>
          <x14:formula2>
            <xm:f>0</xm:f>
          </x14:formula2>
          <xm:sqref>C7:F7</xm:sqref>
        </x14:dataValidation>
        <x14:dataValidation type="list" allowBlank="1" showInputMessage="1" showErrorMessage="1" xr:uid="{00000000-0002-0000-0000-000003000000}">
          <x14:formula1>
            <xm:f>reference!$H$3:$H$9</xm:f>
          </x14:formula1>
          <x14:formula2>
            <xm:f>0</xm:f>
          </x14:formula2>
          <xm:sqref>C3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  <pageSetUpPr fitToPage="1"/>
  </sheetPr>
  <dimension ref="A1:AE111"/>
  <sheetViews>
    <sheetView topLeftCell="C1" zoomScale="130" zoomScaleNormal="130" workbookViewId="0">
      <selection activeCell="D3" sqref="D3"/>
    </sheetView>
  </sheetViews>
  <sheetFormatPr defaultColWidth="11" defaultRowHeight="15.75" x14ac:dyDescent="0.25"/>
  <cols>
    <col min="1" max="2" width="6.625" hidden="1" customWidth="1"/>
    <col min="3" max="3" width="6.625" customWidth="1"/>
    <col min="4" max="4" width="11.875" customWidth="1"/>
    <col min="5" max="5" width="12.625" style="3" customWidth="1"/>
    <col min="6" max="6" width="13.125" customWidth="1"/>
    <col min="7" max="7" width="12" customWidth="1"/>
    <col min="12" max="27" width="11" hidden="1" customWidth="1"/>
  </cols>
  <sheetData>
    <row r="1" spans="1:31" x14ac:dyDescent="0.25">
      <c r="C1" s="47"/>
      <c r="D1" s="133" t="s">
        <v>69</v>
      </c>
      <c r="E1" s="133"/>
      <c r="F1" s="72" t="s">
        <v>70</v>
      </c>
      <c r="G1" s="134" t="s">
        <v>71</v>
      </c>
      <c r="H1" s="134"/>
      <c r="I1" s="134"/>
      <c r="J1" s="134"/>
      <c r="K1" s="135" t="s">
        <v>72</v>
      </c>
      <c r="L1" s="135"/>
      <c r="M1" s="135"/>
      <c r="N1" s="135"/>
      <c r="O1" s="135"/>
      <c r="P1" s="135"/>
      <c r="Q1" s="135"/>
      <c r="R1" s="135"/>
      <c r="S1" s="135"/>
      <c r="T1" s="135"/>
      <c r="U1" s="135"/>
      <c r="V1" s="135"/>
      <c r="W1" s="135"/>
      <c r="X1" s="135"/>
      <c r="Y1" s="135"/>
      <c r="Z1" s="135"/>
      <c r="AA1" s="135"/>
      <c r="AB1" s="135"/>
      <c r="AC1" s="135"/>
      <c r="AD1" s="135"/>
      <c r="AE1" s="135"/>
    </row>
    <row r="2" spans="1:31" s="15" customFormat="1" ht="81" thickBot="1" x14ac:dyDescent="0.4">
      <c r="A2" s="49" t="s">
        <v>73</v>
      </c>
      <c r="B2" s="49" t="s">
        <v>363</v>
      </c>
      <c r="C2" s="49" t="s">
        <v>74</v>
      </c>
      <c r="D2" s="73" t="s">
        <v>75</v>
      </c>
      <c r="E2" s="73" t="s">
        <v>76</v>
      </c>
      <c r="F2" s="74" t="s">
        <v>77</v>
      </c>
      <c r="G2" s="75" t="s">
        <v>78</v>
      </c>
      <c r="H2" s="75" t="s">
        <v>79</v>
      </c>
      <c r="I2" s="75" t="s">
        <v>80</v>
      </c>
      <c r="J2" s="75" t="s">
        <v>81</v>
      </c>
      <c r="K2" s="76" t="s">
        <v>82</v>
      </c>
      <c r="L2" s="76" t="s">
        <v>403</v>
      </c>
      <c r="M2" s="76" t="s">
        <v>365</v>
      </c>
      <c r="N2" s="76" t="s">
        <v>410</v>
      </c>
      <c r="O2" s="76" t="s">
        <v>411</v>
      </c>
      <c r="P2" s="76" t="s">
        <v>419</v>
      </c>
      <c r="Q2" s="76" t="s">
        <v>413</v>
      </c>
      <c r="R2" s="76" t="s">
        <v>412</v>
      </c>
      <c r="S2" s="76" t="s">
        <v>417</v>
      </c>
      <c r="T2" s="76" t="s">
        <v>418</v>
      </c>
      <c r="U2" s="76" t="s">
        <v>405</v>
      </c>
      <c r="V2" s="76" t="s">
        <v>371</v>
      </c>
      <c r="W2" s="76" t="s">
        <v>372</v>
      </c>
      <c r="X2" s="76" t="s">
        <v>408</v>
      </c>
      <c r="Y2" s="76" t="s">
        <v>407</v>
      </c>
      <c r="Z2" s="76" t="s">
        <v>406</v>
      </c>
      <c r="AA2" s="76" t="s">
        <v>409</v>
      </c>
      <c r="AB2" s="76" t="s">
        <v>368</v>
      </c>
      <c r="AC2" s="76" t="s">
        <v>369</v>
      </c>
      <c r="AD2" s="76" t="s">
        <v>83</v>
      </c>
      <c r="AE2" s="76" t="s">
        <v>84</v>
      </c>
    </row>
    <row r="3" spans="1:31" ht="15.75" customHeight="1" x14ac:dyDescent="0.25">
      <c r="A3" s="50">
        <v>1</v>
      </c>
      <c r="B3" s="51" t="str">
        <f>RIGHT(tbl_SeqLib[[#This Row],[Well]],LEN(tbl_SeqLib[[#This Row],[Well]])-1)</f>
        <v>1</v>
      </c>
      <c r="C3" s="51" t="s">
        <v>85</v>
      </c>
      <c r="D3" s="52"/>
      <c r="E3" s="52"/>
      <c r="F3" s="53"/>
      <c r="G3" s="54"/>
      <c r="H3" s="52"/>
      <c r="I3" s="52"/>
      <c r="J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" s="56" t="s">
        <v>86</v>
      </c>
      <c r="L3" s="84">
        <f>IF(OR(ISBLANK(tbl_SeqLib[[#This Row],[Sample ID]]),ISBLANK(endrepair_targetmass)),0,IF(LEN(tbl_SeqLib[[#This Row],[PCR '[DNA'] (ng / µl)]])=0,1,2))</f>
        <v>0</v>
      </c>
      <c r="M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" s="57" t="str">
        <f>IF(tbl_SeqLib[[#This Row],[entry]]=2,ROUNDUP(_xlfn.MINIFS(tbl_SeqLib[Exact],tbl_SeqLib[Column],tbl_SeqLib[[#This Row],[Column]]),1),"")</f>
        <v/>
      </c>
      <c r="O3" s="57" t="str">
        <f>IF(tbl_SeqLib[[#This Row],[entry]]=2,ROUNDDOWN(_xlfn.MAXIFS(tbl_SeqLib[Exact],tbl_SeqLib[Column],tbl_SeqLib[[#This Row],[Column]]),1),"")</f>
        <v/>
      </c>
      <c r="P3" s="57" t="str">
        <f>IF(tbl_SeqLib[[#This Row],[entry]]=2,ROUNDUP(AVERAGEIFS(tbl_SeqLib[Exact],tbl_SeqLib[Column],tbl_SeqLib[[#This Row],[Column]]),1),"")</f>
        <v/>
      </c>
      <c r="Q3" s="57" t="str" cm="1">
        <f t="array" ref="Q3">_xlfn.XLOOKUP(0,ABS(tbl_SeqLib[[#This Row],[Min for col]:[Avg for col]]-tbl_SeqLib[[#This Row],[Exact]]),tbl_SeqLib[[#This Row],[Min for col]:[Avg for col]],"",1)</f>
        <v/>
      </c>
      <c r="R3" s="57" t="str" cm="1">
        <f t="array" ref="R3">_xlfn.XLOOKUP(0,ABS(tbl_SeqLib[[#This Row],[Max for col]:[Avg for col]]-tbl_SeqLib[[#This Row],[Exact]]),tbl_SeqLib[[#This Row],[Max for col]:[Avg for col]],"",1)</f>
        <v/>
      </c>
      <c r="S3" s="57" t="str">
        <f>IF(tbl_SeqLib[[#This Row],[entry]]=2,tbl_SeqLib[[#This Row],[Max for col]],"")</f>
        <v/>
      </c>
      <c r="T3" s="57" t="str">
        <f>IF(tbl_SeqLib[[#This Row],[entry]]=2,tbl_SeqLib[[#This Row],[Avg for col]],"")</f>
        <v/>
      </c>
      <c r="U3" s="57" t="str">
        <f>IF(tbl_SeqLib[[#This Row],[entry]]=2,AVERAGE(tbl_SeqLib[Exact]),"")</f>
        <v/>
      </c>
      <c r="V3" s="57" t="str">
        <f>IF(tbl_SeqLib[[#This Row],[entry]]=2,MAX(tbl_SeqLib[Exact]),"")</f>
        <v/>
      </c>
      <c r="W3" s="57" t="str" cm="1">
        <f t="array" ref="W3">_xlfn.XLOOKUP(0,ABS(tbl_SeqLib[[#This Row],[Avg per plate]:[Max per plate]]-tbl_SeqLib[[#This Row],[Exact]]),tbl_SeqLib[[#This Row],[Avg per plate]:[Max per plate]],,1)</f>
        <v/>
      </c>
      <c r="X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" s="84" t="str">
        <f>IF(tbl_SeqLib[[#This Row],[entry]]=1,ROUNDUP(AVERAGE(tbl_SeqLib[Exact]),1),"")</f>
        <v/>
      </c>
      <c r="Z3" s="84" t="str">
        <f>IF(tbl_SeqLib[[#This Row],[entry]]=1,ROUNDUP(AVERAGEIFS(tbl_SeqLib[Exact],tbl_SeqLib[Column],tbl_SeqLib[[#This Row],[Column]]),1),"")</f>
        <v/>
      </c>
      <c r="AA3" s="57" t="str">
        <f>IF(missing_qc_resolution=reference!$E$34,tbl_SeqLib[[#This Row],[Avg per col (missing)]],tbl_SeqLib[[#This Row],[Avg per plate (missing)]])</f>
        <v/>
      </c>
      <c r="AB3" s="57" t="str">
        <f>IF(tbl_SeqLib[[#This Row],[entry]]=0,"",IF(tbl_SeqLib[[#This Row],[entry]]=1,tbl_SeqLib[[#This Row],[Not quantified]],IF(tbl_SeqLib[[#This Row],[entry]]=2,tbl_SeqLib[[#This Row],[Quantified]])))</f>
        <v/>
      </c>
      <c r="AC3" s="136"/>
      <c r="AD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" s="58" t="str">
        <f>IF(ISBLANK(tbl_SeqLib[[#This Row],[sWGA Identifier]]),"",CONCATENATE(exp_id,"_",tbl_SeqLib[[#This Row],[Well]]))</f>
        <v/>
      </c>
    </row>
    <row r="4" spans="1:31" ht="15.75" customHeight="1" x14ac:dyDescent="0.25">
      <c r="A4" s="59">
        <v>2</v>
      </c>
      <c r="B4" s="46" t="str">
        <f>RIGHT(tbl_SeqLib[[#This Row],[Well]],LEN(tbl_SeqLib[[#This Row],[Well]])-1)</f>
        <v>1</v>
      </c>
      <c r="C4" s="46" t="s">
        <v>87</v>
      </c>
      <c r="D4" s="19"/>
      <c r="E4" s="19"/>
      <c r="F4" s="29"/>
      <c r="G4" s="30"/>
      <c r="H4" s="19"/>
      <c r="I4" s="19"/>
      <c r="J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" s="32" t="s">
        <v>88</v>
      </c>
      <c r="L4" s="85">
        <f>IF(OR(ISBLANK(tbl_SeqLib[[#This Row],[Sample ID]]),ISBLANK(endrepair_targetmass)),0,IF(LEN(tbl_SeqLib[[#This Row],[PCR '[DNA'] (ng / µl)]])=0,1,2))</f>
        <v>0</v>
      </c>
      <c r="M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" s="44" t="str">
        <f>IF(tbl_SeqLib[[#This Row],[entry]]=2,ROUNDUP(_xlfn.MINIFS(tbl_SeqLib[Exact],tbl_SeqLib[Column],tbl_SeqLib[[#This Row],[Column]]),1),"")</f>
        <v/>
      </c>
      <c r="O4" s="44" t="str">
        <f>IF(tbl_SeqLib[[#This Row],[entry]]=2,ROUNDDOWN(_xlfn.MAXIFS(tbl_SeqLib[Exact],tbl_SeqLib[Column],tbl_SeqLib[[#This Row],[Column]]),1),"")</f>
        <v/>
      </c>
      <c r="P4" s="44" t="str">
        <f>IF(tbl_SeqLib[[#This Row],[entry]]=2,ROUNDUP(AVERAGEIFS(tbl_SeqLib[Exact],tbl_SeqLib[Column],tbl_SeqLib[[#This Row],[Column]]),1),"")</f>
        <v/>
      </c>
      <c r="Q4" s="44" t="str" cm="1">
        <f t="array" ref="Q4">_xlfn.XLOOKUP(0,ABS(tbl_SeqLib[[#This Row],[Min for col]:[Avg for col]]-tbl_SeqLib[[#This Row],[Exact]]),tbl_SeqLib[[#This Row],[Min for col]:[Avg for col]],"",1)</f>
        <v/>
      </c>
      <c r="R4" s="44" t="str" cm="1">
        <f t="array" ref="R4">_xlfn.XLOOKUP(0,ABS(tbl_SeqLib[[#This Row],[Max for col]:[Avg for col]]-tbl_SeqLib[[#This Row],[Exact]]),tbl_SeqLib[[#This Row],[Max for col]:[Avg for col]],"",1)</f>
        <v/>
      </c>
      <c r="S4" s="44" t="str">
        <f>IF(tbl_SeqLib[[#This Row],[entry]]=2,tbl_SeqLib[[#This Row],[Max for col]],"")</f>
        <v/>
      </c>
      <c r="T4" s="44" t="str">
        <f>IF(tbl_SeqLib[[#This Row],[entry]]=2,tbl_SeqLib[[#This Row],[Avg for col]],"")</f>
        <v/>
      </c>
      <c r="U4" s="44" t="str">
        <f>IF(tbl_SeqLib[[#This Row],[entry]]=2,AVERAGE(tbl_SeqLib[Exact]),"")</f>
        <v/>
      </c>
      <c r="V4" s="44" t="str">
        <f>IF(tbl_SeqLib[[#This Row],[entry]]=2,MAX(tbl_SeqLib[Exact]),"")</f>
        <v/>
      </c>
      <c r="W4" s="44" t="str" cm="1">
        <f t="array" ref="W4">_xlfn.XLOOKUP(0,ABS(tbl_SeqLib[[#This Row],[Avg per plate]:[Max per plate]]-tbl_SeqLib[[#This Row],[Exact]]),tbl_SeqLib[[#This Row],[Avg per plate]:[Max per plate]],,1)</f>
        <v/>
      </c>
      <c r="X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" s="85" t="str">
        <f>IF(tbl_SeqLib[[#This Row],[entry]]=1,ROUNDUP(AVERAGE(tbl_SeqLib[Exact]),1),"")</f>
        <v/>
      </c>
      <c r="Z4" s="85" t="str">
        <f>IF(tbl_SeqLib[[#This Row],[entry]]=1,ROUNDUP(AVERAGEIFS(tbl_SeqLib[Exact],tbl_SeqLib[Column],tbl_SeqLib[[#This Row],[Column]]),1),"")</f>
        <v/>
      </c>
      <c r="AA4" s="44" t="str">
        <f>IF(missing_qc_resolution=reference!$E$34,tbl_SeqLib[[#This Row],[Avg per col (missing)]],tbl_SeqLib[[#This Row],[Avg per plate (missing)]])</f>
        <v/>
      </c>
      <c r="AB4" s="44" t="str">
        <f>IF(tbl_SeqLib[[#This Row],[entry]]=0,"",IF(tbl_SeqLib[[#This Row],[entry]]=1,tbl_SeqLib[[#This Row],[Not quantified]],IF(tbl_SeqLib[[#This Row],[entry]]=2,tbl_SeqLib[[#This Row],[Quantified]])))</f>
        <v/>
      </c>
      <c r="AC4" s="137"/>
      <c r="AD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" s="60" t="str">
        <f>IF(ISBLANK(tbl_SeqLib[[#This Row],[sWGA Identifier]]),"",CONCATENATE(exp_id,"_",tbl_SeqLib[[#This Row],[Well]]))</f>
        <v/>
      </c>
    </row>
    <row r="5" spans="1:31" ht="15.75" customHeight="1" x14ac:dyDescent="0.25">
      <c r="A5" s="59">
        <v>3</v>
      </c>
      <c r="B5" s="46" t="str">
        <f>RIGHT(tbl_SeqLib[[#This Row],[Well]],LEN(tbl_SeqLib[[#This Row],[Well]])-1)</f>
        <v>1</v>
      </c>
      <c r="C5" s="46" t="s">
        <v>89</v>
      </c>
      <c r="D5" s="19"/>
      <c r="E5" s="19"/>
      <c r="F5" s="29"/>
      <c r="G5" s="30"/>
      <c r="H5" s="19"/>
      <c r="I5" s="19"/>
      <c r="J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" s="32" t="s">
        <v>90</v>
      </c>
      <c r="L5" s="85">
        <f>IF(OR(ISBLANK(tbl_SeqLib[[#This Row],[Sample ID]]),ISBLANK(endrepair_targetmass)),0,IF(LEN(tbl_SeqLib[[#This Row],[PCR '[DNA'] (ng / µl)]])=0,1,2))</f>
        <v>0</v>
      </c>
      <c r="M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" s="44" t="str">
        <f>IF(tbl_SeqLib[[#This Row],[entry]]=2,ROUNDUP(_xlfn.MINIFS(tbl_SeqLib[Exact],tbl_SeqLib[Column],tbl_SeqLib[[#This Row],[Column]]),1),"")</f>
        <v/>
      </c>
      <c r="O5" s="44" t="str">
        <f>IF(tbl_SeqLib[[#This Row],[entry]]=2,ROUNDDOWN(_xlfn.MAXIFS(tbl_SeqLib[Exact],tbl_SeqLib[Column],tbl_SeqLib[[#This Row],[Column]]),1),"")</f>
        <v/>
      </c>
      <c r="P5" s="44" t="str">
        <f>IF(tbl_SeqLib[[#This Row],[entry]]=2,ROUNDUP(AVERAGEIFS(tbl_SeqLib[Exact],tbl_SeqLib[Column],tbl_SeqLib[[#This Row],[Column]]),1),"")</f>
        <v/>
      </c>
      <c r="Q5" s="44" t="str" cm="1">
        <f t="array" ref="Q5">_xlfn.XLOOKUP(0,ABS(tbl_SeqLib[[#This Row],[Min for col]:[Avg for col]]-tbl_SeqLib[[#This Row],[Exact]]),tbl_SeqLib[[#This Row],[Min for col]:[Avg for col]],"",1)</f>
        <v/>
      </c>
      <c r="R5" s="44" t="str" cm="1">
        <f t="array" ref="R5">_xlfn.XLOOKUP(0,ABS(tbl_SeqLib[[#This Row],[Max for col]:[Avg for col]]-tbl_SeqLib[[#This Row],[Exact]]),tbl_SeqLib[[#This Row],[Max for col]:[Avg for col]],"",1)</f>
        <v/>
      </c>
      <c r="S5" s="44" t="str">
        <f>IF(tbl_SeqLib[[#This Row],[entry]]=2,tbl_SeqLib[[#This Row],[Max for col]],"")</f>
        <v/>
      </c>
      <c r="T5" s="44" t="str">
        <f>IF(tbl_SeqLib[[#This Row],[entry]]=2,tbl_SeqLib[[#This Row],[Avg for col]],"")</f>
        <v/>
      </c>
      <c r="U5" s="44" t="str">
        <f>IF(tbl_SeqLib[[#This Row],[entry]]=2,AVERAGE(tbl_SeqLib[Exact]),"")</f>
        <v/>
      </c>
      <c r="V5" s="44" t="str">
        <f>IF(tbl_SeqLib[[#This Row],[entry]]=2,MAX(tbl_SeqLib[Exact]),"")</f>
        <v/>
      </c>
      <c r="W5" s="44" t="str" cm="1">
        <f t="array" ref="W5">_xlfn.XLOOKUP(0,ABS(tbl_SeqLib[[#This Row],[Avg per plate]:[Max per plate]]-tbl_SeqLib[[#This Row],[Exact]]),tbl_SeqLib[[#This Row],[Avg per plate]:[Max per plate]],,1)</f>
        <v/>
      </c>
      <c r="X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" s="85" t="str">
        <f>IF(tbl_SeqLib[[#This Row],[entry]]=1,ROUNDUP(AVERAGE(tbl_SeqLib[Exact]),1),"")</f>
        <v/>
      </c>
      <c r="Z5" s="85" t="str">
        <f>IF(tbl_SeqLib[[#This Row],[entry]]=1,ROUNDUP(AVERAGEIFS(tbl_SeqLib[Exact],tbl_SeqLib[Column],tbl_SeqLib[[#This Row],[Column]]),1),"")</f>
        <v/>
      </c>
      <c r="AA5" s="44" t="str">
        <f>IF(missing_qc_resolution=reference!$E$34,tbl_SeqLib[[#This Row],[Avg per col (missing)]],tbl_SeqLib[[#This Row],[Avg per plate (missing)]])</f>
        <v/>
      </c>
      <c r="AB5" s="44" t="str">
        <f>IF(tbl_SeqLib[[#This Row],[entry]]=0,"",IF(tbl_SeqLib[[#This Row],[entry]]=1,tbl_SeqLib[[#This Row],[Not quantified]],IF(tbl_SeqLib[[#This Row],[entry]]=2,tbl_SeqLib[[#This Row],[Quantified]])))</f>
        <v/>
      </c>
      <c r="AC5" s="137"/>
      <c r="AD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" s="60" t="str">
        <f>IF(ISBLANK(tbl_SeqLib[[#This Row],[sWGA Identifier]]),"",CONCATENATE(exp_id,"_",tbl_SeqLib[[#This Row],[Well]]))</f>
        <v/>
      </c>
    </row>
    <row r="6" spans="1:31" ht="15.75" customHeight="1" x14ac:dyDescent="0.25">
      <c r="A6" s="59">
        <v>4</v>
      </c>
      <c r="B6" s="46" t="str">
        <f>RIGHT(tbl_SeqLib[[#This Row],[Well]],LEN(tbl_SeqLib[[#This Row],[Well]])-1)</f>
        <v>1</v>
      </c>
      <c r="C6" s="46" t="s">
        <v>91</v>
      </c>
      <c r="D6" s="19"/>
      <c r="E6" s="19"/>
      <c r="F6" s="29"/>
      <c r="G6" s="30"/>
      <c r="H6" s="19"/>
      <c r="I6" s="19"/>
      <c r="J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" s="32" t="s">
        <v>92</v>
      </c>
      <c r="L6" s="85">
        <f>IF(OR(ISBLANK(tbl_SeqLib[[#This Row],[Sample ID]]),ISBLANK(endrepair_targetmass)),0,IF(LEN(tbl_SeqLib[[#This Row],[PCR '[DNA'] (ng / µl)]])=0,1,2))</f>
        <v>0</v>
      </c>
      <c r="M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" s="44" t="str">
        <f>IF(tbl_SeqLib[[#This Row],[entry]]=2,ROUNDUP(_xlfn.MINIFS(tbl_SeqLib[Exact],tbl_SeqLib[Column],tbl_SeqLib[[#This Row],[Column]]),1),"")</f>
        <v/>
      </c>
      <c r="O6" s="44" t="str">
        <f>IF(tbl_SeqLib[[#This Row],[entry]]=2,ROUNDDOWN(_xlfn.MAXIFS(tbl_SeqLib[Exact],tbl_SeqLib[Column],tbl_SeqLib[[#This Row],[Column]]),1),"")</f>
        <v/>
      </c>
      <c r="P6" s="44" t="str">
        <f>IF(tbl_SeqLib[[#This Row],[entry]]=2,ROUNDUP(AVERAGEIFS(tbl_SeqLib[Exact],tbl_SeqLib[Column],tbl_SeqLib[[#This Row],[Column]]),1),"")</f>
        <v/>
      </c>
      <c r="Q6" s="44" t="str" cm="1">
        <f t="array" ref="Q6">_xlfn.XLOOKUP(0,ABS(tbl_SeqLib[[#This Row],[Min for col]:[Avg for col]]-tbl_SeqLib[[#This Row],[Exact]]),tbl_SeqLib[[#This Row],[Min for col]:[Avg for col]],"",1)</f>
        <v/>
      </c>
      <c r="R6" s="44" t="str" cm="1">
        <f t="array" ref="R6">_xlfn.XLOOKUP(0,ABS(tbl_SeqLib[[#This Row],[Max for col]:[Avg for col]]-tbl_SeqLib[[#This Row],[Exact]]),tbl_SeqLib[[#This Row],[Max for col]:[Avg for col]],"",1)</f>
        <v/>
      </c>
      <c r="S6" s="44" t="str">
        <f>IF(tbl_SeqLib[[#This Row],[entry]]=2,tbl_SeqLib[[#This Row],[Max for col]],"")</f>
        <v/>
      </c>
      <c r="T6" s="44" t="str">
        <f>IF(tbl_SeqLib[[#This Row],[entry]]=2,tbl_SeqLib[[#This Row],[Avg for col]],"")</f>
        <v/>
      </c>
      <c r="U6" s="44" t="str">
        <f>IF(tbl_SeqLib[[#This Row],[entry]]=2,AVERAGE(tbl_SeqLib[Exact]),"")</f>
        <v/>
      </c>
      <c r="V6" s="44" t="str">
        <f>IF(tbl_SeqLib[[#This Row],[entry]]=2,MAX(tbl_SeqLib[Exact]),"")</f>
        <v/>
      </c>
      <c r="W6" s="44" t="str" cm="1">
        <f t="array" ref="W6">_xlfn.XLOOKUP(0,ABS(tbl_SeqLib[[#This Row],[Avg per plate]:[Max per plate]]-tbl_SeqLib[[#This Row],[Exact]]),tbl_SeqLib[[#This Row],[Avg per plate]:[Max per plate]],,1)</f>
        <v/>
      </c>
      <c r="X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" s="85" t="str">
        <f>IF(tbl_SeqLib[[#This Row],[entry]]=1,ROUNDUP(AVERAGE(tbl_SeqLib[Exact]),1),"")</f>
        <v/>
      </c>
      <c r="Z6" s="85" t="str">
        <f>IF(tbl_SeqLib[[#This Row],[entry]]=1,ROUNDUP(AVERAGEIFS(tbl_SeqLib[Exact],tbl_SeqLib[Column],tbl_SeqLib[[#This Row],[Column]]),1),"")</f>
        <v/>
      </c>
      <c r="AA6" s="44" t="str">
        <f>IF(missing_qc_resolution=reference!$E$34,tbl_SeqLib[[#This Row],[Avg per col (missing)]],tbl_SeqLib[[#This Row],[Avg per plate (missing)]])</f>
        <v/>
      </c>
      <c r="AB6" s="44" t="str">
        <f>IF(tbl_SeqLib[[#This Row],[entry]]=0,"",IF(tbl_SeqLib[[#This Row],[entry]]=1,tbl_SeqLib[[#This Row],[Not quantified]],IF(tbl_SeqLib[[#This Row],[entry]]=2,tbl_SeqLib[[#This Row],[Quantified]])))</f>
        <v/>
      </c>
      <c r="AC6" s="137"/>
      <c r="AD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" s="60" t="str">
        <f>IF(ISBLANK(tbl_SeqLib[[#This Row],[sWGA Identifier]]),"",CONCATENATE(exp_id,"_",tbl_SeqLib[[#This Row],[Well]]))</f>
        <v/>
      </c>
    </row>
    <row r="7" spans="1:31" ht="15.75" customHeight="1" x14ac:dyDescent="0.25">
      <c r="A7" s="59">
        <v>5</v>
      </c>
      <c r="B7" s="46" t="str">
        <f>RIGHT(tbl_SeqLib[[#This Row],[Well]],LEN(tbl_SeqLib[[#This Row],[Well]])-1)</f>
        <v>1</v>
      </c>
      <c r="C7" s="46" t="s">
        <v>93</v>
      </c>
      <c r="D7" s="19"/>
      <c r="E7" s="19"/>
      <c r="F7" s="29"/>
      <c r="G7" s="30"/>
      <c r="H7" s="19"/>
      <c r="I7" s="19"/>
      <c r="J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" s="32" t="s">
        <v>94</v>
      </c>
      <c r="L7" s="85">
        <f>IF(OR(ISBLANK(tbl_SeqLib[[#This Row],[Sample ID]]),ISBLANK(endrepair_targetmass)),0,IF(LEN(tbl_SeqLib[[#This Row],[PCR '[DNA'] (ng / µl)]])=0,1,2))</f>
        <v>0</v>
      </c>
      <c r="M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" s="44" t="str">
        <f>IF(tbl_SeqLib[[#This Row],[entry]]=2,ROUNDUP(_xlfn.MINIFS(tbl_SeqLib[Exact],tbl_SeqLib[Column],tbl_SeqLib[[#This Row],[Column]]),1),"")</f>
        <v/>
      </c>
      <c r="O7" s="44" t="str">
        <f>IF(tbl_SeqLib[[#This Row],[entry]]=2,ROUNDDOWN(_xlfn.MAXIFS(tbl_SeqLib[Exact],tbl_SeqLib[Column],tbl_SeqLib[[#This Row],[Column]]),1),"")</f>
        <v/>
      </c>
      <c r="P7" s="44" t="str">
        <f>IF(tbl_SeqLib[[#This Row],[entry]]=2,ROUNDUP(AVERAGEIFS(tbl_SeqLib[Exact],tbl_SeqLib[Column],tbl_SeqLib[[#This Row],[Column]]),1),"")</f>
        <v/>
      </c>
      <c r="Q7" s="44" t="str" cm="1">
        <f t="array" ref="Q7">_xlfn.XLOOKUP(0,ABS(tbl_SeqLib[[#This Row],[Min for col]:[Avg for col]]-tbl_SeqLib[[#This Row],[Exact]]),tbl_SeqLib[[#This Row],[Min for col]:[Avg for col]],"",1)</f>
        <v/>
      </c>
      <c r="R7" s="44" t="str" cm="1">
        <f t="array" ref="R7">_xlfn.XLOOKUP(0,ABS(tbl_SeqLib[[#This Row],[Max for col]:[Avg for col]]-tbl_SeqLib[[#This Row],[Exact]]),tbl_SeqLib[[#This Row],[Max for col]:[Avg for col]],"",1)</f>
        <v/>
      </c>
      <c r="S7" s="44" t="str">
        <f>IF(tbl_SeqLib[[#This Row],[entry]]=2,tbl_SeqLib[[#This Row],[Max for col]],"")</f>
        <v/>
      </c>
      <c r="T7" s="44" t="str">
        <f>IF(tbl_SeqLib[[#This Row],[entry]]=2,tbl_SeqLib[[#This Row],[Avg for col]],"")</f>
        <v/>
      </c>
      <c r="U7" s="44" t="str">
        <f>IF(tbl_SeqLib[[#This Row],[entry]]=2,AVERAGE(tbl_SeqLib[Exact]),"")</f>
        <v/>
      </c>
      <c r="V7" s="44" t="str">
        <f>IF(tbl_SeqLib[[#This Row],[entry]]=2,MAX(tbl_SeqLib[Exact]),"")</f>
        <v/>
      </c>
      <c r="W7" s="44" t="str" cm="1">
        <f t="array" ref="W7">_xlfn.XLOOKUP(0,ABS(tbl_SeqLib[[#This Row],[Avg per plate]:[Max per plate]]-tbl_SeqLib[[#This Row],[Exact]]),tbl_SeqLib[[#This Row],[Avg per plate]:[Max per plate]],,1)</f>
        <v/>
      </c>
      <c r="X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" s="85" t="str">
        <f>IF(tbl_SeqLib[[#This Row],[entry]]=1,ROUNDUP(AVERAGE(tbl_SeqLib[Exact]),1),"")</f>
        <v/>
      </c>
      <c r="Z7" s="85" t="str">
        <f>IF(tbl_SeqLib[[#This Row],[entry]]=1,ROUNDUP(AVERAGEIFS(tbl_SeqLib[Exact],tbl_SeqLib[Column],tbl_SeqLib[[#This Row],[Column]]),1),"")</f>
        <v/>
      </c>
      <c r="AA7" s="44" t="str">
        <f>IF(missing_qc_resolution=reference!$E$34,tbl_SeqLib[[#This Row],[Avg per col (missing)]],tbl_SeqLib[[#This Row],[Avg per plate (missing)]])</f>
        <v/>
      </c>
      <c r="AB7" s="44" t="str">
        <f>IF(tbl_SeqLib[[#This Row],[entry]]=0,"",IF(tbl_SeqLib[[#This Row],[entry]]=1,tbl_SeqLib[[#This Row],[Not quantified]],IF(tbl_SeqLib[[#This Row],[entry]]=2,tbl_SeqLib[[#This Row],[Quantified]])))</f>
        <v/>
      </c>
      <c r="AC7" s="137"/>
      <c r="AD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" s="60" t="str">
        <f>IF(ISBLANK(tbl_SeqLib[[#This Row],[sWGA Identifier]]),"",CONCATENATE(exp_id,"_",tbl_SeqLib[[#This Row],[Well]]))</f>
        <v/>
      </c>
    </row>
    <row r="8" spans="1:31" ht="15.75" customHeight="1" x14ac:dyDescent="0.25">
      <c r="A8" s="59">
        <v>6</v>
      </c>
      <c r="B8" s="46" t="str">
        <f>RIGHT(tbl_SeqLib[[#This Row],[Well]],LEN(tbl_SeqLib[[#This Row],[Well]])-1)</f>
        <v>1</v>
      </c>
      <c r="C8" s="46" t="s">
        <v>95</v>
      </c>
      <c r="D8" s="19"/>
      <c r="E8" s="19"/>
      <c r="F8" s="29"/>
      <c r="G8" s="30"/>
      <c r="H8" s="19"/>
      <c r="I8" s="19"/>
      <c r="J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" s="32" t="s">
        <v>96</v>
      </c>
      <c r="L8" s="85">
        <f>IF(OR(ISBLANK(tbl_SeqLib[[#This Row],[Sample ID]]),ISBLANK(endrepair_targetmass)),0,IF(LEN(tbl_SeqLib[[#This Row],[PCR '[DNA'] (ng / µl)]])=0,1,2))</f>
        <v>0</v>
      </c>
      <c r="M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" s="44" t="str">
        <f>IF(tbl_SeqLib[[#This Row],[entry]]=2,ROUNDUP(_xlfn.MINIFS(tbl_SeqLib[Exact],tbl_SeqLib[Column],tbl_SeqLib[[#This Row],[Column]]),1),"")</f>
        <v/>
      </c>
      <c r="O8" s="44" t="str">
        <f>IF(tbl_SeqLib[[#This Row],[entry]]=2,ROUNDDOWN(_xlfn.MAXIFS(tbl_SeqLib[Exact],tbl_SeqLib[Column],tbl_SeqLib[[#This Row],[Column]]),1),"")</f>
        <v/>
      </c>
      <c r="P8" s="44" t="str">
        <f>IF(tbl_SeqLib[[#This Row],[entry]]=2,ROUNDUP(AVERAGEIFS(tbl_SeqLib[Exact],tbl_SeqLib[Column],tbl_SeqLib[[#This Row],[Column]]),1),"")</f>
        <v/>
      </c>
      <c r="Q8" s="44" t="str" cm="1">
        <f t="array" ref="Q8">_xlfn.XLOOKUP(0,ABS(tbl_SeqLib[[#This Row],[Min for col]:[Avg for col]]-tbl_SeqLib[[#This Row],[Exact]]),tbl_SeqLib[[#This Row],[Min for col]:[Avg for col]],"",1)</f>
        <v/>
      </c>
      <c r="R8" s="44" t="str" cm="1">
        <f t="array" ref="R8">_xlfn.XLOOKUP(0,ABS(tbl_SeqLib[[#This Row],[Max for col]:[Avg for col]]-tbl_SeqLib[[#This Row],[Exact]]),tbl_SeqLib[[#This Row],[Max for col]:[Avg for col]],"",1)</f>
        <v/>
      </c>
      <c r="S8" s="44" t="str">
        <f>IF(tbl_SeqLib[[#This Row],[entry]]=2,tbl_SeqLib[[#This Row],[Max for col]],"")</f>
        <v/>
      </c>
      <c r="T8" s="44" t="str">
        <f>IF(tbl_SeqLib[[#This Row],[entry]]=2,tbl_SeqLib[[#This Row],[Avg for col]],"")</f>
        <v/>
      </c>
      <c r="U8" s="44" t="str">
        <f>IF(tbl_SeqLib[[#This Row],[entry]]=2,AVERAGE(tbl_SeqLib[Exact]),"")</f>
        <v/>
      </c>
      <c r="V8" s="44" t="str">
        <f>IF(tbl_SeqLib[[#This Row],[entry]]=2,MAX(tbl_SeqLib[Exact]),"")</f>
        <v/>
      </c>
      <c r="W8" s="44" t="str" cm="1">
        <f t="array" ref="W8">_xlfn.XLOOKUP(0,ABS(tbl_SeqLib[[#This Row],[Avg per plate]:[Max per plate]]-tbl_SeqLib[[#This Row],[Exact]]),tbl_SeqLib[[#This Row],[Avg per plate]:[Max per plate]],,1)</f>
        <v/>
      </c>
      <c r="X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" s="85" t="str">
        <f>IF(tbl_SeqLib[[#This Row],[entry]]=1,ROUNDUP(AVERAGE(tbl_SeqLib[Exact]),1),"")</f>
        <v/>
      </c>
      <c r="Z8" s="85" t="str">
        <f>IF(tbl_SeqLib[[#This Row],[entry]]=1,ROUNDUP(AVERAGEIFS(tbl_SeqLib[Exact],tbl_SeqLib[Column],tbl_SeqLib[[#This Row],[Column]]),1),"")</f>
        <v/>
      </c>
      <c r="AA8" s="44" t="str">
        <f>IF(missing_qc_resolution=reference!$E$34,tbl_SeqLib[[#This Row],[Avg per col (missing)]],tbl_SeqLib[[#This Row],[Avg per plate (missing)]])</f>
        <v/>
      </c>
      <c r="AB8" s="44" t="str">
        <f>IF(tbl_SeqLib[[#This Row],[entry]]=0,"",IF(tbl_SeqLib[[#This Row],[entry]]=1,tbl_SeqLib[[#This Row],[Not quantified]],IF(tbl_SeqLib[[#This Row],[entry]]=2,tbl_SeqLib[[#This Row],[Quantified]])))</f>
        <v/>
      </c>
      <c r="AC8" s="137"/>
      <c r="AD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" s="60" t="str">
        <f>IF(ISBLANK(tbl_SeqLib[[#This Row],[sWGA Identifier]]),"",CONCATENATE(exp_id,"_",tbl_SeqLib[[#This Row],[Well]]))</f>
        <v/>
      </c>
    </row>
    <row r="9" spans="1:31" ht="15.75" customHeight="1" x14ac:dyDescent="0.25">
      <c r="A9" s="59">
        <v>7</v>
      </c>
      <c r="B9" s="46" t="str">
        <f>RIGHT(tbl_SeqLib[[#This Row],[Well]],LEN(tbl_SeqLib[[#This Row],[Well]])-1)</f>
        <v>1</v>
      </c>
      <c r="C9" s="46" t="s">
        <v>97</v>
      </c>
      <c r="D9" s="19"/>
      <c r="E9" s="19"/>
      <c r="F9" s="29"/>
      <c r="G9" s="30"/>
      <c r="H9" s="31"/>
      <c r="I9" s="19"/>
      <c r="J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" s="32" t="s">
        <v>98</v>
      </c>
      <c r="L9" s="85">
        <f>IF(OR(ISBLANK(tbl_SeqLib[[#This Row],[Sample ID]]),ISBLANK(endrepair_targetmass)),0,IF(LEN(tbl_SeqLib[[#This Row],[PCR '[DNA'] (ng / µl)]])=0,1,2))</f>
        <v>0</v>
      </c>
      <c r="M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" s="44" t="str">
        <f>IF(tbl_SeqLib[[#This Row],[entry]]=2,ROUNDUP(_xlfn.MINIFS(tbl_SeqLib[Exact],tbl_SeqLib[Column],tbl_SeqLib[[#This Row],[Column]]),1),"")</f>
        <v/>
      </c>
      <c r="O9" s="44" t="str">
        <f>IF(tbl_SeqLib[[#This Row],[entry]]=2,ROUNDDOWN(_xlfn.MAXIFS(tbl_SeqLib[Exact],tbl_SeqLib[Column],tbl_SeqLib[[#This Row],[Column]]),1),"")</f>
        <v/>
      </c>
      <c r="P9" s="44" t="str">
        <f>IF(tbl_SeqLib[[#This Row],[entry]]=2,ROUNDUP(AVERAGEIFS(tbl_SeqLib[Exact],tbl_SeqLib[Column],tbl_SeqLib[[#This Row],[Column]]),1),"")</f>
        <v/>
      </c>
      <c r="Q9" s="44" t="str" cm="1">
        <f t="array" ref="Q9">_xlfn.XLOOKUP(0,ABS(tbl_SeqLib[[#This Row],[Min for col]:[Avg for col]]-tbl_SeqLib[[#This Row],[Exact]]),tbl_SeqLib[[#This Row],[Min for col]:[Avg for col]],"",1)</f>
        <v/>
      </c>
      <c r="R9" s="44" t="str" cm="1">
        <f t="array" ref="R9">_xlfn.XLOOKUP(0,ABS(tbl_SeqLib[[#This Row],[Max for col]:[Avg for col]]-tbl_SeqLib[[#This Row],[Exact]]),tbl_SeqLib[[#This Row],[Max for col]:[Avg for col]],"",1)</f>
        <v/>
      </c>
      <c r="S9" s="44" t="str">
        <f>IF(tbl_SeqLib[[#This Row],[entry]]=2,tbl_SeqLib[[#This Row],[Max for col]],"")</f>
        <v/>
      </c>
      <c r="T9" s="44" t="str">
        <f>IF(tbl_SeqLib[[#This Row],[entry]]=2,tbl_SeqLib[[#This Row],[Avg for col]],"")</f>
        <v/>
      </c>
      <c r="U9" s="44" t="str">
        <f>IF(tbl_SeqLib[[#This Row],[entry]]=2,AVERAGE(tbl_SeqLib[Exact]),"")</f>
        <v/>
      </c>
      <c r="V9" s="44" t="str">
        <f>IF(tbl_SeqLib[[#This Row],[entry]]=2,MAX(tbl_SeqLib[Exact]),"")</f>
        <v/>
      </c>
      <c r="W9" s="44" t="str" cm="1">
        <f t="array" ref="W9">_xlfn.XLOOKUP(0,ABS(tbl_SeqLib[[#This Row],[Avg per plate]:[Max per plate]]-tbl_SeqLib[[#This Row],[Exact]]),tbl_SeqLib[[#This Row],[Avg per plate]:[Max per plate]],,1)</f>
        <v/>
      </c>
      <c r="X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" s="85" t="str">
        <f>IF(tbl_SeqLib[[#This Row],[entry]]=1,ROUNDUP(AVERAGE(tbl_SeqLib[Exact]),1),"")</f>
        <v/>
      </c>
      <c r="Z9" s="85" t="str">
        <f>IF(tbl_SeqLib[[#This Row],[entry]]=1,ROUNDUP(AVERAGEIFS(tbl_SeqLib[Exact],tbl_SeqLib[Column],tbl_SeqLib[[#This Row],[Column]]),1),"")</f>
        <v/>
      </c>
      <c r="AA9" s="44" t="str">
        <f>IF(missing_qc_resolution=reference!$E$34,tbl_SeqLib[[#This Row],[Avg per col (missing)]],tbl_SeqLib[[#This Row],[Avg per plate (missing)]])</f>
        <v/>
      </c>
      <c r="AB9" s="44" t="str">
        <f>IF(tbl_SeqLib[[#This Row],[entry]]=0,"",IF(tbl_SeqLib[[#This Row],[entry]]=1,tbl_SeqLib[[#This Row],[Not quantified]],IF(tbl_SeqLib[[#This Row],[entry]]=2,tbl_SeqLib[[#This Row],[Quantified]])))</f>
        <v/>
      </c>
      <c r="AC9" s="137"/>
      <c r="AD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" s="60" t="str">
        <f>IF(ISBLANK(tbl_SeqLib[[#This Row],[sWGA Identifier]]),"",CONCATENATE(exp_id,"_",tbl_SeqLib[[#This Row],[Well]]))</f>
        <v/>
      </c>
    </row>
    <row r="10" spans="1:31" ht="15.75" customHeight="1" thickBot="1" x14ac:dyDescent="0.3">
      <c r="A10" s="61">
        <v>8</v>
      </c>
      <c r="B10" s="62" t="str">
        <f>RIGHT(tbl_SeqLib[[#This Row],[Well]],LEN(tbl_SeqLib[[#This Row],[Well]])-1)</f>
        <v>1</v>
      </c>
      <c r="C10" s="62" t="s">
        <v>99</v>
      </c>
      <c r="D10" s="63"/>
      <c r="E10" s="64"/>
      <c r="F10" s="65"/>
      <c r="G10" s="63"/>
      <c r="H10" s="65"/>
      <c r="I10" s="63"/>
      <c r="J1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0" s="67" t="s">
        <v>100</v>
      </c>
      <c r="L10" s="86">
        <f>IF(OR(ISBLANK(tbl_SeqLib[[#This Row],[Sample ID]]),ISBLANK(endrepair_targetmass)),0,IF(LEN(tbl_SeqLib[[#This Row],[PCR '[DNA'] (ng / µl)]])=0,1,2))</f>
        <v>0</v>
      </c>
      <c r="M1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0" s="68" t="str">
        <f>IF(tbl_SeqLib[[#This Row],[entry]]=2,ROUNDUP(_xlfn.MINIFS(tbl_SeqLib[Exact],tbl_SeqLib[Column],tbl_SeqLib[[#This Row],[Column]]),1),"")</f>
        <v/>
      </c>
      <c r="O10" s="68" t="str">
        <f>IF(tbl_SeqLib[[#This Row],[entry]]=2,ROUNDDOWN(_xlfn.MAXIFS(tbl_SeqLib[Exact],tbl_SeqLib[Column],tbl_SeqLib[[#This Row],[Column]]),1),"")</f>
        <v/>
      </c>
      <c r="P10" s="68" t="str">
        <f>IF(tbl_SeqLib[[#This Row],[entry]]=2,ROUNDUP(AVERAGEIFS(tbl_SeqLib[Exact],tbl_SeqLib[Column],tbl_SeqLib[[#This Row],[Column]]),1),"")</f>
        <v/>
      </c>
      <c r="Q10" s="68" t="str" cm="1">
        <f t="array" ref="Q10">_xlfn.XLOOKUP(0,ABS(tbl_SeqLib[[#This Row],[Min for col]:[Avg for col]]-tbl_SeqLib[[#This Row],[Exact]]),tbl_SeqLib[[#This Row],[Min for col]:[Avg for col]],"",1)</f>
        <v/>
      </c>
      <c r="R10" s="68" t="str" cm="1">
        <f t="array" ref="R10">_xlfn.XLOOKUP(0,ABS(tbl_SeqLib[[#This Row],[Max for col]:[Avg for col]]-tbl_SeqLib[[#This Row],[Exact]]),tbl_SeqLib[[#This Row],[Max for col]:[Avg for col]],"",1)</f>
        <v/>
      </c>
      <c r="S10" s="68" t="str">
        <f>IF(tbl_SeqLib[[#This Row],[entry]]=2,tbl_SeqLib[[#This Row],[Max for col]],"")</f>
        <v/>
      </c>
      <c r="T10" s="68" t="str">
        <f>IF(tbl_SeqLib[[#This Row],[entry]]=2,tbl_SeqLib[[#This Row],[Avg for col]],"")</f>
        <v/>
      </c>
      <c r="U10" s="68" t="str">
        <f>IF(tbl_SeqLib[[#This Row],[entry]]=2,AVERAGE(tbl_SeqLib[Exact]),"")</f>
        <v/>
      </c>
      <c r="V10" s="68" t="str">
        <f>IF(tbl_SeqLib[[#This Row],[entry]]=2,MAX(tbl_SeqLib[Exact]),"")</f>
        <v/>
      </c>
      <c r="W10" s="68" t="str" cm="1">
        <f t="array" ref="W10">_xlfn.XLOOKUP(0,ABS(tbl_SeqLib[[#This Row],[Avg per plate]:[Max per plate]]-tbl_SeqLib[[#This Row],[Exact]]),tbl_SeqLib[[#This Row],[Avg per plate]:[Max per plate]],,1)</f>
        <v/>
      </c>
      <c r="X1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0" s="86" t="str">
        <f>IF(tbl_SeqLib[[#This Row],[entry]]=1,ROUNDUP(AVERAGE(tbl_SeqLib[Exact]),1),"")</f>
        <v/>
      </c>
      <c r="Z10" s="86" t="str">
        <f>IF(tbl_SeqLib[[#This Row],[entry]]=1,ROUNDUP(AVERAGEIFS(tbl_SeqLib[Exact],tbl_SeqLib[Column],tbl_SeqLib[[#This Row],[Column]]),1),"")</f>
        <v/>
      </c>
      <c r="AA10" s="68" t="str">
        <f>IF(missing_qc_resolution=reference!$E$34,tbl_SeqLib[[#This Row],[Avg per col (missing)]],tbl_SeqLib[[#This Row],[Avg per plate (missing)]])</f>
        <v/>
      </c>
      <c r="AB10" s="68" t="str">
        <f>IF(tbl_SeqLib[[#This Row],[entry]]=0,"",IF(tbl_SeqLib[[#This Row],[entry]]=1,tbl_SeqLib[[#This Row],[Not quantified]],IF(tbl_SeqLib[[#This Row],[entry]]=2,tbl_SeqLib[[#This Row],[Quantified]])))</f>
        <v/>
      </c>
      <c r="AC10" s="138"/>
      <c r="AD1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0" s="69" t="str">
        <f>IF(ISBLANK(tbl_SeqLib[[#This Row],[sWGA Identifier]]),"",CONCATENATE(exp_id,"_",tbl_SeqLib[[#This Row],[Well]]))</f>
        <v/>
      </c>
    </row>
    <row r="11" spans="1:31" ht="15.75" customHeight="1" x14ac:dyDescent="0.25">
      <c r="A11" s="50">
        <v>9</v>
      </c>
      <c r="B11" s="51" t="str">
        <f>RIGHT(tbl_SeqLib[[#This Row],[Well]],LEN(tbl_SeqLib[[#This Row],[Well]])-1)</f>
        <v>2</v>
      </c>
      <c r="C11" s="51" t="s">
        <v>101</v>
      </c>
      <c r="D11" s="52"/>
      <c r="E11" s="56"/>
      <c r="F11" s="52"/>
      <c r="G11" s="52"/>
      <c r="H11" s="52"/>
      <c r="I11" s="52"/>
      <c r="J1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1" s="56" t="s">
        <v>102</v>
      </c>
      <c r="L11" s="84">
        <f>IF(OR(ISBLANK(tbl_SeqLib[[#This Row],[Sample ID]]),ISBLANK(endrepair_targetmass)),0,IF(LEN(tbl_SeqLib[[#This Row],[PCR '[DNA'] (ng / µl)]])=0,1,2))</f>
        <v>0</v>
      </c>
      <c r="M1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1" s="57" t="str">
        <f>IF(tbl_SeqLib[[#This Row],[entry]]=2,ROUNDUP(_xlfn.MINIFS(tbl_SeqLib[Exact],tbl_SeqLib[Column],tbl_SeqLib[[#This Row],[Column]]),1),"")</f>
        <v/>
      </c>
      <c r="O11" s="57" t="str">
        <f>IF(tbl_SeqLib[[#This Row],[entry]]=2,ROUNDDOWN(_xlfn.MAXIFS(tbl_SeqLib[Exact],tbl_SeqLib[Column],tbl_SeqLib[[#This Row],[Column]]),1),"")</f>
        <v/>
      </c>
      <c r="P11" s="57" t="str">
        <f>IF(tbl_SeqLib[[#This Row],[entry]]=2,ROUNDUP(AVERAGEIFS(tbl_SeqLib[Exact],tbl_SeqLib[Column],tbl_SeqLib[[#This Row],[Column]]),1),"")</f>
        <v/>
      </c>
      <c r="Q11" s="57" t="str" cm="1">
        <f t="array" ref="Q11">_xlfn.XLOOKUP(0,ABS(tbl_SeqLib[[#This Row],[Min for col]:[Avg for col]]-tbl_SeqLib[[#This Row],[Exact]]),tbl_SeqLib[[#This Row],[Min for col]:[Avg for col]],"",1)</f>
        <v/>
      </c>
      <c r="R11" s="57" t="str" cm="1">
        <f t="array" ref="R11">_xlfn.XLOOKUP(0,ABS(tbl_SeqLib[[#This Row],[Max for col]:[Avg for col]]-tbl_SeqLib[[#This Row],[Exact]]),tbl_SeqLib[[#This Row],[Max for col]:[Avg for col]],"",1)</f>
        <v/>
      </c>
      <c r="S11" s="57" t="str">
        <f>IF(tbl_SeqLib[[#This Row],[entry]]=2,tbl_SeqLib[[#This Row],[Max for col]],"")</f>
        <v/>
      </c>
      <c r="T11" s="57" t="str">
        <f>IF(tbl_SeqLib[[#This Row],[entry]]=2,tbl_SeqLib[[#This Row],[Avg for col]],"")</f>
        <v/>
      </c>
      <c r="U11" s="57" t="str">
        <f>IF(tbl_SeqLib[[#This Row],[entry]]=2,AVERAGE(tbl_SeqLib[Exact]),"")</f>
        <v/>
      </c>
      <c r="V11" s="57" t="str">
        <f>IF(tbl_SeqLib[[#This Row],[entry]]=2,MAX(tbl_SeqLib[Exact]),"")</f>
        <v/>
      </c>
      <c r="W11" s="57" t="str" cm="1">
        <f t="array" ref="W11">_xlfn.XLOOKUP(0,ABS(tbl_SeqLib[[#This Row],[Avg per plate]:[Max per plate]]-tbl_SeqLib[[#This Row],[Exact]]),tbl_SeqLib[[#This Row],[Avg per plate]:[Max per plate]],,1)</f>
        <v/>
      </c>
      <c r="X1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1" s="84" t="str">
        <f>IF(tbl_SeqLib[[#This Row],[entry]]=1,ROUNDUP(AVERAGE(tbl_SeqLib[Exact]),1),"")</f>
        <v/>
      </c>
      <c r="Z11" s="84" t="str">
        <f>IF(tbl_SeqLib[[#This Row],[entry]]=1,ROUNDUP(AVERAGEIFS(tbl_SeqLib[Exact],tbl_SeqLib[Column],tbl_SeqLib[[#This Row],[Column]]),1),"")</f>
        <v/>
      </c>
      <c r="AA11" s="57" t="str">
        <f>IF(missing_qc_resolution=reference!$E$34,tbl_SeqLib[[#This Row],[Avg per col (missing)]],tbl_SeqLib[[#This Row],[Avg per plate (missing)]])</f>
        <v/>
      </c>
      <c r="AB11" s="57" t="str">
        <f>IF(tbl_SeqLib[[#This Row],[entry]]=0,"",IF(tbl_SeqLib[[#This Row],[entry]]=1,tbl_SeqLib[[#This Row],[Not quantified]],IF(tbl_SeqLib[[#This Row],[entry]]=2,tbl_SeqLib[[#This Row],[Quantified]])))</f>
        <v/>
      </c>
      <c r="AC11" s="136"/>
      <c r="AD1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1" s="58" t="str">
        <f>IF(ISBLANK(tbl_SeqLib[[#This Row],[sWGA Identifier]]),"",CONCATENATE(exp_id,"_",tbl_SeqLib[[#This Row],[Well]]))</f>
        <v/>
      </c>
    </row>
    <row r="12" spans="1:31" ht="15.75" customHeight="1" x14ac:dyDescent="0.25">
      <c r="A12" s="59">
        <v>10</v>
      </c>
      <c r="B12" s="46" t="str">
        <f>RIGHT(tbl_SeqLib[[#This Row],[Well]],LEN(tbl_SeqLib[[#This Row],[Well]])-1)</f>
        <v>2</v>
      </c>
      <c r="C12" s="46" t="s">
        <v>103</v>
      </c>
      <c r="D12" s="19"/>
      <c r="E12" s="21"/>
      <c r="F12" s="31"/>
      <c r="G12" s="19"/>
      <c r="H12" s="31"/>
      <c r="I12" s="19"/>
      <c r="J1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2" s="32" t="s">
        <v>104</v>
      </c>
      <c r="L12" s="85">
        <f>IF(OR(ISBLANK(tbl_SeqLib[[#This Row],[Sample ID]]),ISBLANK(endrepair_targetmass)),0,IF(LEN(tbl_SeqLib[[#This Row],[PCR '[DNA'] (ng / µl)]])=0,1,2))</f>
        <v>0</v>
      </c>
      <c r="M1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2" s="44" t="str">
        <f>IF(tbl_SeqLib[[#This Row],[entry]]=2,ROUNDUP(_xlfn.MINIFS(tbl_SeqLib[Exact],tbl_SeqLib[Column],tbl_SeqLib[[#This Row],[Column]]),1),"")</f>
        <v/>
      </c>
      <c r="O12" s="44" t="str">
        <f>IF(tbl_SeqLib[[#This Row],[entry]]=2,ROUNDDOWN(_xlfn.MAXIFS(tbl_SeqLib[Exact],tbl_SeqLib[Column],tbl_SeqLib[[#This Row],[Column]]),1),"")</f>
        <v/>
      </c>
      <c r="P12" s="44" t="str">
        <f>IF(tbl_SeqLib[[#This Row],[entry]]=2,ROUNDUP(AVERAGEIFS(tbl_SeqLib[Exact],tbl_SeqLib[Column],tbl_SeqLib[[#This Row],[Column]]),1),"")</f>
        <v/>
      </c>
      <c r="Q12" s="44" t="str" cm="1">
        <f t="array" ref="Q12">_xlfn.XLOOKUP(0,ABS(tbl_SeqLib[[#This Row],[Min for col]:[Avg for col]]-tbl_SeqLib[[#This Row],[Exact]]),tbl_SeqLib[[#This Row],[Min for col]:[Avg for col]],"",1)</f>
        <v/>
      </c>
      <c r="R12" s="44" t="str" cm="1">
        <f t="array" ref="R12">_xlfn.XLOOKUP(0,ABS(tbl_SeqLib[[#This Row],[Max for col]:[Avg for col]]-tbl_SeqLib[[#This Row],[Exact]]),tbl_SeqLib[[#This Row],[Max for col]:[Avg for col]],"",1)</f>
        <v/>
      </c>
      <c r="S12" s="44" t="str">
        <f>IF(tbl_SeqLib[[#This Row],[entry]]=2,tbl_SeqLib[[#This Row],[Max for col]],"")</f>
        <v/>
      </c>
      <c r="T12" s="44" t="str">
        <f>IF(tbl_SeqLib[[#This Row],[entry]]=2,tbl_SeqLib[[#This Row],[Avg for col]],"")</f>
        <v/>
      </c>
      <c r="U12" s="44" t="str">
        <f>IF(tbl_SeqLib[[#This Row],[entry]]=2,AVERAGE(tbl_SeqLib[Exact]),"")</f>
        <v/>
      </c>
      <c r="V12" s="44" t="str">
        <f>IF(tbl_SeqLib[[#This Row],[entry]]=2,MAX(tbl_SeqLib[Exact]),"")</f>
        <v/>
      </c>
      <c r="W12" s="44" t="str" cm="1">
        <f t="array" ref="W12">_xlfn.XLOOKUP(0,ABS(tbl_SeqLib[[#This Row],[Avg per plate]:[Max per plate]]-tbl_SeqLib[[#This Row],[Exact]]),tbl_SeqLib[[#This Row],[Avg per plate]:[Max per plate]],,1)</f>
        <v/>
      </c>
      <c r="X1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2" s="85" t="str">
        <f>IF(tbl_SeqLib[[#This Row],[entry]]=1,ROUNDUP(AVERAGE(tbl_SeqLib[Exact]),1),"")</f>
        <v/>
      </c>
      <c r="Z12" s="85" t="str">
        <f>IF(tbl_SeqLib[[#This Row],[entry]]=1,ROUNDUP(AVERAGEIFS(tbl_SeqLib[Exact],tbl_SeqLib[Column],tbl_SeqLib[[#This Row],[Column]]),1),"")</f>
        <v/>
      </c>
      <c r="AA12" s="44" t="str">
        <f>IF(missing_qc_resolution=reference!$E$34,tbl_SeqLib[[#This Row],[Avg per col (missing)]],tbl_SeqLib[[#This Row],[Avg per plate (missing)]])</f>
        <v/>
      </c>
      <c r="AB12" s="44" t="str">
        <f>IF(tbl_SeqLib[[#This Row],[entry]]=0,"",IF(tbl_SeqLib[[#This Row],[entry]]=1,tbl_SeqLib[[#This Row],[Not quantified]],IF(tbl_SeqLib[[#This Row],[entry]]=2,tbl_SeqLib[[#This Row],[Quantified]])))</f>
        <v/>
      </c>
      <c r="AC12" s="137"/>
      <c r="AD1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2" s="60" t="str">
        <f>IF(ISBLANK(tbl_SeqLib[[#This Row],[sWGA Identifier]]),"",CONCATENATE(exp_id,"_",tbl_SeqLib[[#This Row],[Well]]))</f>
        <v/>
      </c>
    </row>
    <row r="13" spans="1:31" ht="15.75" customHeight="1" x14ac:dyDescent="0.25">
      <c r="A13" s="59">
        <v>11</v>
      </c>
      <c r="B13" s="46" t="str">
        <f>RIGHT(tbl_SeqLib[[#This Row],[Well]],LEN(tbl_SeqLib[[#This Row],[Well]])-1)</f>
        <v>2</v>
      </c>
      <c r="C13" s="46" t="s">
        <v>105</v>
      </c>
      <c r="D13" s="19"/>
      <c r="E13" s="21"/>
      <c r="F13" s="31"/>
      <c r="G13" s="19"/>
      <c r="H13" s="31"/>
      <c r="I13" s="19"/>
      <c r="J1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3" s="32" t="s">
        <v>106</v>
      </c>
      <c r="L13" s="85">
        <f>IF(OR(ISBLANK(tbl_SeqLib[[#This Row],[Sample ID]]),ISBLANK(endrepair_targetmass)),0,IF(LEN(tbl_SeqLib[[#This Row],[PCR '[DNA'] (ng / µl)]])=0,1,2))</f>
        <v>0</v>
      </c>
      <c r="M1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3" s="44" t="str">
        <f>IF(tbl_SeqLib[[#This Row],[entry]]=2,ROUNDUP(_xlfn.MINIFS(tbl_SeqLib[Exact],tbl_SeqLib[Column],tbl_SeqLib[[#This Row],[Column]]),1),"")</f>
        <v/>
      </c>
      <c r="O13" s="44" t="str">
        <f>IF(tbl_SeqLib[[#This Row],[entry]]=2,ROUNDDOWN(_xlfn.MAXIFS(tbl_SeqLib[Exact],tbl_SeqLib[Column],tbl_SeqLib[[#This Row],[Column]]),1),"")</f>
        <v/>
      </c>
      <c r="P13" s="44" t="str">
        <f>IF(tbl_SeqLib[[#This Row],[entry]]=2,ROUNDUP(AVERAGEIFS(tbl_SeqLib[Exact],tbl_SeqLib[Column],tbl_SeqLib[[#This Row],[Column]]),1),"")</f>
        <v/>
      </c>
      <c r="Q13" s="44" t="str" cm="1">
        <f t="array" ref="Q13">_xlfn.XLOOKUP(0,ABS(tbl_SeqLib[[#This Row],[Min for col]:[Avg for col]]-tbl_SeqLib[[#This Row],[Exact]]),tbl_SeqLib[[#This Row],[Min for col]:[Avg for col]],"",1)</f>
        <v/>
      </c>
      <c r="R13" s="44" t="str" cm="1">
        <f t="array" ref="R13">_xlfn.XLOOKUP(0,ABS(tbl_SeqLib[[#This Row],[Max for col]:[Avg for col]]-tbl_SeqLib[[#This Row],[Exact]]),tbl_SeqLib[[#This Row],[Max for col]:[Avg for col]],"",1)</f>
        <v/>
      </c>
      <c r="S13" s="44" t="str">
        <f>IF(tbl_SeqLib[[#This Row],[entry]]=2,tbl_SeqLib[[#This Row],[Max for col]],"")</f>
        <v/>
      </c>
      <c r="T13" s="44" t="str">
        <f>IF(tbl_SeqLib[[#This Row],[entry]]=2,tbl_SeqLib[[#This Row],[Avg for col]],"")</f>
        <v/>
      </c>
      <c r="U13" s="44" t="str">
        <f>IF(tbl_SeqLib[[#This Row],[entry]]=2,AVERAGE(tbl_SeqLib[Exact]),"")</f>
        <v/>
      </c>
      <c r="V13" s="44" t="str">
        <f>IF(tbl_SeqLib[[#This Row],[entry]]=2,MAX(tbl_SeqLib[Exact]),"")</f>
        <v/>
      </c>
      <c r="W13" s="44" t="str" cm="1">
        <f t="array" ref="W13">_xlfn.XLOOKUP(0,ABS(tbl_SeqLib[[#This Row],[Avg per plate]:[Max per plate]]-tbl_SeqLib[[#This Row],[Exact]]),tbl_SeqLib[[#This Row],[Avg per plate]:[Max per plate]],,1)</f>
        <v/>
      </c>
      <c r="X1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3" s="85" t="str">
        <f>IF(tbl_SeqLib[[#This Row],[entry]]=1,ROUNDUP(AVERAGE(tbl_SeqLib[Exact]),1),"")</f>
        <v/>
      </c>
      <c r="Z13" s="85" t="str">
        <f>IF(tbl_SeqLib[[#This Row],[entry]]=1,ROUNDUP(AVERAGEIFS(tbl_SeqLib[Exact],tbl_SeqLib[Column],tbl_SeqLib[[#This Row],[Column]]),1),"")</f>
        <v/>
      </c>
      <c r="AA13" s="44" t="str">
        <f>IF(missing_qc_resolution=reference!$E$34,tbl_SeqLib[[#This Row],[Avg per col (missing)]],tbl_SeqLib[[#This Row],[Avg per plate (missing)]])</f>
        <v/>
      </c>
      <c r="AB13" s="44" t="str">
        <f>IF(tbl_SeqLib[[#This Row],[entry]]=0,"",IF(tbl_SeqLib[[#This Row],[entry]]=1,tbl_SeqLib[[#This Row],[Not quantified]],IF(tbl_SeqLib[[#This Row],[entry]]=2,tbl_SeqLib[[#This Row],[Quantified]])))</f>
        <v/>
      </c>
      <c r="AC13" s="137"/>
      <c r="AD1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3" s="60" t="str">
        <f>IF(ISBLANK(tbl_SeqLib[[#This Row],[sWGA Identifier]]),"",CONCATENATE(exp_id,"_",tbl_SeqLib[[#This Row],[Well]]))</f>
        <v/>
      </c>
    </row>
    <row r="14" spans="1:31" ht="15.75" customHeight="1" x14ac:dyDescent="0.25">
      <c r="A14" s="59">
        <v>12</v>
      </c>
      <c r="B14" s="46" t="str">
        <f>RIGHT(tbl_SeqLib[[#This Row],[Well]],LEN(tbl_SeqLib[[#This Row],[Well]])-1)</f>
        <v>2</v>
      </c>
      <c r="C14" s="46" t="s">
        <v>107</v>
      </c>
      <c r="D14" s="19"/>
      <c r="E14" s="21"/>
      <c r="F14" s="31"/>
      <c r="G14" s="19"/>
      <c r="H14" s="31"/>
      <c r="I14" s="19"/>
      <c r="J1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4" s="32" t="s">
        <v>108</v>
      </c>
      <c r="L14" s="85">
        <f>IF(OR(ISBLANK(tbl_SeqLib[[#This Row],[Sample ID]]),ISBLANK(endrepair_targetmass)),0,IF(LEN(tbl_SeqLib[[#This Row],[PCR '[DNA'] (ng / µl)]])=0,1,2))</f>
        <v>0</v>
      </c>
      <c r="M1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4" s="44" t="str">
        <f>IF(tbl_SeqLib[[#This Row],[entry]]=2,ROUNDUP(_xlfn.MINIFS(tbl_SeqLib[Exact],tbl_SeqLib[Column],tbl_SeqLib[[#This Row],[Column]]),1),"")</f>
        <v/>
      </c>
      <c r="O14" s="44" t="str">
        <f>IF(tbl_SeqLib[[#This Row],[entry]]=2,ROUNDDOWN(_xlfn.MAXIFS(tbl_SeqLib[Exact],tbl_SeqLib[Column],tbl_SeqLib[[#This Row],[Column]]),1),"")</f>
        <v/>
      </c>
      <c r="P14" s="44" t="str">
        <f>IF(tbl_SeqLib[[#This Row],[entry]]=2,ROUNDUP(AVERAGEIFS(tbl_SeqLib[Exact],tbl_SeqLib[Column],tbl_SeqLib[[#This Row],[Column]]),1),"")</f>
        <v/>
      </c>
      <c r="Q14" s="44" t="str" cm="1">
        <f t="array" ref="Q14">_xlfn.XLOOKUP(0,ABS(tbl_SeqLib[[#This Row],[Min for col]:[Avg for col]]-tbl_SeqLib[[#This Row],[Exact]]),tbl_SeqLib[[#This Row],[Min for col]:[Avg for col]],"",1)</f>
        <v/>
      </c>
      <c r="R14" s="44" t="str" cm="1">
        <f t="array" ref="R14">_xlfn.XLOOKUP(0,ABS(tbl_SeqLib[[#This Row],[Max for col]:[Avg for col]]-tbl_SeqLib[[#This Row],[Exact]]),tbl_SeqLib[[#This Row],[Max for col]:[Avg for col]],"",1)</f>
        <v/>
      </c>
      <c r="S14" s="44" t="str">
        <f>IF(tbl_SeqLib[[#This Row],[entry]]=2,tbl_SeqLib[[#This Row],[Max for col]],"")</f>
        <v/>
      </c>
      <c r="T14" s="44" t="str">
        <f>IF(tbl_SeqLib[[#This Row],[entry]]=2,tbl_SeqLib[[#This Row],[Avg for col]],"")</f>
        <v/>
      </c>
      <c r="U14" s="44" t="str">
        <f>IF(tbl_SeqLib[[#This Row],[entry]]=2,AVERAGE(tbl_SeqLib[Exact]),"")</f>
        <v/>
      </c>
      <c r="V14" s="44" t="str">
        <f>IF(tbl_SeqLib[[#This Row],[entry]]=2,MAX(tbl_SeqLib[Exact]),"")</f>
        <v/>
      </c>
      <c r="W14" s="44" t="str" cm="1">
        <f t="array" ref="W14">_xlfn.XLOOKUP(0,ABS(tbl_SeqLib[[#This Row],[Avg per plate]:[Max per plate]]-tbl_SeqLib[[#This Row],[Exact]]),tbl_SeqLib[[#This Row],[Avg per plate]:[Max per plate]],,1)</f>
        <v/>
      </c>
      <c r="X1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4" s="85" t="str">
        <f>IF(tbl_SeqLib[[#This Row],[entry]]=1,ROUNDUP(AVERAGE(tbl_SeqLib[Exact]),1),"")</f>
        <v/>
      </c>
      <c r="Z14" s="85" t="str">
        <f>IF(tbl_SeqLib[[#This Row],[entry]]=1,ROUNDUP(AVERAGEIFS(tbl_SeqLib[Exact],tbl_SeqLib[Column],tbl_SeqLib[[#This Row],[Column]]),1),"")</f>
        <v/>
      </c>
      <c r="AA14" s="44" t="str">
        <f>IF(missing_qc_resolution=reference!$E$34,tbl_SeqLib[[#This Row],[Avg per col (missing)]],tbl_SeqLib[[#This Row],[Avg per plate (missing)]])</f>
        <v/>
      </c>
      <c r="AB14" s="44" t="str">
        <f>IF(tbl_SeqLib[[#This Row],[entry]]=0,"",IF(tbl_SeqLib[[#This Row],[entry]]=1,tbl_SeqLib[[#This Row],[Not quantified]],IF(tbl_SeqLib[[#This Row],[entry]]=2,tbl_SeqLib[[#This Row],[Quantified]])))</f>
        <v/>
      </c>
      <c r="AC14" s="137"/>
      <c r="AD1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4" s="60" t="str">
        <f>IF(ISBLANK(tbl_SeqLib[[#This Row],[sWGA Identifier]]),"",CONCATENATE(exp_id,"_",tbl_SeqLib[[#This Row],[Well]]))</f>
        <v/>
      </c>
    </row>
    <row r="15" spans="1:31" ht="15.75" customHeight="1" x14ac:dyDescent="0.25">
      <c r="A15" s="59">
        <v>13</v>
      </c>
      <c r="B15" s="46" t="str">
        <f>RIGHT(tbl_SeqLib[[#This Row],[Well]],LEN(tbl_SeqLib[[#This Row],[Well]])-1)</f>
        <v>2</v>
      </c>
      <c r="C15" s="46" t="s">
        <v>109</v>
      </c>
      <c r="D15" s="19"/>
      <c r="E15" s="21"/>
      <c r="F15" s="31"/>
      <c r="G15" s="19"/>
      <c r="H15" s="31"/>
      <c r="I15" s="19"/>
      <c r="J1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5" s="32" t="s">
        <v>110</v>
      </c>
      <c r="L15" s="85">
        <f>IF(OR(ISBLANK(tbl_SeqLib[[#This Row],[Sample ID]]),ISBLANK(endrepair_targetmass)),0,IF(LEN(tbl_SeqLib[[#This Row],[PCR '[DNA'] (ng / µl)]])=0,1,2))</f>
        <v>0</v>
      </c>
      <c r="M1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5" s="44" t="str">
        <f>IF(tbl_SeqLib[[#This Row],[entry]]=2,ROUNDUP(_xlfn.MINIFS(tbl_SeqLib[Exact],tbl_SeqLib[Column],tbl_SeqLib[[#This Row],[Column]]),1),"")</f>
        <v/>
      </c>
      <c r="O15" s="44" t="str">
        <f>IF(tbl_SeqLib[[#This Row],[entry]]=2,ROUNDDOWN(_xlfn.MAXIFS(tbl_SeqLib[Exact],tbl_SeqLib[Column],tbl_SeqLib[[#This Row],[Column]]),1),"")</f>
        <v/>
      </c>
      <c r="P15" s="44" t="str">
        <f>IF(tbl_SeqLib[[#This Row],[entry]]=2,ROUNDUP(AVERAGEIFS(tbl_SeqLib[Exact],tbl_SeqLib[Column],tbl_SeqLib[[#This Row],[Column]]),1),"")</f>
        <v/>
      </c>
      <c r="Q15" s="44" t="str" cm="1">
        <f t="array" ref="Q15">_xlfn.XLOOKUP(0,ABS(tbl_SeqLib[[#This Row],[Min for col]:[Avg for col]]-tbl_SeqLib[[#This Row],[Exact]]),tbl_SeqLib[[#This Row],[Min for col]:[Avg for col]],"",1)</f>
        <v/>
      </c>
      <c r="R15" s="44" t="str" cm="1">
        <f t="array" ref="R15">_xlfn.XLOOKUP(0,ABS(tbl_SeqLib[[#This Row],[Max for col]:[Avg for col]]-tbl_SeqLib[[#This Row],[Exact]]),tbl_SeqLib[[#This Row],[Max for col]:[Avg for col]],"",1)</f>
        <v/>
      </c>
      <c r="S15" s="44" t="str">
        <f>IF(tbl_SeqLib[[#This Row],[entry]]=2,tbl_SeqLib[[#This Row],[Max for col]],"")</f>
        <v/>
      </c>
      <c r="T15" s="44" t="str">
        <f>IF(tbl_SeqLib[[#This Row],[entry]]=2,tbl_SeqLib[[#This Row],[Avg for col]],"")</f>
        <v/>
      </c>
      <c r="U15" s="44" t="str">
        <f>IF(tbl_SeqLib[[#This Row],[entry]]=2,AVERAGE(tbl_SeqLib[Exact]),"")</f>
        <v/>
      </c>
      <c r="V15" s="44" t="str">
        <f>IF(tbl_SeqLib[[#This Row],[entry]]=2,MAX(tbl_SeqLib[Exact]),"")</f>
        <v/>
      </c>
      <c r="W15" s="44" t="str" cm="1">
        <f t="array" ref="W15">_xlfn.XLOOKUP(0,ABS(tbl_SeqLib[[#This Row],[Avg per plate]:[Max per plate]]-tbl_SeqLib[[#This Row],[Exact]]),tbl_SeqLib[[#This Row],[Avg per plate]:[Max per plate]],,1)</f>
        <v/>
      </c>
      <c r="X1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5" s="85" t="str">
        <f>IF(tbl_SeqLib[[#This Row],[entry]]=1,ROUNDUP(AVERAGE(tbl_SeqLib[Exact]),1),"")</f>
        <v/>
      </c>
      <c r="Z15" s="85" t="str">
        <f>IF(tbl_SeqLib[[#This Row],[entry]]=1,ROUNDUP(AVERAGEIFS(tbl_SeqLib[Exact],tbl_SeqLib[Column],tbl_SeqLib[[#This Row],[Column]]),1),"")</f>
        <v/>
      </c>
      <c r="AA15" s="44" t="str">
        <f>IF(missing_qc_resolution=reference!$E$34,tbl_SeqLib[[#This Row],[Avg per col (missing)]],tbl_SeqLib[[#This Row],[Avg per plate (missing)]])</f>
        <v/>
      </c>
      <c r="AB15" s="44" t="str">
        <f>IF(tbl_SeqLib[[#This Row],[entry]]=0,"",IF(tbl_SeqLib[[#This Row],[entry]]=1,tbl_SeqLib[[#This Row],[Not quantified]],IF(tbl_SeqLib[[#This Row],[entry]]=2,tbl_SeqLib[[#This Row],[Quantified]])))</f>
        <v/>
      </c>
      <c r="AC15" s="137"/>
      <c r="AD1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5" s="60" t="str">
        <f>IF(ISBLANK(tbl_SeqLib[[#This Row],[sWGA Identifier]]),"",CONCATENATE(exp_id,"_",tbl_SeqLib[[#This Row],[Well]]))</f>
        <v/>
      </c>
    </row>
    <row r="16" spans="1:31" ht="15.75" customHeight="1" x14ac:dyDescent="0.25">
      <c r="A16" s="59">
        <v>14</v>
      </c>
      <c r="B16" s="46" t="str">
        <f>RIGHT(tbl_SeqLib[[#This Row],[Well]],LEN(tbl_SeqLib[[#This Row],[Well]])-1)</f>
        <v>2</v>
      </c>
      <c r="C16" s="46" t="s">
        <v>111</v>
      </c>
      <c r="D16" s="19"/>
      <c r="E16" s="21"/>
      <c r="F16" s="31"/>
      <c r="G16" s="19"/>
      <c r="H16" s="31"/>
      <c r="I16" s="19"/>
      <c r="J1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6" s="32" t="s">
        <v>112</v>
      </c>
      <c r="L16" s="85">
        <f>IF(OR(ISBLANK(tbl_SeqLib[[#This Row],[Sample ID]]),ISBLANK(endrepair_targetmass)),0,IF(LEN(tbl_SeqLib[[#This Row],[PCR '[DNA'] (ng / µl)]])=0,1,2))</f>
        <v>0</v>
      </c>
      <c r="M1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6" s="44" t="str">
        <f>IF(tbl_SeqLib[[#This Row],[entry]]=2,ROUNDUP(_xlfn.MINIFS(tbl_SeqLib[Exact],tbl_SeqLib[Column],tbl_SeqLib[[#This Row],[Column]]),1),"")</f>
        <v/>
      </c>
      <c r="O16" s="44" t="str">
        <f>IF(tbl_SeqLib[[#This Row],[entry]]=2,ROUNDDOWN(_xlfn.MAXIFS(tbl_SeqLib[Exact],tbl_SeqLib[Column],tbl_SeqLib[[#This Row],[Column]]),1),"")</f>
        <v/>
      </c>
      <c r="P16" s="44" t="str">
        <f>IF(tbl_SeqLib[[#This Row],[entry]]=2,ROUNDUP(AVERAGEIFS(tbl_SeqLib[Exact],tbl_SeqLib[Column],tbl_SeqLib[[#This Row],[Column]]),1),"")</f>
        <v/>
      </c>
      <c r="Q16" s="44" t="str" cm="1">
        <f t="array" ref="Q16">_xlfn.XLOOKUP(0,ABS(tbl_SeqLib[[#This Row],[Min for col]:[Avg for col]]-tbl_SeqLib[[#This Row],[Exact]]),tbl_SeqLib[[#This Row],[Min for col]:[Avg for col]],"",1)</f>
        <v/>
      </c>
      <c r="R16" s="44" t="str" cm="1">
        <f t="array" ref="R16">_xlfn.XLOOKUP(0,ABS(tbl_SeqLib[[#This Row],[Max for col]:[Avg for col]]-tbl_SeqLib[[#This Row],[Exact]]),tbl_SeqLib[[#This Row],[Max for col]:[Avg for col]],"",1)</f>
        <v/>
      </c>
      <c r="S16" s="44" t="str">
        <f>IF(tbl_SeqLib[[#This Row],[entry]]=2,tbl_SeqLib[[#This Row],[Max for col]],"")</f>
        <v/>
      </c>
      <c r="T16" s="44" t="str">
        <f>IF(tbl_SeqLib[[#This Row],[entry]]=2,tbl_SeqLib[[#This Row],[Avg for col]],"")</f>
        <v/>
      </c>
      <c r="U16" s="44" t="str">
        <f>IF(tbl_SeqLib[[#This Row],[entry]]=2,AVERAGE(tbl_SeqLib[Exact]),"")</f>
        <v/>
      </c>
      <c r="V16" s="44" t="str">
        <f>IF(tbl_SeqLib[[#This Row],[entry]]=2,MAX(tbl_SeqLib[Exact]),"")</f>
        <v/>
      </c>
      <c r="W16" s="44" t="str" cm="1">
        <f t="array" ref="W16">_xlfn.XLOOKUP(0,ABS(tbl_SeqLib[[#This Row],[Avg per plate]:[Max per plate]]-tbl_SeqLib[[#This Row],[Exact]]),tbl_SeqLib[[#This Row],[Avg per plate]:[Max per plate]],,1)</f>
        <v/>
      </c>
      <c r="X1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6" s="85" t="str">
        <f>IF(tbl_SeqLib[[#This Row],[entry]]=1,ROUNDUP(AVERAGE(tbl_SeqLib[Exact]),1),"")</f>
        <v/>
      </c>
      <c r="Z16" s="85" t="str">
        <f>IF(tbl_SeqLib[[#This Row],[entry]]=1,ROUNDUP(AVERAGEIFS(tbl_SeqLib[Exact],tbl_SeqLib[Column],tbl_SeqLib[[#This Row],[Column]]),1),"")</f>
        <v/>
      </c>
      <c r="AA16" s="44" t="str">
        <f>IF(missing_qc_resolution=reference!$E$34,tbl_SeqLib[[#This Row],[Avg per col (missing)]],tbl_SeqLib[[#This Row],[Avg per plate (missing)]])</f>
        <v/>
      </c>
      <c r="AB16" s="44" t="str">
        <f>IF(tbl_SeqLib[[#This Row],[entry]]=0,"",IF(tbl_SeqLib[[#This Row],[entry]]=1,tbl_SeqLib[[#This Row],[Not quantified]],IF(tbl_SeqLib[[#This Row],[entry]]=2,tbl_SeqLib[[#This Row],[Quantified]])))</f>
        <v/>
      </c>
      <c r="AC16" s="137"/>
      <c r="AD1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6" s="60" t="str">
        <f>IF(ISBLANK(tbl_SeqLib[[#This Row],[sWGA Identifier]]),"",CONCATENATE(exp_id,"_",tbl_SeqLib[[#This Row],[Well]]))</f>
        <v/>
      </c>
    </row>
    <row r="17" spans="1:31" ht="15.75" customHeight="1" x14ac:dyDescent="0.25">
      <c r="A17" s="59">
        <v>15</v>
      </c>
      <c r="B17" s="46" t="str">
        <f>RIGHT(tbl_SeqLib[[#This Row],[Well]],LEN(tbl_SeqLib[[#This Row],[Well]])-1)</f>
        <v>2</v>
      </c>
      <c r="C17" s="46" t="s">
        <v>113</v>
      </c>
      <c r="D17" s="19"/>
      <c r="E17" s="21"/>
      <c r="F17" s="31"/>
      <c r="G17" s="19"/>
      <c r="H17" s="31"/>
      <c r="I17" s="19"/>
      <c r="J1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7" s="32" t="s">
        <v>114</v>
      </c>
      <c r="L17" s="85">
        <f>IF(OR(ISBLANK(tbl_SeqLib[[#This Row],[Sample ID]]),ISBLANK(endrepair_targetmass)),0,IF(LEN(tbl_SeqLib[[#This Row],[PCR '[DNA'] (ng / µl)]])=0,1,2))</f>
        <v>0</v>
      </c>
      <c r="M1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7" s="44" t="str">
        <f>IF(tbl_SeqLib[[#This Row],[entry]]=2,ROUNDUP(_xlfn.MINIFS(tbl_SeqLib[Exact],tbl_SeqLib[Column],tbl_SeqLib[[#This Row],[Column]]),1),"")</f>
        <v/>
      </c>
      <c r="O17" s="44" t="str">
        <f>IF(tbl_SeqLib[[#This Row],[entry]]=2,ROUNDDOWN(_xlfn.MAXIFS(tbl_SeqLib[Exact],tbl_SeqLib[Column],tbl_SeqLib[[#This Row],[Column]]),1),"")</f>
        <v/>
      </c>
      <c r="P17" s="44" t="str">
        <f>IF(tbl_SeqLib[[#This Row],[entry]]=2,ROUNDUP(AVERAGEIFS(tbl_SeqLib[Exact],tbl_SeqLib[Column],tbl_SeqLib[[#This Row],[Column]]),1),"")</f>
        <v/>
      </c>
      <c r="Q17" s="44" t="str" cm="1">
        <f t="array" ref="Q17">_xlfn.XLOOKUP(0,ABS(tbl_SeqLib[[#This Row],[Min for col]:[Avg for col]]-tbl_SeqLib[[#This Row],[Exact]]),tbl_SeqLib[[#This Row],[Min for col]:[Avg for col]],"",1)</f>
        <v/>
      </c>
      <c r="R17" s="44" t="str" cm="1">
        <f t="array" ref="R17">_xlfn.XLOOKUP(0,ABS(tbl_SeqLib[[#This Row],[Max for col]:[Avg for col]]-tbl_SeqLib[[#This Row],[Exact]]),tbl_SeqLib[[#This Row],[Max for col]:[Avg for col]],"",1)</f>
        <v/>
      </c>
      <c r="S17" s="44" t="str">
        <f>IF(tbl_SeqLib[[#This Row],[entry]]=2,tbl_SeqLib[[#This Row],[Max for col]],"")</f>
        <v/>
      </c>
      <c r="T17" s="44" t="str">
        <f>IF(tbl_SeqLib[[#This Row],[entry]]=2,tbl_SeqLib[[#This Row],[Avg for col]],"")</f>
        <v/>
      </c>
      <c r="U17" s="44" t="str">
        <f>IF(tbl_SeqLib[[#This Row],[entry]]=2,AVERAGE(tbl_SeqLib[Exact]),"")</f>
        <v/>
      </c>
      <c r="V17" s="44" t="str">
        <f>IF(tbl_SeqLib[[#This Row],[entry]]=2,MAX(tbl_SeqLib[Exact]),"")</f>
        <v/>
      </c>
      <c r="W17" s="44" t="str" cm="1">
        <f t="array" ref="W17">_xlfn.XLOOKUP(0,ABS(tbl_SeqLib[[#This Row],[Avg per plate]:[Max per plate]]-tbl_SeqLib[[#This Row],[Exact]]),tbl_SeqLib[[#This Row],[Avg per plate]:[Max per plate]],,1)</f>
        <v/>
      </c>
      <c r="X1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7" s="85" t="str">
        <f>IF(tbl_SeqLib[[#This Row],[entry]]=1,ROUNDUP(AVERAGE(tbl_SeqLib[Exact]),1),"")</f>
        <v/>
      </c>
      <c r="Z17" s="85" t="str">
        <f>IF(tbl_SeqLib[[#This Row],[entry]]=1,ROUNDUP(AVERAGEIFS(tbl_SeqLib[Exact],tbl_SeqLib[Column],tbl_SeqLib[[#This Row],[Column]]),1),"")</f>
        <v/>
      </c>
      <c r="AA17" s="44" t="str">
        <f>IF(missing_qc_resolution=reference!$E$34,tbl_SeqLib[[#This Row],[Avg per col (missing)]],tbl_SeqLib[[#This Row],[Avg per plate (missing)]])</f>
        <v/>
      </c>
      <c r="AB17" s="44" t="str">
        <f>IF(tbl_SeqLib[[#This Row],[entry]]=0,"",IF(tbl_SeqLib[[#This Row],[entry]]=1,tbl_SeqLib[[#This Row],[Not quantified]],IF(tbl_SeqLib[[#This Row],[entry]]=2,tbl_SeqLib[[#This Row],[Quantified]])))</f>
        <v/>
      </c>
      <c r="AC17" s="137"/>
      <c r="AD1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7" s="60" t="str">
        <f>IF(ISBLANK(tbl_SeqLib[[#This Row],[sWGA Identifier]]),"",CONCATENATE(exp_id,"_",tbl_SeqLib[[#This Row],[Well]]))</f>
        <v/>
      </c>
    </row>
    <row r="18" spans="1:31" ht="15.75" customHeight="1" thickBot="1" x14ac:dyDescent="0.3">
      <c r="A18" s="61">
        <v>16</v>
      </c>
      <c r="B18" s="62" t="str">
        <f>RIGHT(tbl_SeqLib[[#This Row],[Well]],LEN(tbl_SeqLib[[#This Row],[Well]])-1)</f>
        <v>2</v>
      </c>
      <c r="C18" s="62" t="s">
        <v>115</v>
      </c>
      <c r="D18" s="63"/>
      <c r="E18" s="64"/>
      <c r="F18" s="65"/>
      <c r="G18" s="63"/>
      <c r="H18" s="65"/>
      <c r="I18" s="65"/>
      <c r="J1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8" s="67" t="s">
        <v>116</v>
      </c>
      <c r="L18" s="86">
        <f>IF(OR(ISBLANK(tbl_SeqLib[[#This Row],[Sample ID]]),ISBLANK(endrepair_targetmass)),0,IF(LEN(tbl_SeqLib[[#This Row],[PCR '[DNA'] (ng / µl)]])=0,1,2))</f>
        <v>0</v>
      </c>
      <c r="M1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8" s="68" t="str">
        <f>IF(tbl_SeqLib[[#This Row],[entry]]=2,ROUNDUP(_xlfn.MINIFS(tbl_SeqLib[Exact],tbl_SeqLib[Column],tbl_SeqLib[[#This Row],[Column]]),1),"")</f>
        <v/>
      </c>
      <c r="O18" s="68" t="str">
        <f>IF(tbl_SeqLib[[#This Row],[entry]]=2,ROUNDDOWN(_xlfn.MAXIFS(tbl_SeqLib[Exact],tbl_SeqLib[Column],tbl_SeqLib[[#This Row],[Column]]),1),"")</f>
        <v/>
      </c>
      <c r="P18" s="68" t="str">
        <f>IF(tbl_SeqLib[[#This Row],[entry]]=2,ROUNDUP(AVERAGEIFS(tbl_SeqLib[Exact],tbl_SeqLib[Column],tbl_SeqLib[[#This Row],[Column]]),1),"")</f>
        <v/>
      </c>
      <c r="Q18" s="68" t="str" cm="1">
        <f t="array" ref="Q18">_xlfn.XLOOKUP(0,ABS(tbl_SeqLib[[#This Row],[Min for col]:[Avg for col]]-tbl_SeqLib[[#This Row],[Exact]]),tbl_SeqLib[[#This Row],[Min for col]:[Avg for col]],"",1)</f>
        <v/>
      </c>
      <c r="R18" s="68" t="str" cm="1">
        <f t="array" ref="R18">_xlfn.XLOOKUP(0,ABS(tbl_SeqLib[[#This Row],[Max for col]:[Avg for col]]-tbl_SeqLib[[#This Row],[Exact]]),tbl_SeqLib[[#This Row],[Max for col]:[Avg for col]],"",1)</f>
        <v/>
      </c>
      <c r="S18" s="68" t="str">
        <f>IF(tbl_SeqLib[[#This Row],[entry]]=2,tbl_SeqLib[[#This Row],[Max for col]],"")</f>
        <v/>
      </c>
      <c r="T18" s="68" t="str">
        <f>IF(tbl_SeqLib[[#This Row],[entry]]=2,tbl_SeqLib[[#This Row],[Avg for col]],"")</f>
        <v/>
      </c>
      <c r="U18" s="68" t="str">
        <f>IF(tbl_SeqLib[[#This Row],[entry]]=2,AVERAGE(tbl_SeqLib[Exact]),"")</f>
        <v/>
      </c>
      <c r="V18" s="68" t="str">
        <f>IF(tbl_SeqLib[[#This Row],[entry]]=2,MAX(tbl_SeqLib[Exact]),"")</f>
        <v/>
      </c>
      <c r="W18" s="68" t="str" cm="1">
        <f t="array" ref="W18">_xlfn.XLOOKUP(0,ABS(tbl_SeqLib[[#This Row],[Avg per plate]:[Max per plate]]-tbl_SeqLib[[#This Row],[Exact]]),tbl_SeqLib[[#This Row],[Avg per plate]:[Max per plate]],,1)</f>
        <v/>
      </c>
      <c r="X1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8" s="86" t="str">
        <f>IF(tbl_SeqLib[[#This Row],[entry]]=1,ROUNDUP(AVERAGE(tbl_SeqLib[Exact]),1),"")</f>
        <v/>
      </c>
      <c r="Z18" s="86" t="str">
        <f>IF(tbl_SeqLib[[#This Row],[entry]]=1,ROUNDUP(AVERAGEIFS(tbl_SeqLib[Exact],tbl_SeqLib[Column],tbl_SeqLib[[#This Row],[Column]]),1),"")</f>
        <v/>
      </c>
      <c r="AA18" s="68" t="str">
        <f>IF(missing_qc_resolution=reference!$E$34,tbl_SeqLib[[#This Row],[Avg per col (missing)]],tbl_SeqLib[[#This Row],[Avg per plate (missing)]])</f>
        <v/>
      </c>
      <c r="AB18" s="68" t="str">
        <f>IF(tbl_SeqLib[[#This Row],[entry]]=0,"",IF(tbl_SeqLib[[#This Row],[entry]]=1,tbl_SeqLib[[#This Row],[Not quantified]],IF(tbl_SeqLib[[#This Row],[entry]]=2,tbl_SeqLib[[#This Row],[Quantified]])))</f>
        <v/>
      </c>
      <c r="AC18" s="138"/>
      <c r="AD1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8" s="69" t="str">
        <f>IF(ISBLANK(tbl_SeqLib[[#This Row],[sWGA Identifier]]),"",CONCATENATE(exp_id,"_",tbl_SeqLib[[#This Row],[Well]]))</f>
        <v/>
      </c>
    </row>
    <row r="19" spans="1:31" ht="15.75" customHeight="1" x14ac:dyDescent="0.25">
      <c r="A19" s="50">
        <v>17</v>
      </c>
      <c r="B19" s="51" t="str">
        <f>RIGHT(tbl_SeqLib[[#This Row],[Well]],LEN(tbl_SeqLib[[#This Row],[Well]])-1)</f>
        <v>3</v>
      </c>
      <c r="C19" s="51" t="s">
        <v>117</v>
      </c>
      <c r="D19" s="52"/>
      <c r="E19" s="56"/>
      <c r="F19" s="52"/>
      <c r="G19" s="52"/>
      <c r="H19" s="52"/>
      <c r="I19" s="52"/>
      <c r="J1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19" s="56" t="s">
        <v>118</v>
      </c>
      <c r="L19" s="84">
        <f>IF(OR(ISBLANK(tbl_SeqLib[[#This Row],[Sample ID]]),ISBLANK(endrepair_targetmass)),0,IF(LEN(tbl_SeqLib[[#This Row],[PCR '[DNA'] (ng / µl)]])=0,1,2))</f>
        <v>0</v>
      </c>
      <c r="M1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19" s="57" t="str">
        <f>IF(tbl_SeqLib[[#This Row],[entry]]=2,ROUNDUP(_xlfn.MINIFS(tbl_SeqLib[Exact],tbl_SeqLib[Column],tbl_SeqLib[[#This Row],[Column]]),1),"")</f>
        <v/>
      </c>
      <c r="O19" s="57" t="str">
        <f>IF(tbl_SeqLib[[#This Row],[entry]]=2,ROUNDDOWN(_xlfn.MAXIFS(tbl_SeqLib[Exact],tbl_SeqLib[Column],tbl_SeqLib[[#This Row],[Column]]),1),"")</f>
        <v/>
      </c>
      <c r="P19" s="57" t="str">
        <f>IF(tbl_SeqLib[[#This Row],[entry]]=2,ROUNDUP(AVERAGEIFS(tbl_SeqLib[Exact],tbl_SeqLib[Column],tbl_SeqLib[[#This Row],[Column]]),1),"")</f>
        <v/>
      </c>
      <c r="Q19" s="57" t="str" cm="1">
        <f t="array" ref="Q19">_xlfn.XLOOKUP(0,ABS(tbl_SeqLib[[#This Row],[Min for col]:[Avg for col]]-tbl_SeqLib[[#This Row],[Exact]]),tbl_SeqLib[[#This Row],[Min for col]:[Avg for col]],"",1)</f>
        <v/>
      </c>
      <c r="R19" s="57" t="str" cm="1">
        <f t="array" ref="R19">_xlfn.XLOOKUP(0,ABS(tbl_SeqLib[[#This Row],[Max for col]:[Avg for col]]-tbl_SeqLib[[#This Row],[Exact]]),tbl_SeqLib[[#This Row],[Max for col]:[Avg for col]],"",1)</f>
        <v/>
      </c>
      <c r="S19" s="57" t="str">
        <f>IF(tbl_SeqLib[[#This Row],[entry]]=2,tbl_SeqLib[[#This Row],[Max for col]],"")</f>
        <v/>
      </c>
      <c r="T19" s="57" t="str">
        <f>IF(tbl_SeqLib[[#This Row],[entry]]=2,tbl_SeqLib[[#This Row],[Avg for col]],"")</f>
        <v/>
      </c>
      <c r="U19" s="57" t="str">
        <f>IF(tbl_SeqLib[[#This Row],[entry]]=2,AVERAGE(tbl_SeqLib[Exact]),"")</f>
        <v/>
      </c>
      <c r="V19" s="57" t="str">
        <f>IF(tbl_SeqLib[[#This Row],[entry]]=2,MAX(tbl_SeqLib[Exact]),"")</f>
        <v/>
      </c>
      <c r="W19" s="57" t="str" cm="1">
        <f t="array" ref="W19">_xlfn.XLOOKUP(0,ABS(tbl_SeqLib[[#This Row],[Avg per plate]:[Max per plate]]-tbl_SeqLib[[#This Row],[Exact]]),tbl_SeqLib[[#This Row],[Avg per plate]:[Max per plate]],,1)</f>
        <v/>
      </c>
      <c r="X1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19" s="84" t="str">
        <f>IF(tbl_SeqLib[[#This Row],[entry]]=1,ROUNDUP(AVERAGE(tbl_SeqLib[Exact]),1),"")</f>
        <v/>
      </c>
      <c r="Z19" s="84" t="str">
        <f>IF(tbl_SeqLib[[#This Row],[entry]]=1,ROUNDUP(AVERAGEIFS(tbl_SeqLib[Exact],tbl_SeqLib[Column],tbl_SeqLib[[#This Row],[Column]]),1),"")</f>
        <v/>
      </c>
      <c r="AA19" s="57" t="str">
        <f>IF(missing_qc_resolution=reference!$E$34,tbl_SeqLib[[#This Row],[Avg per col (missing)]],tbl_SeqLib[[#This Row],[Avg per plate (missing)]])</f>
        <v/>
      </c>
      <c r="AB19" s="57" t="str">
        <f>IF(tbl_SeqLib[[#This Row],[entry]]=0,"",IF(tbl_SeqLib[[#This Row],[entry]]=1,tbl_SeqLib[[#This Row],[Not quantified]],IF(tbl_SeqLib[[#This Row],[entry]]=2,tbl_SeqLib[[#This Row],[Quantified]])))</f>
        <v/>
      </c>
      <c r="AC19" s="136"/>
      <c r="AD1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19" s="58" t="str">
        <f>IF(ISBLANK(tbl_SeqLib[[#This Row],[sWGA Identifier]]),"",CONCATENATE(exp_id,"_",tbl_SeqLib[[#This Row],[Well]]))</f>
        <v/>
      </c>
    </row>
    <row r="20" spans="1:31" ht="15.75" customHeight="1" x14ac:dyDescent="0.25">
      <c r="A20" s="59">
        <v>18</v>
      </c>
      <c r="B20" s="46" t="str">
        <f>RIGHT(tbl_SeqLib[[#This Row],[Well]],LEN(tbl_SeqLib[[#This Row],[Well]])-1)</f>
        <v>3</v>
      </c>
      <c r="C20" s="46" t="s">
        <v>119</v>
      </c>
      <c r="D20" s="19"/>
      <c r="E20" s="21"/>
      <c r="F20" s="31"/>
      <c r="G20" s="19"/>
      <c r="H20" s="31"/>
      <c r="I20" s="31"/>
      <c r="J2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0" s="32" t="s">
        <v>120</v>
      </c>
      <c r="L20" s="85">
        <f>IF(OR(ISBLANK(tbl_SeqLib[[#This Row],[Sample ID]]),ISBLANK(endrepair_targetmass)),0,IF(LEN(tbl_SeqLib[[#This Row],[PCR '[DNA'] (ng / µl)]])=0,1,2))</f>
        <v>0</v>
      </c>
      <c r="M2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0" s="44" t="str">
        <f>IF(tbl_SeqLib[[#This Row],[entry]]=2,ROUNDUP(_xlfn.MINIFS(tbl_SeqLib[Exact],tbl_SeqLib[Column],tbl_SeqLib[[#This Row],[Column]]),1),"")</f>
        <v/>
      </c>
      <c r="O20" s="44" t="str">
        <f>IF(tbl_SeqLib[[#This Row],[entry]]=2,ROUNDDOWN(_xlfn.MAXIFS(tbl_SeqLib[Exact],tbl_SeqLib[Column],tbl_SeqLib[[#This Row],[Column]]),1),"")</f>
        <v/>
      </c>
      <c r="P20" s="44" t="str">
        <f>IF(tbl_SeqLib[[#This Row],[entry]]=2,ROUNDUP(AVERAGEIFS(tbl_SeqLib[Exact],tbl_SeqLib[Column],tbl_SeqLib[[#This Row],[Column]]),1),"")</f>
        <v/>
      </c>
      <c r="Q20" s="44" t="str" cm="1">
        <f t="array" ref="Q20">_xlfn.XLOOKUP(0,ABS(tbl_SeqLib[[#This Row],[Min for col]:[Avg for col]]-tbl_SeqLib[[#This Row],[Exact]]),tbl_SeqLib[[#This Row],[Min for col]:[Avg for col]],"",1)</f>
        <v/>
      </c>
      <c r="R20" s="44" t="str" cm="1">
        <f t="array" ref="R20">_xlfn.XLOOKUP(0,ABS(tbl_SeqLib[[#This Row],[Max for col]:[Avg for col]]-tbl_SeqLib[[#This Row],[Exact]]),tbl_SeqLib[[#This Row],[Max for col]:[Avg for col]],"",1)</f>
        <v/>
      </c>
      <c r="S20" s="44" t="str">
        <f>IF(tbl_SeqLib[[#This Row],[entry]]=2,tbl_SeqLib[[#This Row],[Max for col]],"")</f>
        <v/>
      </c>
      <c r="T20" s="44" t="str">
        <f>IF(tbl_SeqLib[[#This Row],[entry]]=2,tbl_SeqLib[[#This Row],[Avg for col]],"")</f>
        <v/>
      </c>
      <c r="U20" s="44" t="str">
        <f>IF(tbl_SeqLib[[#This Row],[entry]]=2,AVERAGE(tbl_SeqLib[Exact]),"")</f>
        <v/>
      </c>
      <c r="V20" s="44" t="str">
        <f>IF(tbl_SeqLib[[#This Row],[entry]]=2,MAX(tbl_SeqLib[Exact]),"")</f>
        <v/>
      </c>
      <c r="W20" s="44" t="str" cm="1">
        <f t="array" ref="W20">_xlfn.XLOOKUP(0,ABS(tbl_SeqLib[[#This Row],[Avg per plate]:[Max per plate]]-tbl_SeqLib[[#This Row],[Exact]]),tbl_SeqLib[[#This Row],[Avg per plate]:[Max per plate]],,1)</f>
        <v/>
      </c>
      <c r="X2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0" s="85" t="str">
        <f>IF(tbl_SeqLib[[#This Row],[entry]]=1,ROUNDUP(AVERAGE(tbl_SeqLib[Exact]),1),"")</f>
        <v/>
      </c>
      <c r="Z20" s="85" t="str">
        <f>IF(tbl_SeqLib[[#This Row],[entry]]=1,ROUNDUP(AVERAGEIFS(tbl_SeqLib[Exact],tbl_SeqLib[Column],tbl_SeqLib[[#This Row],[Column]]),1),"")</f>
        <v/>
      </c>
      <c r="AA20" s="44" t="str">
        <f>IF(missing_qc_resolution=reference!$E$34,tbl_SeqLib[[#This Row],[Avg per col (missing)]],tbl_SeqLib[[#This Row],[Avg per plate (missing)]])</f>
        <v/>
      </c>
      <c r="AB20" s="44" t="str">
        <f>IF(tbl_SeqLib[[#This Row],[entry]]=0,"",IF(tbl_SeqLib[[#This Row],[entry]]=1,tbl_SeqLib[[#This Row],[Not quantified]],IF(tbl_SeqLib[[#This Row],[entry]]=2,tbl_SeqLib[[#This Row],[Quantified]])))</f>
        <v/>
      </c>
      <c r="AC20" s="137"/>
      <c r="AD2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0" s="60" t="str">
        <f>IF(ISBLANK(tbl_SeqLib[[#This Row],[sWGA Identifier]]),"",CONCATENATE(exp_id,"_",tbl_SeqLib[[#This Row],[Well]]))</f>
        <v/>
      </c>
    </row>
    <row r="21" spans="1:31" ht="15.75" customHeight="1" x14ac:dyDescent="0.25">
      <c r="A21" s="59">
        <v>19</v>
      </c>
      <c r="B21" s="46" t="str">
        <f>RIGHT(tbl_SeqLib[[#This Row],[Well]],LEN(tbl_SeqLib[[#This Row],[Well]])-1)</f>
        <v>3</v>
      </c>
      <c r="C21" s="46" t="s">
        <v>121</v>
      </c>
      <c r="D21" s="19"/>
      <c r="E21" s="21"/>
      <c r="F21" s="31"/>
      <c r="G21" s="19"/>
      <c r="H21" s="31"/>
      <c r="I21" s="31"/>
      <c r="J2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1" s="32" t="s">
        <v>122</v>
      </c>
      <c r="L21" s="85">
        <f>IF(OR(ISBLANK(tbl_SeqLib[[#This Row],[Sample ID]]),ISBLANK(endrepair_targetmass)),0,IF(LEN(tbl_SeqLib[[#This Row],[PCR '[DNA'] (ng / µl)]])=0,1,2))</f>
        <v>0</v>
      </c>
      <c r="M2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1" s="44" t="str">
        <f>IF(tbl_SeqLib[[#This Row],[entry]]=2,ROUNDUP(_xlfn.MINIFS(tbl_SeqLib[Exact],tbl_SeqLib[Column],tbl_SeqLib[[#This Row],[Column]]),1),"")</f>
        <v/>
      </c>
      <c r="O21" s="44" t="str">
        <f>IF(tbl_SeqLib[[#This Row],[entry]]=2,ROUNDDOWN(_xlfn.MAXIFS(tbl_SeqLib[Exact],tbl_SeqLib[Column],tbl_SeqLib[[#This Row],[Column]]),1),"")</f>
        <v/>
      </c>
      <c r="P21" s="44" t="str">
        <f>IF(tbl_SeqLib[[#This Row],[entry]]=2,ROUNDUP(AVERAGEIFS(tbl_SeqLib[Exact],tbl_SeqLib[Column],tbl_SeqLib[[#This Row],[Column]]),1),"")</f>
        <v/>
      </c>
      <c r="Q21" s="44" t="str" cm="1">
        <f t="array" ref="Q21">_xlfn.XLOOKUP(0,ABS(tbl_SeqLib[[#This Row],[Min for col]:[Avg for col]]-tbl_SeqLib[[#This Row],[Exact]]),tbl_SeqLib[[#This Row],[Min for col]:[Avg for col]],"",1)</f>
        <v/>
      </c>
      <c r="R21" s="44" t="str" cm="1">
        <f t="array" ref="R21">_xlfn.XLOOKUP(0,ABS(tbl_SeqLib[[#This Row],[Max for col]:[Avg for col]]-tbl_SeqLib[[#This Row],[Exact]]),tbl_SeqLib[[#This Row],[Max for col]:[Avg for col]],"",1)</f>
        <v/>
      </c>
      <c r="S21" s="44" t="str">
        <f>IF(tbl_SeqLib[[#This Row],[entry]]=2,tbl_SeqLib[[#This Row],[Max for col]],"")</f>
        <v/>
      </c>
      <c r="T21" s="44" t="str">
        <f>IF(tbl_SeqLib[[#This Row],[entry]]=2,tbl_SeqLib[[#This Row],[Avg for col]],"")</f>
        <v/>
      </c>
      <c r="U21" s="44" t="str">
        <f>IF(tbl_SeqLib[[#This Row],[entry]]=2,AVERAGE(tbl_SeqLib[Exact]),"")</f>
        <v/>
      </c>
      <c r="V21" s="44" t="str">
        <f>IF(tbl_SeqLib[[#This Row],[entry]]=2,MAX(tbl_SeqLib[Exact]),"")</f>
        <v/>
      </c>
      <c r="W21" s="44" t="str" cm="1">
        <f t="array" ref="W21">_xlfn.XLOOKUP(0,ABS(tbl_SeqLib[[#This Row],[Avg per plate]:[Max per plate]]-tbl_SeqLib[[#This Row],[Exact]]),tbl_SeqLib[[#This Row],[Avg per plate]:[Max per plate]],,1)</f>
        <v/>
      </c>
      <c r="X2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1" s="85" t="str">
        <f>IF(tbl_SeqLib[[#This Row],[entry]]=1,ROUNDUP(AVERAGE(tbl_SeqLib[Exact]),1),"")</f>
        <v/>
      </c>
      <c r="Z21" s="85" t="str">
        <f>IF(tbl_SeqLib[[#This Row],[entry]]=1,ROUNDUP(AVERAGEIFS(tbl_SeqLib[Exact],tbl_SeqLib[Column],tbl_SeqLib[[#This Row],[Column]]),1),"")</f>
        <v/>
      </c>
      <c r="AA21" s="44" t="str">
        <f>IF(missing_qc_resolution=reference!$E$34,tbl_SeqLib[[#This Row],[Avg per col (missing)]],tbl_SeqLib[[#This Row],[Avg per plate (missing)]])</f>
        <v/>
      </c>
      <c r="AB21" s="44" t="str">
        <f>IF(tbl_SeqLib[[#This Row],[entry]]=0,"",IF(tbl_SeqLib[[#This Row],[entry]]=1,tbl_SeqLib[[#This Row],[Not quantified]],IF(tbl_SeqLib[[#This Row],[entry]]=2,tbl_SeqLib[[#This Row],[Quantified]])))</f>
        <v/>
      </c>
      <c r="AC21" s="137"/>
      <c r="AD2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1" s="60" t="str">
        <f>IF(ISBLANK(tbl_SeqLib[[#This Row],[sWGA Identifier]]),"",CONCATENATE(exp_id,"_",tbl_SeqLib[[#This Row],[Well]]))</f>
        <v/>
      </c>
    </row>
    <row r="22" spans="1:31" ht="15.75" customHeight="1" x14ac:dyDescent="0.25">
      <c r="A22" s="59">
        <v>20</v>
      </c>
      <c r="B22" s="46" t="str">
        <f>RIGHT(tbl_SeqLib[[#This Row],[Well]],LEN(tbl_SeqLib[[#This Row],[Well]])-1)</f>
        <v>3</v>
      </c>
      <c r="C22" s="45" t="s">
        <v>123</v>
      </c>
      <c r="D22" s="19"/>
      <c r="E22" s="21"/>
      <c r="F22" s="31"/>
      <c r="G22" s="19"/>
      <c r="H22" s="31"/>
      <c r="I22" s="31"/>
      <c r="J2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2" s="32" t="s">
        <v>124</v>
      </c>
      <c r="L22" s="85">
        <f>IF(OR(ISBLANK(tbl_SeqLib[[#This Row],[Sample ID]]),ISBLANK(endrepair_targetmass)),0,IF(LEN(tbl_SeqLib[[#This Row],[PCR '[DNA'] (ng / µl)]])=0,1,2))</f>
        <v>0</v>
      </c>
      <c r="M2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2" s="44" t="str">
        <f>IF(tbl_SeqLib[[#This Row],[entry]]=2,ROUNDUP(_xlfn.MINIFS(tbl_SeqLib[Exact],tbl_SeqLib[Column],tbl_SeqLib[[#This Row],[Column]]),1),"")</f>
        <v/>
      </c>
      <c r="O22" s="44" t="str">
        <f>IF(tbl_SeqLib[[#This Row],[entry]]=2,ROUNDDOWN(_xlfn.MAXIFS(tbl_SeqLib[Exact],tbl_SeqLib[Column],tbl_SeqLib[[#This Row],[Column]]),1),"")</f>
        <v/>
      </c>
      <c r="P22" s="44" t="str">
        <f>IF(tbl_SeqLib[[#This Row],[entry]]=2,ROUNDUP(AVERAGEIFS(tbl_SeqLib[Exact],tbl_SeqLib[Column],tbl_SeqLib[[#This Row],[Column]]),1),"")</f>
        <v/>
      </c>
      <c r="Q22" s="44" t="str" cm="1">
        <f t="array" ref="Q22">_xlfn.XLOOKUP(0,ABS(tbl_SeqLib[[#This Row],[Min for col]:[Avg for col]]-tbl_SeqLib[[#This Row],[Exact]]),tbl_SeqLib[[#This Row],[Min for col]:[Avg for col]],"",1)</f>
        <v/>
      </c>
      <c r="R22" s="44" t="str" cm="1">
        <f t="array" ref="R22">_xlfn.XLOOKUP(0,ABS(tbl_SeqLib[[#This Row],[Max for col]:[Avg for col]]-tbl_SeqLib[[#This Row],[Exact]]),tbl_SeqLib[[#This Row],[Max for col]:[Avg for col]],"",1)</f>
        <v/>
      </c>
      <c r="S22" s="44" t="str">
        <f>IF(tbl_SeqLib[[#This Row],[entry]]=2,tbl_SeqLib[[#This Row],[Max for col]],"")</f>
        <v/>
      </c>
      <c r="T22" s="44" t="str">
        <f>IF(tbl_SeqLib[[#This Row],[entry]]=2,tbl_SeqLib[[#This Row],[Avg for col]],"")</f>
        <v/>
      </c>
      <c r="U22" s="44" t="str">
        <f>IF(tbl_SeqLib[[#This Row],[entry]]=2,AVERAGE(tbl_SeqLib[Exact]),"")</f>
        <v/>
      </c>
      <c r="V22" s="44" t="str">
        <f>IF(tbl_SeqLib[[#This Row],[entry]]=2,MAX(tbl_SeqLib[Exact]),"")</f>
        <v/>
      </c>
      <c r="W22" s="44" t="str" cm="1">
        <f t="array" ref="W22">_xlfn.XLOOKUP(0,ABS(tbl_SeqLib[[#This Row],[Avg per plate]:[Max per plate]]-tbl_SeqLib[[#This Row],[Exact]]),tbl_SeqLib[[#This Row],[Avg per plate]:[Max per plate]],,1)</f>
        <v/>
      </c>
      <c r="X2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2" s="85" t="str">
        <f>IF(tbl_SeqLib[[#This Row],[entry]]=1,ROUNDUP(AVERAGE(tbl_SeqLib[Exact]),1),"")</f>
        <v/>
      </c>
      <c r="Z22" s="85" t="str">
        <f>IF(tbl_SeqLib[[#This Row],[entry]]=1,ROUNDUP(AVERAGEIFS(tbl_SeqLib[Exact],tbl_SeqLib[Column],tbl_SeqLib[[#This Row],[Column]]),1),"")</f>
        <v/>
      </c>
      <c r="AA22" s="44" t="str">
        <f>IF(missing_qc_resolution=reference!$E$34,tbl_SeqLib[[#This Row],[Avg per col (missing)]],tbl_SeqLib[[#This Row],[Avg per plate (missing)]])</f>
        <v/>
      </c>
      <c r="AB22" s="44" t="str">
        <f>IF(tbl_SeqLib[[#This Row],[entry]]=0,"",IF(tbl_SeqLib[[#This Row],[entry]]=1,tbl_SeqLib[[#This Row],[Not quantified]],IF(tbl_SeqLib[[#This Row],[entry]]=2,tbl_SeqLib[[#This Row],[Quantified]])))</f>
        <v/>
      </c>
      <c r="AC22" s="137"/>
      <c r="AD2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2" s="60" t="str">
        <f>IF(ISBLANK(tbl_SeqLib[[#This Row],[sWGA Identifier]]),"",CONCATENATE(exp_id,"_",tbl_SeqLib[[#This Row],[Well]]))</f>
        <v/>
      </c>
    </row>
    <row r="23" spans="1:31" ht="15.75" customHeight="1" x14ac:dyDescent="0.25">
      <c r="A23" s="59">
        <v>21</v>
      </c>
      <c r="B23" s="46" t="str">
        <f>RIGHT(tbl_SeqLib[[#This Row],[Well]],LEN(tbl_SeqLib[[#This Row],[Well]])-1)</f>
        <v>3</v>
      </c>
      <c r="C23" s="45" t="s">
        <v>125</v>
      </c>
      <c r="D23" s="19"/>
      <c r="E23" s="21"/>
      <c r="F23" s="31"/>
      <c r="G23" s="19"/>
      <c r="H23" s="31"/>
      <c r="I23" s="31"/>
      <c r="J2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3" s="32" t="s">
        <v>126</v>
      </c>
      <c r="L23" s="85">
        <f>IF(OR(ISBLANK(tbl_SeqLib[[#This Row],[Sample ID]]),ISBLANK(endrepair_targetmass)),0,IF(LEN(tbl_SeqLib[[#This Row],[PCR '[DNA'] (ng / µl)]])=0,1,2))</f>
        <v>0</v>
      </c>
      <c r="M2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3" s="44" t="str">
        <f>IF(tbl_SeqLib[[#This Row],[entry]]=2,ROUNDUP(_xlfn.MINIFS(tbl_SeqLib[Exact],tbl_SeqLib[Column],tbl_SeqLib[[#This Row],[Column]]),1),"")</f>
        <v/>
      </c>
      <c r="O23" s="44" t="str">
        <f>IF(tbl_SeqLib[[#This Row],[entry]]=2,ROUNDDOWN(_xlfn.MAXIFS(tbl_SeqLib[Exact],tbl_SeqLib[Column],tbl_SeqLib[[#This Row],[Column]]),1),"")</f>
        <v/>
      </c>
      <c r="P23" s="44" t="str">
        <f>IF(tbl_SeqLib[[#This Row],[entry]]=2,ROUNDUP(AVERAGEIFS(tbl_SeqLib[Exact],tbl_SeqLib[Column],tbl_SeqLib[[#This Row],[Column]]),1),"")</f>
        <v/>
      </c>
      <c r="Q23" s="44" t="str" cm="1">
        <f t="array" ref="Q23">_xlfn.XLOOKUP(0,ABS(tbl_SeqLib[[#This Row],[Min for col]:[Avg for col]]-tbl_SeqLib[[#This Row],[Exact]]),tbl_SeqLib[[#This Row],[Min for col]:[Avg for col]],"",1)</f>
        <v/>
      </c>
      <c r="R23" s="44" t="str" cm="1">
        <f t="array" ref="R23">_xlfn.XLOOKUP(0,ABS(tbl_SeqLib[[#This Row],[Max for col]:[Avg for col]]-tbl_SeqLib[[#This Row],[Exact]]),tbl_SeqLib[[#This Row],[Max for col]:[Avg for col]],"",1)</f>
        <v/>
      </c>
      <c r="S23" s="44" t="str">
        <f>IF(tbl_SeqLib[[#This Row],[entry]]=2,tbl_SeqLib[[#This Row],[Max for col]],"")</f>
        <v/>
      </c>
      <c r="T23" s="44" t="str">
        <f>IF(tbl_SeqLib[[#This Row],[entry]]=2,tbl_SeqLib[[#This Row],[Avg for col]],"")</f>
        <v/>
      </c>
      <c r="U23" s="44" t="str">
        <f>IF(tbl_SeqLib[[#This Row],[entry]]=2,AVERAGE(tbl_SeqLib[Exact]),"")</f>
        <v/>
      </c>
      <c r="V23" s="44" t="str">
        <f>IF(tbl_SeqLib[[#This Row],[entry]]=2,MAX(tbl_SeqLib[Exact]),"")</f>
        <v/>
      </c>
      <c r="W23" s="44" t="str" cm="1">
        <f t="array" ref="W23">_xlfn.XLOOKUP(0,ABS(tbl_SeqLib[[#This Row],[Avg per plate]:[Max per plate]]-tbl_SeqLib[[#This Row],[Exact]]),tbl_SeqLib[[#This Row],[Avg per plate]:[Max per plate]],,1)</f>
        <v/>
      </c>
      <c r="X2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3" s="85" t="str">
        <f>IF(tbl_SeqLib[[#This Row],[entry]]=1,ROUNDUP(AVERAGE(tbl_SeqLib[Exact]),1),"")</f>
        <v/>
      </c>
      <c r="Z23" s="85" t="str">
        <f>IF(tbl_SeqLib[[#This Row],[entry]]=1,ROUNDUP(AVERAGEIFS(tbl_SeqLib[Exact],tbl_SeqLib[Column],tbl_SeqLib[[#This Row],[Column]]),1),"")</f>
        <v/>
      </c>
      <c r="AA23" s="44" t="str">
        <f>IF(missing_qc_resolution=reference!$E$34,tbl_SeqLib[[#This Row],[Avg per col (missing)]],tbl_SeqLib[[#This Row],[Avg per plate (missing)]])</f>
        <v/>
      </c>
      <c r="AB23" s="44" t="str">
        <f>IF(tbl_SeqLib[[#This Row],[entry]]=0,"",IF(tbl_SeqLib[[#This Row],[entry]]=1,tbl_SeqLib[[#This Row],[Not quantified]],IF(tbl_SeqLib[[#This Row],[entry]]=2,tbl_SeqLib[[#This Row],[Quantified]])))</f>
        <v/>
      </c>
      <c r="AC23" s="137"/>
      <c r="AD2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3" s="60" t="str">
        <f>IF(ISBLANK(tbl_SeqLib[[#This Row],[sWGA Identifier]]),"",CONCATENATE(exp_id,"_",tbl_SeqLib[[#This Row],[Well]]))</f>
        <v/>
      </c>
    </row>
    <row r="24" spans="1:31" ht="15.75" customHeight="1" x14ac:dyDescent="0.25">
      <c r="A24" s="59">
        <v>22</v>
      </c>
      <c r="B24" s="46" t="str">
        <f>RIGHT(tbl_SeqLib[[#This Row],[Well]],LEN(tbl_SeqLib[[#This Row],[Well]])-1)</f>
        <v>3</v>
      </c>
      <c r="C24" s="45" t="s">
        <v>127</v>
      </c>
      <c r="D24" s="19"/>
      <c r="E24" s="21"/>
      <c r="F24" s="31"/>
      <c r="G24" s="19"/>
      <c r="H24" s="31"/>
      <c r="I24" s="31"/>
      <c r="J2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4" s="32" t="s">
        <v>128</v>
      </c>
      <c r="L24" s="85">
        <f>IF(OR(ISBLANK(tbl_SeqLib[[#This Row],[Sample ID]]),ISBLANK(endrepair_targetmass)),0,IF(LEN(tbl_SeqLib[[#This Row],[PCR '[DNA'] (ng / µl)]])=0,1,2))</f>
        <v>0</v>
      </c>
      <c r="M2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4" s="44" t="str">
        <f>IF(tbl_SeqLib[[#This Row],[entry]]=2,ROUNDUP(_xlfn.MINIFS(tbl_SeqLib[Exact],tbl_SeqLib[Column],tbl_SeqLib[[#This Row],[Column]]),1),"")</f>
        <v/>
      </c>
      <c r="O24" s="44" t="str">
        <f>IF(tbl_SeqLib[[#This Row],[entry]]=2,ROUNDDOWN(_xlfn.MAXIFS(tbl_SeqLib[Exact],tbl_SeqLib[Column],tbl_SeqLib[[#This Row],[Column]]),1),"")</f>
        <v/>
      </c>
      <c r="P24" s="44" t="str">
        <f>IF(tbl_SeqLib[[#This Row],[entry]]=2,ROUNDUP(AVERAGEIFS(tbl_SeqLib[Exact],tbl_SeqLib[Column],tbl_SeqLib[[#This Row],[Column]]),1),"")</f>
        <v/>
      </c>
      <c r="Q24" s="44" t="str" cm="1">
        <f t="array" ref="Q24">_xlfn.XLOOKUP(0,ABS(tbl_SeqLib[[#This Row],[Min for col]:[Avg for col]]-tbl_SeqLib[[#This Row],[Exact]]),tbl_SeqLib[[#This Row],[Min for col]:[Avg for col]],"",1)</f>
        <v/>
      </c>
      <c r="R24" s="44" t="str" cm="1">
        <f t="array" ref="R24">_xlfn.XLOOKUP(0,ABS(tbl_SeqLib[[#This Row],[Max for col]:[Avg for col]]-tbl_SeqLib[[#This Row],[Exact]]),tbl_SeqLib[[#This Row],[Max for col]:[Avg for col]],"",1)</f>
        <v/>
      </c>
      <c r="S24" s="44" t="str">
        <f>IF(tbl_SeqLib[[#This Row],[entry]]=2,tbl_SeqLib[[#This Row],[Max for col]],"")</f>
        <v/>
      </c>
      <c r="T24" s="44" t="str">
        <f>IF(tbl_SeqLib[[#This Row],[entry]]=2,tbl_SeqLib[[#This Row],[Avg for col]],"")</f>
        <v/>
      </c>
      <c r="U24" s="44" t="str">
        <f>IF(tbl_SeqLib[[#This Row],[entry]]=2,AVERAGE(tbl_SeqLib[Exact]),"")</f>
        <v/>
      </c>
      <c r="V24" s="44" t="str">
        <f>IF(tbl_SeqLib[[#This Row],[entry]]=2,MAX(tbl_SeqLib[Exact]),"")</f>
        <v/>
      </c>
      <c r="W24" s="44" t="str" cm="1">
        <f t="array" ref="W24">_xlfn.XLOOKUP(0,ABS(tbl_SeqLib[[#This Row],[Avg per plate]:[Max per plate]]-tbl_SeqLib[[#This Row],[Exact]]),tbl_SeqLib[[#This Row],[Avg per plate]:[Max per plate]],,1)</f>
        <v/>
      </c>
      <c r="X2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4" s="85" t="str">
        <f>IF(tbl_SeqLib[[#This Row],[entry]]=1,ROUNDUP(AVERAGE(tbl_SeqLib[Exact]),1),"")</f>
        <v/>
      </c>
      <c r="Z24" s="85" t="str">
        <f>IF(tbl_SeqLib[[#This Row],[entry]]=1,ROUNDUP(AVERAGEIFS(tbl_SeqLib[Exact],tbl_SeqLib[Column],tbl_SeqLib[[#This Row],[Column]]),1),"")</f>
        <v/>
      </c>
      <c r="AA24" s="44" t="str">
        <f>IF(missing_qc_resolution=reference!$E$34,tbl_SeqLib[[#This Row],[Avg per col (missing)]],tbl_SeqLib[[#This Row],[Avg per plate (missing)]])</f>
        <v/>
      </c>
      <c r="AB24" s="44" t="str">
        <f>IF(tbl_SeqLib[[#This Row],[entry]]=0,"",IF(tbl_SeqLib[[#This Row],[entry]]=1,tbl_SeqLib[[#This Row],[Not quantified]],IF(tbl_SeqLib[[#This Row],[entry]]=2,tbl_SeqLib[[#This Row],[Quantified]])))</f>
        <v/>
      </c>
      <c r="AC24" s="137"/>
      <c r="AD2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4" s="60" t="str">
        <f>IF(ISBLANK(tbl_SeqLib[[#This Row],[sWGA Identifier]]),"",CONCATENATE(exp_id,"_",tbl_SeqLib[[#This Row],[Well]]))</f>
        <v/>
      </c>
    </row>
    <row r="25" spans="1:31" ht="15.75" customHeight="1" x14ac:dyDescent="0.25">
      <c r="A25" s="59">
        <v>23</v>
      </c>
      <c r="B25" s="46" t="str">
        <f>RIGHT(tbl_SeqLib[[#This Row],[Well]],LEN(tbl_SeqLib[[#This Row],[Well]])-1)</f>
        <v>3</v>
      </c>
      <c r="C25" s="45" t="s">
        <v>129</v>
      </c>
      <c r="D25" s="19"/>
      <c r="E25" s="21"/>
      <c r="F25" s="31"/>
      <c r="G25" s="19"/>
      <c r="H25" s="31"/>
      <c r="I25" s="31"/>
      <c r="J2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5" s="32" t="s">
        <v>130</v>
      </c>
      <c r="L25" s="85">
        <f>IF(OR(ISBLANK(tbl_SeqLib[[#This Row],[Sample ID]]),ISBLANK(endrepair_targetmass)),0,IF(LEN(tbl_SeqLib[[#This Row],[PCR '[DNA'] (ng / µl)]])=0,1,2))</f>
        <v>0</v>
      </c>
      <c r="M2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5" s="44" t="str">
        <f>IF(tbl_SeqLib[[#This Row],[entry]]=2,ROUNDUP(_xlfn.MINIFS(tbl_SeqLib[Exact],tbl_SeqLib[Column],tbl_SeqLib[[#This Row],[Column]]),1),"")</f>
        <v/>
      </c>
      <c r="O25" s="44" t="str">
        <f>IF(tbl_SeqLib[[#This Row],[entry]]=2,ROUNDDOWN(_xlfn.MAXIFS(tbl_SeqLib[Exact],tbl_SeqLib[Column],tbl_SeqLib[[#This Row],[Column]]),1),"")</f>
        <v/>
      </c>
      <c r="P25" s="44" t="str">
        <f>IF(tbl_SeqLib[[#This Row],[entry]]=2,ROUNDUP(AVERAGEIFS(tbl_SeqLib[Exact],tbl_SeqLib[Column],tbl_SeqLib[[#This Row],[Column]]),1),"")</f>
        <v/>
      </c>
      <c r="Q25" s="44" t="str" cm="1">
        <f t="array" ref="Q25">_xlfn.XLOOKUP(0,ABS(tbl_SeqLib[[#This Row],[Min for col]:[Avg for col]]-tbl_SeqLib[[#This Row],[Exact]]),tbl_SeqLib[[#This Row],[Min for col]:[Avg for col]],"",1)</f>
        <v/>
      </c>
      <c r="R25" s="44" t="str" cm="1">
        <f t="array" ref="R25">_xlfn.XLOOKUP(0,ABS(tbl_SeqLib[[#This Row],[Max for col]:[Avg for col]]-tbl_SeqLib[[#This Row],[Exact]]),tbl_SeqLib[[#This Row],[Max for col]:[Avg for col]],"",1)</f>
        <v/>
      </c>
      <c r="S25" s="44" t="str">
        <f>IF(tbl_SeqLib[[#This Row],[entry]]=2,tbl_SeqLib[[#This Row],[Max for col]],"")</f>
        <v/>
      </c>
      <c r="T25" s="44" t="str">
        <f>IF(tbl_SeqLib[[#This Row],[entry]]=2,tbl_SeqLib[[#This Row],[Avg for col]],"")</f>
        <v/>
      </c>
      <c r="U25" s="44" t="str">
        <f>IF(tbl_SeqLib[[#This Row],[entry]]=2,AVERAGE(tbl_SeqLib[Exact]),"")</f>
        <v/>
      </c>
      <c r="V25" s="44" t="str">
        <f>IF(tbl_SeqLib[[#This Row],[entry]]=2,MAX(tbl_SeqLib[Exact]),"")</f>
        <v/>
      </c>
      <c r="W25" s="44" t="str" cm="1">
        <f t="array" ref="W25">_xlfn.XLOOKUP(0,ABS(tbl_SeqLib[[#This Row],[Avg per plate]:[Max per plate]]-tbl_SeqLib[[#This Row],[Exact]]),tbl_SeqLib[[#This Row],[Avg per plate]:[Max per plate]],,1)</f>
        <v/>
      </c>
      <c r="X2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5" s="85" t="str">
        <f>IF(tbl_SeqLib[[#This Row],[entry]]=1,ROUNDUP(AVERAGE(tbl_SeqLib[Exact]),1),"")</f>
        <v/>
      </c>
      <c r="Z25" s="85" t="str">
        <f>IF(tbl_SeqLib[[#This Row],[entry]]=1,ROUNDUP(AVERAGEIFS(tbl_SeqLib[Exact],tbl_SeqLib[Column],tbl_SeqLib[[#This Row],[Column]]),1),"")</f>
        <v/>
      </c>
      <c r="AA25" s="44" t="str">
        <f>IF(missing_qc_resolution=reference!$E$34,tbl_SeqLib[[#This Row],[Avg per col (missing)]],tbl_SeqLib[[#This Row],[Avg per plate (missing)]])</f>
        <v/>
      </c>
      <c r="AB25" s="44" t="str">
        <f>IF(tbl_SeqLib[[#This Row],[entry]]=0,"",IF(tbl_SeqLib[[#This Row],[entry]]=1,tbl_SeqLib[[#This Row],[Not quantified]],IF(tbl_SeqLib[[#This Row],[entry]]=2,tbl_SeqLib[[#This Row],[Quantified]])))</f>
        <v/>
      </c>
      <c r="AC25" s="137"/>
      <c r="AD2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5" s="60" t="str">
        <f>IF(ISBLANK(tbl_SeqLib[[#This Row],[sWGA Identifier]]),"",CONCATENATE(exp_id,"_",tbl_SeqLib[[#This Row],[Well]]))</f>
        <v/>
      </c>
    </row>
    <row r="26" spans="1:31" ht="15.75" customHeight="1" thickBot="1" x14ac:dyDescent="0.3">
      <c r="A26" s="61">
        <v>24</v>
      </c>
      <c r="B26" s="62" t="str">
        <f>RIGHT(tbl_SeqLib[[#This Row],[Well]],LEN(tbl_SeqLib[[#This Row],[Well]])-1)</f>
        <v>3</v>
      </c>
      <c r="C26" s="70" t="s">
        <v>131</v>
      </c>
      <c r="D26" s="63"/>
      <c r="E26" s="64"/>
      <c r="F26" s="65"/>
      <c r="G26" s="63"/>
      <c r="H26" s="65"/>
      <c r="I26" s="65"/>
      <c r="J2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6" s="67" t="s">
        <v>132</v>
      </c>
      <c r="L26" s="86">
        <f>IF(OR(ISBLANK(tbl_SeqLib[[#This Row],[Sample ID]]),ISBLANK(endrepair_targetmass)),0,IF(LEN(tbl_SeqLib[[#This Row],[PCR '[DNA'] (ng / µl)]])=0,1,2))</f>
        <v>0</v>
      </c>
      <c r="M2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6" s="68" t="str">
        <f>IF(tbl_SeqLib[[#This Row],[entry]]=2,ROUNDUP(_xlfn.MINIFS(tbl_SeqLib[Exact],tbl_SeqLib[Column],tbl_SeqLib[[#This Row],[Column]]),1),"")</f>
        <v/>
      </c>
      <c r="O26" s="68" t="str">
        <f>IF(tbl_SeqLib[[#This Row],[entry]]=2,ROUNDDOWN(_xlfn.MAXIFS(tbl_SeqLib[Exact],tbl_SeqLib[Column],tbl_SeqLib[[#This Row],[Column]]),1),"")</f>
        <v/>
      </c>
      <c r="P26" s="68" t="str">
        <f>IF(tbl_SeqLib[[#This Row],[entry]]=2,ROUNDUP(AVERAGEIFS(tbl_SeqLib[Exact],tbl_SeqLib[Column],tbl_SeqLib[[#This Row],[Column]]),1),"")</f>
        <v/>
      </c>
      <c r="Q26" s="68" t="str" cm="1">
        <f t="array" ref="Q26">_xlfn.XLOOKUP(0,ABS(tbl_SeqLib[[#This Row],[Min for col]:[Avg for col]]-tbl_SeqLib[[#This Row],[Exact]]),tbl_SeqLib[[#This Row],[Min for col]:[Avg for col]],"",1)</f>
        <v/>
      </c>
      <c r="R26" s="68" t="str" cm="1">
        <f t="array" ref="R26">_xlfn.XLOOKUP(0,ABS(tbl_SeqLib[[#This Row],[Max for col]:[Avg for col]]-tbl_SeqLib[[#This Row],[Exact]]),tbl_SeqLib[[#This Row],[Max for col]:[Avg for col]],"",1)</f>
        <v/>
      </c>
      <c r="S26" s="68" t="str">
        <f>IF(tbl_SeqLib[[#This Row],[entry]]=2,tbl_SeqLib[[#This Row],[Max for col]],"")</f>
        <v/>
      </c>
      <c r="T26" s="68" t="str">
        <f>IF(tbl_SeqLib[[#This Row],[entry]]=2,tbl_SeqLib[[#This Row],[Avg for col]],"")</f>
        <v/>
      </c>
      <c r="U26" s="68" t="str">
        <f>IF(tbl_SeqLib[[#This Row],[entry]]=2,AVERAGE(tbl_SeqLib[Exact]),"")</f>
        <v/>
      </c>
      <c r="V26" s="68" t="str">
        <f>IF(tbl_SeqLib[[#This Row],[entry]]=2,MAX(tbl_SeqLib[Exact]),"")</f>
        <v/>
      </c>
      <c r="W26" s="68" t="str" cm="1">
        <f t="array" ref="W26">_xlfn.XLOOKUP(0,ABS(tbl_SeqLib[[#This Row],[Avg per plate]:[Max per plate]]-tbl_SeqLib[[#This Row],[Exact]]),tbl_SeqLib[[#This Row],[Avg per plate]:[Max per plate]],,1)</f>
        <v/>
      </c>
      <c r="X2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6" s="86" t="str">
        <f>IF(tbl_SeqLib[[#This Row],[entry]]=1,ROUNDUP(AVERAGE(tbl_SeqLib[Exact]),1),"")</f>
        <v/>
      </c>
      <c r="Z26" s="86" t="str">
        <f>IF(tbl_SeqLib[[#This Row],[entry]]=1,ROUNDUP(AVERAGEIFS(tbl_SeqLib[Exact],tbl_SeqLib[Column],tbl_SeqLib[[#This Row],[Column]]),1),"")</f>
        <v/>
      </c>
      <c r="AA26" s="68" t="str">
        <f>IF(missing_qc_resolution=reference!$E$34,tbl_SeqLib[[#This Row],[Avg per col (missing)]],tbl_SeqLib[[#This Row],[Avg per plate (missing)]])</f>
        <v/>
      </c>
      <c r="AB26" s="68" t="str">
        <f>IF(tbl_SeqLib[[#This Row],[entry]]=0,"",IF(tbl_SeqLib[[#This Row],[entry]]=1,tbl_SeqLib[[#This Row],[Not quantified]],IF(tbl_SeqLib[[#This Row],[entry]]=2,tbl_SeqLib[[#This Row],[Quantified]])))</f>
        <v/>
      </c>
      <c r="AC26" s="138"/>
      <c r="AD2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6" s="69" t="str">
        <f>IF(ISBLANK(tbl_SeqLib[[#This Row],[sWGA Identifier]]),"",CONCATENATE(exp_id,"_",tbl_SeqLib[[#This Row],[Well]]))</f>
        <v/>
      </c>
    </row>
    <row r="27" spans="1:31" ht="15.75" customHeight="1" x14ac:dyDescent="0.25">
      <c r="A27" s="50">
        <v>25</v>
      </c>
      <c r="B27" s="51" t="str">
        <f>RIGHT(tbl_SeqLib[[#This Row],[Well]],LEN(tbl_SeqLib[[#This Row],[Well]])-1)</f>
        <v>4</v>
      </c>
      <c r="C27" s="51" t="s">
        <v>133</v>
      </c>
      <c r="D27" s="52"/>
      <c r="E27" s="56"/>
      <c r="F27" s="52"/>
      <c r="G27" s="52"/>
      <c r="H27" s="52"/>
      <c r="I27" s="52"/>
      <c r="J2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7" s="56" t="s">
        <v>134</v>
      </c>
      <c r="L27" s="84">
        <f>IF(OR(ISBLANK(tbl_SeqLib[[#This Row],[Sample ID]]),ISBLANK(endrepair_targetmass)),0,IF(LEN(tbl_SeqLib[[#This Row],[PCR '[DNA'] (ng / µl)]])=0,1,2))</f>
        <v>0</v>
      </c>
      <c r="M2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7" s="57" t="str">
        <f>IF(tbl_SeqLib[[#This Row],[entry]]=2,ROUNDUP(_xlfn.MINIFS(tbl_SeqLib[Exact],tbl_SeqLib[Column],tbl_SeqLib[[#This Row],[Column]]),1),"")</f>
        <v/>
      </c>
      <c r="O27" s="57" t="str">
        <f>IF(tbl_SeqLib[[#This Row],[entry]]=2,ROUNDDOWN(_xlfn.MAXIFS(tbl_SeqLib[Exact],tbl_SeqLib[Column],tbl_SeqLib[[#This Row],[Column]]),1),"")</f>
        <v/>
      </c>
      <c r="P27" s="57" t="str">
        <f>IF(tbl_SeqLib[[#This Row],[entry]]=2,ROUNDUP(AVERAGEIFS(tbl_SeqLib[Exact],tbl_SeqLib[Column],tbl_SeqLib[[#This Row],[Column]]),1),"")</f>
        <v/>
      </c>
      <c r="Q27" s="57" t="str" cm="1">
        <f t="array" ref="Q27">_xlfn.XLOOKUP(0,ABS(tbl_SeqLib[[#This Row],[Min for col]:[Avg for col]]-tbl_SeqLib[[#This Row],[Exact]]),tbl_SeqLib[[#This Row],[Min for col]:[Avg for col]],"",1)</f>
        <v/>
      </c>
      <c r="R27" s="57" t="str" cm="1">
        <f t="array" ref="R27">_xlfn.XLOOKUP(0,ABS(tbl_SeqLib[[#This Row],[Max for col]:[Avg for col]]-tbl_SeqLib[[#This Row],[Exact]]),tbl_SeqLib[[#This Row],[Max for col]:[Avg for col]],"",1)</f>
        <v/>
      </c>
      <c r="S27" s="57" t="str">
        <f>IF(tbl_SeqLib[[#This Row],[entry]]=2,tbl_SeqLib[[#This Row],[Max for col]],"")</f>
        <v/>
      </c>
      <c r="T27" s="57" t="str">
        <f>IF(tbl_SeqLib[[#This Row],[entry]]=2,tbl_SeqLib[[#This Row],[Avg for col]],"")</f>
        <v/>
      </c>
      <c r="U27" s="57" t="str">
        <f>IF(tbl_SeqLib[[#This Row],[entry]]=2,AVERAGE(tbl_SeqLib[Exact]),"")</f>
        <v/>
      </c>
      <c r="V27" s="57" t="str">
        <f>IF(tbl_SeqLib[[#This Row],[entry]]=2,MAX(tbl_SeqLib[Exact]),"")</f>
        <v/>
      </c>
      <c r="W27" s="57" t="str" cm="1">
        <f t="array" ref="W27">_xlfn.XLOOKUP(0,ABS(tbl_SeqLib[[#This Row],[Avg per plate]:[Max per plate]]-tbl_SeqLib[[#This Row],[Exact]]),tbl_SeqLib[[#This Row],[Avg per plate]:[Max per plate]],,1)</f>
        <v/>
      </c>
      <c r="X2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7" s="84" t="str">
        <f>IF(tbl_SeqLib[[#This Row],[entry]]=1,ROUNDUP(AVERAGE(tbl_SeqLib[Exact]),1),"")</f>
        <v/>
      </c>
      <c r="Z27" s="84" t="str">
        <f>IF(tbl_SeqLib[[#This Row],[entry]]=1,ROUNDUP(AVERAGEIFS(tbl_SeqLib[Exact],tbl_SeqLib[Column],tbl_SeqLib[[#This Row],[Column]]),1),"")</f>
        <v/>
      </c>
      <c r="AA27" s="57" t="str">
        <f>IF(missing_qc_resolution=reference!$E$34,tbl_SeqLib[[#This Row],[Avg per col (missing)]],tbl_SeqLib[[#This Row],[Avg per plate (missing)]])</f>
        <v/>
      </c>
      <c r="AB27" s="57" t="str">
        <f>IF(tbl_SeqLib[[#This Row],[entry]]=0,"",IF(tbl_SeqLib[[#This Row],[entry]]=1,tbl_SeqLib[[#This Row],[Not quantified]],IF(tbl_SeqLib[[#This Row],[entry]]=2,tbl_SeqLib[[#This Row],[Quantified]])))</f>
        <v/>
      </c>
      <c r="AC27" s="136"/>
      <c r="AD2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7" s="58" t="str">
        <f>IF(ISBLANK(tbl_SeqLib[[#This Row],[sWGA Identifier]]),"",CONCATENATE(exp_id,"_",tbl_SeqLib[[#This Row],[Well]]))</f>
        <v/>
      </c>
    </row>
    <row r="28" spans="1:31" ht="15.75" customHeight="1" x14ac:dyDescent="0.25">
      <c r="A28" s="59">
        <v>26</v>
      </c>
      <c r="B28" s="46" t="str">
        <f>RIGHT(tbl_SeqLib[[#This Row],[Well]],LEN(tbl_SeqLib[[#This Row],[Well]])-1)</f>
        <v>4</v>
      </c>
      <c r="C28" s="45" t="s">
        <v>135</v>
      </c>
      <c r="D28" s="19"/>
      <c r="E28" s="21"/>
      <c r="F28" s="31"/>
      <c r="G28" s="19"/>
      <c r="H28" s="31"/>
      <c r="I28" s="31"/>
      <c r="J2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8" s="32" t="s">
        <v>136</v>
      </c>
      <c r="L28" s="85">
        <f>IF(OR(ISBLANK(tbl_SeqLib[[#This Row],[Sample ID]]),ISBLANK(endrepair_targetmass)),0,IF(LEN(tbl_SeqLib[[#This Row],[PCR '[DNA'] (ng / µl)]])=0,1,2))</f>
        <v>0</v>
      </c>
      <c r="M2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8" s="44" t="str">
        <f>IF(tbl_SeqLib[[#This Row],[entry]]=2,ROUNDUP(_xlfn.MINIFS(tbl_SeqLib[Exact],tbl_SeqLib[Column],tbl_SeqLib[[#This Row],[Column]]),1),"")</f>
        <v/>
      </c>
      <c r="O28" s="44" t="str">
        <f>IF(tbl_SeqLib[[#This Row],[entry]]=2,ROUNDDOWN(_xlfn.MAXIFS(tbl_SeqLib[Exact],tbl_SeqLib[Column],tbl_SeqLib[[#This Row],[Column]]),1),"")</f>
        <v/>
      </c>
      <c r="P28" s="44" t="str">
        <f>IF(tbl_SeqLib[[#This Row],[entry]]=2,ROUNDUP(AVERAGEIFS(tbl_SeqLib[Exact],tbl_SeqLib[Column],tbl_SeqLib[[#This Row],[Column]]),1),"")</f>
        <v/>
      </c>
      <c r="Q28" s="44" t="str" cm="1">
        <f t="array" ref="Q28">_xlfn.XLOOKUP(0,ABS(tbl_SeqLib[[#This Row],[Min for col]:[Avg for col]]-tbl_SeqLib[[#This Row],[Exact]]),tbl_SeqLib[[#This Row],[Min for col]:[Avg for col]],"",1)</f>
        <v/>
      </c>
      <c r="R28" s="44" t="str" cm="1">
        <f t="array" ref="R28">_xlfn.XLOOKUP(0,ABS(tbl_SeqLib[[#This Row],[Max for col]:[Avg for col]]-tbl_SeqLib[[#This Row],[Exact]]),tbl_SeqLib[[#This Row],[Max for col]:[Avg for col]],"",1)</f>
        <v/>
      </c>
      <c r="S28" s="44" t="str">
        <f>IF(tbl_SeqLib[[#This Row],[entry]]=2,tbl_SeqLib[[#This Row],[Max for col]],"")</f>
        <v/>
      </c>
      <c r="T28" s="44" t="str">
        <f>IF(tbl_SeqLib[[#This Row],[entry]]=2,tbl_SeqLib[[#This Row],[Avg for col]],"")</f>
        <v/>
      </c>
      <c r="U28" s="44" t="str">
        <f>IF(tbl_SeqLib[[#This Row],[entry]]=2,AVERAGE(tbl_SeqLib[Exact]),"")</f>
        <v/>
      </c>
      <c r="V28" s="44" t="str">
        <f>IF(tbl_SeqLib[[#This Row],[entry]]=2,MAX(tbl_SeqLib[Exact]),"")</f>
        <v/>
      </c>
      <c r="W28" s="44" t="str" cm="1">
        <f t="array" ref="W28">_xlfn.XLOOKUP(0,ABS(tbl_SeqLib[[#This Row],[Avg per plate]:[Max per plate]]-tbl_SeqLib[[#This Row],[Exact]]),tbl_SeqLib[[#This Row],[Avg per plate]:[Max per plate]],,1)</f>
        <v/>
      </c>
      <c r="X2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8" s="85" t="str">
        <f>IF(tbl_SeqLib[[#This Row],[entry]]=1,ROUNDUP(AVERAGE(tbl_SeqLib[Exact]),1),"")</f>
        <v/>
      </c>
      <c r="Z28" s="85" t="str">
        <f>IF(tbl_SeqLib[[#This Row],[entry]]=1,ROUNDUP(AVERAGEIFS(tbl_SeqLib[Exact],tbl_SeqLib[Column],tbl_SeqLib[[#This Row],[Column]]),1),"")</f>
        <v/>
      </c>
      <c r="AA28" s="44" t="str">
        <f>IF(missing_qc_resolution=reference!$E$34,tbl_SeqLib[[#This Row],[Avg per col (missing)]],tbl_SeqLib[[#This Row],[Avg per plate (missing)]])</f>
        <v/>
      </c>
      <c r="AB28" s="44" t="str">
        <f>IF(tbl_SeqLib[[#This Row],[entry]]=0,"",IF(tbl_SeqLib[[#This Row],[entry]]=1,tbl_SeqLib[[#This Row],[Not quantified]],IF(tbl_SeqLib[[#This Row],[entry]]=2,tbl_SeqLib[[#This Row],[Quantified]])))</f>
        <v/>
      </c>
      <c r="AC28" s="137"/>
      <c r="AD2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8" s="60" t="str">
        <f>IF(ISBLANK(tbl_SeqLib[[#This Row],[sWGA Identifier]]),"",CONCATENATE(exp_id,"_",tbl_SeqLib[[#This Row],[Well]]))</f>
        <v/>
      </c>
    </row>
    <row r="29" spans="1:31" ht="15.75" customHeight="1" x14ac:dyDescent="0.25">
      <c r="A29" s="59">
        <v>27</v>
      </c>
      <c r="B29" s="46" t="str">
        <f>RIGHT(tbl_SeqLib[[#This Row],[Well]],LEN(tbl_SeqLib[[#This Row],[Well]])-1)</f>
        <v>4</v>
      </c>
      <c r="C29" s="45" t="s">
        <v>137</v>
      </c>
      <c r="D29" s="19"/>
      <c r="E29" s="21"/>
      <c r="F29" s="31"/>
      <c r="G29" s="19"/>
      <c r="H29" s="31"/>
      <c r="I29" s="31"/>
      <c r="J2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29" s="32" t="s">
        <v>138</v>
      </c>
      <c r="L29" s="85">
        <f>IF(OR(ISBLANK(tbl_SeqLib[[#This Row],[Sample ID]]),ISBLANK(endrepair_targetmass)),0,IF(LEN(tbl_SeqLib[[#This Row],[PCR '[DNA'] (ng / µl)]])=0,1,2))</f>
        <v>0</v>
      </c>
      <c r="M2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29" s="44" t="str">
        <f>IF(tbl_SeqLib[[#This Row],[entry]]=2,ROUNDUP(_xlfn.MINIFS(tbl_SeqLib[Exact],tbl_SeqLib[Column],tbl_SeqLib[[#This Row],[Column]]),1),"")</f>
        <v/>
      </c>
      <c r="O29" s="44" t="str">
        <f>IF(tbl_SeqLib[[#This Row],[entry]]=2,ROUNDDOWN(_xlfn.MAXIFS(tbl_SeqLib[Exact],tbl_SeqLib[Column],tbl_SeqLib[[#This Row],[Column]]),1),"")</f>
        <v/>
      </c>
      <c r="P29" s="44" t="str">
        <f>IF(tbl_SeqLib[[#This Row],[entry]]=2,ROUNDUP(AVERAGEIFS(tbl_SeqLib[Exact],tbl_SeqLib[Column],tbl_SeqLib[[#This Row],[Column]]),1),"")</f>
        <v/>
      </c>
      <c r="Q29" s="44" t="str" cm="1">
        <f t="array" ref="Q29">_xlfn.XLOOKUP(0,ABS(tbl_SeqLib[[#This Row],[Min for col]:[Avg for col]]-tbl_SeqLib[[#This Row],[Exact]]),tbl_SeqLib[[#This Row],[Min for col]:[Avg for col]],"",1)</f>
        <v/>
      </c>
      <c r="R29" s="44" t="str" cm="1">
        <f t="array" ref="R29">_xlfn.XLOOKUP(0,ABS(tbl_SeqLib[[#This Row],[Max for col]:[Avg for col]]-tbl_SeqLib[[#This Row],[Exact]]),tbl_SeqLib[[#This Row],[Max for col]:[Avg for col]],"",1)</f>
        <v/>
      </c>
      <c r="S29" s="44" t="str">
        <f>IF(tbl_SeqLib[[#This Row],[entry]]=2,tbl_SeqLib[[#This Row],[Max for col]],"")</f>
        <v/>
      </c>
      <c r="T29" s="44" t="str">
        <f>IF(tbl_SeqLib[[#This Row],[entry]]=2,tbl_SeqLib[[#This Row],[Avg for col]],"")</f>
        <v/>
      </c>
      <c r="U29" s="44" t="str">
        <f>IF(tbl_SeqLib[[#This Row],[entry]]=2,AVERAGE(tbl_SeqLib[Exact]),"")</f>
        <v/>
      </c>
      <c r="V29" s="44" t="str">
        <f>IF(tbl_SeqLib[[#This Row],[entry]]=2,MAX(tbl_SeqLib[Exact]),"")</f>
        <v/>
      </c>
      <c r="W29" s="44" t="str" cm="1">
        <f t="array" ref="W29">_xlfn.XLOOKUP(0,ABS(tbl_SeqLib[[#This Row],[Avg per plate]:[Max per plate]]-tbl_SeqLib[[#This Row],[Exact]]),tbl_SeqLib[[#This Row],[Avg per plate]:[Max per plate]],,1)</f>
        <v/>
      </c>
      <c r="X2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29" s="85" t="str">
        <f>IF(tbl_SeqLib[[#This Row],[entry]]=1,ROUNDUP(AVERAGE(tbl_SeqLib[Exact]),1),"")</f>
        <v/>
      </c>
      <c r="Z29" s="85" t="str">
        <f>IF(tbl_SeqLib[[#This Row],[entry]]=1,ROUNDUP(AVERAGEIFS(tbl_SeqLib[Exact],tbl_SeqLib[Column],tbl_SeqLib[[#This Row],[Column]]),1),"")</f>
        <v/>
      </c>
      <c r="AA29" s="44" t="str">
        <f>IF(missing_qc_resolution=reference!$E$34,tbl_SeqLib[[#This Row],[Avg per col (missing)]],tbl_SeqLib[[#This Row],[Avg per plate (missing)]])</f>
        <v/>
      </c>
      <c r="AB29" s="44" t="str">
        <f>IF(tbl_SeqLib[[#This Row],[entry]]=0,"",IF(tbl_SeqLib[[#This Row],[entry]]=1,tbl_SeqLib[[#This Row],[Not quantified]],IF(tbl_SeqLib[[#This Row],[entry]]=2,tbl_SeqLib[[#This Row],[Quantified]])))</f>
        <v/>
      </c>
      <c r="AC29" s="137"/>
      <c r="AD2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29" s="60" t="str">
        <f>IF(ISBLANK(tbl_SeqLib[[#This Row],[sWGA Identifier]]),"",CONCATENATE(exp_id,"_",tbl_SeqLib[[#This Row],[Well]]))</f>
        <v/>
      </c>
    </row>
    <row r="30" spans="1:31" ht="15.75" customHeight="1" x14ac:dyDescent="0.25">
      <c r="A30" s="59">
        <v>28</v>
      </c>
      <c r="B30" s="46" t="str">
        <f>RIGHT(tbl_SeqLib[[#This Row],[Well]],LEN(tbl_SeqLib[[#This Row],[Well]])-1)</f>
        <v>4</v>
      </c>
      <c r="C30" s="45" t="s">
        <v>139</v>
      </c>
      <c r="D30" s="19"/>
      <c r="E30" s="21"/>
      <c r="F30" s="31"/>
      <c r="G30" s="19"/>
      <c r="H30" s="31"/>
      <c r="I30" s="31"/>
      <c r="J3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0" s="32" t="s">
        <v>140</v>
      </c>
      <c r="L30" s="85">
        <f>IF(OR(ISBLANK(tbl_SeqLib[[#This Row],[Sample ID]]),ISBLANK(endrepair_targetmass)),0,IF(LEN(tbl_SeqLib[[#This Row],[PCR '[DNA'] (ng / µl)]])=0,1,2))</f>
        <v>0</v>
      </c>
      <c r="M3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0" s="44" t="str">
        <f>IF(tbl_SeqLib[[#This Row],[entry]]=2,ROUNDUP(_xlfn.MINIFS(tbl_SeqLib[Exact],tbl_SeqLib[Column],tbl_SeqLib[[#This Row],[Column]]),1),"")</f>
        <v/>
      </c>
      <c r="O30" s="44" t="str">
        <f>IF(tbl_SeqLib[[#This Row],[entry]]=2,ROUNDDOWN(_xlfn.MAXIFS(tbl_SeqLib[Exact],tbl_SeqLib[Column],tbl_SeqLib[[#This Row],[Column]]),1),"")</f>
        <v/>
      </c>
      <c r="P30" s="44" t="str">
        <f>IF(tbl_SeqLib[[#This Row],[entry]]=2,ROUNDUP(AVERAGEIFS(tbl_SeqLib[Exact],tbl_SeqLib[Column],tbl_SeqLib[[#This Row],[Column]]),1),"")</f>
        <v/>
      </c>
      <c r="Q30" s="44" t="str" cm="1">
        <f t="array" ref="Q30">_xlfn.XLOOKUP(0,ABS(tbl_SeqLib[[#This Row],[Min for col]:[Avg for col]]-tbl_SeqLib[[#This Row],[Exact]]),tbl_SeqLib[[#This Row],[Min for col]:[Avg for col]],"",1)</f>
        <v/>
      </c>
      <c r="R30" s="44" t="str" cm="1">
        <f t="array" ref="R30">_xlfn.XLOOKUP(0,ABS(tbl_SeqLib[[#This Row],[Max for col]:[Avg for col]]-tbl_SeqLib[[#This Row],[Exact]]),tbl_SeqLib[[#This Row],[Max for col]:[Avg for col]],"",1)</f>
        <v/>
      </c>
      <c r="S30" s="44" t="str">
        <f>IF(tbl_SeqLib[[#This Row],[entry]]=2,tbl_SeqLib[[#This Row],[Max for col]],"")</f>
        <v/>
      </c>
      <c r="T30" s="44" t="str">
        <f>IF(tbl_SeqLib[[#This Row],[entry]]=2,tbl_SeqLib[[#This Row],[Avg for col]],"")</f>
        <v/>
      </c>
      <c r="U30" s="44" t="str">
        <f>IF(tbl_SeqLib[[#This Row],[entry]]=2,AVERAGE(tbl_SeqLib[Exact]),"")</f>
        <v/>
      </c>
      <c r="V30" s="44" t="str">
        <f>IF(tbl_SeqLib[[#This Row],[entry]]=2,MAX(tbl_SeqLib[Exact]),"")</f>
        <v/>
      </c>
      <c r="W30" s="44" t="str" cm="1">
        <f t="array" ref="W30">_xlfn.XLOOKUP(0,ABS(tbl_SeqLib[[#This Row],[Avg per plate]:[Max per plate]]-tbl_SeqLib[[#This Row],[Exact]]),tbl_SeqLib[[#This Row],[Avg per plate]:[Max per plate]],,1)</f>
        <v/>
      </c>
      <c r="X3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0" s="85" t="str">
        <f>IF(tbl_SeqLib[[#This Row],[entry]]=1,ROUNDUP(AVERAGE(tbl_SeqLib[Exact]),1),"")</f>
        <v/>
      </c>
      <c r="Z30" s="85" t="str">
        <f>IF(tbl_SeqLib[[#This Row],[entry]]=1,ROUNDUP(AVERAGEIFS(tbl_SeqLib[Exact],tbl_SeqLib[Column],tbl_SeqLib[[#This Row],[Column]]),1),"")</f>
        <v/>
      </c>
      <c r="AA30" s="44" t="str">
        <f>IF(missing_qc_resolution=reference!$E$34,tbl_SeqLib[[#This Row],[Avg per col (missing)]],tbl_SeqLib[[#This Row],[Avg per plate (missing)]])</f>
        <v/>
      </c>
      <c r="AB30" s="44" t="str">
        <f>IF(tbl_SeqLib[[#This Row],[entry]]=0,"",IF(tbl_SeqLib[[#This Row],[entry]]=1,tbl_SeqLib[[#This Row],[Not quantified]],IF(tbl_SeqLib[[#This Row],[entry]]=2,tbl_SeqLib[[#This Row],[Quantified]])))</f>
        <v/>
      </c>
      <c r="AC30" s="137"/>
      <c r="AD3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0" s="60" t="str">
        <f>IF(ISBLANK(tbl_SeqLib[[#This Row],[sWGA Identifier]]),"",CONCATENATE(exp_id,"_",tbl_SeqLib[[#This Row],[Well]]))</f>
        <v/>
      </c>
    </row>
    <row r="31" spans="1:31" ht="15.75" customHeight="1" x14ac:dyDescent="0.25">
      <c r="A31" s="59">
        <v>29</v>
      </c>
      <c r="B31" s="46" t="str">
        <f>RIGHT(tbl_SeqLib[[#This Row],[Well]],LEN(tbl_SeqLib[[#This Row],[Well]])-1)</f>
        <v>4</v>
      </c>
      <c r="C31" s="45" t="s">
        <v>141</v>
      </c>
      <c r="D31" s="19"/>
      <c r="E31" s="21"/>
      <c r="F31" s="31"/>
      <c r="G31" s="19"/>
      <c r="H31" s="31"/>
      <c r="I31" s="31"/>
      <c r="J3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1" s="32" t="s">
        <v>142</v>
      </c>
      <c r="L31" s="85">
        <f>IF(OR(ISBLANK(tbl_SeqLib[[#This Row],[Sample ID]]),ISBLANK(endrepair_targetmass)),0,IF(LEN(tbl_SeqLib[[#This Row],[PCR '[DNA'] (ng / µl)]])=0,1,2))</f>
        <v>0</v>
      </c>
      <c r="M3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1" s="44" t="str">
        <f>IF(tbl_SeqLib[[#This Row],[entry]]=2,ROUNDUP(_xlfn.MINIFS(tbl_SeqLib[Exact],tbl_SeqLib[Column],tbl_SeqLib[[#This Row],[Column]]),1),"")</f>
        <v/>
      </c>
      <c r="O31" s="44" t="str">
        <f>IF(tbl_SeqLib[[#This Row],[entry]]=2,ROUNDDOWN(_xlfn.MAXIFS(tbl_SeqLib[Exact],tbl_SeqLib[Column],tbl_SeqLib[[#This Row],[Column]]),1),"")</f>
        <v/>
      </c>
      <c r="P31" s="44" t="str">
        <f>IF(tbl_SeqLib[[#This Row],[entry]]=2,ROUNDUP(AVERAGEIFS(tbl_SeqLib[Exact],tbl_SeqLib[Column],tbl_SeqLib[[#This Row],[Column]]),1),"")</f>
        <v/>
      </c>
      <c r="Q31" s="44" t="str" cm="1">
        <f t="array" ref="Q31">_xlfn.XLOOKUP(0,ABS(tbl_SeqLib[[#This Row],[Min for col]:[Avg for col]]-tbl_SeqLib[[#This Row],[Exact]]),tbl_SeqLib[[#This Row],[Min for col]:[Avg for col]],"",1)</f>
        <v/>
      </c>
      <c r="R31" s="44" t="str" cm="1">
        <f t="array" ref="R31">_xlfn.XLOOKUP(0,ABS(tbl_SeqLib[[#This Row],[Max for col]:[Avg for col]]-tbl_SeqLib[[#This Row],[Exact]]),tbl_SeqLib[[#This Row],[Max for col]:[Avg for col]],"",1)</f>
        <v/>
      </c>
      <c r="S31" s="44" t="str">
        <f>IF(tbl_SeqLib[[#This Row],[entry]]=2,tbl_SeqLib[[#This Row],[Max for col]],"")</f>
        <v/>
      </c>
      <c r="T31" s="44" t="str">
        <f>IF(tbl_SeqLib[[#This Row],[entry]]=2,tbl_SeqLib[[#This Row],[Avg for col]],"")</f>
        <v/>
      </c>
      <c r="U31" s="44" t="str">
        <f>IF(tbl_SeqLib[[#This Row],[entry]]=2,AVERAGE(tbl_SeqLib[Exact]),"")</f>
        <v/>
      </c>
      <c r="V31" s="44" t="str">
        <f>IF(tbl_SeqLib[[#This Row],[entry]]=2,MAX(tbl_SeqLib[Exact]),"")</f>
        <v/>
      </c>
      <c r="W31" s="44" t="str" cm="1">
        <f t="array" ref="W31">_xlfn.XLOOKUP(0,ABS(tbl_SeqLib[[#This Row],[Avg per plate]:[Max per plate]]-tbl_SeqLib[[#This Row],[Exact]]),tbl_SeqLib[[#This Row],[Avg per plate]:[Max per plate]],,1)</f>
        <v/>
      </c>
      <c r="X3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1" s="85" t="str">
        <f>IF(tbl_SeqLib[[#This Row],[entry]]=1,ROUNDUP(AVERAGE(tbl_SeqLib[Exact]),1),"")</f>
        <v/>
      </c>
      <c r="Z31" s="85" t="str">
        <f>IF(tbl_SeqLib[[#This Row],[entry]]=1,ROUNDUP(AVERAGEIFS(tbl_SeqLib[Exact],tbl_SeqLib[Column],tbl_SeqLib[[#This Row],[Column]]),1),"")</f>
        <v/>
      </c>
      <c r="AA31" s="44" t="str">
        <f>IF(missing_qc_resolution=reference!$E$34,tbl_SeqLib[[#This Row],[Avg per col (missing)]],tbl_SeqLib[[#This Row],[Avg per plate (missing)]])</f>
        <v/>
      </c>
      <c r="AB31" s="44" t="str">
        <f>IF(tbl_SeqLib[[#This Row],[entry]]=0,"",IF(tbl_SeqLib[[#This Row],[entry]]=1,tbl_SeqLib[[#This Row],[Not quantified]],IF(tbl_SeqLib[[#This Row],[entry]]=2,tbl_SeqLib[[#This Row],[Quantified]])))</f>
        <v/>
      </c>
      <c r="AC31" s="137"/>
      <c r="AD3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1" s="60" t="str">
        <f>IF(ISBLANK(tbl_SeqLib[[#This Row],[sWGA Identifier]]),"",CONCATENATE(exp_id,"_",tbl_SeqLib[[#This Row],[Well]]))</f>
        <v/>
      </c>
    </row>
    <row r="32" spans="1:31" ht="15.75" customHeight="1" x14ac:dyDescent="0.25">
      <c r="A32" s="59">
        <v>30</v>
      </c>
      <c r="B32" s="46" t="str">
        <f>RIGHT(tbl_SeqLib[[#This Row],[Well]],LEN(tbl_SeqLib[[#This Row],[Well]])-1)</f>
        <v>4</v>
      </c>
      <c r="C32" s="45" t="s">
        <v>143</v>
      </c>
      <c r="D32" s="19"/>
      <c r="E32" s="21"/>
      <c r="F32" s="31"/>
      <c r="G32" s="19"/>
      <c r="H32" s="31"/>
      <c r="I32" s="31"/>
      <c r="J3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2" s="32" t="s">
        <v>144</v>
      </c>
      <c r="L32" s="85">
        <f>IF(OR(ISBLANK(tbl_SeqLib[[#This Row],[Sample ID]]),ISBLANK(endrepair_targetmass)),0,IF(LEN(tbl_SeqLib[[#This Row],[PCR '[DNA'] (ng / µl)]])=0,1,2))</f>
        <v>0</v>
      </c>
      <c r="M3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2" s="44" t="str">
        <f>IF(tbl_SeqLib[[#This Row],[entry]]=2,ROUNDUP(_xlfn.MINIFS(tbl_SeqLib[Exact],tbl_SeqLib[Column],tbl_SeqLib[[#This Row],[Column]]),1),"")</f>
        <v/>
      </c>
      <c r="O32" s="44" t="str">
        <f>IF(tbl_SeqLib[[#This Row],[entry]]=2,ROUNDDOWN(_xlfn.MAXIFS(tbl_SeqLib[Exact],tbl_SeqLib[Column],tbl_SeqLib[[#This Row],[Column]]),1),"")</f>
        <v/>
      </c>
      <c r="P32" s="44" t="str">
        <f>IF(tbl_SeqLib[[#This Row],[entry]]=2,ROUNDUP(AVERAGEIFS(tbl_SeqLib[Exact],tbl_SeqLib[Column],tbl_SeqLib[[#This Row],[Column]]),1),"")</f>
        <v/>
      </c>
      <c r="Q32" s="44" t="str" cm="1">
        <f t="array" ref="Q32">_xlfn.XLOOKUP(0,ABS(tbl_SeqLib[[#This Row],[Min for col]:[Avg for col]]-tbl_SeqLib[[#This Row],[Exact]]),tbl_SeqLib[[#This Row],[Min for col]:[Avg for col]],"",1)</f>
        <v/>
      </c>
      <c r="R32" s="44" t="str" cm="1">
        <f t="array" ref="R32">_xlfn.XLOOKUP(0,ABS(tbl_SeqLib[[#This Row],[Max for col]:[Avg for col]]-tbl_SeqLib[[#This Row],[Exact]]),tbl_SeqLib[[#This Row],[Max for col]:[Avg for col]],"",1)</f>
        <v/>
      </c>
      <c r="S32" s="44" t="str">
        <f>IF(tbl_SeqLib[[#This Row],[entry]]=2,tbl_SeqLib[[#This Row],[Max for col]],"")</f>
        <v/>
      </c>
      <c r="T32" s="44" t="str">
        <f>IF(tbl_SeqLib[[#This Row],[entry]]=2,tbl_SeqLib[[#This Row],[Avg for col]],"")</f>
        <v/>
      </c>
      <c r="U32" s="44" t="str">
        <f>IF(tbl_SeqLib[[#This Row],[entry]]=2,AVERAGE(tbl_SeqLib[Exact]),"")</f>
        <v/>
      </c>
      <c r="V32" s="44" t="str">
        <f>IF(tbl_SeqLib[[#This Row],[entry]]=2,MAX(tbl_SeqLib[Exact]),"")</f>
        <v/>
      </c>
      <c r="W32" s="44" t="str" cm="1">
        <f t="array" ref="W32">_xlfn.XLOOKUP(0,ABS(tbl_SeqLib[[#This Row],[Avg per plate]:[Max per plate]]-tbl_SeqLib[[#This Row],[Exact]]),tbl_SeqLib[[#This Row],[Avg per plate]:[Max per plate]],,1)</f>
        <v/>
      </c>
      <c r="X3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2" s="85" t="str">
        <f>IF(tbl_SeqLib[[#This Row],[entry]]=1,ROUNDUP(AVERAGE(tbl_SeqLib[Exact]),1),"")</f>
        <v/>
      </c>
      <c r="Z32" s="85" t="str">
        <f>IF(tbl_SeqLib[[#This Row],[entry]]=1,ROUNDUP(AVERAGEIFS(tbl_SeqLib[Exact],tbl_SeqLib[Column],tbl_SeqLib[[#This Row],[Column]]),1),"")</f>
        <v/>
      </c>
      <c r="AA32" s="44" t="str">
        <f>IF(missing_qc_resolution=reference!$E$34,tbl_SeqLib[[#This Row],[Avg per col (missing)]],tbl_SeqLib[[#This Row],[Avg per plate (missing)]])</f>
        <v/>
      </c>
      <c r="AB32" s="44" t="str">
        <f>IF(tbl_SeqLib[[#This Row],[entry]]=0,"",IF(tbl_SeqLib[[#This Row],[entry]]=1,tbl_SeqLib[[#This Row],[Not quantified]],IF(tbl_SeqLib[[#This Row],[entry]]=2,tbl_SeqLib[[#This Row],[Quantified]])))</f>
        <v/>
      </c>
      <c r="AC32" s="137"/>
      <c r="AD3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2" s="60" t="str">
        <f>IF(ISBLANK(tbl_SeqLib[[#This Row],[sWGA Identifier]]),"",CONCATENATE(exp_id,"_",tbl_SeqLib[[#This Row],[Well]]))</f>
        <v/>
      </c>
    </row>
    <row r="33" spans="1:31" ht="15.75" customHeight="1" x14ac:dyDescent="0.25">
      <c r="A33" s="59">
        <v>31</v>
      </c>
      <c r="B33" s="46" t="str">
        <f>RIGHT(tbl_SeqLib[[#This Row],[Well]],LEN(tbl_SeqLib[[#This Row],[Well]])-1)</f>
        <v>4</v>
      </c>
      <c r="C33" s="45" t="s">
        <v>145</v>
      </c>
      <c r="D33" s="19"/>
      <c r="E33" s="21"/>
      <c r="F33" s="31"/>
      <c r="G33" s="19"/>
      <c r="H33" s="31"/>
      <c r="I33" s="31"/>
      <c r="J3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3" s="32" t="s">
        <v>146</v>
      </c>
      <c r="L33" s="85">
        <f>IF(OR(ISBLANK(tbl_SeqLib[[#This Row],[Sample ID]]),ISBLANK(endrepair_targetmass)),0,IF(LEN(tbl_SeqLib[[#This Row],[PCR '[DNA'] (ng / µl)]])=0,1,2))</f>
        <v>0</v>
      </c>
      <c r="M3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3" s="44" t="str">
        <f>IF(tbl_SeqLib[[#This Row],[entry]]=2,ROUNDUP(_xlfn.MINIFS(tbl_SeqLib[Exact],tbl_SeqLib[Column],tbl_SeqLib[[#This Row],[Column]]),1),"")</f>
        <v/>
      </c>
      <c r="O33" s="44" t="str">
        <f>IF(tbl_SeqLib[[#This Row],[entry]]=2,ROUNDDOWN(_xlfn.MAXIFS(tbl_SeqLib[Exact],tbl_SeqLib[Column],tbl_SeqLib[[#This Row],[Column]]),1),"")</f>
        <v/>
      </c>
      <c r="P33" s="44" t="str">
        <f>IF(tbl_SeqLib[[#This Row],[entry]]=2,ROUNDUP(AVERAGEIFS(tbl_SeqLib[Exact],tbl_SeqLib[Column],tbl_SeqLib[[#This Row],[Column]]),1),"")</f>
        <v/>
      </c>
      <c r="Q33" s="44" t="str" cm="1">
        <f t="array" ref="Q33">_xlfn.XLOOKUP(0,ABS(tbl_SeqLib[[#This Row],[Min for col]:[Avg for col]]-tbl_SeqLib[[#This Row],[Exact]]),tbl_SeqLib[[#This Row],[Min for col]:[Avg for col]],"",1)</f>
        <v/>
      </c>
      <c r="R33" s="44" t="str" cm="1">
        <f t="array" ref="R33">_xlfn.XLOOKUP(0,ABS(tbl_SeqLib[[#This Row],[Max for col]:[Avg for col]]-tbl_SeqLib[[#This Row],[Exact]]),tbl_SeqLib[[#This Row],[Max for col]:[Avg for col]],"",1)</f>
        <v/>
      </c>
      <c r="S33" s="44" t="str">
        <f>IF(tbl_SeqLib[[#This Row],[entry]]=2,tbl_SeqLib[[#This Row],[Max for col]],"")</f>
        <v/>
      </c>
      <c r="T33" s="44" t="str">
        <f>IF(tbl_SeqLib[[#This Row],[entry]]=2,tbl_SeqLib[[#This Row],[Avg for col]],"")</f>
        <v/>
      </c>
      <c r="U33" s="44" t="str">
        <f>IF(tbl_SeqLib[[#This Row],[entry]]=2,AVERAGE(tbl_SeqLib[Exact]),"")</f>
        <v/>
      </c>
      <c r="V33" s="44" t="str">
        <f>IF(tbl_SeqLib[[#This Row],[entry]]=2,MAX(tbl_SeqLib[Exact]),"")</f>
        <v/>
      </c>
      <c r="W33" s="44" t="str" cm="1">
        <f t="array" ref="W33">_xlfn.XLOOKUP(0,ABS(tbl_SeqLib[[#This Row],[Avg per plate]:[Max per plate]]-tbl_SeqLib[[#This Row],[Exact]]),tbl_SeqLib[[#This Row],[Avg per plate]:[Max per plate]],,1)</f>
        <v/>
      </c>
      <c r="X3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3" s="85" t="str">
        <f>IF(tbl_SeqLib[[#This Row],[entry]]=1,ROUNDUP(AVERAGE(tbl_SeqLib[Exact]),1),"")</f>
        <v/>
      </c>
      <c r="Z33" s="85" t="str">
        <f>IF(tbl_SeqLib[[#This Row],[entry]]=1,ROUNDUP(AVERAGEIFS(tbl_SeqLib[Exact],tbl_SeqLib[Column],tbl_SeqLib[[#This Row],[Column]]),1),"")</f>
        <v/>
      </c>
      <c r="AA33" s="44" t="str">
        <f>IF(missing_qc_resolution=reference!$E$34,tbl_SeqLib[[#This Row],[Avg per col (missing)]],tbl_SeqLib[[#This Row],[Avg per plate (missing)]])</f>
        <v/>
      </c>
      <c r="AB33" s="44" t="str">
        <f>IF(tbl_SeqLib[[#This Row],[entry]]=0,"",IF(tbl_SeqLib[[#This Row],[entry]]=1,tbl_SeqLib[[#This Row],[Not quantified]],IF(tbl_SeqLib[[#This Row],[entry]]=2,tbl_SeqLib[[#This Row],[Quantified]])))</f>
        <v/>
      </c>
      <c r="AC33" s="137"/>
      <c r="AD3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3" s="60" t="str">
        <f>IF(ISBLANK(tbl_SeqLib[[#This Row],[sWGA Identifier]]),"",CONCATENATE(exp_id,"_",tbl_SeqLib[[#This Row],[Well]]))</f>
        <v/>
      </c>
    </row>
    <row r="34" spans="1:31" ht="15.75" customHeight="1" thickBot="1" x14ac:dyDescent="0.3">
      <c r="A34" s="61">
        <v>32</v>
      </c>
      <c r="B34" s="62" t="str">
        <f>RIGHT(tbl_SeqLib[[#This Row],[Well]],LEN(tbl_SeqLib[[#This Row],[Well]])-1)</f>
        <v>4</v>
      </c>
      <c r="C34" s="70" t="s">
        <v>147</v>
      </c>
      <c r="D34" s="63"/>
      <c r="E34" s="64"/>
      <c r="F34" s="65"/>
      <c r="G34" s="63"/>
      <c r="H34" s="65"/>
      <c r="I34" s="65"/>
      <c r="J3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4" s="67" t="s">
        <v>148</v>
      </c>
      <c r="L34" s="86">
        <f>IF(OR(ISBLANK(tbl_SeqLib[[#This Row],[Sample ID]]),ISBLANK(endrepair_targetmass)),0,IF(LEN(tbl_SeqLib[[#This Row],[PCR '[DNA'] (ng / µl)]])=0,1,2))</f>
        <v>0</v>
      </c>
      <c r="M3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4" s="68" t="str">
        <f>IF(tbl_SeqLib[[#This Row],[entry]]=2,ROUNDUP(_xlfn.MINIFS(tbl_SeqLib[Exact],tbl_SeqLib[Column],tbl_SeqLib[[#This Row],[Column]]),1),"")</f>
        <v/>
      </c>
      <c r="O34" s="68" t="str">
        <f>IF(tbl_SeqLib[[#This Row],[entry]]=2,ROUNDDOWN(_xlfn.MAXIFS(tbl_SeqLib[Exact],tbl_SeqLib[Column],tbl_SeqLib[[#This Row],[Column]]),1),"")</f>
        <v/>
      </c>
      <c r="P34" s="68" t="str">
        <f>IF(tbl_SeqLib[[#This Row],[entry]]=2,ROUNDUP(AVERAGEIFS(tbl_SeqLib[Exact],tbl_SeqLib[Column],tbl_SeqLib[[#This Row],[Column]]),1),"")</f>
        <v/>
      </c>
      <c r="Q34" s="68" t="str" cm="1">
        <f t="array" ref="Q34">_xlfn.XLOOKUP(0,ABS(tbl_SeqLib[[#This Row],[Min for col]:[Avg for col]]-tbl_SeqLib[[#This Row],[Exact]]),tbl_SeqLib[[#This Row],[Min for col]:[Avg for col]],"",1)</f>
        <v/>
      </c>
      <c r="R34" s="68" t="str" cm="1">
        <f t="array" ref="R34">_xlfn.XLOOKUP(0,ABS(tbl_SeqLib[[#This Row],[Max for col]:[Avg for col]]-tbl_SeqLib[[#This Row],[Exact]]),tbl_SeqLib[[#This Row],[Max for col]:[Avg for col]],"",1)</f>
        <v/>
      </c>
      <c r="S34" s="68" t="str">
        <f>IF(tbl_SeqLib[[#This Row],[entry]]=2,tbl_SeqLib[[#This Row],[Max for col]],"")</f>
        <v/>
      </c>
      <c r="T34" s="68" t="str">
        <f>IF(tbl_SeqLib[[#This Row],[entry]]=2,tbl_SeqLib[[#This Row],[Avg for col]],"")</f>
        <v/>
      </c>
      <c r="U34" s="68" t="str">
        <f>IF(tbl_SeqLib[[#This Row],[entry]]=2,AVERAGE(tbl_SeqLib[Exact]),"")</f>
        <v/>
      </c>
      <c r="V34" s="68" t="str">
        <f>IF(tbl_SeqLib[[#This Row],[entry]]=2,MAX(tbl_SeqLib[Exact]),"")</f>
        <v/>
      </c>
      <c r="W34" s="68" t="str" cm="1">
        <f t="array" ref="W34">_xlfn.XLOOKUP(0,ABS(tbl_SeqLib[[#This Row],[Avg per plate]:[Max per plate]]-tbl_SeqLib[[#This Row],[Exact]]),tbl_SeqLib[[#This Row],[Avg per plate]:[Max per plate]],,1)</f>
        <v/>
      </c>
      <c r="X3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4" s="86" t="str">
        <f>IF(tbl_SeqLib[[#This Row],[entry]]=1,ROUNDUP(AVERAGE(tbl_SeqLib[Exact]),1),"")</f>
        <v/>
      </c>
      <c r="Z34" s="86" t="str">
        <f>IF(tbl_SeqLib[[#This Row],[entry]]=1,ROUNDUP(AVERAGEIFS(tbl_SeqLib[Exact],tbl_SeqLib[Column],tbl_SeqLib[[#This Row],[Column]]),1),"")</f>
        <v/>
      </c>
      <c r="AA34" s="68" t="str">
        <f>IF(missing_qc_resolution=reference!$E$34,tbl_SeqLib[[#This Row],[Avg per col (missing)]],tbl_SeqLib[[#This Row],[Avg per plate (missing)]])</f>
        <v/>
      </c>
      <c r="AB34" s="68" t="str">
        <f>IF(tbl_SeqLib[[#This Row],[entry]]=0,"",IF(tbl_SeqLib[[#This Row],[entry]]=1,tbl_SeqLib[[#This Row],[Not quantified]],IF(tbl_SeqLib[[#This Row],[entry]]=2,tbl_SeqLib[[#This Row],[Quantified]])))</f>
        <v/>
      </c>
      <c r="AC34" s="138"/>
      <c r="AD3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4" s="69" t="str">
        <f>IF(ISBLANK(tbl_SeqLib[[#This Row],[sWGA Identifier]]),"",CONCATENATE(exp_id,"_",tbl_SeqLib[[#This Row],[Well]]))</f>
        <v/>
      </c>
    </row>
    <row r="35" spans="1:31" ht="15.75" customHeight="1" x14ac:dyDescent="0.25">
      <c r="A35" s="50">
        <v>33</v>
      </c>
      <c r="B35" s="51" t="str">
        <f>RIGHT(tbl_SeqLib[[#This Row],[Well]],LEN(tbl_SeqLib[[#This Row],[Well]])-1)</f>
        <v>5</v>
      </c>
      <c r="C35" s="51" t="s">
        <v>149</v>
      </c>
      <c r="D35" s="52"/>
      <c r="E35" s="56"/>
      <c r="F35" s="52"/>
      <c r="G35" s="52"/>
      <c r="H35" s="52"/>
      <c r="I35" s="52"/>
      <c r="J3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5" s="56" t="s">
        <v>150</v>
      </c>
      <c r="L35" s="84">
        <f>IF(OR(ISBLANK(tbl_SeqLib[[#This Row],[Sample ID]]),ISBLANK(endrepair_targetmass)),0,IF(LEN(tbl_SeqLib[[#This Row],[PCR '[DNA'] (ng / µl)]])=0,1,2))</f>
        <v>0</v>
      </c>
      <c r="M3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5" s="57" t="str">
        <f>IF(tbl_SeqLib[[#This Row],[entry]]=2,ROUNDUP(_xlfn.MINIFS(tbl_SeqLib[Exact],tbl_SeqLib[Column],tbl_SeqLib[[#This Row],[Column]]),1),"")</f>
        <v/>
      </c>
      <c r="O35" s="57" t="str">
        <f>IF(tbl_SeqLib[[#This Row],[entry]]=2,ROUNDDOWN(_xlfn.MAXIFS(tbl_SeqLib[Exact],tbl_SeqLib[Column],tbl_SeqLib[[#This Row],[Column]]),1),"")</f>
        <v/>
      </c>
      <c r="P35" s="57" t="str">
        <f>IF(tbl_SeqLib[[#This Row],[entry]]=2,ROUNDUP(AVERAGEIFS(tbl_SeqLib[Exact],tbl_SeqLib[Column],tbl_SeqLib[[#This Row],[Column]]),1),"")</f>
        <v/>
      </c>
      <c r="Q35" s="57" t="str" cm="1">
        <f t="array" ref="Q35">_xlfn.XLOOKUP(0,ABS(tbl_SeqLib[[#This Row],[Min for col]:[Avg for col]]-tbl_SeqLib[[#This Row],[Exact]]),tbl_SeqLib[[#This Row],[Min for col]:[Avg for col]],"",1)</f>
        <v/>
      </c>
      <c r="R35" s="57" t="str" cm="1">
        <f t="array" ref="R35">_xlfn.XLOOKUP(0,ABS(tbl_SeqLib[[#This Row],[Max for col]:[Avg for col]]-tbl_SeqLib[[#This Row],[Exact]]),tbl_SeqLib[[#This Row],[Max for col]:[Avg for col]],"",1)</f>
        <v/>
      </c>
      <c r="S35" s="57" t="str">
        <f>IF(tbl_SeqLib[[#This Row],[entry]]=2,tbl_SeqLib[[#This Row],[Max for col]],"")</f>
        <v/>
      </c>
      <c r="T35" s="57" t="str">
        <f>IF(tbl_SeqLib[[#This Row],[entry]]=2,tbl_SeqLib[[#This Row],[Avg for col]],"")</f>
        <v/>
      </c>
      <c r="U35" s="57" t="str">
        <f>IF(tbl_SeqLib[[#This Row],[entry]]=2,AVERAGE(tbl_SeqLib[Exact]),"")</f>
        <v/>
      </c>
      <c r="V35" s="57" t="str">
        <f>IF(tbl_SeqLib[[#This Row],[entry]]=2,MAX(tbl_SeqLib[Exact]),"")</f>
        <v/>
      </c>
      <c r="W35" s="57" t="str" cm="1">
        <f t="array" ref="W35">_xlfn.XLOOKUP(0,ABS(tbl_SeqLib[[#This Row],[Avg per plate]:[Max per plate]]-tbl_SeqLib[[#This Row],[Exact]]),tbl_SeqLib[[#This Row],[Avg per plate]:[Max per plate]],,1)</f>
        <v/>
      </c>
      <c r="X3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5" s="84" t="str">
        <f>IF(tbl_SeqLib[[#This Row],[entry]]=1,ROUNDUP(AVERAGE(tbl_SeqLib[Exact]),1),"")</f>
        <v/>
      </c>
      <c r="Z35" s="84" t="str">
        <f>IF(tbl_SeqLib[[#This Row],[entry]]=1,ROUNDUP(AVERAGEIFS(tbl_SeqLib[Exact],tbl_SeqLib[Column],tbl_SeqLib[[#This Row],[Column]]),1),"")</f>
        <v/>
      </c>
      <c r="AA35" s="57" t="str">
        <f>IF(missing_qc_resolution=reference!$E$34,tbl_SeqLib[[#This Row],[Avg per col (missing)]],tbl_SeqLib[[#This Row],[Avg per plate (missing)]])</f>
        <v/>
      </c>
      <c r="AB35" s="57" t="str">
        <f>IF(tbl_SeqLib[[#This Row],[entry]]=0,"",IF(tbl_SeqLib[[#This Row],[entry]]=1,tbl_SeqLib[[#This Row],[Not quantified]],IF(tbl_SeqLib[[#This Row],[entry]]=2,tbl_SeqLib[[#This Row],[Quantified]])))</f>
        <v/>
      </c>
      <c r="AC35" s="136"/>
      <c r="AD3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5" s="58" t="str">
        <f>IF(ISBLANK(tbl_SeqLib[[#This Row],[sWGA Identifier]]),"",CONCATENATE(exp_id,"_",tbl_SeqLib[[#This Row],[Well]]))</f>
        <v/>
      </c>
    </row>
    <row r="36" spans="1:31" ht="15.75" customHeight="1" x14ac:dyDescent="0.25">
      <c r="A36" s="59">
        <v>34</v>
      </c>
      <c r="B36" s="46" t="str">
        <f>RIGHT(tbl_SeqLib[[#This Row],[Well]],LEN(tbl_SeqLib[[#This Row],[Well]])-1)</f>
        <v>5</v>
      </c>
      <c r="C36" s="45" t="s">
        <v>151</v>
      </c>
      <c r="D36" s="19"/>
      <c r="E36" s="21"/>
      <c r="F36" s="31"/>
      <c r="G36" s="19"/>
      <c r="H36" s="31"/>
      <c r="I36" s="31"/>
      <c r="J3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6" s="32" t="s">
        <v>152</v>
      </c>
      <c r="L36" s="85">
        <f>IF(OR(ISBLANK(tbl_SeqLib[[#This Row],[Sample ID]]),ISBLANK(endrepair_targetmass)),0,IF(LEN(tbl_SeqLib[[#This Row],[PCR '[DNA'] (ng / µl)]])=0,1,2))</f>
        <v>0</v>
      </c>
      <c r="M3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6" s="44" t="str">
        <f>IF(tbl_SeqLib[[#This Row],[entry]]=2,ROUNDUP(_xlfn.MINIFS(tbl_SeqLib[Exact],tbl_SeqLib[Column],tbl_SeqLib[[#This Row],[Column]]),1),"")</f>
        <v/>
      </c>
      <c r="O36" s="44" t="str">
        <f>IF(tbl_SeqLib[[#This Row],[entry]]=2,ROUNDDOWN(_xlfn.MAXIFS(tbl_SeqLib[Exact],tbl_SeqLib[Column],tbl_SeqLib[[#This Row],[Column]]),1),"")</f>
        <v/>
      </c>
      <c r="P36" s="44" t="str">
        <f>IF(tbl_SeqLib[[#This Row],[entry]]=2,ROUNDUP(AVERAGEIFS(tbl_SeqLib[Exact],tbl_SeqLib[Column],tbl_SeqLib[[#This Row],[Column]]),1),"")</f>
        <v/>
      </c>
      <c r="Q36" s="44" t="str" cm="1">
        <f t="array" ref="Q36">_xlfn.XLOOKUP(0,ABS(tbl_SeqLib[[#This Row],[Min for col]:[Avg for col]]-tbl_SeqLib[[#This Row],[Exact]]),tbl_SeqLib[[#This Row],[Min for col]:[Avg for col]],"",1)</f>
        <v/>
      </c>
      <c r="R36" s="44" t="str" cm="1">
        <f t="array" ref="R36">_xlfn.XLOOKUP(0,ABS(tbl_SeqLib[[#This Row],[Max for col]:[Avg for col]]-tbl_SeqLib[[#This Row],[Exact]]),tbl_SeqLib[[#This Row],[Max for col]:[Avg for col]],"",1)</f>
        <v/>
      </c>
      <c r="S36" s="44" t="str">
        <f>IF(tbl_SeqLib[[#This Row],[entry]]=2,tbl_SeqLib[[#This Row],[Max for col]],"")</f>
        <v/>
      </c>
      <c r="T36" s="44" t="str">
        <f>IF(tbl_SeqLib[[#This Row],[entry]]=2,tbl_SeqLib[[#This Row],[Avg for col]],"")</f>
        <v/>
      </c>
      <c r="U36" s="44" t="str">
        <f>IF(tbl_SeqLib[[#This Row],[entry]]=2,AVERAGE(tbl_SeqLib[Exact]),"")</f>
        <v/>
      </c>
      <c r="V36" s="44" t="str">
        <f>IF(tbl_SeqLib[[#This Row],[entry]]=2,MAX(tbl_SeqLib[Exact]),"")</f>
        <v/>
      </c>
      <c r="W36" s="44" t="str" cm="1">
        <f t="array" ref="W36">_xlfn.XLOOKUP(0,ABS(tbl_SeqLib[[#This Row],[Avg per plate]:[Max per plate]]-tbl_SeqLib[[#This Row],[Exact]]),tbl_SeqLib[[#This Row],[Avg per plate]:[Max per plate]],,1)</f>
        <v/>
      </c>
      <c r="X3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6" s="85" t="str">
        <f>IF(tbl_SeqLib[[#This Row],[entry]]=1,ROUNDUP(AVERAGE(tbl_SeqLib[Exact]),1),"")</f>
        <v/>
      </c>
      <c r="Z36" s="85" t="str">
        <f>IF(tbl_SeqLib[[#This Row],[entry]]=1,ROUNDUP(AVERAGEIFS(tbl_SeqLib[Exact],tbl_SeqLib[Column],tbl_SeqLib[[#This Row],[Column]]),1),"")</f>
        <v/>
      </c>
      <c r="AA36" s="44" t="str">
        <f>IF(missing_qc_resolution=reference!$E$34,tbl_SeqLib[[#This Row],[Avg per col (missing)]],tbl_SeqLib[[#This Row],[Avg per plate (missing)]])</f>
        <v/>
      </c>
      <c r="AB36" s="44" t="str">
        <f>IF(tbl_SeqLib[[#This Row],[entry]]=0,"",IF(tbl_SeqLib[[#This Row],[entry]]=1,tbl_SeqLib[[#This Row],[Not quantified]],IF(tbl_SeqLib[[#This Row],[entry]]=2,tbl_SeqLib[[#This Row],[Quantified]])))</f>
        <v/>
      </c>
      <c r="AC36" s="137"/>
      <c r="AD3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6" s="60" t="str">
        <f>IF(ISBLANK(tbl_SeqLib[[#This Row],[sWGA Identifier]]),"",CONCATENATE(exp_id,"_",tbl_SeqLib[[#This Row],[Well]]))</f>
        <v/>
      </c>
    </row>
    <row r="37" spans="1:31" ht="15.75" customHeight="1" x14ac:dyDescent="0.25">
      <c r="A37" s="59">
        <v>35</v>
      </c>
      <c r="B37" s="46" t="str">
        <f>RIGHT(tbl_SeqLib[[#This Row],[Well]],LEN(tbl_SeqLib[[#This Row],[Well]])-1)</f>
        <v>5</v>
      </c>
      <c r="C37" s="45" t="s">
        <v>153</v>
      </c>
      <c r="D37" s="19"/>
      <c r="E37" s="21"/>
      <c r="F37" s="31"/>
      <c r="G37" s="19"/>
      <c r="H37" s="31"/>
      <c r="I37" s="31"/>
      <c r="J3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7" s="32" t="s">
        <v>154</v>
      </c>
      <c r="L37" s="85">
        <f>IF(OR(ISBLANK(tbl_SeqLib[[#This Row],[Sample ID]]),ISBLANK(endrepair_targetmass)),0,IF(LEN(tbl_SeqLib[[#This Row],[PCR '[DNA'] (ng / µl)]])=0,1,2))</f>
        <v>0</v>
      </c>
      <c r="M3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7" s="44" t="str">
        <f>IF(tbl_SeqLib[[#This Row],[entry]]=2,ROUNDUP(_xlfn.MINIFS(tbl_SeqLib[Exact],tbl_SeqLib[Column],tbl_SeqLib[[#This Row],[Column]]),1),"")</f>
        <v/>
      </c>
      <c r="O37" s="44" t="str">
        <f>IF(tbl_SeqLib[[#This Row],[entry]]=2,ROUNDDOWN(_xlfn.MAXIFS(tbl_SeqLib[Exact],tbl_SeqLib[Column],tbl_SeqLib[[#This Row],[Column]]),1),"")</f>
        <v/>
      </c>
      <c r="P37" s="44" t="str">
        <f>IF(tbl_SeqLib[[#This Row],[entry]]=2,ROUNDUP(AVERAGEIFS(tbl_SeqLib[Exact],tbl_SeqLib[Column],tbl_SeqLib[[#This Row],[Column]]),1),"")</f>
        <v/>
      </c>
      <c r="Q37" s="44" t="str" cm="1">
        <f t="array" ref="Q37">_xlfn.XLOOKUP(0,ABS(tbl_SeqLib[[#This Row],[Min for col]:[Avg for col]]-tbl_SeqLib[[#This Row],[Exact]]),tbl_SeqLib[[#This Row],[Min for col]:[Avg for col]],"",1)</f>
        <v/>
      </c>
      <c r="R37" s="44" t="str" cm="1">
        <f t="array" ref="R37">_xlfn.XLOOKUP(0,ABS(tbl_SeqLib[[#This Row],[Max for col]:[Avg for col]]-tbl_SeqLib[[#This Row],[Exact]]),tbl_SeqLib[[#This Row],[Max for col]:[Avg for col]],"",1)</f>
        <v/>
      </c>
      <c r="S37" s="44" t="str">
        <f>IF(tbl_SeqLib[[#This Row],[entry]]=2,tbl_SeqLib[[#This Row],[Max for col]],"")</f>
        <v/>
      </c>
      <c r="T37" s="44" t="str">
        <f>IF(tbl_SeqLib[[#This Row],[entry]]=2,tbl_SeqLib[[#This Row],[Avg for col]],"")</f>
        <v/>
      </c>
      <c r="U37" s="44" t="str">
        <f>IF(tbl_SeqLib[[#This Row],[entry]]=2,AVERAGE(tbl_SeqLib[Exact]),"")</f>
        <v/>
      </c>
      <c r="V37" s="44" t="str">
        <f>IF(tbl_SeqLib[[#This Row],[entry]]=2,MAX(tbl_SeqLib[Exact]),"")</f>
        <v/>
      </c>
      <c r="W37" s="44" t="str" cm="1">
        <f t="array" ref="W37">_xlfn.XLOOKUP(0,ABS(tbl_SeqLib[[#This Row],[Avg per plate]:[Max per plate]]-tbl_SeqLib[[#This Row],[Exact]]),tbl_SeqLib[[#This Row],[Avg per plate]:[Max per plate]],,1)</f>
        <v/>
      </c>
      <c r="X3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7" s="85" t="str">
        <f>IF(tbl_SeqLib[[#This Row],[entry]]=1,ROUNDUP(AVERAGE(tbl_SeqLib[Exact]),1),"")</f>
        <v/>
      </c>
      <c r="Z37" s="85" t="str">
        <f>IF(tbl_SeqLib[[#This Row],[entry]]=1,ROUNDUP(AVERAGEIFS(tbl_SeqLib[Exact],tbl_SeqLib[Column],tbl_SeqLib[[#This Row],[Column]]),1),"")</f>
        <v/>
      </c>
      <c r="AA37" s="44" t="str">
        <f>IF(missing_qc_resolution=reference!$E$34,tbl_SeqLib[[#This Row],[Avg per col (missing)]],tbl_SeqLib[[#This Row],[Avg per plate (missing)]])</f>
        <v/>
      </c>
      <c r="AB37" s="44" t="str">
        <f>IF(tbl_SeqLib[[#This Row],[entry]]=0,"",IF(tbl_SeqLib[[#This Row],[entry]]=1,tbl_SeqLib[[#This Row],[Not quantified]],IF(tbl_SeqLib[[#This Row],[entry]]=2,tbl_SeqLib[[#This Row],[Quantified]])))</f>
        <v/>
      </c>
      <c r="AC37" s="137"/>
      <c r="AD3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7" s="60" t="str">
        <f>IF(ISBLANK(tbl_SeqLib[[#This Row],[sWGA Identifier]]),"",CONCATENATE(exp_id,"_",tbl_SeqLib[[#This Row],[Well]]))</f>
        <v/>
      </c>
    </row>
    <row r="38" spans="1:31" ht="15.75" customHeight="1" x14ac:dyDescent="0.25">
      <c r="A38" s="59">
        <v>36</v>
      </c>
      <c r="B38" s="46" t="str">
        <f>RIGHT(tbl_SeqLib[[#This Row],[Well]],LEN(tbl_SeqLib[[#This Row],[Well]])-1)</f>
        <v>5</v>
      </c>
      <c r="C38" s="45" t="s">
        <v>155</v>
      </c>
      <c r="D38" s="19"/>
      <c r="E38" s="21"/>
      <c r="F38" s="31"/>
      <c r="G38" s="19"/>
      <c r="H38" s="31"/>
      <c r="I38" s="31"/>
      <c r="J3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8" s="32" t="s">
        <v>156</v>
      </c>
      <c r="L38" s="85">
        <f>IF(OR(ISBLANK(tbl_SeqLib[[#This Row],[Sample ID]]),ISBLANK(endrepair_targetmass)),0,IF(LEN(tbl_SeqLib[[#This Row],[PCR '[DNA'] (ng / µl)]])=0,1,2))</f>
        <v>0</v>
      </c>
      <c r="M3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8" s="44" t="str">
        <f>IF(tbl_SeqLib[[#This Row],[entry]]=2,ROUNDUP(_xlfn.MINIFS(tbl_SeqLib[Exact],tbl_SeqLib[Column],tbl_SeqLib[[#This Row],[Column]]),1),"")</f>
        <v/>
      </c>
      <c r="O38" s="44" t="str">
        <f>IF(tbl_SeqLib[[#This Row],[entry]]=2,ROUNDDOWN(_xlfn.MAXIFS(tbl_SeqLib[Exact],tbl_SeqLib[Column],tbl_SeqLib[[#This Row],[Column]]),1),"")</f>
        <v/>
      </c>
      <c r="P38" s="44" t="str">
        <f>IF(tbl_SeqLib[[#This Row],[entry]]=2,ROUNDUP(AVERAGEIFS(tbl_SeqLib[Exact],tbl_SeqLib[Column],tbl_SeqLib[[#This Row],[Column]]),1),"")</f>
        <v/>
      </c>
      <c r="Q38" s="44" t="str" cm="1">
        <f t="array" ref="Q38">_xlfn.XLOOKUP(0,ABS(tbl_SeqLib[[#This Row],[Min for col]:[Avg for col]]-tbl_SeqLib[[#This Row],[Exact]]),tbl_SeqLib[[#This Row],[Min for col]:[Avg for col]],"",1)</f>
        <v/>
      </c>
      <c r="R38" s="44" t="str" cm="1">
        <f t="array" ref="R38">_xlfn.XLOOKUP(0,ABS(tbl_SeqLib[[#This Row],[Max for col]:[Avg for col]]-tbl_SeqLib[[#This Row],[Exact]]),tbl_SeqLib[[#This Row],[Max for col]:[Avg for col]],"",1)</f>
        <v/>
      </c>
      <c r="S38" s="44" t="str">
        <f>IF(tbl_SeqLib[[#This Row],[entry]]=2,tbl_SeqLib[[#This Row],[Max for col]],"")</f>
        <v/>
      </c>
      <c r="T38" s="44" t="str">
        <f>IF(tbl_SeqLib[[#This Row],[entry]]=2,tbl_SeqLib[[#This Row],[Avg for col]],"")</f>
        <v/>
      </c>
      <c r="U38" s="44" t="str">
        <f>IF(tbl_SeqLib[[#This Row],[entry]]=2,AVERAGE(tbl_SeqLib[Exact]),"")</f>
        <v/>
      </c>
      <c r="V38" s="44" t="str">
        <f>IF(tbl_SeqLib[[#This Row],[entry]]=2,MAX(tbl_SeqLib[Exact]),"")</f>
        <v/>
      </c>
      <c r="W38" s="44" t="str" cm="1">
        <f t="array" ref="W38">_xlfn.XLOOKUP(0,ABS(tbl_SeqLib[[#This Row],[Avg per plate]:[Max per plate]]-tbl_SeqLib[[#This Row],[Exact]]),tbl_SeqLib[[#This Row],[Avg per plate]:[Max per plate]],,1)</f>
        <v/>
      </c>
      <c r="X3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8" s="85" t="str">
        <f>IF(tbl_SeqLib[[#This Row],[entry]]=1,ROUNDUP(AVERAGE(tbl_SeqLib[Exact]),1),"")</f>
        <v/>
      </c>
      <c r="Z38" s="85" t="str">
        <f>IF(tbl_SeqLib[[#This Row],[entry]]=1,ROUNDUP(AVERAGEIFS(tbl_SeqLib[Exact],tbl_SeqLib[Column],tbl_SeqLib[[#This Row],[Column]]),1),"")</f>
        <v/>
      </c>
      <c r="AA38" s="44" t="str">
        <f>IF(missing_qc_resolution=reference!$E$34,tbl_SeqLib[[#This Row],[Avg per col (missing)]],tbl_SeqLib[[#This Row],[Avg per plate (missing)]])</f>
        <v/>
      </c>
      <c r="AB38" s="44" t="str">
        <f>IF(tbl_SeqLib[[#This Row],[entry]]=0,"",IF(tbl_SeqLib[[#This Row],[entry]]=1,tbl_SeqLib[[#This Row],[Not quantified]],IF(tbl_SeqLib[[#This Row],[entry]]=2,tbl_SeqLib[[#This Row],[Quantified]])))</f>
        <v/>
      </c>
      <c r="AC38" s="137"/>
      <c r="AD3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8" s="60" t="str">
        <f>IF(ISBLANK(tbl_SeqLib[[#This Row],[sWGA Identifier]]),"",CONCATENATE(exp_id,"_",tbl_SeqLib[[#This Row],[Well]]))</f>
        <v/>
      </c>
    </row>
    <row r="39" spans="1:31" ht="15.75" customHeight="1" x14ac:dyDescent="0.25">
      <c r="A39" s="59">
        <v>37</v>
      </c>
      <c r="B39" s="46" t="str">
        <f>RIGHT(tbl_SeqLib[[#This Row],[Well]],LEN(tbl_SeqLib[[#This Row],[Well]])-1)</f>
        <v>5</v>
      </c>
      <c r="C39" s="45" t="s">
        <v>157</v>
      </c>
      <c r="D39" s="19"/>
      <c r="E39" s="21"/>
      <c r="F39" s="31"/>
      <c r="G39" s="19"/>
      <c r="H39" s="31"/>
      <c r="I39" s="31"/>
      <c r="J3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39" s="32" t="s">
        <v>158</v>
      </c>
      <c r="L39" s="85">
        <f>IF(OR(ISBLANK(tbl_SeqLib[[#This Row],[Sample ID]]),ISBLANK(endrepair_targetmass)),0,IF(LEN(tbl_SeqLib[[#This Row],[PCR '[DNA'] (ng / µl)]])=0,1,2))</f>
        <v>0</v>
      </c>
      <c r="M3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39" s="44" t="str">
        <f>IF(tbl_SeqLib[[#This Row],[entry]]=2,ROUNDUP(_xlfn.MINIFS(tbl_SeqLib[Exact],tbl_SeqLib[Column],tbl_SeqLib[[#This Row],[Column]]),1),"")</f>
        <v/>
      </c>
      <c r="O39" s="44" t="str">
        <f>IF(tbl_SeqLib[[#This Row],[entry]]=2,ROUNDDOWN(_xlfn.MAXIFS(tbl_SeqLib[Exact],tbl_SeqLib[Column],tbl_SeqLib[[#This Row],[Column]]),1),"")</f>
        <v/>
      </c>
      <c r="P39" s="44" t="str">
        <f>IF(tbl_SeqLib[[#This Row],[entry]]=2,ROUNDUP(AVERAGEIFS(tbl_SeqLib[Exact],tbl_SeqLib[Column],tbl_SeqLib[[#This Row],[Column]]),1),"")</f>
        <v/>
      </c>
      <c r="Q39" s="44" t="str" cm="1">
        <f t="array" ref="Q39">_xlfn.XLOOKUP(0,ABS(tbl_SeqLib[[#This Row],[Min for col]:[Avg for col]]-tbl_SeqLib[[#This Row],[Exact]]),tbl_SeqLib[[#This Row],[Min for col]:[Avg for col]],"",1)</f>
        <v/>
      </c>
      <c r="R39" s="44" t="str" cm="1">
        <f t="array" ref="R39">_xlfn.XLOOKUP(0,ABS(tbl_SeqLib[[#This Row],[Max for col]:[Avg for col]]-tbl_SeqLib[[#This Row],[Exact]]),tbl_SeqLib[[#This Row],[Max for col]:[Avg for col]],"",1)</f>
        <v/>
      </c>
      <c r="S39" s="44" t="str">
        <f>IF(tbl_SeqLib[[#This Row],[entry]]=2,tbl_SeqLib[[#This Row],[Max for col]],"")</f>
        <v/>
      </c>
      <c r="T39" s="44" t="str">
        <f>IF(tbl_SeqLib[[#This Row],[entry]]=2,tbl_SeqLib[[#This Row],[Avg for col]],"")</f>
        <v/>
      </c>
      <c r="U39" s="44" t="str">
        <f>IF(tbl_SeqLib[[#This Row],[entry]]=2,AVERAGE(tbl_SeqLib[Exact]),"")</f>
        <v/>
      </c>
      <c r="V39" s="44" t="str">
        <f>IF(tbl_SeqLib[[#This Row],[entry]]=2,MAX(tbl_SeqLib[Exact]),"")</f>
        <v/>
      </c>
      <c r="W39" s="44" t="str" cm="1">
        <f t="array" ref="W39">_xlfn.XLOOKUP(0,ABS(tbl_SeqLib[[#This Row],[Avg per plate]:[Max per plate]]-tbl_SeqLib[[#This Row],[Exact]]),tbl_SeqLib[[#This Row],[Avg per plate]:[Max per plate]],,1)</f>
        <v/>
      </c>
      <c r="X3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39" s="85" t="str">
        <f>IF(tbl_SeqLib[[#This Row],[entry]]=1,ROUNDUP(AVERAGE(tbl_SeqLib[Exact]),1),"")</f>
        <v/>
      </c>
      <c r="Z39" s="85" t="str">
        <f>IF(tbl_SeqLib[[#This Row],[entry]]=1,ROUNDUP(AVERAGEIFS(tbl_SeqLib[Exact],tbl_SeqLib[Column],tbl_SeqLib[[#This Row],[Column]]),1),"")</f>
        <v/>
      </c>
      <c r="AA39" s="44" t="str">
        <f>IF(missing_qc_resolution=reference!$E$34,tbl_SeqLib[[#This Row],[Avg per col (missing)]],tbl_SeqLib[[#This Row],[Avg per plate (missing)]])</f>
        <v/>
      </c>
      <c r="AB39" s="44" t="str">
        <f>IF(tbl_SeqLib[[#This Row],[entry]]=0,"",IF(tbl_SeqLib[[#This Row],[entry]]=1,tbl_SeqLib[[#This Row],[Not quantified]],IF(tbl_SeqLib[[#This Row],[entry]]=2,tbl_SeqLib[[#This Row],[Quantified]])))</f>
        <v/>
      </c>
      <c r="AC39" s="137"/>
      <c r="AD3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39" s="60" t="str">
        <f>IF(ISBLANK(tbl_SeqLib[[#This Row],[sWGA Identifier]]),"",CONCATENATE(exp_id,"_",tbl_SeqLib[[#This Row],[Well]]))</f>
        <v/>
      </c>
    </row>
    <row r="40" spans="1:31" ht="15.75" customHeight="1" x14ac:dyDescent="0.25">
      <c r="A40" s="59">
        <v>38</v>
      </c>
      <c r="B40" s="46" t="str">
        <f>RIGHT(tbl_SeqLib[[#This Row],[Well]],LEN(tbl_SeqLib[[#This Row],[Well]])-1)</f>
        <v>5</v>
      </c>
      <c r="C40" s="45" t="s">
        <v>159</v>
      </c>
      <c r="D40" s="19"/>
      <c r="E40" s="21"/>
      <c r="F40" s="31"/>
      <c r="G40" s="19"/>
      <c r="H40" s="31"/>
      <c r="I40" s="31"/>
      <c r="J4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0" s="32" t="s">
        <v>160</v>
      </c>
      <c r="L40" s="85">
        <f>IF(OR(ISBLANK(tbl_SeqLib[[#This Row],[Sample ID]]),ISBLANK(endrepair_targetmass)),0,IF(LEN(tbl_SeqLib[[#This Row],[PCR '[DNA'] (ng / µl)]])=0,1,2))</f>
        <v>0</v>
      </c>
      <c r="M4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0" s="44" t="str">
        <f>IF(tbl_SeqLib[[#This Row],[entry]]=2,ROUNDUP(_xlfn.MINIFS(tbl_SeqLib[Exact],tbl_SeqLib[Column],tbl_SeqLib[[#This Row],[Column]]),1),"")</f>
        <v/>
      </c>
      <c r="O40" s="44" t="str">
        <f>IF(tbl_SeqLib[[#This Row],[entry]]=2,ROUNDDOWN(_xlfn.MAXIFS(tbl_SeqLib[Exact],tbl_SeqLib[Column],tbl_SeqLib[[#This Row],[Column]]),1),"")</f>
        <v/>
      </c>
      <c r="P40" s="44" t="str">
        <f>IF(tbl_SeqLib[[#This Row],[entry]]=2,ROUNDUP(AVERAGEIFS(tbl_SeqLib[Exact],tbl_SeqLib[Column],tbl_SeqLib[[#This Row],[Column]]),1),"")</f>
        <v/>
      </c>
      <c r="Q40" s="44" t="str" cm="1">
        <f t="array" ref="Q40">_xlfn.XLOOKUP(0,ABS(tbl_SeqLib[[#This Row],[Min for col]:[Avg for col]]-tbl_SeqLib[[#This Row],[Exact]]),tbl_SeqLib[[#This Row],[Min for col]:[Avg for col]],"",1)</f>
        <v/>
      </c>
      <c r="R40" s="44" t="str" cm="1">
        <f t="array" ref="R40">_xlfn.XLOOKUP(0,ABS(tbl_SeqLib[[#This Row],[Max for col]:[Avg for col]]-tbl_SeqLib[[#This Row],[Exact]]),tbl_SeqLib[[#This Row],[Max for col]:[Avg for col]],"",1)</f>
        <v/>
      </c>
      <c r="S40" s="44" t="str">
        <f>IF(tbl_SeqLib[[#This Row],[entry]]=2,tbl_SeqLib[[#This Row],[Max for col]],"")</f>
        <v/>
      </c>
      <c r="T40" s="44" t="str">
        <f>IF(tbl_SeqLib[[#This Row],[entry]]=2,tbl_SeqLib[[#This Row],[Avg for col]],"")</f>
        <v/>
      </c>
      <c r="U40" s="44" t="str">
        <f>IF(tbl_SeqLib[[#This Row],[entry]]=2,AVERAGE(tbl_SeqLib[Exact]),"")</f>
        <v/>
      </c>
      <c r="V40" s="44" t="str">
        <f>IF(tbl_SeqLib[[#This Row],[entry]]=2,MAX(tbl_SeqLib[Exact]),"")</f>
        <v/>
      </c>
      <c r="W40" s="44" t="str" cm="1">
        <f t="array" ref="W40">_xlfn.XLOOKUP(0,ABS(tbl_SeqLib[[#This Row],[Avg per plate]:[Max per plate]]-tbl_SeqLib[[#This Row],[Exact]]),tbl_SeqLib[[#This Row],[Avg per plate]:[Max per plate]],,1)</f>
        <v/>
      </c>
      <c r="X4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0" s="85" t="str">
        <f>IF(tbl_SeqLib[[#This Row],[entry]]=1,ROUNDUP(AVERAGE(tbl_SeqLib[Exact]),1),"")</f>
        <v/>
      </c>
      <c r="Z40" s="85" t="str">
        <f>IF(tbl_SeqLib[[#This Row],[entry]]=1,ROUNDUP(AVERAGEIFS(tbl_SeqLib[Exact],tbl_SeqLib[Column],tbl_SeqLib[[#This Row],[Column]]),1),"")</f>
        <v/>
      </c>
      <c r="AA40" s="44" t="str">
        <f>IF(missing_qc_resolution=reference!$E$34,tbl_SeqLib[[#This Row],[Avg per col (missing)]],tbl_SeqLib[[#This Row],[Avg per plate (missing)]])</f>
        <v/>
      </c>
      <c r="AB40" s="44" t="str">
        <f>IF(tbl_SeqLib[[#This Row],[entry]]=0,"",IF(tbl_SeqLib[[#This Row],[entry]]=1,tbl_SeqLib[[#This Row],[Not quantified]],IF(tbl_SeqLib[[#This Row],[entry]]=2,tbl_SeqLib[[#This Row],[Quantified]])))</f>
        <v/>
      </c>
      <c r="AC40" s="137"/>
      <c r="AD4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0" s="60" t="str">
        <f>IF(ISBLANK(tbl_SeqLib[[#This Row],[sWGA Identifier]]),"",CONCATENATE(exp_id,"_",tbl_SeqLib[[#This Row],[Well]]))</f>
        <v/>
      </c>
    </row>
    <row r="41" spans="1:31" ht="15.75" customHeight="1" x14ac:dyDescent="0.25">
      <c r="A41" s="59">
        <v>39</v>
      </c>
      <c r="B41" s="46" t="str">
        <f>RIGHT(tbl_SeqLib[[#This Row],[Well]],LEN(tbl_SeqLib[[#This Row],[Well]])-1)</f>
        <v>5</v>
      </c>
      <c r="C41" s="45" t="s">
        <v>161</v>
      </c>
      <c r="D41" s="19"/>
      <c r="E41" s="21"/>
      <c r="F41" s="31"/>
      <c r="G41" s="19"/>
      <c r="H41" s="31"/>
      <c r="I41" s="31"/>
      <c r="J4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1" s="32" t="s">
        <v>162</v>
      </c>
      <c r="L41" s="85">
        <f>IF(OR(ISBLANK(tbl_SeqLib[[#This Row],[Sample ID]]),ISBLANK(endrepair_targetmass)),0,IF(LEN(tbl_SeqLib[[#This Row],[PCR '[DNA'] (ng / µl)]])=0,1,2))</f>
        <v>0</v>
      </c>
      <c r="M4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1" s="44" t="str">
        <f>IF(tbl_SeqLib[[#This Row],[entry]]=2,ROUNDUP(_xlfn.MINIFS(tbl_SeqLib[Exact],tbl_SeqLib[Column],tbl_SeqLib[[#This Row],[Column]]),1),"")</f>
        <v/>
      </c>
      <c r="O41" s="44" t="str">
        <f>IF(tbl_SeqLib[[#This Row],[entry]]=2,ROUNDDOWN(_xlfn.MAXIFS(tbl_SeqLib[Exact],tbl_SeqLib[Column],tbl_SeqLib[[#This Row],[Column]]),1),"")</f>
        <v/>
      </c>
      <c r="P41" s="44" t="str">
        <f>IF(tbl_SeqLib[[#This Row],[entry]]=2,ROUNDUP(AVERAGEIFS(tbl_SeqLib[Exact],tbl_SeqLib[Column],tbl_SeqLib[[#This Row],[Column]]),1),"")</f>
        <v/>
      </c>
      <c r="Q41" s="44" t="str" cm="1">
        <f t="array" ref="Q41">_xlfn.XLOOKUP(0,ABS(tbl_SeqLib[[#This Row],[Min for col]:[Avg for col]]-tbl_SeqLib[[#This Row],[Exact]]),tbl_SeqLib[[#This Row],[Min for col]:[Avg for col]],"",1)</f>
        <v/>
      </c>
      <c r="R41" s="44" t="str" cm="1">
        <f t="array" ref="R41">_xlfn.XLOOKUP(0,ABS(tbl_SeqLib[[#This Row],[Max for col]:[Avg for col]]-tbl_SeqLib[[#This Row],[Exact]]),tbl_SeqLib[[#This Row],[Max for col]:[Avg for col]],"",1)</f>
        <v/>
      </c>
      <c r="S41" s="44" t="str">
        <f>IF(tbl_SeqLib[[#This Row],[entry]]=2,tbl_SeqLib[[#This Row],[Max for col]],"")</f>
        <v/>
      </c>
      <c r="T41" s="44" t="str">
        <f>IF(tbl_SeqLib[[#This Row],[entry]]=2,tbl_SeqLib[[#This Row],[Avg for col]],"")</f>
        <v/>
      </c>
      <c r="U41" s="44" t="str">
        <f>IF(tbl_SeqLib[[#This Row],[entry]]=2,AVERAGE(tbl_SeqLib[Exact]),"")</f>
        <v/>
      </c>
      <c r="V41" s="44" t="str">
        <f>IF(tbl_SeqLib[[#This Row],[entry]]=2,MAX(tbl_SeqLib[Exact]),"")</f>
        <v/>
      </c>
      <c r="W41" s="44" t="str" cm="1">
        <f t="array" ref="W41">_xlfn.XLOOKUP(0,ABS(tbl_SeqLib[[#This Row],[Avg per plate]:[Max per plate]]-tbl_SeqLib[[#This Row],[Exact]]),tbl_SeqLib[[#This Row],[Avg per plate]:[Max per plate]],,1)</f>
        <v/>
      </c>
      <c r="X4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1" s="85" t="str">
        <f>IF(tbl_SeqLib[[#This Row],[entry]]=1,ROUNDUP(AVERAGE(tbl_SeqLib[Exact]),1),"")</f>
        <v/>
      </c>
      <c r="Z41" s="85" t="str">
        <f>IF(tbl_SeqLib[[#This Row],[entry]]=1,ROUNDUP(AVERAGEIFS(tbl_SeqLib[Exact],tbl_SeqLib[Column],tbl_SeqLib[[#This Row],[Column]]),1),"")</f>
        <v/>
      </c>
      <c r="AA41" s="44" t="str">
        <f>IF(missing_qc_resolution=reference!$E$34,tbl_SeqLib[[#This Row],[Avg per col (missing)]],tbl_SeqLib[[#This Row],[Avg per plate (missing)]])</f>
        <v/>
      </c>
      <c r="AB41" s="44" t="str">
        <f>IF(tbl_SeqLib[[#This Row],[entry]]=0,"",IF(tbl_SeqLib[[#This Row],[entry]]=1,tbl_SeqLib[[#This Row],[Not quantified]],IF(tbl_SeqLib[[#This Row],[entry]]=2,tbl_SeqLib[[#This Row],[Quantified]])))</f>
        <v/>
      </c>
      <c r="AC41" s="137"/>
      <c r="AD4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1" s="60" t="str">
        <f>IF(ISBLANK(tbl_SeqLib[[#This Row],[sWGA Identifier]]),"",CONCATENATE(exp_id,"_",tbl_SeqLib[[#This Row],[Well]]))</f>
        <v/>
      </c>
    </row>
    <row r="42" spans="1:31" ht="15.75" customHeight="1" thickBot="1" x14ac:dyDescent="0.3">
      <c r="A42" s="61">
        <v>40</v>
      </c>
      <c r="B42" s="62" t="str">
        <f>RIGHT(tbl_SeqLib[[#This Row],[Well]],LEN(tbl_SeqLib[[#This Row],[Well]])-1)</f>
        <v>5</v>
      </c>
      <c r="C42" s="70" t="s">
        <v>163</v>
      </c>
      <c r="D42" s="63"/>
      <c r="E42" s="64"/>
      <c r="F42" s="65"/>
      <c r="G42" s="63"/>
      <c r="H42" s="65"/>
      <c r="I42" s="65"/>
      <c r="J4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2" s="67" t="s">
        <v>164</v>
      </c>
      <c r="L42" s="86">
        <f>IF(OR(ISBLANK(tbl_SeqLib[[#This Row],[Sample ID]]),ISBLANK(endrepair_targetmass)),0,IF(LEN(tbl_SeqLib[[#This Row],[PCR '[DNA'] (ng / µl)]])=0,1,2))</f>
        <v>0</v>
      </c>
      <c r="M4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2" s="68" t="str">
        <f>IF(tbl_SeqLib[[#This Row],[entry]]=2,ROUNDUP(_xlfn.MINIFS(tbl_SeqLib[Exact],tbl_SeqLib[Column],tbl_SeqLib[[#This Row],[Column]]),1),"")</f>
        <v/>
      </c>
      <c r="O42" s="68" t="str">
        <f>IF(tbl_SeqLib[[#This Row],[entry]]=2,ROUNDDOWN(_xlfn.MAXIFS(tbl_SeqLib[Exact],tbl_SeqLib[Column],tbl_SeqLib[[#This Row],[Column]]),1),"")</f>
        <v/>
      </c>
      <c r="P42" s="68" t="str">
        <f>IF(tbl_SeqLib[[#This Row],[entry]]=2,ROUNDUP(AVERAGEIFS(tbl_SeqLib[Exact],tbl_SeqLib[Column],tbl_SeqLib[[#This Row],[Column]]),1),"")</f>
        <v/>
      </c>
      <c r="Q42" s="68" t="str" cm="1">
        <f t="array" ref="Q42">_xlfn.XLOOKUP(0,ABS(tbl_SeqLib[[#This Row],[Min for col]:[Avg for col]]-tbl_SeqLib[[#This Row],[Exact]]),tbl_SeqLib[[#This Row],[Min for col]:[Avg for col]],"",1)</f>
        <v/>
      </c>
      <c r="R42" s="68" t="str" cm="1">
        <f t="array" ref="R42">_xlfn.XLOOKUP(0,ABS(tbl_SeqLib[[#This Row],[Max for col]:[Avg for col]]-tbl_SeqLib[[#This Row],[Exact]]),tbl_SeqLib[[#This Row],[Max for col]:[Avg for col]],"",1)</f>
        <v/>
      </c>
      <c r="S42" s="68" t="str">
        <f>IF(tbl_SeqLib[[#This Row],[entry]]=2,tbl_SeqLib[[#This Row],[Max for col]],"")</f>
        <v/>
      </c>
      <c r="T42" s="68" t="str">
        <f>IF(tbl_SeqLib[[#This Row],[entry]]=2,tbl_SeqLib[[#This Row],[Avg for col]],"")</f>
        <v/>
      </c>
      <c r="U42" s="68" t="str">
        <f>IF(tbl_SeqLib[[#This Row],[entry]]=2,AVERAGE(tbl_SeqLib[Exact]),"")</f>
        <v/>
      </c>
      <c r="V42" s="68" t="str">
        <f>IF(tbl_SeqLib[[#This Row],[entry]]=2,MAX(tbl_SeqLib[Exact]),"")</f>
        <v/>
      </c>
      <c r="W42" s="68" t="str" cm="1">
        <f t="array" ref="W42">_xlfn.XLOOKUP(0,ABS(tbl_SeqLib[[#This Row],[Avg per plate]:[Max per plate]]-tbl_SeqLib[[#This Row],[Exact]]),tbl_SeqLib[[#This Row],[Avg per plate]:[Max per plate]],,1)</f>
        <v/>
      </c>
      <c r="X4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2" s="86" t="str">
        <f>IF(tbl_SeqLib[[#This Row],[entry]]=1,ROUNDUP(AVERAGE(tbl_SeqLib[Exact]),1),"")</f>
        <v/>
      </c>
      <c r="Z42" s="86" t="str">
        <f>IF(tbl_SeqLib[[#This Row],[entry]]=1,ROUNDUP(AVERAGEIFS(tbl_SeqLib[Exact],tbl_SeqLib[Column],tbl_SeqLib[[#This Row],[Column]]),1),"")</f>
        <v/>
      </c>
      <c r="AA42" s="68" t="str">
        <f>IF(missing_qc_resolution=reference!$E$34,tbl_SeqLib[[#This Row],[Avg per col (missing)]],tbl_SeqLib[[#This Row],[Avg per plate (missing)]])</f>
        <v/>
      </c>
      <c r="AB42" s="68" t="str">
        <f>IF(tbl_SeqLib[[#This Row],[entry]]=0,"",IF(tbl_SeqLib[[#This Row],[entry]]=1,tbl_SeqLib[[#This Row],[Not quantified]],IF(tbl_SeqLib[[#This Row],[entry]]=2,tbl_SeqLib[[#This Row],[Quantified]])))</f>
        <v/>
      </c>
      <c r="AC42" s="138"/>
      <c r="AD4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2" s="69" t="str">
        <f>IF(ISBLANK(tbl_SeqLib[[#This Row],[sWGA Identifier]]),"",CONCATENATE(exp_id,"_",tbl_SeqLib[[#This Row],[Well]]))</f>
        <v/>
      </c>
    </row>
    <row r="43" spans="1:31" ht="15.75" customHeight="1" x14ac:dyDescent="0.25">
      <c r="A43" s="50">
        <v>41</v>
      </c>
      <c r="B43" s="51" t="str">
        <f>RIGHT(tbl_SeqLib[[#This Row],[Well]],LEN(tbl_SeqLib[[#This Row],[Well]])-1)</f>
        <v>6</v>
      </c>
      <c r="C43" s="51" t="s">
        <v>165</v>
      </c>
      <c r="D43" s="52"/>
      <c r="E43" s="56"/>
      <c r="F43" s="52"/>
      <c r="G43" s="52"/>
      <c r="H43" s="52"/>
      <c r="I43" s="52"/>
      <c r="J4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3" s="56" t="s">
        <v>166</v>
      </c>
      <c r="L43" s="84">
        <f>IF(OR(ISBLANK(tbl_SeqLib[[#This Row],[Sample ID]]),ISBLANK(endrepair_targetmass)),0,IF(LEN(tbl_SeqLib[[#This Row],[PCR '[DNA'] (ng / µl)]])=0,1,2))</f>
        <v>0</v>
      </c>
      <c r="M4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3" s="57" t="str">
        <f>IF(tbl_SeqLib[[#This Row],[entry]]=2,ROUNDUP(_xlfn.MINIFS(tbl_SeqLib[Exact],tbl_SeqLib[Column],tbl_SeqLib[[#This Row],[Column]]),1),"")</f>
        <v/>
      </c>
      <c r="O43" s="57" t="str">
        <f>IF(tbl_SeqLib[[#This Row],[entry]]=2,ROUNDDOWN(_xlfn.MAXIFS(tbl_SeqLib[Exact],tbl_SeqLib[Column],tbl_SeqLib[[#This Row],[Column]]),1),"")</f>
        <v/>
      </c>
      <c r="P43" s="57" t="str">
        <f>IF(tbl_SeqLib[[#This Row],[entry]]=2,ROUNDUP(AVERAGEIFS(tbl_SeqLib[Exact],tbl_SeqLib[Column],tbl_SeqLib[[#This Row],[Column]]),1),"")</f>
        <v/>
      </c>
      <c r="Q43" s="57" t="str" cm="1">
        <f t="array" ref="Q43">_xlfn.XLOOKUP(0,ABS(tbl_SeqLib[[#This Row],[Min for col]:[Avg for col]]-tbl_SeqLib[[#This Row],[Exact]]),tbl_SeqLib[[#This Row],[Min for col]:[Avg for col]],"",1)</f>
        <v/>
      </c>
      <c r="R43" s="57" t="str" cm="1">
        <f t="array" ref="R43">_xlfn.XLOOKUP(0,ABS(tbl_SeqLib[[#This Row],[Max for col]:[Avg for col]]-tbl_SeqLib[[#This Row],[Exact]]),tbl_SeqLib[[#This Row],[Max for col]:[Avg for col]],"",1)</f>
        <v/>
      </c>
      <c r="S43" s="57" t="str">
        <f>IF(tbl_SeqLib[[#This Row],[entry]]=2,tbl_SeqLib[[#This Row],[Max for col]],"")</f>
        <v/>
      </c>
      <c r="T43" s="57" t="str">
        <f>IF(tbl_SeqLib[[#This Row],[entry]]=2,tbl_SeqLib[[#This Row],[Avg for col]],"")</f>
        <v/>
      </c>
      <c r="U43" s="57" t="str">
        <f>IF(tbl_SeqLib[[#This Row],[entry]]=2,AVERAGE(tbl_SeqLib[Exact]),"")</f>
        <v/>
      </c>
      <c r="V43" s="57" t="str">
        <f>IF(tbl_SeqLib[[#This Row],[entry]]=2,MAX(tbl_SeqLib[Exact]),"")</f>
        <v/>
      </c>
      <c r="W43" s="57" t="str" cm="1">
        <f t="array" ref="W43">_xlfn.XLOOKUP(0,ABS(tbl_SeqLib[[#This Row],[Avg per plate]:[Max per plate]]-tbl_SeqLib[[#This Row],[Exact]]),tbl_SeqLib[[#This Row],[Avg per plate]:[Max per plate]],,1)</f>
        <v/>
      </c>
      <c r="X4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3" s="84" t="str">
        <f>IF(tbl_SeqLib[[#This Row],[entry]]=1,ROUNDUP(AVERAGE(tbl_SeqLib[Exact]),1),"")</f>
        <v/>
      </c>
      <c r="Z43" s="84" t="str">
        <f>IF(tbl_SeqLib[[#This Row],[entry]]=1,ROUNDUP(AVERAGEIFS(tbl_SeqLib[Exact],tbl_SeqLib[Column],tbl_SeqLib[[#This Row],[Column]]),1),"")</f>
        <v/>
      </c>
      <c r="AA43" s="57" t="str">
        <f>IF(missing_qc_resolution=reference!$E$34,tbl_SeqLib[[#This Row],[Avg per col (missing)]],tbl_SeqLib[[#This Row],[Avg per plate (missing)]])</f>
        <v/>
      </c>
      <c r="AB43" s="57" t="str">
        <f>IF(tbl_SeqLib[[#This Row],[entry]]=0,"",IF(tbl_SeqLib[[#This Row],[entry]]=1,tbl_SeqLib[[#This Row],[Not quantified]],IF(tbl_SeqLib[[#This Row],[entry]]=2,tbl_SeqLib[[#This Row],[Quantified]])))</f>
        <v/>
      </c>
      <c r="AC43" s="136"/>
      <c r="AD4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3" s="58" t="str">
        <f>IF(ISBLANK(tbl_SeqLib[[#This Row],[sWGA Identifier]]),"",CONCATENATE(exp_id,"_",tbl_SeqLib[[#This Row],[Well]]))</f>
        <v/>
      </c>
    </row>
    <row r="44" spans="1:31" ht="15.75" customHeight="1" x14ac:dyDescent="0.25">
      <c r="A44" s="59">
        <v>42</v>
      </c>
      <c r="B44" s="46" t="str">
        <f>RIGHT(tbl_SeqLib[[#This Row],[Well]],LEN(tbl_SeqLib[[#This Row],[Well]])-1)</f>
        <v>6</v>
      </c>
      <c r="C44" s="45" t="s">
        <v>167</v>
      </c>
      <c r="D44" s="19"/>
      <c r="E44" s="21"/>
      <c r="F44" s="31"/>
      <c r="G44" s="19"/>
      <c r="H44" s="31"/>
      <c r="I44" s="31"/>
      <c r="J4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4" s="32" t="s">
        <v>168</v>
      </c>
      <c r="L44" s="85">
        <f>IF(OR(ISBLANK(tbl_SeqLib[[#This Row],[Sample ID]]),ISBLANK(endrepair_targetmass)),0,IF(LEN(tbl_SeqLib[[#This Row],[PCR '[DNA'] (ng / µl)]])=0,1,2))</f>
        <v>0</v>
      </c>
      <c r="M4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4" s="44" t="str">
        <f>IF(tbl_SeqLib[[#This Row],[entry]]=2,ROUNDUP(_xlfn.MINIFS(tbl_SeqLib[Exact],tbl_SeqLib[Column],tbl_SeqLib[[#This Row],[Column]]),1),"")</f>
        <v/>
      </c>
      <c r="O44" s="44" t="str">
        <f>IF(tbl_SeqLib[[#This Row],[entry]]=2,ROUNDDOWN(_xlfn.MAXIFS(tbl_SeqLib[Exact],tbl_SeqLib[Column],tbl_SeqLib[[#This Row],[Column]]),1),"")</f>
        <v/>
      </c>
      <c r="P44" s="44" t="str">
        <f>IF(tbl_SeqLib[[#This Row],[entry]]=2,ROUNDUP(AVERAGEIFS(tbl_SeqLib[Exact],tbl_SeqLib[Column],tbl_SeqLib[[#This Row],[Column]]),1),"")</f>
        <v/>
      </c>
      <c r="Q44" s="44" t="str" cm="1">
        <f t="array" ref="Q44">_xlfn.XLOOKUP(0,ABS(tbl_SeqLib[[#This Row],[Min for col]:[Avg for col]]-tbl_SeqLib[[#This Row],[Exact]]),tbl_SeqLib[[#This Row],[Min for col]:[Avg for col]],"",1)</f>
        <v/>
      </c>
      <c r="R44" s="44" t="str" cm="1">
        <f t="array" ref="R44">_xlfn.XLOOKUP(0,ABS(tbl_SeqLib[[#This Row],[Max for col]:[Avg for col]]-tbl_SeqLib[[#This Row],[Exact]]),tbl_SeqLib[[#This Row],[Max for col]:[Avg for col]],"",1)</f>
        <v/>
      </c>
      <c r="S44" s="44" t="str">
        <f>IF(tbl_SeqLib[[#This Row],[entry]]=2,tbl_SeqLib[[#This Row],[Max for col]],"")</f>
        <v/>
      </c>
      <c r="T44" s="44" t="str">
        <f>IF(tbl_SeqLib[[#This Row],[entry]]=2,tbl_SeqLib[[#This Row],[Avg for col]],"")</f>
        <v/>
      </c>
      <c r="U44" s="44" t="str">
        <f>IF(tbl_SeqLib[[#This Row],[entry]]=2,AVERAGE(tbl_SeqLib[Exact]),"")</f>
        <v/>
      </c>
      <c r="V44" s="44" t="str">
        <f>IF(tbl_SeqLib[[#This Row],[entry]]=2,MAX(tbl_SeqLib[Exact]),"")</f>
        <v/>
      </c>
      <c r="W44" s="44" t="str" cm="1">
        <f t="array" ref="W44">_xlfn.XLOOKUP(0,ABS(tbl_SeqLib[[#This Row],[Avg per plate]:[Max per plate]]-tbl_SeqLib[[#This Row],[Exact]]),tbl_SeqLib[[#This Row],[Avg per plate]:[Max per plate]],,1)</f>
        <v/>
      </c>
      <c r="X4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4" s="85" t="str">
        <f>IF(tbl_SeqLib[[#This Row],[entry]]=1,ROUNDUP(AVERAGE(tbl_SeqLib[Exact]),1),"")</f>
        <v/>
      </c>
      <c r="Z44" s="85" t="str">
        <f>IF(tbl_SeqLib[[#This Row],[entry]]=1,ROUNDUP(AVERAGEIFS(tbl_SeqLib[Exact],tbl_SeqLib[Column],tbl_SeqLib[[#This Row],[Column]]),1),"")</f>
        <v/>
      </c>
      <c r="AA44" s="44" t="str">
        <f>IF(missing_qc_resolution=reference!$E$34,tbl_SeqLib[[#This Row],[Avg per col (missing)]],tbl_SeqLib[[#This Row],[Avg per plate (missing)]])</f>
        <v/>
      </c>
      <c r="AB44" s="44" t="str">
        <f>IF(tbl_SeqLib[[#This Row],[entry]]=0,"",IF(tbl_SeqLib[[#This Row],[entry]]=1,tbl_SeqLib[[#This Row],[Not quantified]],IF(tbl_SeqLib[[#This Row],[entry]]=2,tbl_SeqLib[[#This Row],[Quantified]])))</f>
        <v/>
      </c>
      <c r="AC44" s="137"/>
      <c r="AD4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4" s="60" t="str">
        <f>IF(ISBLANK(tbl_SeqLib[[#This Row],[sWGA Identifier]]),"",CONCATENATE(exp_id,"_",tbl_SeqLib[[#This Row],[Well]]))</f>
        <v/>
      </c>
    </row>
    <row r="45" spans="1:31" ht="15.75" customHeight="1" x14ac:dyDescent="0.25">
      <c r="A45" s="59">
        <v>43</v>
      </c>
      <c r="B45" s="46" t="str">
        <f>RIGHT(tbl_SeqLib[[#This Row],[Well]],LEN(tbl_SeqLib[[#This Row],[Well]])-1)</f>
        <v>6</v>
      </c>
      <c r="C45" s="45" t="s">
        <v>169</v>
      </c>
      <c r="D45" s="19"/>
      <c r="E45" s="21"/>
      <c r="F45" s="31"/>
      <c r="G45" s="19"/>
      <c r="H45" s="31"/>
      <c r="I45" s="31"/>
      <c r="J4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5" s="32" t="s">
        <v>170</v>
      </c>
      <c r="L45" s="85">
        <f>IF(OR(ISBLANK(tbl_SeqLib[[#This Row],[Sample ID]]),ISBLANK(endrepair_targetmass)),0,IF(LEN(tbl_SeqLib[[#This Row],[PCR '[DNA'] (ng / µl)]])=0,1,2))</f>
        <v>0</v>
      </c>
      <c r="M4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5" s="44" t="str">
        <f>IF(tbl_SeqLib[[#This Row],[entry]]=2,ROUNDUP(_xlfn.MINIFS(tbl_SeqLib[Exact],tbl_SeqLib[Column],tbl_SeqLib[[#This Row],[Column]]),1),"")</f>
        <v/>
      </c>
      <c r="O45" s="44" t="str">
        <f>IF(tbl_SeqLib[[#This Row],[entry]]=2,ROUNDDOWN(_xlfn.MAXIFS(tbl_SeqLib[Exact],tbl_SeqLib[Column],tbl_SeqLib[[#This Row],[Column]]),1),"")</f>
        <v/>
      </c>
      <c r="P45" s="44" t="str">
        <f>IF(tbl_SeqLib[[#This Row],[entry]]=2,ROUNDUP(AVERAGEIFS(tbl_SeqLib[Exact],tbl_SeqLib[Column],tbl_SeqLib[[#This Row],[Column]]),1),"")</f>
        <v/>
      </c>
      <c r="Q45" s="44" t="str" cm="1">
        <f t="array" ref="Q45">_xlfn.XLOOKUP(0,ABS(tbl_SeqLib[[#This Row],[Min for col]:[Avg for col]]-tbl_SeqLib[[#This Row],[Exact]]),tbl_SeqLib[[#This Row],[Min for col]:[Avg for col]],"",1)</f>
        <v/>
      </c>
      <c r="R45" s="44" t="str" cm="1">
        <f t="array" ref="R45">_xlfn.XLOOKUP(0,ABS(tbl_SeqLib[[#This Row],[Max for col]:[Avg for col]]-tbl_SeqLib[[#This Row],[Exact]]),tbl_SeqLib[[#This Row],[Max for col]:[Avg for col]],"",1)</f>
        <v/>
      </c>
      <c r="S45" s="44" t="str">
        <f>IF(tbl_SeqLib[[#This Row],[entry]]=2,tbl_SeqLib[[#This Row],[Max for col]],"")</f>
        <v/>
      </c>
      <c r="T45" s="44" t="str">
        <f>IF(tbl_SeqLib[[#This Row],[entry]]=2,tbl_SeqLib[[#This Row],[Avg for col]],"")</f>
        <v/>
      </c>
      <c r="U45" s="44" t="str">
        <f>IF(tbl_SeqLib[[#This Row],[entry]]=2,AVERAGE(tbl_SeqLib[Exact]),"")</f>
        <v/>
      </c>
      <c r="V45" s="44" t="str">
        <f>IF(tbl_SeqLib[[#This Row],[entry]]=2,MAX(tbl_SeqLib[Exact]),"")</f>
        <v/>
      </c>
      <c r="W45" s="44" t="str" cm="1">
        <f t="array" ref="W45">_xlfn.XLOOKUP(0,ABS(tbl_SeqLib[[#This Row],[Avg per plate]:[Max per plate]]-tbl_SeqLib[[#This Row],[Exact]]),tbl_SeqLib[[#This Row],[Avg per plate]:[Max per plate]],,1)</f>
        <v/>
      </c>
      <c r="X4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5" s="85" t="str">
        <f>IF(tbl_SeqLib[[#This Row],[entry]]=1,ROUNDUP(AVERAGE(tbl_SeqLib[Exact]),1),"")</f>
        <v/>
      </c>
      <c r="Z45" s="85" t="str">
        <f>IF(tbl_SeqLib[[#This Row],[entry]]=1,ROUNDUP(AVERAGEIFS(tbl_SeqLib[Exact],tbl_SeqLib[Column],tbl_SeqLib[[#This Row],[Column]]),1),"")</f>
        <v/>
      </c>
      <c r="AA45" s="44" t="str">
        <f>IF(missing_qc_resolution=reference!$E$34,tbl_SeqLib[[#This Row],[Avg per col (missing)]],tbl_SeqLib[[#This Row],[Avg per plate (missing)]])</f>
        <v/>
      </c>
      <c r="AB45" s="44" t="str">
        <f>IF(tbl_SeqLib[[#This Row],[entry]]=0,"",IF(tbl_SeqLib[[#This Row],[entry]]=1,tbl_SeqLib[[#This Row],[Not quantified]],IF(tbl_SeqLib[[#This Row],[entry]]=2,tbl_SeqLib[[#This Row],[Quantified]])))</f>
        <v/>
      </c>
      <c r="AC45" s="137"/>
      <c r="AD4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5" s="60" t="str">
        <f>IF(ISBLANK(tbl_SeqLib[[#This Row],[sWGA Identifier]]),"",CONCATENATE(exp_id,"_",tbl_SeqLib[[#This Row],[Well]]))</f>
        <v/>
      </c>
    </row>
    <row r="46" spans="1:31" ht="15.75" customHeight="1" x14ac:dyDescent="0.25">
      <c r="A46" s="59">
        <v>44</v>
      </c>
      <c r="B46" s="46" t="str">
        <f>RIGHT(tbl_SeqLib[[#This Row],[Well]],LEN(tbl_SeqLib[[#This Row],[Well]])-1)</f>
        <v>6</v>
      </c>
      <c r="C46" s="45" t="s">
        <v>171</v>
      </c>
      <c r="D46" s="19"/>
      <c r="E46" s="21"/>
      <c r="F46" s="31"/>
      <c r="G46" s="19"/>
      <c r="H46" s="31"/>
      <c r="I46" s="31"/>
      <c r="J4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6" s="32" t="s">
        <v>172</v>
      </c>
      <c r="L46" s="85">
        <f>IF(OR(ISBLANK(tbl_SeqLib[[#This Row],[Sample ID]]),ISBLANK(endrepair_targetmass)),0,IF(LEN(tbl_SeqLib[[#This Row],[PCR '[DNA'] (ng / µl)]])=0,1,2))</f>
        <v>0</v>
      </c>
      <c r="M4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6" s="44" t="str">
        <f>IF(tbl_SeqLib[[#This Row],[entry]]=2,ROUNDUP(_xlfn.MINIFS(tbl_SeqLib[Exact],tbl_SeqLib[Column],tbl_SeqLib[[#This Row],[Column]]),1),"")</f>
        <v/>
      </c>
      <c r="O46" s="44" t="str">
        <f>IF(tbl_SeqLib[[#This Row],[entry]]=2,ROUNDDOWN(_xlfn.MAXIFS(tbl_SeqLib[Exact],tbl_SeqLib[Column],tbl_SeqLib[[#This Row],[Column]]),1),"")</f>
        <v/>
      </c>
      <c r="P46" s="44" t="str">
        <f>IF(tbl_SeqLib[[#This Row],[entry]]=2,ROUNDUP(AVERAGEIFS(tbl_SeqLib[Exact],tbl_SeqLib[Column],tbl_SeqLib[[#This Row],[Column]]),1),"")</f>
        <v/>
      </c>
      <c r="Q46" s="44" t="str" cm="1">
        <f t="array" ref="Q46">_xlfn.XLOOKUP(0,ABS(tbl_SeqLib[[#This Row],[Min for col]:[Avg for col]]-tbl_SeqLib[[#This Row],[Exact]]),tbl_SeqLib[[#This Row],[Min for col]:[Avg for col]],"",1)</f>
        <v/>
      </c>
      <c r="R46" s="44" t="str" cm="1">
        <f t="array" ref="R46">_xlfn.XLOOKUP(0,ABS(tbl_SeqLib[[#This Row],[Max for col]:[Avg for col]]-tbl_SeqLib[[#This Row],[Exact]]),tbl_SeqLib[[#This Row],[Max for col]:[Avg for col]],"",1)</f>
        <v/>
      </c>
      <c r="S46" s="44" t="str">
        <f>IF(tbl_SeqLib[[#This Row],[entry]]=2,tbl_SeqLib[[#This Row],[Max for col]],"")</f>
        <v/>
      </c>
      <c r="T46" s="44" t="str">
        <f>IF(tbl_SeqLib[[#This Row],[entry]]=2,tbl_SeqLib[[#This Row],[Avg for col]],"")</f>
        <v/>
      </c>
      <c r="U46" s="44" t="str">
        <f>IF(tbl_SeqLib[[#This Row],[entry]]=2,AVERAGE(tbl_SeqLib[Exact]),"")</f>
        <v/>
      </c>
      <c r="V46" s="44" t="str">
        <f>IF(tbl_SeqLib[[#This Row],[entry]]=2,MAX(tbl_SeqLib[Exact]),"")</f>
        <v/>
      </c>
      <c r="W46" s="44" t="str" cm="1">
        <f t="array" ref="W46">_xlfn.XLOOKUP(0,ABS(tbl_SeqLib[[#This Row],[Avg per plate]:[Max per plate]]-tbl_SeqLib[[#This Row],[Exact]]),tbl_SeqLib[[#This Row],[Avg per plate]:[Max per plate]],,1)</f>
        <v/>
      </c>
      <c r="X4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6" s="85" t="str">
        <f>IF(tbl_SeqLib[[#This Row],[entry]]=1,ROUNDUP(AVERAGE(tbl_SeqLib[Exact]),1),"")</f>
        <v/>
      </c>
      <c r="Z46" s="85" t="str">
        <f>IF(tbl_SeqLib[[#This Row],[entry]]=1,ROUNDUP(AVERAGEIFS(tbl_SeqLib[Exact],tbl_SeqLib[Column],tbl_SeqLib[[#This Row],[Column]]),1),"")</f>
        <v/>
      </c>
      <c r="AA46" s="44" t="str">
        <f>IF(missing_qc_resolution=reference!$E$34,tbl_SeqLib[[#This Row],[Avg per col (missing)]],tbl_SeqLib[[#This Row],[Avg per plate (missing)]])</f>
        <v/>
      </c>
      <c r="AB46" s="44" t="str">
        <f>IF(tbl_SeqLib[[#This Row],[entry]]=0,"",IF(tbl_SeqLib[[#This Row],[entry]]=1,tbl_SeqLib[[#This Row],[Not quantified]],IF(tbl_SeqLib[[#This Row],[entry]]=2,tbl_SeqLib[[#This Row],[Quantified]])))</f>
        <v/>
      </c>
      <c r="AC46" s="137"/>
      <c r="AD4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6" s="60" t="str">
        <f>IF(ISBLANK(tbl_SeqLib[[#This Row],[sWGA Identifier]]),"",CONCATENATE(exp_id,"_",tbl_SeqLib[[#This Row],[Well]]))</f>
        <v/>
      </c>
    </row>
    <row r="47" spans="1:31" ht="15.75" customHeight="1" x14ac:dyDescent="0.25">
      <c r="A47" s="59">
        <v>45</v>
      </c>
      <c r="B47" s="46" t="str">
        <f>RIGHT(tbl_SeqLib[[#This Row],[Well]],LEN(tbl_SeqLib[[#This Row],[Well]])-1)</f>
        <v>6</v>
      </c>
      <c r="C47" s="45" t="s">
        <v>173</v>
      </c>
      <c r="D47" s="19"/>
      <c r="E47" s="21"/>
      <c r="F47" s="31"/>
      <c r="G47" s="19"/>
      <c r="H47" s="31"/>
      <c r="I47" s="31"/>
      <c r="J4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7" s="32" t="s">
        <v>174</v>
      </c>
      <c r="L47" s="85">
        <f>IF(OR(ISBLANK(tbl_SeqLib[[#This Row],[Sample ID]]),ISBLANK(endrepair_targetmass)),0,IF(LEN(tbl_SeqLib[[#This Row],[PCR '[DNA'] (ng / µl)]])=0,1,2))</f>
        <v>0</v>
      </c>
      <c r="M4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7" s="44" t="str">
        <f>IF(tbl_SeqLib[[#This Row],[entry]]=2,ROUNDUP(_xlfn.MINIFS(tbl_SeqLib[Exact],tbl_SeqLib[Column],tbl_SeqLib[[#This Row],[Column]]),1),"")</f>
        <v/>
      </c>
      <c r="O47" s="44" t="str">
        <f>IF(tbl_SeqLib[[#This Row],[entry]]=2,ROUNDDOWN(_xlfn.MAXIFS(tbl_SeqLib[Exact],tbl_SeqLib[Column],tbl_SeqLib[[#This Row],[Column]]),1),"")</f>
        <v/>
      </c>
      <c r="P47" s="44" t="str">
        <f>IF(tbl_SeqLib[[#This Row],[entry]]=2,ROUNDUP(AVERAGEIFS(tbl_SeqLib[Exact],tbl_SeqLib[Column],tbl_SeqLib[[#This Row],[Column]]),1),"")</f>
        <v/>
      </c>
      <c r="Q47" s="44" t="str" cm="1">
        <f t="array" ref="Q47">_xlfn.XLOOKUP(0,ABS(tbl_SeqLib[[#This Row],[Min for col]:[Avg for col]]-tbl_SeqLib[[#This Row],[Exact]]),tbl_SeqLib[[#This Row],[Min for col]:[Avg for col]],"",1)</f>
        <v/>
      </c>
      <c r="R47" s="44" t="str" cm="1">
        <f t="array" ref="R47">_xlfn.XLOOKUP(0,ABS(tbl_SeqLib[[#This Row],[Max for col]:[Avg for col]]-tbl_SeqLib[[#This Row],[Exact]]),tbl_SeqLib[[#This Row],[Max for col]:[Avg for col]],"",1)</f>
        <v/>
      </c>
      <c r="S47" s="44" t="str">
        <f>IF(tbl_SeqLib[[#This Row],[entry]]=2,tbl_SeqLib[[#This Row],[Max for col]],"")</f>
        <v/>
      </c>
      <c r="T47" s="44" t="str">
        <f>IF(tbl_SeqLib[[#This Row],[entry]]=2,tbl_SeqLib[[#This Row],[Avg for col]],"")</f>
        <v/>
      </c>
      <c r="U47" s="44" t="str">
        <f>IF(tbl_SeqLib[[#This Row],[entry]]=2,AVERAGE(tbl_SeqLib[Exact]),"")</f>
        <v/>
      </c>
      <c r="V47" s="44" t="str">
        <f>IF(tbl_SeqLib[[#This Row],[entry]]=2,MAX(tbl_SeqLib[Exact]),"")</f>
        <v/>
      </c>
      <c r="W47" s="44" t="str" cm="1">
        <f t="array" ref="W47">_xlfn.XLOOKUP(0,ABS(tbl_SeqLib[[#This Row],[Avg per plate]:[Max per plate]]-tbl_SeqLib[[#This Row],[Exact]]),tbl_SeqLib[[#This Row],[Avg per plate]:[Max per plate]],,1)</f>
        <v/>
      </c>
      <c r="X4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7" s="85" t="str">
        <f>IF(tbl_SeqLib[[#This Row],[entry]]=1,ROUNDUP(AVERAGE(tbl_SeqLib[Exact]),1),"")</f>
        <v/>
      </c>
      <c r="Z47" s="85" t="str">
        <f>IF(tbl_SeqLib[[#This Row],[entry]]=1,ROUNDUP(AVERAGEIFS(tbl_SeqLib[Exact],tbl_SeqLib[Column],tbl_SeqLib[[#This Row],[Column]]),1),"")</f>
        <v/>
      </c>
      <c r="AA47" s="44" t="str">
        <f>IF(missing_qc_resolution=reference!$E$34,tbl_SeqLib[[#This Row],[Avg per col (missing)]],tbl_SeqLib[[#This Row],[Avg per plate (missing)]])</f>
        <v/>
      </c>
      <c r="AB47" s="44" t="str">
        <f>IF(tbl_SeqLib[[#This Row],[entry]]=0,"",IF(tbl_SeqLib[[#This Row],[entry]]=1,tbl_SeqLib[[#This Row],[Not quantified]],IF(tbl_SeqLib[[#This Row],[entry]]=2,tbl_SeqLib[[#This Row],[Quantified]])))</f>
        <v/>
      </c>
      <c r="AC47" s="137"/>
      <c r="AD4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7" s="60" t="str">
        <f>IF(ISBLANK(tbl_SeqLib[[#This Row],[sWGA Identifier]]),"",CONCATENATE(exp_id,"_",tbl_SeqLib[[#This Row],[Well]]))</f>
        <v/>
      </c>
    </row>
    <row r="48" spans="1:31" ht="15.75" customHeight="1" x14ac:dyDescent="0.25">
      <c r="A48" s="59">
        <v>46</v>
      </c>
      <c r="B48" s="46" t="str">
        <f>RIGHT(tbl_SeqLib[[#This Row],[Well]],LEN(tbl_SeqLib[[#This Row],[Well]])-1)</f>
        <v>6</v>
      </c>
      <c r="C48" s="45" t="s">
        <v>175</v>
      </c>
      <c r="D48" s="19"/>
      <c r="E48" s="21"/>
      <c r="F48" s="31"/>
      <c r="G48" s="19"/>
      <c r="H48" s="31"/>
      <c r="I48" s="31"/>
      <c r="J4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8" s="32" t="s">
        <v>176</v>
      </c>
      <c r="L48" s="85">
        <f>IF(OR(ISBLANK(tbl_SeqLib[[#This Row],[Sample ID]]),ISBLANK(endrepair_targetmass)),0,IF(LEN(tbl_SeqLib[[#This Row],[PCR '[DNA'] (ng / µl)]])=0,1,2))</f>
        <v>0</v>
      </c>
      <c r="M4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8" s="44" t="str">
        <f>IF(tbl_SeqLib[[#This Row],[entry]]=2,ROUNDUP(_xlfn.MINIFS(tbl_SeqLib[Exact],tbl_SeqLib[Column],tbl_SeqLib[[#This Row],[Column]]),1),"")</f>
        <v/>
      </c>
      <c r="O48" s="44" t="str">
        <f>IF(tbl_SeqLib[[#This Row],[entry]]=2,ROUNDDOWN(_xlfn.MAXIFS(tbl_SeqLib[Exact],tbl_SeqLib[Column],tbl_SeqLib[[#This Row],[Column]]),1),"")</f>
        <v/>
      </c>
      <c r="P48" s="44" t="str">
        <f>IF(tbl_SeqLib[[#This Row],[entry]]=2,ROUNDUP(AVERAGEIFS(tbl_SeqLib[Exact],tbl_SeqLib[Column],tbl_SeqLib[[#This Row],[Column]]),1),"")</f>
        <v/>
      </c>
      <c r="Q48" s="44" t="str" cm="1">
        <f t="array" ref="Q48">_xlfn.XLOOKUP(0,ABS(tbl_SeqLib[[#This Row],[Min for col]:[Avg for col]]-tbl_SeqLib[[#This Row],[Exact]]),tbl_SeqLib[[#This Row],[Min for col]:[Avg for col]],"",1)</f>
        <v/>
      </c>
      <c r="R48" s="44" t="str" cm="1">
        <f t="array" ref="R48">_xlfn.XLOOKUP(0,ABS(tbl_SeqLib[[#This Row],[Max for col]:[Avg for col]]-tbl_SeqLib[[#This Row],[Exact]]),tbl_SeqLib[[#This Row],[Max for col]:[Avg for col]],"",1)</f>
        <v/>
      </c>
      <c r="S48" s="44" t="str">
        <f>IF(tbl_SeqLib[[#This Row],[entry]]=2,tbl_SeqLib[[#This Row],[Max for col]],"")</f>
        <v/>
      </c>
      <c r="T48" s="44" t="str">
        <f>IF(tbl_SeqLib[[#This Row],[entry]]=2,tbl_SeqLib[[#This Row],[Avg for col]],"")</f>
        <v/>
      </c>
      <c r="U48" s="44" t="str">
        <f>IF(tbl_SeqLib[[#This Row],[entry]]=2,AVERAGE(tbl_SeqLib[Exact]),"")</f>
        <v/>
      </c>
      <c r="V48" s="44" t="str">
        <f>IF(tbl_SeqLib[[#This Row],[entry]]=2,MAX(tbl_SeqLib[Exact]),"")</f>
        <v/>
      </c>
      <c r="W48" s="44" t="str" cm="1">
        <f t="array" ref="W48">_xlfn.XLOOKUP(0,ABS(tbl_SeqLib[[#This Row],[Avg per plate]:[Max per plate]]-tbl_SeqLib[[#This Row],[Exact]]),tbl_SeqLib[[#This Row],[Avg per plate]:[Max per plate]],,1)</f>
        <v/>
      </c>
      <c r="X4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8" s="85" t="str">
        <f>IF(tbl_SeqLib[[#This Row],[entry]]=1,ROUNDUP(AVERAGE(tbl_SeqLib[Exact]),1),"")</f>
        <v/>
      </c>
      <c r="Z48" s="85" t="str">
        <f>IF(tbl_SeqLib[[#This Row],[entry]]=1,ROUNDUP(AVERAGEIFS(tbl_SeqLib[Exact],tbl_SeqLib[Column],tbl_SeqLib[[#This Row],[Column]]),1),"")</f>
        <v/>
      </c>
      <c r="AA48" s="44" t="str">
        <f>IF(missing_qc_resolution=reference!$E$34,tbl_SeqLib[[#This Row],[Avg per col (missing)]],tbl_SeqLib[[#This Row],[Avg per plate (missing)]])</f>
        <v/>
      </c>
      <c r="AB48" s="44" t="str">
        <f>IF(tbl_SeqLib[[#This Row],[entry]]=0,"",IF(tbl_SeqLib[[#This Row],[entry]]=1,tbl_SeqLib[[#This Row],[Not quantified]],IF(tbl_SeqLib[[#This Row],[entry]]=2,tbl_SeqLib[[#This Row],[Quantified]])))</f>
        <v/>
      </c>
      <c r="AC48" s="137"/>
      <c r="AD4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8" s="60" t="str">
        <f>IF(ISBLANK(tbl_SeqLib[[#This Row],[sWGA Identifier]]),"",CONCATENATE(exp_id,"_",tbl_SeqLib[[#This Row],[Well]]))</f>
        <v/>
      </c>
    </row>
    <row r="49" spans="1:31" ht="15.75" customHeight="1" x14ac:dyDescent="0.25">
      <c r="A49" s="59">
        <v>47</v>
      </c>
      <c r="B49" s="46" t="str">
        <f>RIGHT(tbl_SeqLib[[#This Row],[Well]],LEN(tbl_SeqLib[[#This Row],[Well]])-1)</f>
        <v>6</v>
      </c>
      <c r="C49" s="45" t="s">
        <v>177</v>
      </c>
      <c r="D49" s="19"/>
      <c r="E49" s="21"/>
      <c r="F49" s="31"/>
      <c r="G49" s="19"/>
      <c r="H49" s="31"/>
      <c r="I49" s="31"/>
      <c r="J4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49" s="32" t="s">
        <v>178</v>
      </c>
      <c r="L49" s="85">
        <f>IF(OR(ISBLANK(tbl_SeqLib[[#This Row],[Sample ID]]),ISBLANK(endrepair_targetmass)),0,IF(LEN(tbl_SeqLib[[#This Row],[PCR '[DNA'] (ng / µl)]])=0,1,2))</f>
        <v>0</v>
      </c>
      <c r="M4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49" s="44" t="str">
        <f>IF(tbl_SeqLib[[#This Row],[entry]]=2,ROUNDUP(_xlfn.MINIFS(tbl_SeqLib[Exact],tbl_SeqLib[Column],tbl_SeqLib[[#This Row],[Column]]),1),"")</f>
        <v/>
      </c>
      <c r="O49" s="44" t="str">
        <f>IF(tbl_SeqLib[[#This Row],[entry]]=2,ROUNDDOWN(_xlfn.MAXIFS(tbl_SeqLib[Exact],tbl_SeqLib[Column],tbl_SeqLib[[#This Row],[Column]]),1),"")</f>
        <v/>
      </c>
      <c r="P49" s="44" t="str">
        <f>IF(tbl_SeqLib[[#This Row],[entry]]=2,ROUNDUP(AVERAGEIFS(tbl_SeqLib[Exact],tbl_SeqLib[Column],tbl_SeqLib[[#This Row],[Column]]),1),"")</f>
        <v/>
      </c>
      <c r="Q49" s="44" t="str" cm="1">
        <f t="array" ref="Q49">_xlfn.XLOOKUP(0,ABS(tbl_SeqLib[[#This Row],[Min for col]:[Avg for col]]-tbl_SeqLib[[#This Row],[Exact]]),tbl_SeqLib[[#This Row],[Min for col]:[Avg for col]],"",1)</f>
        <v/>
      </c>
      <c r="R49" s="44" t="str" cm="1">
        <f t="array" ref="R49">_xlfn.XLOOKUP(0,ABS(tbl_SeqLib[[#This Row],[Max for col]:[Avg for col]]-tbl_SeqLib[[#This Row],[Exact]]),tbl_SeqLib[[#This Row],[Max for col]:[Avg for col]],"",1)</f>
        <v/>
      </c>
      <c r="S49" s="44" t="str">
        <f>IF(tbl_SeqLib[[#This Row],[entry]]=2,tbl_SeqLib[[#This Row],[Max for col]],"")</f>
        <v/>
      </c>
      <c r="T49" s="44" t="str">
        <f>IF(tbl_SeqLib[[#This Row],[entry]]=2,tbl_SeqLib[[#This Row],[Avg for col]],"")</f>
        <v/>
      </c>
      <c r="U49" s="44" t="str">
        <f>IF(tbl_SeqLib[[#This Row],[entry]]=2,AVERAGE(tbl_SeqLib[Exact]),"")</f>
        <v/>
      </c>
      <c r="V49" s="44" t="str">
        <f>IF(tbl_SeqLib[[#This Row],[entry]]=2,MAX(tbl_SeqLib[Exact]),"")</f>
        <v/>
      </c>
      <c r="W49" s="44" t="str" cm="1">
        <f t="array" ref="W49">_xlfn.XLOOKUP(0,ABS(tbl_SeqLib[[#This Row],[Avg per plate]:[Max per plate]]-tbl_SeqLib[[#This Row],[Exact]]),tbl_SeqLib[[#This Row],[Avg per plate]:[Max per plate]],,1)</f>
        <v/>
      </c>
      <c r="X4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49" s="85" t="str">
        <f>IF(tbl_SeqLib[[#This Row],[entry]]=1,ROUNDUP(AVERAGE(tbl_SeqLib[Exact]),1),"")</f>
        <v/>
      </c>
      <c r="Z49" s="85" t="str">
        <f>IF(tbl_SeqLib[[#This Row],[entry]]=1,ROUNDUP(AVERAGEIFS(tbl_SeqLib[Exact],tbl_SeqLib[Column],tbl_SeqLib[[#This Row],[Column]]),1),"")</f>
        <v/>
      </c>
      <c r="AA49" s="44" t="str">
        <f>IF(missing_qc_resolution=reference!$E$34,tbl_SeqLib[[#This Row],[Avg per col (missing)]],tbl_SeqLib[[#This Row],[Avg per plate (missing)]])</f>
        <v/>
      </c>
      <c r="AB49" s="44" t="str">
        <f>IF(tbl_SeqLib[[#This Row],[entry]]=0,"",IF(tbl_SeqLib[[#This Row],[entry]]=1,tbl_SeqLib[[#This Row],[Not quantified]],IF(tbl_SeqLib[[#This Row],[entry]]=2,tbl_SeqLib[[#This Row],[Quantified]])))</f>
        <v/>
      </c>
      <c r="AC49" s="137"/>
      <c r="AD4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49" s="60" t="str">
        <f>IF(ISBLANK(tbl_SeqLib[[#This Row],[sWGA Identifier]]),"",CONCATENATE(exp_id,"_",tbl_SeqLib[[#This Row],[Well]]))</f>
        <v/>
      </c>
    </row>
    <row r="50" spans="1:31" ht="15.75" customHeight="1" thickBot="1" x14ac:dyDescent="0.3">
      <c r="A50" s="61">
        <v>48</v>
      </c>
      <c r="B50" s="62" t="str">
        <f>RIGHT(tbl_SeqLib[[#This Row],[Well]],LEN(tbl_SeqLib[[#This Row],[Well]])-1)</f>
        <v>6</v>
      </c>
      <c r="C50" s="70" t="s">
        <v>179</v>
      </c>
      <c r="D50" s="63"/>
      <c r="E50" s="64"/>
      <c r="F50" s="65"/>
      <c r="G50" s="63"/>
      <c r="H50" s="65"/>
      <c r="I50" s="65"/>
      <c r="J5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0" s="67" t="s">
        <v>180</v>
      </c>
      <c r="L50" s="86">
        <f>IF(OR(ISBLANK(tbl_SeqLib[[#This Row],[Sample ID]]),ISBLANK(endrepair_targetmass)),0,IF(LEN(tbl_SeqLib[[#This Row],[PCR '[DNA'] (ng / µl)]])=0,1,2))</f>
        <v>0</v>
      </c>
      <c r="M5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0" s="68" t="str">
        <f>IF(tbl_SeqLib[[#This Row],[entry]]=2,ROUNDUP(_xlfn.MINIFS(tbl_SeqLib[Exact],tbl_SeqLib[Column],tbl_SeqLib[[#This Row],[Column]]),1),"")</f>
        <v/>
      </c>
      <c r="O50" s="68" t="str">
        <f>IF(tbl_SeqLib[[#This Row],[entry]]=2,ROUNDDOWN(_xlfn.MAXIFS(tbl_SeqLib[Exact],tbl_SeqLib[Column],tbl_SeqLib[[#This Row],[Column]]),1),"")</f>
        <v/>
      </c>
      <c r="P50" s="68" t="str">
        <f>IF(tbl_SeqLib[[#This Row],[entry]]=2,ROUNDUP(AVERAGEIFS(tbl_SeqLib[Exact],tbl_SeqLib[Column],tbl_SeqLib[[#This Row],[Column]]),1),"")</f>
        <v/>
      </c>
      <c r="Q50" s="68" t="str" cm="1">
        <f t="array" ref="Q50">_xlfn.XLOOKUP(0,ABS(tbl_SeqLib[[#This Row],[Min for col]:[Avg for col]]-tbl_SeqLib[[#This Row],[Exact]]),tbl_SeqLib[[#This Row],[Min for col]:[Avg for col]],"",1)</f>
        <v/>
      </c>
      <c r="R50" s="68" t="str" cm="1">
        <f t="array" ref="R50">_xlfn.XLOOKUP(0,ABS(tbl_SeqLib[[#This Row],[Max for col]:[Avg for col]]-tbl_SeqLib[[#This Row],[Exact]]),tbl_SeqLib[[#This Row],[Max for col]:[Avg for col]],"",1)</f>
        <v/>
      </c>
      <c r="S50" s="68" t="str">
        <f>IF(tbl_SeqLib[[#This Row],[entry]]=2,tbl_SeqLib[[#This Row],[Max for col]],"")</f>
        <v/>
      </c>
      <c r="T50" s="68" t="str">
        <f>IF(tbl_SeqLib[[#This Row],[entry]]=2,tbl_SeqLib[[#This Row],[Avg for col]],"")</f>
        <v/>
      </c>
      <c r="U50" s="68" t="str">
        <f>IF(tbl_SeqLib[[#This Row],[entry]]=2,AVERAGE(tbl_SeqLib[Exact]),"")</f>
        <v/>
      </c>
      <c r="V50" s="68" t="str">
        <f>IF(tbl_SeqLib[[#This Row],[entry]]=2,MAX(tbl_SeqLib[Exact]),"")</f>
        <v/>
      </c>
      <c r="W50" s="68" t="str" cm="1">
        <f t="array" ref="W50">_xlfn.XLOOKUP(0,ABS(tbl_SeqLib[[#This Row],[Avg per plate]:[Max per plate]]-tbl_SeqLib[[#This Row],[Exact]]),tbl_SeqLib[[#This Row],[Avg per plate]:[Max per plate]],,1)</f>
        <v/>
      </c>
      <c r="X5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0" s="86" t="str">
        <f>IF(tbl_SeqLib[[#This Row],[entry]]=1,ROUNDUP(AVERAGE(tbl_SeqLib[Exact]),1),"")</f>
        <v/>
      </c>
      <c r="Z50" s="86" t="str">
        <f>IF(tbl_SeqLib[[#This Row],[entry]]=1,ROUNDUP(AVERAGEIFS(tbl_SeqLib[Exact],tbl_SeqLib[Column],tbl_SeqLib[[#This Row],[Column]]),1),"")</f>
        <v/>
      </c>
      <c r="AA50" s="68" t="str">
        <f>IF(missing_qc_resolution=reference!$E$34,tbl_SeqLib[[#This Row],[Avg per col (missing)]],tbl_SeqLib[[#This Row],[Avg per plate (missing)]])</f>
        <v/>
      </c>
      <c r="AB50" s="68" t="str">
        <f>IF(tbl_SeqLib[[#This Row],[entry]]=0,"",IF(tbl_SeqLib[[#This Row],[entry]]=1,tbl_SeqLib[[#This Row],[Not quantified]],IF(tbl_SeqLib[[#This Row],[entry]]=2,tbl_SeqLib[[#This Row],[Quantified]])))</f>
        <v/>
      </c>
      <c r="AC50" s="138"/>
      <c r="AD5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0" s="69" t="str">
        <f>IF(ISBLANK(tbl_SeqLib[[#This Row],[sWGA Identifier]]),"",CONCATENATE(exp_id,"_",tbl_SeqLib[[#This Row],[Well]]))</f>
        <v/>
      </c>
    </row>
    <row r="51" spans="1:31" ht="15.75" customHeight="1" x14ac:dyDescent="0.25">
      <c r="A51" s="50">
        <v>49</v>
      </c>
      <c r="B51" s="51" t="str">
        <f>RIGHT(tbl_SeqLib[[#This Row],[Well]],LEN(tbl_SeqLib[[#This Row],[Well]])-1)</f>
        <v>7</v>
      </c>
      <c r="C51" s="51" t="s">
        <v>181</v>
      </c>
      <c r="D51" s="52"/>
      <c r="E51" s="56"/>
      <c r="F51" s="52"/>
      <c r="G51" s="52"/>
      <c r="H51" s="52"/>
      <c r="I51" s="52"/>
      <c r="J5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1" s="56" t="s">
        <v>182</v>
      </c>
      <c r="L51" s="84">
        <f>IF(OR(ISBLANK(tbl_SeqLib[[#This Row],[Sample ID]]),ISBLANK(endrepair_targetmass)),0,IF(LEN(tbl_SeqLib[[#This Row],[PCR '[DNA'] (ng / µl)]])=0,1,2))</f>
        <v>0</v>
      </c>
      <c r="M5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1" s="57" t="str">
        <f>IF(tbl_SeqLib[[#This Row],[entry]]=2,ROUNDUP(_xlfn.MINIFS(tbl_SeqLib[Exact],tbl_SeqLib[Column],tbl_SeqLib[[#This Row],[Column]]),1),"")</f>
        <v/>
      </c>
      <c r="O51" s="57" t="str">
        <f>IF(tbl_SeqLib[[#This Row],[entry]]=2,ROUNDDOWN(_xlfn.MAXIFS(tbl_SeqLib[Exact],tbl_SeqLib[Column],tbl_SeqLib[[#This Row],[Column]]),1),"")</f>
        <v/>
      </c>
      <c r="P51" s="57" t="str">
        <f>IF(tbl_SeqLib[[#This Row],[entry]]=2,ROUNDUP(AVERAGEIFS(tbl_SeqLib[Exact],tbl_SeqLib[Column],tbl_SeqLib[[#This Row],[Column]]),1),"")</f>
        <v/>
      </c>
      <c r="Q51" s="57" t="str" cm="1">
        <f t="array" ref="Q51">_xlfn.XLOOKUP(0,ABS(tbl_SeqLib[[#This Row],[Min for col]:[Avg for col]]-tbl_SeqLib[[#This Row],[Exact]]),tbl_SeqLib[[#This Row],[Min for col]:[Avg for col]],"",1)</f>
        <v/>
      </c>
      <c r="R51" s="57" t="str" cm="1">
        <f t="array" ref="R51">_xlfn.XLOOKUP(0,ABS(tbl_SeqLib[[#This Row],[Max for col]:[Avg for col]]-tbl_SeqLib[[#This Row],[Exact]]),tbl_SeqLib[[#This Row],[Max for col]:[Avg for col]],"",1)</f>
        <v/>
      </c>
      <c r="S51" s="57" t="str">
        <f>IF(tbl_SeqLib[[#This Row],[entry]]=2,tbl_SeqLib[[#This Row],[Max for col]],"")</f>
        <v/>
      </c>
      <c r="T51" s="57" t="str">
        <f>IF(tbl_SeqLib[[#This Row],[entry]]=2,tbl_SeqLib[[#This Row],[Avg for col]],"")</f>
        <v/>
      </c>
      <c r="U51" s="57" t="str">
        <f>IF(tbl_SeqLib[[#This Row],[entry]]=2,AVERAGE(tbl_SeqLib[Exact]),"")</f>
        <v/>
      </c>
      <c r="V51" s="57" t="str">
        <f>IF(tbl_SeqLib[[#This Row],[entry]]=2,MAX(tbl_SeqLib[Exact]),"")</f>
        <v/>
      </c>
      <c r="W51" s="57" t="str" cm="1">
        <f t="array" ref="W51">_xlfn.XLOOKUP(0,ABS(tbl_SeqLib[[#This Row],[Avg per plate]:[Max per plate]]-tbl_SeqLib[[#This Row],[Exact]]),tbl_SeqLib[[#This Row],[Avg per plate]:[Max per plate]],,1)</f>
        <v/>
      </c>
      <c r="X5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1" s="84" t="str">
        <f>IF(tbl_SeqLib[[#This Row],[entry]]=1,ROUNDUP(AVERAGE(tbl_SeqLib[Exact]),1),"")</f>
        <v/>
      </c>
      <c r="Z51" s="84" t="str">
        <f>IF(tbl_SeqLib[[#This Row],[entry]]=1,ROUNDUP(AVERAGEIFS(tbl_SeqLib[Exact],tbl_SeqLib[Column],tbl_SeqLib[[#This Row],[Column]]),1),"")</f>
        <v/>
      </c>
      <c r="AA51" s="57" t="str">
        <f>IF(missing_qc_resolution=reference!$E$34,tbl_SeqLib[[#This Row],[Avg per col (missing)]],tbl_SeqLib[[#This Row],[Avg per plate (missing)]])</f>
        <v/>
      </c>
      <c r="AB51" s="57" t="str">
        <f>IF(tbl_SeqLib[[#This Row],[entry]]=0,"",IF(tbl_SeqLib[[#This Row],[entry]]=1,tbl_SeqLib[[#This Row],[Not quantified]],IF(tbl_SeqLib[[#This Row],[entry]]=2,tbl_SeqLib[[#This Row],[Quantified]])))</f>
        <v/>
      </c>
      <c r="AC51" s="136"/>
      <c r="AD5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1" s="58" t="str">
        <f>IF(ISBLANK(tbl_SeqLib[[#This Row],[sWGA Identifier]]),"",CONCATENATE(exp_id,"_",tbl_SeqLib[[#This Row],[Well]]))</f>
        <v/>
      </c>
    </row>
    <row r="52" spans="1:31" ht="15.75" customHeight="1" x14ac:dyDescent="0.25">
      <c r="A52" s="59">
        <v>50</v>
      </c>
      <c r="B52" s="46" t="str">
        <f>RIGHT(tbl_SeqLib[[#This Row],[Well]],LEN(tbl_SeqLib[[#This Row],[Well]])-1)</f>
        <v>7</v>
      </c>
      <c r="C52" s="45" t="s">
        <v>183</v>
      </c>
      <c r="D52" s="19"/>
      <c r="E52" s="21"/>
      <c r="F52" s="31"/>
      <c r="G52" s="19"/>
      <c r="H52" s="31"/>
      <c r="I52" s="31"/>
      <c r="J5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2" s="32" t="s">
        <v>184</v>
      </c>
      <c r="L52" s="85">
        <f>IF(OR(ISBLANK(tbl_SeqLib[[#This Row],[Sample ID]]),ISBLANK(endrepair_targetmass)),0,IF(LEN(tbl_SeqLib[[#This Row],[PCR '[DNA'] (ng / µl)]])=0,1,2))</f>
        <v>0</v>
      </c>
      <c r="M5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2" s="44" t="str">
        <f>IF(tbl_SeqLib[[#This Row],[entry]]=2,ROUNDUP(_xlfn.MINIFS(tbl_SeqLib[Exact],tbl_SeqLib[Column],tbl_SeqLib[[#This Row],[Column]]),1),"")</f>
        <v/>
      </c>
      <c r="O52" s="44" t="str">
        <f>IF(tbl_SeqLib[[#This Row],[entry]]=2,ROUNDDOWN(_xlfn.MAXIFS(tbl_SeqLib[Exact],tbl_SeqLib[Column],tbl_SeqLib[[#This Row],[Column]]),1),"")</f>
        <v/>
      </c>
      <c r="P52" s="44" t="str">
        <f>IF(tbl_SeqLib[[#This Row],[entry]]=2,ROUNDUP(AVERAGEIFS(tbl_SeqLib[Exact],tbl_SeqLib[Column],tbl_SeqLib[[#This Row],[Column]]),1),"")</f>
        <v/>
      </c>
      <c r="Q52" s="44" t="str" cm="1">
        <f t="array" ref="Q52">_xlfn.XLOOKUP(0,ABS(tbl_SeqLib[[#This Row],[Min for col]:[Avg for col]]-tbl_SeqLib[[#This Row],[Exact]]),tbl_SeqLib[[#This Row],[Min for col]:[Avg for col]],"",1)</f>
        <v/>
      </c>
      <c r="R52" s="44" t="str" cm="1">
        <f t="array" ref="R52">_xlfn.XLOOKUP(0,ABS(tbl_SeqLib[[#This Row],[Max for col]:[Avg for col]]-tbl_SeqLib[[#This Row],[Exact]]),tbl_SeqLib[[#This Row],[Max for col]:[Avg for col]],"",1)</f>
        <v/>
      </c>
      <c r="S52" s="44" t="str">
        <f>IF(tbl_SeqLib[[#This Row],[entry]]=2,tbl_SeqLib[[#This Row],[Max for col]],"")</f>
        <v/>
      </c>
      <c r="T52" s="44" t="str">
        <f>IF(tbl_SeqLib[[#This Row],[entry]]=2,tbl_SeqLib[[#This Row],[Avg for col]],"")</f>
        <v/>
      </c>
      <c r="U52" s="44" t="str">
        <f>IF(tbl_SeqLib[[#This Row],[entry]]=2,AVERAGE(tbl_SeqLib[Exact]),"")</f>
        <v/>
      </c>
      <c r="V52" s="44" t="str">
        <f>IF(tbl_SeqLib[[#This Row],[entry]]=2,MAX(tbl_SeqLib[Exact]),"")</f>
        <v/>
      </c>
      <c r="W52" s="44" t="str" cm="1">
        <f t="array" ref="W52">_xlfn.XLOOKUP(0,ABS(tbl_SeqLib[[#This Row],[Avg per plate]:[Max per plate]]-tbl_SeqLib[[#This Row],[Exact]]),tbl_SeqLib[[#This Row],[Avg per plate]:[Max per plate]],,1)</f>
        <v/>
      </c>
      <c r="X5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2" s="85" t="str">
        <f>IF(tbl_SeqLib[[#This Row],[entry]]=1,ROUNDUP(AVERAGE(tbl_SeqLib[Exact]),1),"")</f>
        <v/>
      </c>
      <c r="Z52" s="85" t="str">
        <f>IF(tbl_SeqLib[[#This Row],[entry]]=1,ROUNDUP(AVERAGEIFS(tbl_SeqLib[Exact],tbl_SeqLib[Column],tbl_SeqLib[[#This Row],[Column]]),1),"")</f>
        <v/>
      </c>
      <c r="AA52" s="44" t="str">
        <f>IF(missing_qc_resolution=reference!$E$34,tbl_SeqLib[[#This Row],[Avg per col (missing)]],tbl_SeqLib[[#This Row],[Avg per plate (missing)]])</f>
        <v/>
      </c>
      <c r="AB52" s="44" t="str">
        <f>IF(tbl_SeqLib[[#This Row],[entry]]=0,"",IF(tbl_SeqLib[[#This Row],[entry]]=1,tbl_SeqLib[[#This Row],[Not quantified]],IF(tbl_SeqLib[[#This Row],[entry]]=2,tbl_SeqLib[[#This Row],[Quantified]])))</f>
        <v/>
      </c>
      <c r="AC52" s="137"/>
      <c r="AD5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2" s="60" t="str">
        <f>IF(ISBLANK(tbl_SeqLib[[#This Row],[sWGA Identifier]]),"",CONCATENATE(exp_id,"_",tbl_SeqLib[[#This Row],[Well]]))</f>
        <v/>
      </c>
    </row>
    <row r="53" spans="1:31" ht="15.75" customHeight="1" x14ac:dyDescent="0.25">
      <c r="A53" s="59">
        <v>51</v>
      </c>
      <c r="B53" s="46" t="str">
        <f>RIGHT(tbl_SeqLib[[#This Row],[Well]],LEN(tbl_SeqLib[[#This Row],[Well]])-1)</f>
        <v>7</v>
      </c>
      <c r="C53" s="45" t="s">
        <v>185</v>
      </c>
      <c r="D53" s="19"/>
      <c r="E53" s="21"/>
      <c r="F53" s="31"/>
      <c r="G53" s="31"/>
      <c r="H53" s="31"/>
      <c r="I53" s="31"/>
      <c r="J5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3" s="32" t="s">
        <v>186</v>
      </c>
      <c r="L53" s="85">
        <f>IF(OR(ISBLANK(tbl_SeqLib[[#This Row],[Sample ID]]),ISBLANK(endrepair_targetmass)),0,IF(LEN(tbl_SeqLib[[#This Row],[PCR '[DNA'] (ng / µl)]])=0,1,2))</f>
        <v>0</v>
      </c>
      <c r="M5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3" s="44" t="str">
        <f>IF(tbl_SeqLib[[#This Row],[entry]]=2,ROUNDUP(_xlfn.MINIFS(tbl_SeqLib[Exact],tbl_SeqLib[Column],tbl_SeqLib[[#This Row],[Column]]),1),"")</f>
        <v/>
      </c>
      <c r="O53" s="44" t="str">
        <f>IF(tbl_SeqLib[[#This Row],[entry]]=2,ROUNDDOWN(_xlfn.MAXIFS(tbl_SeqLib[Exact],tbl_SeqLib[Column],tbl_SeqLib[[#This Row],[Column]]),1),"")</f>
        <v/>
      </c>
      <c r="P53" s="44" t="str">
        <f>IF(tbl_SeqLib[[#This Row],[entry]]=2,ROUNDUP(AVERAGEIFS(tbl_SeqLib[Exact],tbl_SeqLib[Column],tbl_SeqLib[[#This Row],[Column]]),1),"")</f>
        <v/>
      </c>
      <c r="Q53" s="44" t="str" cm="1">
        <f t="array" ref="Q53">_xlfn.XLOOKUP(0,ABS(tbl_SeqLib[[#This Row],[Min for col]:[Avg for col]]-tbl_SeqLib[[#This Row],[Exact]]),tbl_SeqLib[[#This Row],[Min for col]:[Avg for col]],"",1)</f>
        <v/>
      </c>
      <c r="R53" s="44" t="str" cm="1">
        <f t="array" ref="R53">_xlfn.XLOOKUP(0,ABS(tbl_SeqLib[[#This Row],[Max for col]:[Avg for col]]-tbl_SeqLib[[#This Row],[Exact]]),tbl_SeqLib[[#This Row],[Max for col]:[Avg for col]],"",1)</f>
        <v/>
      </c>
      <c r="S53" s="44" t="str">
        <f>IF(tbl_SeqLib[[#This Row],[entry]]=2,tbl_SeqLib[[#This Row],[Max for col]],"")</f>
        <v/>
      </c>
      <c r="T53" s="44" t="str">
        <f>IF(tbl_SeqLib[[#This Row],[entry]]=2,tbl_SeqLib[[#This Row],[Avg for col]],"")</f>
        <v/>
      </c>
      <c r="U53" s="44" t="str">
        <f>IF(tbl_SeqLib[[#This Row],[entry]]=2,AVERAGE(tbl_SeqLib[Exact]),"")</f>
        <v/>
      </c>
      <c r="V53" s="44" t="str">
        <f>IF(tbl_SeqLib[[#This Row],[entry]]=2,MAX(tbl_SeqLib[Exact]),"")</f>
        <v/>
      </c>
      <c r="W53" s="44" t="str" cm="1">
        <f t="array" ref="W53">_xlfn.XLOOKUP(0,ABS(tbl_SeqLib[[#This Row],[Avg per plate]:[Max per plate]]-tbl_SeqLib[[#This Row],[Exact]]),tbl_SeqLib[[#This Row],[Avg per plate]:[Max per plate]],,1)</f>
        <v/>
      </c>
      <c r="X5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3" s="85" t="str">
        <f>IF(tbl_SeqLib[[#This Row],[entry]]=1,ROUNDUP(AVERAGE(tbl_SeqLib[Exact]),1),"")</f>
        <v/>
      </c>
      <c r="Z53" s="85" t="str">
        <f>IF(tbl_SeqLib[[#This Row],[entry]]=1,ROUNDUP(AVERAGEIFS(tbl_SeqLib[Exact],tbl_SeqLib[Column],tbl_SeqLib[[#This Row],[Column]]),1),"")</f>
        <v/>
      </c>
      <c r="AA53" s="44" t="str">
        <f>IF(missing_qc_resolution=reference!$E$34,tbl_SeqLib[[#This Row],[Avg per col (missing)]],tbl_SeqLib[[#This Row],[Avg per plate (missing)]])</f>
        <v/>
      </c>
      <c r="AB53" s="44" t="str">
        <f>IF(tbl_SeqLib[[#This Row],[entry]]=0,"",IF(tbl_SeqLib[[#This Row],[entry]]=1,tbl_SeqLib[[#This Row],[Not quantified]],IF(tbl_SeqLib[[#This Row],[entry]]=2,tbl_SeqLib[[#This Row],[Quantified]])))</f>
        <v/>
      </c>
      <c r="AC53" s="137"/>
      <c r="AD5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3" s="60" t="str">
        <f>IF(ISBLANK(tbl_SeqLib[[#This Row],[sWGA Identifier]]),"",CONCATENATE(exp_id,"_",tbl_SeqLib[[#This Row],[Well]]))</f>
        <v/>
      </c>
    </row>
    <row r="54" spans="1:31" ht="15.75" customHeight="1" x14ac:dyDescent="0.25">
      <c r="A54" s="59">
        <v>52</v>
      </c>
      <c r="B54" s="46" t="str">
        <f>RIGHT(tbl_SeqLib[[#This Row],[Well]],LEN(tbl_SeqLib[[#This Row],[Well]])-1)</f>
        <v>7</v>
      </c>
      <c r="C54" s="45" t="s">
        <v>187</v>
      </c>
      <c r="D54" s="19"/>
      <c r="E54" s="21"/>
      <c r="F54" s="31"/>
      <c r="G54" s="31"/>
      <c r="H54" s="31"/>
      <c r="I54" s="31"/>
      <c r="J5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4" s="32" t="s">
        <v>188</v>
      </c>
      <c r="L54" s="85">
        <f>IF(OR(ISBLANK(tbl_SeqLib[[#This Row],[Sample ID]]),ISBLANK(endrepair_targetmass)),0,IF(LEN(tbl_SeqLib[[#This Row],[PCR '[DNA'] (ng / µl)]])=0,1,2))</f>
        <v>0</v>
      </c>
      <c r="M5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4" s="44" t="str">
        <f>IF(tbl_SeqLib[[#This Row],[entry]]=2,ROUNDUP(_xlfn.MINIFS(tbl_SeqLib[Exact],tbl_SeqLib[Column],tbl_SeqLib[[#This Row],[Column]]),1),"")</f>
        <v/>
      </c>
      <c r="O54" s="44" t="str">
        <f>IF(tbl_SeqLib[[#This Row],[entry]]=2,ROUNDDOWN(_xlfn.MAXIFS(tbl_SeqLib[Exact],tbl_SeqLib[Column],tbl_SeqLib[[#This Row],[Column]]),1),"")</f>
        <v/>
      </c>
      <c r="P54" s="44" t="str">
        <f>IF(tbl_SeqLib[[#This Row],[entry]]=2,ROUNDUP(AVERAGEIFS(tbl_SeqLib[Exact],tbl_SeqLib[Column],tbl_SeqLib[[#This Row],[Column]]),1),"")</f>
        <v/>
      </c>
      <c r="Q54" s="44" t="str" cm="1">
        <f t="array" ref="Q54">_xlfn.XLOOKUP(0,ABS(tbl_SeqLib[[#This Row],[Min for col]:[Avg for col]]-tbl_SeqLib[[#This Row],[Exact]]),tbl_SeqLib[[#This Row],[Min for col]:[Avg for col]],"",1)</f>
        <v/>
      </c>
      <c r="R54" s="44" t="str" cm="1">
        <f t="array" ref="R54">_xlfn.XLOOKUP(0,ABS(tbl_SeqLib[[#This Row],[Max for col]:[Avg for col]]-tbl_SeqLib[[#This Row],[Exact]]),tbl_SeqLib[[#This Row],[Max for col]:[Avg for col]],"",1)</f>
        <v/>
      </c>
      <c r="S54" s="44" t="str">
        <f>IF(tbl_SeqLib[[#This Row],[entry]]=2,tbl_SeqLib[[#This Row],[Max for col]],"")</f>
        <v/>
      </c>
      <c r="T54" s="44" t="str">
        <f>IF(tbl_SeqLib[[#This Row],[entry]]=2,tbl_SeqLib[[#This Row],[Avg for col]],"")</f>
        <v/>
      </c>
      <c r="U54" s="44" t="str">
        <f>IF(tbl_SeqLib[[#This Row],[entry]]=2,AVERAGE(tbl_SeqLib[Exact]),"")</f>
        <v/>
      </c>
      <c r="V54" s="44" t="str">
        <f>IF(tbl_SeqLib[[#This Row],[entry]]=2,MAX(tbl_SeqLib[Exact]),"")</f>
        <v/>
      </c>
      <c r="W54" s="44" t="str" cm="1">
        <f t="array" ref="W54">_xlfn.XLOOKUP(0,ABS(tbl_SeqLib[[#This Row],[Avg per plate]:[Max per plate]]-tbl_SeqLib[[#This Row],[Exact]]),tbl_SeqLib[[#This Row],[Avg per plate]:[Max per plate]],,1)</f>
        <v/>
      </c>
      <c r="X5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4" s="85" t="str">
        <f>IF(tbl_SeqLib[[#This Row],[entry]]=1,ROUNDUP(AVERAGE(tbl_SeqLib[Exact]),1),"")</f>
        <v/>
      </c>
      <c r="Z54" s="85" t="str">
        <f>IF(tbl_SeqLib[[#This Row],[entry]]=1,ROUNDUP(AVERAGEIFS(tbl_SeqLib[Exact],tbl_SeqLib[Column],tbl_SeqLib[[#This Row],[Column]]),1),"")</f>
        <v/>
      </c>
      <c r="AA54" s="44" t="str">
        <f>IF(missing_qc_resolution=reference!$E$34,tbl_SeqLib[[#This Row],[Avg per col (missing)]],tbl_SeqLib[[#This Row],[Avg per plate (missing)]])</f>
        <v/>
      </c>
      <c r="AB54" s="44" t="str">
        <f>IF(tbl_SeqLib[[#This Row],[entry]]=0,"",IF(tbl_SeqLib[[#This Row],[entry]]=1,tbl_SeqLib[[#This Row],[Not quantified]],IF(tbl_SeqLib[[#This Row],[entry]]=2,tbl_SeqLib[[#This Row],[Quantified]])))</f>
        <v/>
      </c>
      <c r="AC54" s="137"/>
      <c r="AD5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4" s="60" t="str">
        <f>IF(ISBLANK(tbl_SeqLib[[#This Row],[sWGA Identifier]]),"",CONCATENATE(exp_id,"_",tbl_SeqLib[[#This Row],[Well]]))</f>
        <v/>
      </c>
    </row>
    <row r="55" spans="1:31" ht="15.75" customHeight="1" x14ac:dyDescent="0.25">
      <c r="A55" s="59">
        <v>53</v>
      </c>
      <c r="B55" s="46" t="str">
        <f>RIGHT(tbl_SeqLib[[#This Row],[Well]],LEN(tbl_SeqLib[[#This Row],[Well]])-1)</f>
        <v>7</v>
      </c>
      <c r="C55" s="45" t="s">
        <v>189</v>
      </c>
      <c r="D55" s="19"/>
      <c r="E55" s="21"/>
      <c r="F55" s="31"/>
      <c r="G55" s="31"/>
      <c r="H55" s="31"/>
      <c r="I55" s="31"/>
      <c r="J5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5" s="32" t="s">
        <v>190</v>
      </c>
      <c r="L55" s="85">
        <f>IF(OR(ISBLANK(tbl_SeqLib[[#This Row],[Sample ID]]),ISBLANK(endrepair_targetmass)),0,IF(LEN(tbl_SeqLib[[#This Row],[PCR '[DNA'] (ng / µl)]])=0,1,2))</f>
        <v>0</v>
      </c>
      <c r="M5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5" s="44" t="str">
        <f>IF(tbl_SeqLib[[#This Row],[entry]]=2,ROUNDUP(_xlfn.MINIFS(tbl_SeqLib[Exact],tbl_SeqLib[Column],tbl_SeqLib[[#This Row],[Column]]),1),"")</f>
        <v/>
      </c>
      <c r="O55" s="44" t="str">
        <f>IF(tbl_SeqLib[[#This Row],[entry]]=2,ROUNDDOWN(_xlfn.MAXIFS(tbl_SeqLib[Exact],tbl_SeqLib[Column],tbl_SeqLib[[#This Row],[Column]]),1),"")</f>
        <v/>
      </c>
      <c r="P55" s="44" t="str">
        <f>IF(tbl_SeqLib[[#This Row],[entry]]=2,ROUNDUP(AVERAGEIFS(tbl_SeqLib[Exact],tbl_SeqLib[Column],tbl_SeqLib[[#This Row],[Column]]),1),"")</f>
        <v/>
      </c>
      <c r="Q55" s="44" t="str" cm="1">
        <f t="array" ref="Q55">_xlfn.XLOOKUP(0,ABS(tbl_SeqLib[[#This Row],[Min for col]:[Avg for col]]-tbl_SeqLib[[#This Row],[Exact]]),tbl_SeqLib[[#This Row],[Min for col]:[Avg for col]],"",1)</f>
        <v/>
      </c>
      <c r="R55" s="44" t="str" cm="1">
        <f t="array" ref="R55">_xlfn.XLOOKUP(0,ABS(tbl_SeqLib[[#This Row],[Max for col]:[Avg for col]]-tbl_SeqLib[[#This Row],[Exact]]),tbl_SeqLib[[#This Row],[Max for col]:[Avg for col]],"",1)</f>
        <v/>
      </c>
      <c r="S55" s="44" t="str">
        <f>IF(tbl_SeqLib[[#This Row],[entry]]=2,tbl_SeqLib[[#This Row],[Max for col]],"")</f>
        <v/>
      </c>
      <c r="T55" s="44" t="str">
        <f>IF(tbl_SeqLib[[#This Row],[entry]]=2,tbl_SeqLib[[#This Row],[Avg for col]],"")</f>
        <v/>
      </c>
      <c r="U55" s="44" t="str">
        <f>IF(tbl_SeqLib[[#This Row],[entry]]=2,AVERAGE(tbl_SeqLib[Exact]),"")</f>
        <v/>
      </c>
      <c r="V55" s="44" t="str">
        <f>IF(tbl_SeqLib[[#This Row],[entry]]=2,MAX(tbl_SeqLib[Exact]),"")</f>
        <v/>
      </c>
      <c r="W55" s="44" t="str" cm="1">
        <f t="array" ref="W55">_xlfn.XLOOKUP(0,ABS(tbl_SeqLib[[#This Row],[Avg per plate]:[Max per plate]]-tbl_SeqLib[[#This Row],[Exact]]),tbl_SeqLib[[#This Row],[Avg per plate]:[Max per plate]],,1)</f>
        <v/>
      </c>
      <c r="X5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5" s="85" t="str">
        <f>IF(tbl_SeqLib[[#This Row],[entry]]=1,ROUNDUP(AVERAGE(tbl_SeqLib[Exact]),1),"")</f>
        <v/>
      </c>
      <c r="Z55" s="85" t="str">
        <f>IF(tbl_SeqLib[[#This Row],[entry]]=1,ROUNDUP(AVERAGEIFS(tbl_SeqLib[Exact],tbl_SeqLib[Column],tbl_SeqLib[[#This Row],[Column]]),1),"")</f>
        <v/>
      </c>
      <c r="AA55" s="44" t="str">
        <f>IF(missing_qc_resolution=reference!$E$34,tbl_SeqLib[[#This Row],[Avg per col (missing)]],tbl_SeqLib[[#This Row],[Avg per plate (missing)]])</f>
        <v/>
      </c>
      <c r="AB55" s="44" t="str">
        <f>IF(tbl_SeqLib[[#This Row],[entry]]=0,"",IF(tbl_SeqLib[[#This Row],[entry]]=1,tbl_SeqLib[[#This Row],[Not quantified]],IF(tbl_SeqLib[[#This Row],[entry]]=2,tbl_SeqLib[[#This Row],[Quantified]])))</f>
        <v/>
      </c>
      <c r="AC55" s="137"/>
      <c r="AD5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5" s="60" t="str">
        <f>IF(ISBLANK(tbl_SeqLib[[#This Row],[sWGA Identifier]]),"",CONCATENATE(exp_id,"_",tbl_SeqLib[[#This Row],[Well]]))</f>
        <v/>
      </c>
    </row>
    <row r="56" spans="1:31" ht="15.75" customHeight="1" x14ac:dyDescent="0.25">
      <c r="A56" s="59">
        <v>54</v>
      </c>
      <c r="B56" s="46" t="str">
        <f>RIGHT(tbl_SeqLib[[#This Row],[Well]],LEN(tbl_SeqLib[[#This Row],[Well]])-1)</f>
        <v>7</v>
      </c>
      <c r="C56" s="45" t="s">
        <v>191</v>
      </c>
      <c r="D56" s="19"/>
      <c r="E56" s="21"/>
      <c r="F56" s="31"/>
      <c r="G56" s="31"/>
      <c r="H56" s="31"/>
      <c r="I56" s="31"/>
      <c r="J5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6" s="32" t="s">
        <v>192</v>
      </c>
      <c r="L56" s="85">
        <f>IF(OR(ISBLANK(tbl_SeqLib[[#This Row],[Sample ID]]),ISBLANK(endrepair_targetmass)),0,IF(LEN(tbl_SeqLib[[#This Row],[PCR '[DNA'] (ng / µl)]])=0,1,2))</f>
        <v>0</v>
      </c>
      <c r="M5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6" s="44" t="str">
        <f>IF(tbl_SeqLib[[#This Row],[entry]]=2,ROUNDUP(_xlfn.MINIFS(tbl_SeqLib[Exact],tbl_SeqLib[Column],tbl_SeqLib[[#This Row],[Column]]),1),"")</f>
        <v/>
      </c>
      <c r="O56" s="44" t="str">
        <f>IF(tbl_SeqLib[[#This Row],[entry]]=2,ROUNDDOWN(_xlfn.MAXIFS(tbl_SeqLib[Exact],tbl_SeqLib[Column],tbl_SeqLib[[#This Row],[Column]]),1),"")</f>
        <v/>
      </c>
      <c r="P56" s="44" t="str">
        <f>IF(tbl_SeqLib[[#This Row],[entry]]=2,ROUNDUP(AVERAGEIFS(tbl_SeqLib[Exact],tbl_SeqLib[Column],tbl_SeqLib[[#This Row],[Column]]),1),"")</f>
        <v/>
      </c>
      <c r="Q56" s="44" t="str" cm="1">
        <f t="array" ref="Q56">_xlfn.XLOOKUP(0,ABS(tbl_SeqLib[[#This Row],[Min for col]:[Avg for col]]-tbl_SeqLib[[#This Row],[Exact]]),tbl_SeqLib[[#This Row],[Min for col]:[Avg for col]],"",1)</f>
        <v/>
      </c>
      <c r="R56" s="44" t="str" cm="1">
        <f t="array" ref="R56">_xlfn.XLOOKUP(0,ABS(tbl_SeqLib[[#This Row],[Max for col]:[Avg for col]]-tbl_SeqLib[[#This Row],[Exact]]),tbl_SeqLib[[#This Row],[Max for col]:[Avg for col]],"",1)</f>
        <v/>
      </c>
      <c r="S56" s="44" t="str">
        <f>IF(tbl_SeqLib[[#This Row],[entry]]=2,tbl_SeqLib[[#This Row],[Max for col]],"")</f>
        <v/>
      </c>
      <c r="T56" s="44" t="str">
        <f>IF(tbl_SeqLib[[#This Row],[entry]]=2,tbl_SeqLib[[#This Row],[Avg for col]],"")</f>
        <v/>
      </c>
      <c r="U56" s="44" t="str">
        <f>IF(tbl_SeqLib[[#This Row],[entry]]=2,AVERAGE(tbl_SeqLib[Exact]),"")</f>
        <v/>
      </c>
      <c r="V56" s="44" t="str">
        <f>IF(tbl_SeqLib[[#This Row],[entry]]=2,MAX(tbl_SeqLib[Exact]),"")</f>
        <v/>
      </c>
      <c r="W56" s="44" t="str" cm="1">
        <f t="array" ref="W56">_xlfn.XLOOKUP(0,ABS(tbl_SeqLib[[#This Row],[Avg per plate]:[Max per plate]]-tbl_SeqLib[[#This Row],[Exact]]),tbl_SeqLib[[#This Row],[Avg per plate]:[Max per plate]],,1)</f>
        <v/>
      </c>
      <c r="X5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6" s="85" t="str">
        <f>IF(tbl_SeqLib[[#This Row],[entry]]=1,ROUNDUP(AVERAGE(tbl_SeqLib[Exact]),1),"")</f>
        <v/>
      </c>
      <c r="Z56" s="85" t="str">
        <f>IF(tbl_SeqLib[[#This Row],[entry]]=1,ROUNDUP(AVERAGEIFS(tbl_SeqLib[Exact],tbl_SeqLib[Column],tbl_SeqLib[[#This Row],[Column]]),1),"")</f>
        <v/>
      </c>
      <c r="AA56" s="44" t="str">
        <f>IF(missing_qc_resolution=reference!$E$34,tbl_SeqLib[[#This Row],[Avg per col (missing)]],tbl_SeqLib[[#This Row],[Avg per plate (missing)]])</f>
        <v/>
      </c>
      <c r="AB56" s="44" t="str">
        <f>IF(tbl_SeqLib[[#This Row],[entry]]=0,"",IF(tbl_SeqLib[[#This Row],[entry]]=1,tbl_SeqLib[[#This Row],[Not quantified]],IF(tbl_SeqLib[[#This Row],[entry]]=2,tbl_SeqLib[[#This Row],[Quantified]])))</f>
        <v/>
      </c>
      <c r="AC56" s="137"/>
      <c r="AD5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6" s="60" t="str">
        <f>IF(ISBLANK(tbl_SeqLib[[#This Row],[sWGA Identifier]]),"",CONCATENATE(exp_id,"_",tbl_SeqLib[[#This Row],[Well]]))</f>
        <v/>
      </c>
    </row>
    <row r="57" spans="1:31" ht="15.75" customHeight="1" x14ac:dyDescent="0.25">
      <c r="A57" s="59">
        <v>55</v>
      </c>
      <c r="B57" s="46" t="str">
        <f>RIGHT(tbl_SeqLib[[#This Row],[Well]],LEN(tbl_SeqLib[[#This Row],[Well]])-1)</f>
        <v>7</v>
      </c>
      <c r="C57" s="45" t="s">
        <v>193</v>
      </c>
      <c r="D57" s="19"/>
      <c r="E57" s="21"/>
      <c r="F57" s="31"/>
      <c r="G57" s="31"/>
      <c r="H57" s="31"/>
      <c r="I57" s="31"/>
      <c r="J5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7" s="32" t="s">
        <v>194</v>
      </c>
      <c r="L57" s="85">
        <f>IF(OR(ISBLANK(tbl_SeqLib[[#This Row],[Sample ID]]),ISBLANK(endrepair_targetmass)),0,IF(LEN(tbl_SeqLib[[#This Row],[PCR '[DNA'] (ng / µl)]])=0,1,2))</f>
        <v>0</v>
      </c>
      <c r="M5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7" s="44" t="str">
        <f>IF(tbl_SeqLib[[#This Row],[entry]]=2,ROUNDUP(_xlfn.MINIFS(tbl_SeqLib[Exact],tbl_SeqLib[Column],tbl_SeqLib[[#This Row],[Column]]),1),"")</f>
        <v/>
      </c>
      <c r="O57" s="44" t="str">
        <f>IF(tbl_SeqLib[[#This Row],[entry]]=2,ROUNDDOWN(_xlfn.MAXIFS(tbl_SeqLib[Exact],tbl_SeqLib[Column],tbl_SeqLib[[#This Row],[Column]]),1),"")</f>
        <v/>
      </c>
      <c r="P57" s="44" t="str">
        <f>IF(tbl_SeqLib[[#This Row],[entry]]=2,ROUNDUP(AVERAGEIFS(tbl_SeqLib[Exact],tbl_SeqLib[Column],tbl_SeqLib[[#This Row],[Column]]),1),"")</f>
        <v/>
      </c>
      <c r="Q57" s="44" t="str" cm="1">
        <f t="array" ref="Q57">_xlfn.XLOOKUP(0,ABS(tbl_SeqLib[[#This Row],[Min for col]:[Avg for col]]-tbl_SeqLib[[#This Row],[Exact]]),tbl_SeqLib[[#This Row],[Min for col]:[Avg for col]],"",1)</f>
        <v/>
      </c>
      <c r="R57" s="44" t="str" cm="1">
        <f t="array" ref="R57">_xlfn.XLOOKUP(0,ABS(tbl_SeqLib[[#This Row],[Max for col]:[Avg for col]]-tbl_SeqLib[[#This Row],[Exact]]),tbl_SeqLib[[#This Row],[Max for col]:[Avg for col]],"",1)</f>
        <v/>
      </c>
      <c r="S57" s="44" t="str">
        <f>IF(tbl_SeqLib[[#This Row],[entry]]=2,tbl_SeqLib[[#This Row],[Max for col]],"")</f>
        <v/>
      </c>
      <c r="T57" s="44" t="str">
        <f>IF(tbl_SeqLib[[#This Row],[entry]]=2,tbl_SeqLib[[#This Row],[Avg for col]],"")</f>
        <v/>
      </c>
      <c r="U57" s="44" t="str">
        <f>IF(tbl_SeqLib[[#This Row],[entry]]=2,AVERAGE(tbl_SeqLib[Exact]),"")</f>
        <v/>
      </c>
      <c r="V57" s="44" t="str">
        <f>IF(tbl_SeqLib[[#This Row],[entry]]=2,MAX(tbl_SeqLib[Exact]),"")</f>
        <v/>
      </c>
      <c r="W57" s="44" t="str" cm="1">
        <f t="array" ref="W57">_xlfn.XLOOKUP(0,ABS(tbl_SeqLib[[#This Row],[Avg per plate]:[Max per plate]]-tbl_SeqLib[[#This Row],[Exact]]),tbl_SeqLib[[#This Row],[Avg per plate]:[Max per plate]],,1)</f>
        <v/>
      </c>
      <c r="X5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7" s="85" t="str">
        <f>IF(tbl_SeqLib[[#This Row],[entry]]=1,ROUNDUP(AVERAGE(tbl_SeqLib[Exact]),1),"")</f>
        <v/>
      </c>
      <c r="Z57" s="85" t="str">
        <f>IF(tbl_SeqLib[[#This Row],[entry]]=1,ROUNDUP(AVERAGEIFS(tbl_SeqLib[Exact],tbl_SeqLib[Column],tbl_SeqLib[[#This Row],[Column]]),1),"")</f>
        <v/>
      </c>
      <c r="AA57" s="44" t="str">
        <f>IF(missing_qc_resolution=reference!$E$34,tbl_SeqLib[[#This Row],[Avg per col (missing)]],tbl_SeqLib[[#This Row],[Avg per plate (missing)]])</f>
        <v/>
      </c>
      <c r="AB57" s="44" t="str">
        <f>IF(tbl_SeqLib[[#This Row],[entry]]=0,"",IF(tbl_SeqLib[[#This Row],[entry]]=1,tbl_SeqLib[[#This Row],[Not quantified]],IF(tbl_SeqLib[[#This Row],[entry]]=2,tbl_SeqLib[[#This Row],[Quantified]])))</f>
        <v/>
      </c>
      <c r="AC57" s="137"/>
      <c r="AD5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7" s="60" t="str">
        <f>IF(ISBLANK(tbl_SeqLib[[#This Row],[sWGA Identifier]]),"",CONCATENATE(exp_id,"_",tbl_SeqLib[[#This Row],[Well]]))</f>
        <v/>
      </c>
    </row>
    <row r="58" spans="1:31" ht="15.75" customHeight="1" thickBot="1" x14ac:dyDescent="0.3">
      <c r="A58" s="61">
        <v>56</v>
      </c>
      <c r="B58" s="62" t="str">
        <f>RIGHT(tbl_SeqLib[[#This Row],[Well]],LEN(tbl_SeqLib[[#This Row],[Well]])-1)</f>
        <v>7</v>
      </c>
      <c r="C58" s="70" t="s">
        <v>195</v>
      </c>
      <c r="D58" s="63"/>
      <c r="E58" s="64"/>
      <c r="F58" s="65"/>
      <c r="G58" s="65"/>
      <c r="H58" s="65"/>
      <c r="I58" s="65"/>
      <c r="J5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8" s="67" t="s">
        <v>196</v>
      </c>
      <c r="L58" s="86">
        <f>IF(OR(ISBLANK(tbl_SeqLib[[#This Row],[Sample ID]]),ISBLANK(endrepair_targetmass)),0,IF(LEN(tbl_SeqLib[[#This Row],[PCR '[DNA'] (ng / µl)]])=0,1,2))</f>
        <v>0</v>
      </c>
      <c r="M5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8" s="68" t="str">
        <f>IF(tbl_SeqLib[[#This Row],[entry]]=2,ROUNDUP(_xlfn.MINIFS(tbl_SeqLib[Exact],tbl_SeqLib[Column],tbl_SeqLib[[#This Row],[Column]]),1),"")</f>
        <v/>
      </c>
      <c r="O58" s="68" t="str">
        <f>IF(tbl_SeqLib[[#This Row],[entry]]=2,ROUNDDOWN(_xlfn.MAXIFS(tbl_SeqLib[Exact],tbl_SeqLib[Column],tbl_SeqLib[[#This Row],[Column]]),1),"")</f>
        <v/>
      </c>
      <c r="P58" s="68" t="str">
        <f>IF(tbl_SeqLib[[#This Row],[entry]]=2,ROUNDUP(AVERAGEIFS(tbl_SeqLib[Exact],tbl_SeqLib[Column],tbl_SeqLib[[#This Row],[Column]]),1),"")</f>
        <v/>
      </c>
      <c r="Q58" s="68" t="str" cm="1">
        <f t="array" ref="Q58">_xlfn.XLOOKUP(0,ABS(tbl_SeqLib[[#This Row],[Min for col]:[Avg for col]]-tbl_SeqLib[[#This Row],[Exact]]),tbl_SeqLib[[#This Row],[Min for col]:[Avg for col]],"",1)</f>
        <v/>
      </c>
      <c r="R58" s="68" t="str" cm="1">
        <f t="array" ref="R58">_xlfn.XLOOKUP(0,ABS(tbl_SeqLib[[#This Row],[Max for col]:[Avg for col]]-tbl_SeqLib[[#This Row],[Exact]]),tbl_SeqLib[[#This Row],[Max for col]:[Avg for col]],"",1)</f>
        <v/>
      </c>
      <c r="S58" s="68" t="str">
        <f>IF(tbl_SeqLib[[#This Row],[entry]]=2,tbl_SeqLib[[#This Row],[Max for col]],"")</f>
        <v/>
      </c>
      <c r="T58" s="68" t="str">
        <f>IF(tbl_SeqLib[[#This Row],[entry]]=2,tbl_SeqLib[[#This Row],[Avg for col]],"")</f>
        <v/>
      </c>
      <c r="U58" s="68" t="str">
        <f>IF(tbl_SeqLib[[#This Row],[entry]]=2,AVERAGE(tbl_SeqLib[Exact]),"")</f>
        <v/>
      </c>
      <c r="V58" s="68" t="str">
        <f>IF(tbl_SeqLib[[#This Row],[entry]]=2,MAX(tbl_SeqLib[Exact]),"")</f>
        <v/>
      </c>
      <c r="W58" s="68" t="str" cm="1">
        <f t="array" ref="W58">_xlfn.XLOOKUP(0,ABS(tbl_SeqLib[[#This Row],[Avg per plate]:[Max per plate]]-tbl_SeqLib[[#This Row],[Exact]]),tbl_SeqLib[[#This Row],[Avg per plate]:[Max per plate]],,1)</f>
        <v/>
      </c>
      <c r="X5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8" s="86" t="str">
        <f>IF(tbl_SeqLib[[#This Row],[entry]]=1,ROUNDUP(AVERAGE(tbl_SeqLib[Exact]),1),"")</f>
        <v/>
      </c>
      <c r="Z58" s="86" t="str">
        <f>IF(tbl_SeqLib[[#This Row],[entry]]=1,ROUNDUP(AVERAGEIFS(tbl_SeqLib[Exact],tbl_SeqLib[Column],tbl_SeqLib[[#This Row],[Column]]),1),"")</f>
        <v/>
      </c>
      <c r="AA58" s="68" t="str">
        <f>IF(missing_qc_resolution=reference!$E$34,tbl_SeqLib[[#This Row],[Avg per col (missing)]],tbl_SeqLib[[#This Row],[Avg per plate (missing)]])</f>
        <v/>
      </c>
      <c r="AB58" s="68" t="str">
        <f>IF(tbl_SeqLib[[#This Row],[entry]]=0,"",IF(tbl_SeqLib[[#This Row],[entry]]=1,tbl_SeqLib[[#This Row],[Not quantified]],IF(tbl_SeqLib[[#This Row],[entry]]=2,tbl_SeqLib[[#This Row],[Quantified]])))</f>
        <v/>
      </c>
      <c r="AC58" s="138"/>
      <c r="AD5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8" s="69" t="str">
        <f>IF(ISBLANK(tbl_SeqLib[[#This Row],[sWGA Identifier]]),"",CONCATENATE(exp_id,"_",tbl_SeqLib[[#This Row],[Well]]))</f>
        <v/>
      </c>
    </row>
    <row r="59" spans="1:31" ht="15.75" customHeight="1" x14ac:dyDescent="0.25">
      <c r="A59" s="50">
        <v>57</v>
      </c>
      <c r="B59" s="51" t="str">
        <f>RIGHT(tbl_SeqLib[[#This Row],[Well]],LEN(tbl_SeqLib[[#This Row],[Well]])-1)</f>
        <v>8</v>
      </c>
      <c r="C59" s="51" t="s">
        <v>197</v>
      </c>
      <c r="D59" s="52"/>
      <c r="E59" s="56"/>
      <c r="F59" s="52"/>
      <c r="G59" s="52"/>
      <c r="H59" s="52"/>
      <c r="I59" s="52"/>
      <c r="J59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59" s="56" t="s">
        <v>198</v>
      </c>
      <c r="L59" s="84">
        <f>IF(OR(ISBLANK(tbl_SeqLib[[#This Row],[Sample ID]]),ISBLANK(endrepair_targetmass)),0,IF(LEN(tbl_SeqLib[[#This Row],[PCR '[DNA'] (ng / µl)]])=0,1,2))</f>
        <v>0</v>
      </c>
      <c r="M59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59" s="57" t="str">
        <f>IF(tbl_SeqLib[[#This Row],[entry]]=2,ROUNDUP(_xlfn.MINIFS(tbl_SeqLib[Exact],tbl_SeqLib[Column],tbl_SeqLib[[#This Row],[Column]]),1),"")</f>
        <v/>
      </c>
      <c r="O59" s="57" t="str">
        <f>IF(tbl_SeqLib[[#This Row],[entry]]=2,ROUNDDOWN(_xlfn.MAXIFS(tbl_SeqLib[Exact],tbl_SeqLib[Column],tbl_SeqLib[[#This Row],[Column]]),1),"")</f>
        <v/>
      </c>
      <c r="P59" s="57" t="str">
        <f>IF(tbl_SeqLib[[#This Row],[entry]]=2,ROUNDUP(AVERAGEIFS(tbl_SeqLib[Exact],tbl_SeqLib[Column],tbl_SeqLib[[#This Row],[Column]]),1),"")</f>
        <v/>
      </c>
      <c r="Q59" s="57" t="str" cm="1">
        <f t="array" ref="Q59">_xlfn.XLOOKUP(0,ABS(tbl_SeqLib[[#This Row],[Min for col]:[Avg for col]]-tbl_SeqLib[[#This Row],[Exact]]),tbl_SeqLib[[#This Row],[Min for col]:[Avg for col]],"",1)</f>
        <v/>
      </c>
      <c r="R59" s="57" t="str" cm="1">
        <f t="array" ref="R59">_xlfn.XLOOKUP(0,ABS(tbl_SeqLib[[#This Row],[Max for col]:[Avg for col]]-tbl_SeqLib[[#This Row],[Exact]]),tbl_SeqLib[[#This Row],[Max for col]:[Avg for col]],"",1)</f>
        <v/>
      </c>
      <c r="S59" s="57" t="str">
        <f>IF(tbl_SeqLib[[#This Row],[entry]]=2,tbl_SeqLib[[#This Row],[Max for col]],"")</f>
        <v/>
      </c>
      <c r="T59" s="57" t="str">
        <f>IF(tbl_SeqLib[[#This Row],[entry]]=2,tbl_SeqLib[[#This Row],[Avg for col]],"")</f>
        <v/>
      </c>
      <c r="U59" s="57" t="str">
        <f>IF(tbl_SeqLib[[#This Row],[entry]]=2,AVERAGE(tbl_SeqLib[Exact]),"")</f>
        <v/>
      </c>
      <c r="V59" s="57" t="str">
        <f>IF(tbl_SeqLib[[#This Row],[entry]]=2,MAX(tbl_SeqLib[Exact]),"")</f>
        <v/>
      </c>
      <c r="W59" s="57" t="str" cm="1">
        <f t="array" ref="W59">_xlfn.XLOOKUP(0,ABS(tbl_SeqLib[[#This Row],[Avg per plate]:[Max per plate]]-tbl_SeqLib[[#This Row],[Exact]]),tbl_SeqLib[[#This Row],[Avg per plate]:[Max per plate]],,1)</f>
        <v/>
      </c>
      <c r="X59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59" s="84" t="str">
        <f>IF(tbl_SeqLib[[#This Row],[entry]]=1,ROUNDUP(AVERAGE(tbl_SeqLib[Exact]),1),"")</f>
        <v/>
      </c>
      <c r="Z59" s="84" t="str">
        <f>IF(tbl_SeqLib[[#This Row],[entry]]=1,ROUNDUP(AVERAGEIFS(tbl_SeqLib[Exact],tbl_SeqLib[Column],tbl_SeqLib[[#This Row],[Column]]),1),"")</f>
        <v/>
      </c>
      <c r="AA59" s="57" t="str">
        <f>IF(missing_qc_resolution=reference!$E$34,tbl_SeqLib[[#This Row],[Avg per col (missing)]],tbl_SeqLib[[#This Row],[Avg per plate (missing)]])</f>
        <v/>
      </c>
      <c r="AB59" s="57" t="str">
        <f>IF(tbl_SeqLib[[#This Row],[entry]]=0,"",IF(tbl_SeqLib[[#This Row],[entry]]=1,tbl_SeqLib[[#This Row],[Not quantified]],IF(tbl_SeqLib[[#This Row],[entry]]=2,tbl_SeqLib[[#This Row],[Quantified]])))</f>
        <v/>
      </c>
      <c r="AC59" s="136"/>
      <c r="AD59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59" s="58" t="str">
        <f>IF(ISBLANK(tbl_SeqLib[[#This Row],[sWGA Identifier]]),"",CONCATENATE(exp_id,"_",tbl_SeqLib[[#This Row],[Well]]))</f>
        <v/>
      </c>
    </row>
    <row r="60" spans="1:31" ht="15.75" customHeight="1" x14ac:dyDescent="0.25">
      <c r="A60" s="59">
        <v>58</v>
      </c>
      <c r="B60" s="46" t="str">
        <f>RIGHT(tbl_SeqLib[[#This Row],[Well]],LEN(tbl_SeqLib[[#This Row],[Well]])-1)</f>
        <v>8</v>
      </c>
      <c r="C60" s="45" t="s">
        <v>199</v>
      </c>
      <c r="D60" s="19"/>
      <c r="E60" s="21"/>
      <c r="F60" s="31"/>
      <c r="G60" s="31"/>
      <c r="H60" s="31"/>
      <c r="I60" s="31"/>
      <c r="J6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0" s="32" t="s">
        <v>200</v>
      </c>
      <c r="L60" s="85">
        <f>IF(OR(ISBLANK(tbl_SeqLib[[#This Row],[Sample ID]]),ISBLANK(endrepair_targetmass)),0,IF(LEN(tbl_SeqLib[[#This Row],[PCR '[DNA'] (ng / µl)]])=0,1,2))</f>
        <v>0</v>
      </c>
      <c r="M6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0" s="44" t="str">
        <f>IF(tbl_SeqLib[[#This Row],[entry]]=2,ROUNDUP(_xlfn.MINIFS(tbl_SeqLib[Exact],tbl_SeqLib[Column],tbl_SeqLib[[#This Row],[Column]]),1),"")</f>
        <v/>
      </c>
      <c r="O60" s="44" t="str">
        <f>IF(tbl_SeqLib[[#This Row],[entry]]=2,ROUNDDOWN(_xlfn.MAXIFS(tbl_SeqLib[Exact],tbl_SeqLib[Column],tbl_SeqLib[[#This Row],[Column]]),1),"")</f>
        <v/>
      </c>
      <c r="P60" s="44" t="str">
        <f>IF(tbl_SeqLib[[#This Row],[entry]]=2,ROUNDUP(AVERAGEIFS(tbl_SeqLib[Exact],tbl_SeqLib[Column],tbl_SeqLib[[#This Row],[Column]]),1),"")</f>
        <v/>
      </c>
      <c r="Q60" s="44" t="str" cm="1">
        <f t="array" ref="Q60">_xlfn.XLOOKUP(0,ABS(tbl_SeqLib[[#This Row],[Min for col]:[Avg for col]]-tbl_SeqLib[[#This Row],[Exact]]),tbl_SeqLib[[#This Row],[Min for col]:[Avg for col]],"",1)</f>
        <v/>
      </c>
      <c r="R60" s="44" t="str" cm="1">
        <f t="array" ref="R60">_xlfn.XLOOKUP(0,ABS(tbl_SeqLib[[#This Row],[Max for col]:[Avg for col]]-tbl_SeqLib[[#This Row],[Exact]]),tbl_SeqLib[[#This Row],[Max for col]:[Avg for col]],"",1)</f>
        <v/>
      </c>
      <c r="S60" s="44" t="str">
        <f>IF(tbl_SeqLib[[#This Row],[entry]]=2,tbl_SeqLib[[#This Row],[Max for col]],"")</f>
        <v/>
      </c>
      <c r="T60" s="44" t="str">
        <f>IF(tbl_SeqLib[[#This Row],[entry]]=2,tbl_SeqLib[[#This Row],[Avg for col]],"")</f>
        <v/>
      </c>
      <c r="U60" s="44" t="str">
        <f>IF(tbl_SeqLib[[#This Row],[entry]]=2,AVERAGE(tbl_SeqLib[Exact]),"")</f>
        <v/>
      </c>
      <c r="V60" s="44" t="str">
        <f>IF(tbl_SeqLib[[#This Row],[entry]]=2,MAX(tbl_SeqLib[Exact]),"")</f>
        <v/>
      </c>
      <c r="W60" s="44" t="str" cm="1">
        <f t="array" ref="W60">_xlfn.XLOOKUP(0,ABS(tbl_SeqLib[[#This Row],[Avg per plate]:[Max per plate]]-tbl_SeqLib[[#This Row],[Exact]]),tbl_SeqLib[[#This Row],[Avg per plate]:[Max per plate]],,1)</f>
        <v/>
      </c>
      <c r="X6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0" s="85" t="str">
        <f>IF(tbl_SeqLib[[#This Row],[entry]]=1,ROUNDUP(AVERAGE(tbl_SeqLib[Exact]),1),"")</f>
        <v/>
      </c>
      <c r="Z60" s="85" t="str">
        <f>IF(tbl_SeqLib[[#This Row],[entry]]=1,ROUNDUP(AVERAGEIFS(tbl_SeqLib[Exact],tbl_SeqLib[Column],tbl_SeqLib[[#This Row],[Column]]),1),"")</f>
        <v/>
      </c>
      <c r="AA60" s="44" t="str">
        <f>IF(missing_qc_resolution=reference!$E$34,tbl_SeqLib[[#This Row],[Avg per col (missing)]],tbl_SeqLib[[#This Row],[Avg per plate (missing)]])</f>
        <v/>
      </c>
      <c r="AB60" s="44" t="str">
        <f>IF(tbl_SeqLib[[#This Row],[entry]]=0,"",IF(tbl_SeqLib[[#This Row],[entry]]=1,tbl_SeqLib[[#This Row],[Not quantified]],IF(tbl_SeqLib[[#This Row],[entry]]=2,tbl_SeqLib[[#This Row],[Quantified]])))</f>
        <v/>
      </c>
      <c r="AC60" s="137"/>
      <c r="AD6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0" s="60" t="str">
        <f>IF(ISBLANK(tbl_SeqLib[[#This Row],[sWGA Identifier]]),"",CONCATENATE(exp_id,"_",tbl_SeqLib[[#This Row],[Well]]))</f>
        <v/>
      </c>
    </row>
    <row r="61" spans="1:31" ht="15.75" customHeight="1" x14ac:dyDescent="0.25">
      <c r="A61" s="59">
        <v>59</v>
      </c>
      <c r="B61" s="46" t="str">
        <f>RIGHT(tbl_SeqLib[[#This Row],[Well]],LEN(tbl_SeqLib[[#This Row],[Well]])-1)</f>
        <v>8</v>
      </c>
      <c r="C61" s="45" t="s">
        <v>201</v>
      </c>
      <c r="D61" s="19"/>
      <c r="E61" s="21"/>
      <c r="F61" s="31"/>
      <c r="G61" s="31"/>
      <c r="H61" s="31"/>
      <c r="I61" s="31"/>
      <c r="J6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1" s="32" t="s">
        <v>202</v>
      </c>
      <c r="L61" s="85">
        <f>IF(OR(ISBLANK(tbl_SeqLib[[#This Row],[Sample ID]]),ISBLANK(endrepair_targetmass)),0,IF(LEN(tbl_SeqLib[[#This Row],[PCR '[DNA'] (ng / µl)]])=0,1,2))</f>
        <v>0</v>
      </c>
      <c r="M6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1" s="44" t="str">
        <f>IF(tbl_SeqLib[[#This Row],[entry]]=2,ROUNDUP(_xlfn.MINIFS(tbl_SeqLib[Exact],tbl_SeqLib[Column],tbl_SeqLib[[#This Row],[Column]]),1),"")</f>
        <v/>
      </c>
      <c r="O61" s="44" t="str">
        <f>IF(tbl_SeqLib[[#This Row],[entry]]=2,ROUNDDOWN(_xlfn.MAXIFS(tbl_SeqLib[Exact],tbl_SeqLib[Column],tbl_SeqLib[[#This Row],[Column]]),1),"")</f>
        <v/>
      </c>
      <c r="P61" s="44" t="str">
        <f>IF(tbl_SeqLib[[#This Row],[entry]]=2,ROUNDUP(AVERAGEIFS(tbl_SeqLib[Exact],tbl_SeqLib[Column],tbl_SeqLib[[#This Row],[Column]]),1),"")</f>
        <v/>
      </c>
      <c r="Q61" s="44" t="str" cm="1">
        <f t="array" ref="Q61">_xlfn.XLOOKUP(0,ABS(tbl_SeqLib[[#This Row],[Min for col]:[Avg for col]]-tbl_SeqLib[[#This Row],[Exact]]),tbl_SeqLib[[#This Row],[Min for col]:[Avg for col]],"",1)</f>
        <v/>
      </c>
      <c r="R61" s="44" t="str" cm="1">
        <f t="array" ref="R61">_xlfn.XLOOKUP(0,ABS(tbl_SeqLib[[#This Row],[Max for col]:[Avg for col]]-tbl_SeqLib[[#This Row],[Exact]]),tbl_SeqLib[[#This Row],[Max for col]:[Avg for col]],"",1)</f>
        <v/>
      </c>
      <c r="S61" s="44" t="str">
        <f>IF(tbl_SeqLib[[#This Row],[entry]]=2,tbl_SeqLib[[#This Row],[Max for col]],"")</f>
        <v/>
      </c>
      <c r="T61" s="44" t="str">
        <f>IF(tbl_SeqLib[[#This Row],[entry]]=2,tbl_SeqLib[[#This Row],[Avg for col]],"")</f>
        <v/>
      </c>
      <c r="U61" s="44" t="str">
        <f>IF(tbl_SeqLib[[#This Row],[entry]]=2,AVERAGE(tbl_SeqLib[Exact]),"")</f>
        <v/>
      </c>
      <c r="V61" s="44" t="str">
        <f>IF(tbl_SeqLib[[#This Row],[entry]]=2,MAX(tbl_SeqLib[Exact]),"")</f>
        <v/>
      </c>
      <c r="W61" s="44" t="str" cm="1">
        <f t="array" ref="W61">_xlfn.XLOOKUP(0,ABS(tbl_SeqLib[[#This Row],[Avg per plate]:[Max per plate]]-tbl_SeqLib[[#This Row],[Exact]]),tbl_SeqLib[[#This Row],[Avg per plate]:[Max per plate]],,1)</f>
        <v/>
      </c>
      <c r="X6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1" s="85" t="str">
        <f>IF(tbl_SeqLib[[#This Row],[entry]]=1,ROUNDUP(AVERAGE(tbl_SeqLib[Exact]),1),"")</f>
        <v/>
      </c>
      <c r="Z61" s="85" t="str">
        <f>IF(tbl_SeqLib[[#This Row],[entry]]=1,ROUNDUP(AVERAGEIFS(tbl_SeqLib[Exact],tbl_SeqLib[Column],tbl_SeqLib[[#This Row],[Column]]),1),"")</f>
        <v/>
      </c>
      <c r="AA61" s="44" t="str">
        <f>IF(missing_qc_resolution=reference!$E$34,tbl_SeqLib[[#This Row],[Avg per col (missing)]],tbl_SeqLib[[#This Row],[Avg per plate (missing)]])</f>
        <v/>
      </c>
      <c r="AB61" s="44" t="str">
        <f>IF(tbl_SeqLib[[#This Row],[entry]]=0,"",IF(tbl_SeqLib[[#This Row],[entry]]=1,tbl_SeqLib[[#This Row],[Not quantified]],IF(tbl_SeqLib[[#This Row],[entry]]=2,tbl_SeqLib[[#This Row],[Quantified]])))</f>
        <v/>
      </c>
      <c r="AC61" s="137"/>
      <c r="AD6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1" s="60" t="str">
        <f>IF(ISBLANK(tbl_SeqLib[[#This Row],[sWGA Identifier]]),"",CONCATENATE(exp_id,"_",tbl_SeqLib[[#This Row],[Well]]))</f>
        <v/>
      </c>
    </row>
    <row r="62" spans="1:31" ht="15.75" customHeight="1" x14ac:dyDescent="0.25">
      <c r="A62" s="59">
        <v>60</v>
      </c>
      <c r="B62" s="46" t="str">
        <f>RIGHT(tbl_SeqLib[[#This Row],[Well]],LEN(tbl_SeqLib[[#This Row],[Well]])-1)</f>
        <v>8</v>
      </c>
      <c r="C62" s="45" t="s">
        <v>203</v>
      </c>
      <c r="D62" s="19"/>
      <c r="E62" s="21"/>
      <c r="F62" s="31"/>
      <c r="G62" s="31"/>
      <c r="H62" s="31"/>
      <c r="I62" s="31"/>
      <c r="J6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2" s="32" t="s">
        <v>204</v>
      </c>
      <c r="L62" s="85">
        <f>IF(OR(ISBLANK(tbl_SeqLib[[#This Row],[Sample ID]]),ISBLANK(endrepair_targetmass)),0,IF(LEN(tbl_SeqLib[[#This Row],[PCR '[DNA'] (ng / µl)]])=0,1,2))</f>
        <v>0</v>
      </c>
      <c r="M6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2" s="44" t="str">
        <f>IF(tbl_SeqLib[[#This Row],[entry]]=2,ROUNDUP(_xlfn.MINIFS(tbl_SeqLib[Exact],tbl_SeqLib[Column],tbl_SeqLib[[#This Row],[Column]]),1),"")</f>
        <v/>
      </c>
      <c r="O62" s="44" t="str">
        <f>IF(tbl_SeqLib[[#This Row],[entry]]=2,ROUNDDOWN(_xlfn.MAXIFS(tbl_SeqLib[Exact],tbl_SeqLib[Column],tbl_SeqLib[[#This Row],[Column]]),1),"")</f>
        <v/>
      </c>
      <c r="P62" s="44" t="str">
        <f>IF(tbl_SeqLib[[#This Row],[entry]]=2,ROUNDUP(AVERAGEIFS(tbl_SeqLib[Exact],tbl_SeqLib[Column],tbl_SeqLib[[#This Row],[Column]]),1),"")</f>
        <v/>
      </c>
      <c r="Q62" s="44" t="str" cm="1">
        <f t="array" ref="Q62">_xlfn.XLOOKUP(0,ABS(tbl_SeqLib[[#This Row],[Min for col]:[Avg for col]]-tbl_SeqLib[[#This Row],[Exact]]),tbl_SeqLib[[#This Row],[Min for col]:[Avg for col]],"",1)</f>
        <v/>
      </c>
      <c r="R62" s="44" t="str" cm="1">
        <f t="array" ref="R62">_xlfn.XLOOKUP(0,ABS(tbl_SeqLib[[#This Row],[Max for col]:[Avg for col]]-tbl_SeqLib[[#This Row],[Exact]]),tbl_SeqLib[[#This Row],[Max for col]:[Avg for col]],"",1)</f>
        <v/>
      </c>
      <c r="S62" s="44" t="str">
        <f>IF(tbl_SeqLib[[#This Row],[entry]]=2,tbl_SeqLib[[#This Row],[Max for col]],"")</f>
        <v/>
      </c>
      <c r="T62" s="44" t="str">
        <f>IF(tbl_SeqLib[[#This Row],[entry]]=2,tbl_SeqLib[[#This Row],[Avg for col]],"")</f>
        <v/>
      </c>
      <c r="U62" s="44" t="str">
        <f>IF(tbl_SeqLib[[#This Row],[entry]]=2,AVERAGE(tbl_SeqLib[Exact]),"")</f>
        <v/>
      </c>
      <c r="V62" s="44" t="str">
        <f>IF(tbl_SeqLib[[#This Row],[entry]]=2,MAX(tbl_SeqLib[Exact]),"")</f>
        <v/>
      </c>
      <c r="W62" s="44" t="str" cm="1">
        <f t="array" ref="W62">_xlfn.XLOOKUP(0,ABS(tbl_SeqLib[[#This Row],[Avg per plate]:[Max per plate]]-tbl_SeqLib[[#This Row],[Exact]]),tbl_SeqLib[[#This Row],[Avg per plate]:[Max per plate]],,1)</f>
        <v/>
      </c>
      <c r="X6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2" s="85" t="str">
        <f>IF(tbl_SeqLib[[#This Row],[entry]]=1,ROUNDUP(AVERAGE(tbl_SeqLib[Exact]),1),"")</f>
        <v/>
      </c>
      <c r="Z62" s="85" t="str">
        <f>IF(tbl_SeqLib[[#This Row],[entry]]=1,ROUNDUP(AVERAGEIFS(tbl_SeqLib[Exact],tbl_SeqLib[Column],tbl_SeqLib[[#This Row],[Column]]),1),"")</f>
        <v/>
      </c>
      <c r="AA62" s="44" t="str">
        <f>IF(missing_qc_resolution=reference!$E$34,tbl_SeqLib[[#This Row],[Avg per col (missing)]],tbl_SeqLib[[#This Row],[Avg per plate (missing)]])</f>
        <v/>
      </c>
      <c r="AB62" s="44" t="str">
        <f>IF(tbl_SeqLib[[#This Row],[entry]]=0,"",IF(tbl_SeqLib[[#This Row],[entry]]=1,tbl_SeqLib[[#This Row],[Not quantified]],IF(tbl_SeqLib[[#This Row],[entry]]=2,tbl_SeqLib[[#This Row],[Quantified]])))</f>
        <v/>
      </c>
      <c r="AC62" s="137"/>
      <c r="AD6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2" s="60" t="str">
        <f>IF(ISBLANK(tbl_SeqLib[[#This Row],[sWGA Identifier]]),"",CONCATENATE(exp_id,"_",tbl_SeqLib[[#This Row],[Well]]))</f>
        <v/>
      </c>
    </row>
    <row r="63" spans="1:31" ht="15.75" customHeight="1" x14ac:dyDescent="0.25">
      <c r="A63" s="59">
        <v>61</v>
      </c>
      <c r="B63" s="46" t="str">
        <f>RIGHT(tbl_SeqLib[[#This Row],[Well]],LEN(tbl_SeqLib[[#This Row],[Well]])-1)</f>
        <v>8</v>
      </c>
      <c r="C63" s="45" t="s">
        <v>205</v>
      </c>
      <c r="D63" s="19"/>
      <c r="E63" s="21"/>
      <c r="F63" s="31"/>
      <c r="G63" s="31"/>
      <c r="H63" s="31"/>
      <c r="I63" s="31"/>
      <c r="J6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3" s="32" t="s">
        <v>206</v>
      </c>
      <c r="L63" s="85">
        <f>IF(OR(ISBLANK(tbl_SeqLib[[#This Row],[Sample ID]]),ISBLANK(endrepair_targetmass)),0,IF(LEN(tbl_SeqLib[[#This Row],[PCR '[DNA'] (ng / µl)]])=0,1,2))</f>
        <v>0</v>
      </c>
      <c r="M6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3" s="44" t="str">
        <f>IF(tbl_SeqLib[[#This Row],[entry]]=2,ROUNDUP(_xlfn.MINIFS(tbl_SeqLib[Exact],tbl_SeqLib[Column],tbl_SeqLib[[#This Row],[Column]]),1),"")</f>
        <v/>
      </c>
      <c r="O63" s="44" t="str">
        <f>IF(tbl_SeqLib[[#This Row],[entry]]=2,ROUNDDOWN(_xlfn.MAXIFS(tbl_SeqLib[Exact],tbl_SeqLib[Column],tbl_SeqLib[[#This Row],[Column]]),1),"")</f>
        <v/>
      </c>
      <c r="P63" s="44" t="str">
        <f>IF(tbl_SeqLib[[#This Row],[entry]]=2,ROUNDUP(AVERAGEIFS(tbl_SeqLib[Exact],tbl_SeqLib[Column],tbl_SeqLib[[#This Row],[Column]]),1),"")</f>
        <v/>
      </c>
      <c r="Q63" s="44" t="str" cm="1">
        <f t="array" ref="Q63">_xlfn.XLOOKUP(0,ABS(tbl_SeqLib[[#This Row],[Min for col]:[Avg for col]]-tbl_SeqLib[[#This Row],[Exact]]),tbl_SeqLib[[#This Row],[Min for col]:[Avg for col]],"",1)</f>
        <v/>
      </c>
      <c r="R63" s="44" t="str" cm="1">
        <f t="array" ref="R63">_xlfn.XLOOKUP(0,ABS(tbl_SeqLib[[#This Row],[Max for col]:[Avg for col]]-tbl_SeqLib[[#This Row],[Exact]]),tbl_SeqLib[[#This Row],[Max for col]:[Avg for col]],"",1)</f>
        <v/>
      </c>
      <c r="S63" s="44" t="str">
        <f>IF(tbl_SeqLib[[#This Row],[entry]]=2,tbl_SeqLib[[#This Row],[Max for col]],"")</f>
        <v/>
      </c>
      <c r="T63" s="44" t="str">
        <f>IF(tbl_SeqLib[[#This Row],[entry]]=2,tbl_SeqLib[[#This Row],[Avg for col]],"")</f>
        <v/>
      </c>
      <c r="U63" s="44" t="str">
        <f>IF(tbl_SeqLib[[#This Row],[entry]]=2,AVERAGE(tbl_SeqLib[Exact]),"")</f>
        <v/>
      </c>
      <c r="V63" s="44" t="str">
        <f>IF(tbl_SeqLib[[#This Row],[entry]]=2,MAX(tbl_SeqLib[Exact]),"")</f>
        <v/>
      </c>
      <c r="W63" s="44" t="str" cm="1">
        <f t="array" ref="W63">_xlfn.XLOOKUP(0,ABS(tbl_SeqLib[[#This Row],[Avg per plate]:[Max per plate]]-tbl_SeqLib[[#This Row],[Exact]]),tbl_SeqLib[[#This Row],[Avg per plate]:[Max per plate]],,1)</f>
        <v/>
      </c>
      <c r="X6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3" s="85" t="str">
        <f>IF(tbl_SeqLib[[#This Row],[entry]]=1,ROUNDUP(AVERAGE(tbl_SeqLib[Exact]),1),"")</f>
        <v/>
      </c>
      <c r="Z63" s="85" t="str">
        <f>IF(tbl_SeqLib[[#This Row],[entry]]=1,ROUNDUP(AVERAGEIFS(tbl_SeqLib[Exact],tbl_SeqLib[Column],tbl_SeqLib[[#This Row],[Column]]),1),"")</f>
        <v/>
      </c>
      <c r="AA63" s="44" t="str">
        <f>IF(missing_qc_resolution=reference!$E$34,tbl_SeqLib[[#This Row],[Avg per col (missing)]],tbl_SeqLib[[#This Row],[Avg per plate (missing)]])</f>
        <v/>
      </c>
      <c r="AB63" s="44" t="str">
        <f>IF(tbl_SeqLib[[#This Row],[entry]]=0,"",IF(tbl_SeqLib[[#This Row],[entry]]=1,tbl_SeqLib[[#This Row],[Not quantified]],IF(tbl_SeqLib[[#This Row],[entry]]=2,tbl_SeqLib[[#This Row],[Quantified]])))</f>
        <v/>
      </c>
      <c r="AC63" s="137"/>
      <c r="AD6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3" s="60" t="str">
        <f>IF(ISBLANK(tbl_SeqLib[[#This Row],[sWGA Identifier]]),"",CONCATENATE(exp_id,"_",tbl_SeqLib[[#This Row],[Well]]))</f>
        <v/>
      </c>
    </row>
    <row r="64" spans="1:31" ht="15.75" customHeight="1" x14ac:dyDescent="0.25">
      <c r="A64" s="59">
        <v>62</v>
      </c>
      <c r="B64" s="46" t="str">
        <f>RIGHT(tbl_SeqLib[[#This Row],[Well]],LEN(tbl_SeqLib[[#This Row],[Well]])-1)</f>
        <v>8</v>
      </c>
      <c r="C64" s="45" t="s">
        <v>207</v>
      </c>
      <c r="D64" s="19"/>
      <c r="E64" s="21"/>
      <c r="F64" s="31"/>
      <c r="G64" s="31"/>
      <c r="H64" s="31"/>
      <c r="I64" s="31"/>
      <c r="J6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4" s="32" t="s">
        <v>208</v>
      </c>
      <c r="L64" s="85">
        <f>IF(OR(ISBLANK(tbl_SeqLib[[#This Row],[Sample ID]]),ISBLANK(endrepair_targetmass)),0,IF(LEN(tbl_SeqLib[[#This Row],[PCR '[DNA'] (ng / µl)]])=0,1,2))</f>
        <v>0</v>
      </c>
      <c r="M6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4" s="44" t="str">
        <f>IF(tbl_SeqLib[[#This Row],[entry]]=2,ROUNDUP(_xlfn.MINIFS(tbl_SeqLib[Exact],tbl_SeqLib[Column],tbl_SeqLib[[#This Row],[Column]]),1),"")</f>
        <v/>
      </c>
      <c r="O64" s="44" t="str">
        <f>IF(tbl_SeqLib[[#This Row],[entry]]=2,ROUNDDOWN(_xlfn.MAXIFS(tbl_SeqLib[Exact],tbl_SeqLib[Column],tbl_SeqLib[[#This Row],[Column]]),1),"")</f>
        <v/>
      </c>
      <c r="P64" s="44" t="str">
        <f>IF(tbl_SeqLib[[#This Row],[entry]]=2,ROUNDUP(AVERAGEIFS(tbl_SeqLib[Exact],tbl_SeqLib[Column],tbl_SeqLib[[#This Row],[Column]]),1),"")</f>
        <v/>
      </c>
      <c r="Q64" s="44" t="str" cm="1">
        <f t="array" ref="Q64">_xlfn.XLOOKUP(0,ABS(tbl_SeqLib[[#This Row],[Min for col]:[Avg for col]]-tbl_SeqLib[[#This Row],[Exact]]),tbl_SeqLib[[#This Row],[Min for col]:[Avg for col]],"",1)</f>
        <v/>
      </c>
      <c r="R64" s="44" t="str" cm="1">
        <f t="array" ref="R64">_xlfn.XLOOKUP(0,ABS(tbl_SeqLib[[#This Row],[Max for col]:[Avg for col]]-tbl_SeqLib[[#This Row],[Exact]]),tbl_SeqLib[[#This Row],[Max for col]:[Avg for col]],"",1)</f>
        <v/>
      </c>
      <c r="S64" s="44" t="str">
        <f>IF(tbl_SeqLib[[#This Row],[entry]]=2,tbl_SeqLib[[#This Row],[Max for col]],"")</f>
        <v/>
      </c>
      <c r="T64" s="44" t="str">
        <f>IF(tbl_SeqLib[[#This Row],[entry]]=2,tbl_SeqLib[[#This Row],[Avg for col]],"")</f>
        <v/>
      </c>
      <c r="U64" s="44" t="str">
        <f>IF(tbl_SeqLib[[#This Row],[entry]]=2,AVERAGE(tbl_SeqLib[Exact]),"")</f>
        <v/>
      </c>
      <c r="V64" s="44" t="str">
        <f>IF(tbl_SeqLib[[#This Row],[entry]]=2,MAX(tbl_SeqLib[Exact]),"")</f>
        <v/>
      </c>
      <c r="W64" s="44" t="str" cm="1">
        <f t="array" ref="W64">_xlfn.XLOOKUP(0,ABS(tbl_SeqLib[[#This Row],[Avg per plate]:[Max per plate]]-tbl_SeqLib[[#This Row],[Exact]]),tbl_SeqLib[[#This Row],[Avg per plate]:[Max per plate]],,1)</f>
        <v/>
      </c>
      <c r="X6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4" s="85" t="str">
        <f>IF(tbl_SeqLib[[#This Row],[entry]]=1,ROUNDUP(AVERAGE(tbl_SeqLib[Exact]),1),"")</f>
        <v/>
      </c>
      <c r="Z64" s="85" t="str">
        <f>IF(tbl_SeqLib[[#This Row],[entry]]=1,ROUNDUP(AVERAGEIFS(tbl_SeqLib[Exact],tbl_SeqLib[Column],tbl_SeqLib[[#This Row],[Column]]),1),"")</f>
        <v/>
      </c>
      <c r="AA64" s="44" t="str">
        <f>IF(missing_qc_resolution=reference!$E$34,tbl_SeqLib[[#This Row],[Avg per col (missing)]],tbl_SeqLib[[#This Row],[Avg per plate (missing)]])</f>
        <v/>
      </c>
      <c r="AB64" s="44" t="str">
        <f>IF(tbl_SeqLib[[#This Row],[entry]]=0,"",IF(tbl_SeqLib[[#This Row],[entry]]=1,tbl_SeqLib[[#This Row],[Not quantified]],IF(tbl_SeqLib[[#This Row],[entry]]=2,tbl_SeqLib[[#This Row],[Quantified]])))</f>
        <v/>
      </c>
      <c r="AC64" s="137"/>
      <c r="AD6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4" s="60" t="str">
        <f>IF(ISBLANK(tbl_SeqLib[[#This Row],[sWGA Identifier]]),"",CONCATENATE(exp_id,"_",tbl_SeqLib[[#This Row],[Well]]))</f>
        <v/>
      </c>
    </row>
    <row r="65" spans="1:31" ht="15.75" customHeight="1" x14ac:dyDescent="0.25">
      <c r="A65" s="59">
        <v>63</v>
      </c>
      <c r="B65" s="46" t="str">
        <f>RIGHT(tbl_SeqLib[[#This Row],[Well]],LEN(tbl_SeqLib[[#This Row],[Well]])-1)</f>
        <v>8</v>
      </c>
      <c r="C65" s="45" t="s">
        <v>209</v>
      </c>
      <c r="D65" s="19"/>
      <c r="E65" s="21"/>
      <c r="F65" s="31"/>
      <c r="G65" s="31"/>
      <c r="H65" s="31"/>
      <c r="I65" s="31"/>
      <c r="J6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5" s="32" t="s">
        <v>210</v>
      </c>
      <c r="L65" s="85">
        <f>IF(OR(ISBLANK(tbl_SeqLib[[#This Row],[Sample ID]]),ISBLANK(endrepair_targetmass)),0,IF(LEN(tbl_SeqLib[[#This Row],[PCR '[DNA'] (ng / µl)]])=0,1,2))</f>
        <v>0</v>
      </c>
      <c r="M6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5" s="44" t="str">
        <f>IF(tbl_SeqLib[[#This Row],[entry]]=2,ROUNDUP(_xlfn.MINIFS(tbl_SeqLib[Exact],tbl_SeqLib[Column],tbl_SeqLib[[#This Row],[Column]]),1),"")</f>
        <v/>
      </c>
      <c r="O65" s="44" t="str">
        <f>IF(tbl_SeqLib[[#This Row],[entry]]=2,ROUNDDOWN(_xlfn.MAXIFS(tbl_SeqLib[Exact],tbl_SeqLib[Column],tbl_SeqLib[[#This Row],[Column]]),1),"")</f>
        <v/>
      </c>
      <c r="P65" s="44" t="str">
        <f>IF(tbl_SeqLib[[#This Row],[entry]]=2,ROUNDUP(AVERAGEIFS(tbl_SeqLib[Exact],tbl_SeqLib[Column],tbl_SeqLib[[#This Row],[Column]]),1),"")</f>
        <v/>
      </c>
      <c r="Q65" s="44" t="str" cm="1">
        <f t="array" ref="Q65">_xlfn.XLOOKUP(0,ABS(tbl_SeqLib[[#This Row],[Min for col]:[Avg for col]]-tbl_SeqLib[[#This Row],[Exact]]),tbl_SeqLib[[#This Row],[Min for col]:[Avg for col]],"",1)</f>
        <v/>
      </c>
      <c r="R65" s="44" t="str" cm="1">
        <f t="array" ref="R65">_xlfn.XLOOKUP(0,ABS(tbl_SeqLib[[#This Row],[Max for col]:[Avg for col]]-tbl_SeqLib[[#This Row],[Exact]]),tbl_SeqLib[[#This Row],[Max for col]:[Avg for col]],"",1)</f>
        <v/>
      </c>
      <c r="S65" s="44" t="str">
        <f>IF(tbl_SeqLib[[#This Row],[entry]]=2,tbl_SeqLib[[#This Row],[Max for col]],"")</f>
        <v/>
      </c>
      <c r="T65" s="44" t="str">
        <f>IF(tbl_SeqLib[[#This Row],[entry]]=2,tbl_SeqLib[[#This Row],[Avg for col]],"")</f>
        <v/>
      </c>
      <c r="U65" s="44" t="str">
        <f>IF(tbl_SeqLib[[#This Row],[entry]]=2,AVERAGE(tbl_SeqLib[Exact]),"")</f>
        <v/>
      </c>
      <c r="V65" s="44" t="str">
        <f>IF(tbl_SeqLib[[#This Row],[entry]]=2,MAX(tbl_SeqLib[Exact]),"")</f>
        <v/>
      </c>
      <c r="W65" s="44" t="str" cm="1">
        <f t="array" ref="W65">_xlfn.XLOOKUP(0,ABS(tbl_SeqLib[[#This Row],[Avg per plate]:[Max per plate]]-tbl_SeqLib[[#This Row],[Exact]]),tbl_SeqLib[[#This Row],[Avg per plate]:[Max per plate]],,1)</f>
        <v/>
      </c>
      <c r="X6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5" s="85" t="str">
        <f>IF(tbl_SeqLib[[#This Row],[entry]]=1,ROUNDUP(AVERAGE(tbl_SeqLib[Exact]),1),"")</f>
        <v/>
      </c>
      <c r="Z65" s="85" t="str">
        <f>IF(tbl_SeqLib[[#This Row],[entry]]=1,ROUNDUP(AVERAGEIFS(tbl_SeqLib[Exact],tbl_SeqLib[Column],tbl_SeqLib[[#This Row],[Column]]),1),"")</f>
        <v/>
      </c>
      <c r="AA65" s="44" t="str">
        <f>IF(missing_qc_resolution=reference!$E$34,tbl_SeqLib[[#This Row],[Avg per col (missing)]],tbl_SeqLib[[#This Row],[Avg per plate (missing)]])</f>
        <v/>
      </c>
      <c r="AB65" s="44" t="str">
        <f>IF(tbl_SeqLib[[#This Row],[entry]]=0,"",IF(tbl_SeqLib[[#This Row],[entry]]=1,tbl_SeqLib[[#This Row],[Not quantified]],IF(tbl_SeqLib[[#This Row],[entry]]=2,tbl_SeqLib[[#This Row],[Quantified]])))</f>
        <v/>
      </c>
      <c r="AC65" s="137"/>
      <c r="AD6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5" s="60" t="str">
        <f>IF(ISBLANK(tbl_SeqLib[[#This Row],[sWGA Identifier]]),"",CONCATENATE(exp_id,"_",tbl_SeqLib[[#This Row],[Well]]))</f>
        <v/>
      </c>
    </row>
    <row r="66" spans="1:31" ht="15.75" customHeight="1" thickBot="1" x14ac:dyDescent="0.3">
      <c r="A66" s="61">
        <v>64</v>
      </c>
      <c r="B66" s="62" t="str">
        <f>RIGHT(tbl_SeqLib[[#This Row],[Well]],LEN(tbl_SeqLib[[#This Row],[Well]])-1)</f>
        <v>8</v>
      </c>
      <c r="C66" s="70" t="s">
        <v>211</v>
      </c>
      <c r="D66" s="63"/>
      <c r="E66" s="64"/>
      <c r="F66" s="65"/>
      <c r="G66" s="65"/>
      <c r="H66" s="65"/>
      <c r="I66" s="65"/>
      <c r="J66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6" s="67" t="s">
        <v>212</v>
      </c>
      <c r="L66" s="86">
        <f>IF(OR(ISBLANK(tbl_SeqLib[[#This Row],[Sample ID]]),ISBLANK(endrepair_targetmass)),0,IF(LEN(tbl_SeqLib[[#This Row],[PCR '[DNA'] (ng / µl)]])=0,1,2))</f>
        <v>0</v>
      </c>
      <c r="M66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6" s="68" t="str">
        <f>IF(tbl_SeqLib[[#This Row],[entry]]=2,ROUNDUP(_xlfn.MINIFS(tbl_SeqLib[Exact],tbl_SeqLib[Column],tbl_SeqLib[[#This Row],[Column]]),1),"")</f>
        <v/>
      </c>
      <c r="O66" s="68" t="str">
        <f>IF(tbl_SeqLib[[#This Row],[entry]]=2,ROUNDDOWN(_xlfn.MAXIFS(tbl_SeqLib[Exact],tbl_SeqLib[Column],tbl_SeqLib[[#This Row],[Column]]),1),"")</f>
        <v/>
      </c>
      <c r="P66" s="68" t="str">
        <f>IF(tbl_SeqLib[[#This Row],[entry]]=2,ROUNDUP(AVERAGEIFS(tbl_SeqLib[Exact],tbl_SeqLib[Column],tbl_SeqLib[[#This Row],[Column]]),1),"")</f>
        <v/>
      </c>
      <c r="Q66" s="68" t="str" cm="1">
        <f t="array" ref="Q66">_xlfn.XLOOKUP(0,ABS(tbl_SeqLib[[#This Row],[Min for col]:[Avg for col]]-tbl_SeqLib[[#This Row],[Exact]]),tbl_SeqLib[[#This Row],[Min for col]:[Avg for col]],"",1)</f>
        <v/>
      </c>
      <c r="R66" s="68" t="str" cm="1">
        <f t="array" ref="R66">_xlfn.XLOOKUP(0,ABS(tbl_SeqLib[[#This Row],[Max for col]:[Avg for col]]-tbl_SeqLib[[#This Row],[Exact]]),tbl_SeqLib[[#This Row],[Max for col]:[Avg for col]],"",1)</f>
        <v/>
      </c>
      <c r="S66" s="68" t="str">
        <f>IF(tbl_SeqLib[[#This Row],[entry]]=2,tbl_SeqLib[[#This Row],[Max for col]],"")</f>
        <v/>
      </c>
      <c r="T66" s="68" t="str">
        <f>IF(tbl_SeqLib[[#This Row],[entry]]=2,tbl_SeqLib[[#This Row],[Avg for col]],"")</f>
        <v/>
      </c>
      <c r="U66" s="68" t="str">
        <f>IF(tbl_SeqLib[[#This Row],[entry]]=2,AVERAGE(tbl_SeqLib[Exact]),"")</f>
        <v/>
      </c>
      <c r="V66" s="68" t="str">
        <f>IF(tbl_SeqLib[[#This Row],[entry]]=2,MAX(tbl_SeqLib[Exact]),"")</f>
        <v/>
      </c>
      <c r="W66" s="68" t="str" cm="1">
        <f t="array" ref="W66">_xlfn.XLOOKUP(0,ABS(tbl_SeqLib[[#This Row],[Avg per plate]:[Max per plate]]-tbl_SeqLib[[#This Row],[Exact]]),tbl_SeqLib[[#This Row],[Avg per plate]:[Max per plate]],,1)</f>
        <v/>
      </c>
      <c r="X66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6" s="86" t="str">
        <f>IF(tbl_SeqLib[[#This Row],[entry]]=1,ROUNDUP(AVERAGE(tbl_SeqLib[Exact]),1),"")</f>
        <v/>
      </c>
      <c r="Z66" s="86" t="str">
        <f>IF(tbl_SeqLib[[#This Row],[entry]]=1,ROUNDUP(AVERAGEIFS(tbl_SeqLib[Exact],tbl_SeqLib[Column],tbl_SeqLib[[#This Row],[Column]]),1),"")</f>
        <v/>
      </c>
      <c r="AA66" s="68" t="str">
        <f>IF(missing_qc_resolution=reference!$E$34,tbl_SeqLib[[#This Row],[Avg per col (missing)]],tbl_SeqLib[[#This Row],[Avg per plate (missing)]])</f>
        <v/>
      </c>
      <c r="AB66" s="68" t="str">
        <f>IF(tbl_SeqLib[[#This Row],[entry]]=0,"",IF(tbl_SeqLib[[#This Row],[entry]]=1,tbl_SeqLib[[#This Row],[Not quantified]],IF(tbl_SeqLib[[#This Row],[entry]]=2,tbl_SeqLib[[#This Row],[Quantified]])))</f>
        <v/>
      </c>
      <c r="AC66" s="138"/>
      <c r="AD66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6" s="69" t="str">
        <f>IF(ISBLANK(tbl_SeqLib[[#This Row],[sWGA Identifier]]),"",CONCATENATE(exp_id,"_",tbl_SeqLib[[#This Row],[Well]]))</f>
        <v/>
      </c>
    </row>
    <row r="67" spans="1:31" ht="15.75" customHeight="1" x14ac:dyDescent="0.25">
      <c r="A67" s="50">
        <v>65</v>
      </c>
      <c r="B67" s="51" t="str">
        <f>RIGHT(tbl_SeqLib[[#This Row],[Well]],LEN(tbl_SeqLib[[#This Row],[Well]])-1)</f>
        <v>9</v>
      </c>
      <c r="C67" s="51" t="s">
        <v>213</v>
      </c>
      <c r="D67" s="52"/>
      <c r="E67" s="56"/>
      <c r="F67" s="52"/>
      <c r="G67" s="52"/>
      <c r="H67" s="52"/>
      <c r="I67" s="52"/>
      <c r="J67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7" s="56" t="s">
        <v>214</v>
      </c>
      <c r="L67" s="84">
        <f>IF(OR(ISBLANK(tbl_SeqLib[[#This Row],[Sample ID]]),ISBLANK(endrepair_targetmass)),0,IF(LEN(tbl_SeqLib[[#This Row],[PCR '[DNA'] (ng / µl)]])=0,1,2))</f>
        <v>0</v>
      </c>
      <c r="M67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7" s="57" t="str">
        <f>IF(tbl_SeqLib[[#This Row],[entry]]=2,ROUNDUP(_xlfn.MINIFS(tbl_SeqLib[Exact],tbl_SeqLib[Column],tbl_SeqLib[[#This Row],[Column]]),1),"")</f>
        <v/>
      </c>
      <c r="O67" s="57" t="str">
        <f>IF(tbl_SeqLib[[#This Row],[entry]]=2,ROUNDDOWN(_xlfn.MAXIFS(tbl_SeqLib[Exact],tbl_SeqLib[Column],tbl_SeqLib[[#This Row],[Column]]),1),"")</f>
        <v/>
      </c>
      <c r="P67" s="57" t="str">
        <f>IF(tbl_SeqLib[[#This Row],[entry]]=2,ROUNDUP(AVERAGEIFS(tbl_SeqLib[Exact],tbl_SeqLib[Column],tbl_SeqLib[[#This Row],[Column]]),1),"")</f>
        <v/>
      </c>
      <c r="Q67" s="57" t="str" cm="1">
        <f t="array" ref="Q67">_xlfn.XLOOKUP(0,ABS(tbl_SeqLib[[#This Row],[Min for col]:[Avg for col]]-tbl_SeqLib[[#This Row],[Exact]]),tbl_SeqLib[[#This Row],[Min for col]:[Avg for col]],"",1)</f>
        <v/>
      </c>
      <c r="R67" s="57" t="str" cm="1">
        <f t="array" ref="R67">_xlfn.XLOOKUP(0,ABS(tbl_SeqLib[[#This Row],[Max for col]:[Avg for col]]-tbl_SeqLib[[#This Row],[Exact]]),tbl_SeqLib[[#This Row],[Max for col]:[Avg for col]],"",1)</f>
        <v/>
      </c>
      <c r="S67" s="57" t="str">
        <f>IF(tbl_SeqLib[[#This Row],[entry]]=2,tbl_SeqLib[[#This Row],[Max for col]],"")</f>
        <v/>
      </c>
      <c r="T67" s="57" t="str">
        <f>IF(tbl_SeqLib[[#This Row],[entry]]=2,tbl_SeqLib[[#This Row],[Avg for col]],"")</f>
        <v/>
      </c>
      <c r="U67" s="57" t="str">
        <f>IF(tbl_SeqLib[[#This Row],[entry]]=2,AVERAGE(tbl_SeqLib[Exact]),"")</f>
        <v/>
      </c>
      <c r="V67" s="57" t="str">
        <f>IF(tbl_SeqLib[[#This Row],[entry]]=2,MAX(tbl_SeqLib[Exact]),"")</f>
        <v/>
      </c>
      <c r="W67" s="57" t="str" cm="1">
        <f t="array" ref="W67">_xlfn.XLOOKUP(0,ABS(tbl_SeqLib[[#This Row],[Avg per plate]:[Max per plate]]-tbl_SeqLib[[#This Row],[Exact]]),tbl_SeqLib[[#This Row],[Avg per plate]:[Max per plate]],,1)</f>
        <v/>
      </c>
      <c r="X67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7" s="84" t="str">
        <f>IF(tbl_SeqLib[[#This Row],[entry]]=1,ROUNDUP(AVERAGE(tbl_SeqLib[Exact]),1),"")</f>
        <v/>
      </c>
      <c r="Z67" s="84" t="str">
        <f>IF(tbl_SeqLib[[#This Row],[entry]]=1,ROUNDUP(AVERAGEIFS(tbl_SeqLib[Exact],tbl_SeqLib[Column],tbl_SeqLib[[#This Row],[Column]]),1),"")</f>
        <v/>
      </c>
      <c r="AA67" s="57" t="str">
        <f>IF(missing_qc_resolution=reference!$E$34,tbl_SeqLib[[#This Row],[Avg per col (missing)]],tbl_SeqLib[[#This Row],[Avg per plate (missing)]])</f>
        <v/>
      </c>
      <c r="AB67" s="57" t="str">
        <f>IF(tbl_SeqLib[[#This Row],[entry]]=0,"",IF(tbl_SeqLib[[#This Row],[entry]]=1,tbl_SeqLib[[#This Row],[Not quantified]],IF(tbl_SeqLib[[#This Row],[entry]]=2,tbl_SeqLib[[#This Row],[Quantified]])))</f>
        <v/>
      </c>
      <c r="AC67" s="136"/>
      <c r="AD67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7" s="58" t="str">
        <f>IF(ISBLANK(tbl_SeqLib[[#This Row],[sWGA Identifier]]),"",CONCATENATE(exp_id,"_",tbl_SeqLib[[#This Row],[Well]]))</f>
        <v/>
      </c>
    </row>
    <row r="68" spans="1:31" ht="15.75" customHeight="1" x14ac:dyDescent="0.25">
      <c r="A68" s="59">
        <v>66</v>
      </c>
      <c r="B68" s="46" t="str">
        <f>RIGHT(tbl_SeqLib[[#This Row],[Well]],LEN(tbl_SeqLib[[#This Row],[Well]])-1)</f>
        <v>9</v>
      </c>
      <c r="C68" s="45" t="s">
        <v>215</v>
      </c>
      <c r="D68" s="19"/>
      <c r="E68" s="21"/>
      <c r="F68" s="31"/>
      <c r="G68" s="31"/>
      <c r="H68" s="31"/>
      <c r="I68" s="31"/>
      <c r="J6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8" s="32" t="s">
        <v>216</v>
      </c>
      <c r="L68" s="85">
        <f>IF(OR(ISBLANK(tbl_SeqLib[[#This Row],[Sample ID]]),ISBLANK(endrepair_targetmass)),0,IF(LEN(tbl_SeqLib[[#This Row],[PCR '[DNA'] (ng / µl)]])=0,1,2))</f>
        <v>0</v>
      </c>
      <c r="M6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8" s="44" t="str">
        <f>IF(tbl_SeqLib[[#This Row],[entry]]=2,ROUNDUP(_xlfn.MINIFS(tbl_SeqLib[Exact],tbl_SeqLib[Column],tbl_SeqLib[[#This Row],[Column]]),1),"")</f>
        <v/>
      </c>
      <c r="O68" s="44" t="str">
        <f>IF(tbl_SeqLib[[#This Row],[entry]]=2,ROUNDDOWN(_xlfn.MAXIFS(tbl_SeqLib[Exact],tbl_SeqLib[Column],tbl_SeqLib[[#This Row],[Column]]),1),"")</f>
        <v/>
      </c>
      <c r="P68" s="44" t="str">
        <f>IF(tbl_SeqLib[[#This Row],[entry]]=2,ROUNDUP(AVERAGEIFS(tbl_SeqLib[Exact],tbl_SeqLib[Column],tbl_SeqLib[[#This Row],[Column]]),1),"")</f>
        <v/>
      </c>
      <c r="Q68" s="44" t="str" cm="1">
        <f t="array" ref="Q68">_xlfn.XLOOKUP(0,ABS(tbl_SeqLib[[#This Row],[Min for col]:[Avg for col]]-tbl_SeqLib[[#This Row],[Exact]]),tbl_SeqLib[[#This Row],[Min for col]:[Avg for col]],"",1)</f>
        <v/>
      </c>
      <c r="R68" s="44" t="str" cm="1">
        <f t="array" ref="R68">_xlfn.XLOOKUP(0,ABS(tbl_SeqLib[[#This Row],[Max for col]:[Avg for col]]-tbl_SeqLib[[#This Row],[Exact]]),tbl_SeqLib[[#This Row],[Max for col]:[Avg for col]],"",1)</f>
        <v/>
      </c>
      <c r="S68" s="44" t="str">
        <f>IF(tbl_SeqLib[[#This Row],[entry]]=2,tbl_SeqLib[[#This Row],[Max for col]],"")</f>
        <v/>
      </c>
      <c r="T68" s="44" t="str">
        <f>IF(tbl_SeqLib[[#This Row],[entry]]=2,tbl_SeqLib[[#This Row],[Avg for col]],"")</f>
        <v/>
      </c>
      <c r="U68" s="44" t="str">
        <f>IF(tbl_SeqLib[[#This Row],[entry]]=2,AVERAGE(tbl_SeqLib[Exact]),"")</f>
        <v/>
      </c>
      <c r="V68" s="44" t="str">
        <f>IF(tbl_SeqLib[[#This Row],[entry]]=2,MAX(tbl_SeqLib[Exact]),"")</f>
        <v/>
      </c>
      <c r="W68" s="44" t="str" cm="1">
        <f t="array" ref="W68">_xlfn.XLOOKUP(0,ABS(tbl_SeqLib[[#This Row],[Avg per plate]:[Max per plate]]-tbl_SeqLib[[#This Row],[Exact]]),tbl_SeqLib[[#This Row],[Avg per plate]:[Max per plate]],,1)</f>
        <v/>
      </c>
      <c r="X6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8" s="85" t="str">
        <f>IF(tbl_SeqLib[[#This Row],[entry]]=1,ROUNDUP(AVERAGE(tbl_SeqLib[Exact]),1),"")</f>
        <v/>
      </c>
      <c r="Z68" s="85" t="str">
        <f>IF(tbl_SeqLib[[#This Row],[entry]]=1,ROUNDUP(AVERAGEIFS(tbl_SeqLib[Exact],tbl_SeqLib[Column],tbl_SeqLib[[#This Row],[Column]]),1),"")</f>
        <v/>
      </c>
      <c r="AA68" s="44" t="str">
        <f>IF(missing_qc_resolution=reference!$E$34,tbl_SeqLib[[#This Row],[Avg per col (missing)]],tbl_SeqLib[[#This Row],[Avg per plate (missing)]])</f>
        <v/>
      </c>
      <c r="AB68" s="44" t="str">
        <f>IF(tbl_SeqLib[[#This Row],[entry]]=0,"",IF(tbl_SeqLib[[#This Row],[entry]]=1,tbl_SeqLib[[#This Row],[Not quantified]],IF(tbl_SeqLib[[#This Row],[entry]]=2,tbl_SeqLib[[#This Row],[Quantified]])))</f>
        <v/>
      </c>
      <c r="AC68" s="137"/>
      <c r="AD6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8" s="60" t="str">
        <f>IF(ISBLANK(tbl_SeqLib[[#This Row],[sWGA Identifier]]),"",CONCATENATE(exp_id,"_",tbl_SeqLib[[#This Row],[Well]]))</f>
        <v/>
      </c>
    </row>
    <row r="69" spans="1:31" ht="15.75" customHeight="1" x14ac:dyDescent="0.25">
      <c r="A69" s="59">
        <v>67</v>
      </c>
      <c r="B69" s="46" t="str">
        <f>RIGHT(tbl_SeqLib[[#This Row],[Well]],LEN(tbl_SeqLib[[#This Row],[Well]])-1)</f>
        <v>9</v>
      </c>
      <c r="C69" s="45" t="s">
        <v>217</v>
      </c>
      <c r="D69" s="19"/>
      <c r="E69" s="21"/>
      <c r="F69" s="31"/>
      <c r="G69" s="31"/>
      <c r="H69" s="31"/>
      <c r="I69" s="31"/>
      <c r="J6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69" s="32" t="s">
        <v>218</v>
      </c>
      <c r="L69" s="85">
        <f>IF(OR(ISBLANK(tbl_SeqLib[[#This Row],[Sample ID]]),ISBLANK(endrepair_targetmass)),0,IF(LEN(tbl_SeqLib[[#This Row],[PCR '[DNA'] (ng / µl)]])=0,1,2))</f>
        <v>0</v>
      </c>
      <c r="M6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69" s="44" t="str">
        <f>IF(tbl_SeqLib[[#This Row],[entry]]=2,ROUNDUP(_xlfn.MINIFS(tbl_SeqLib[Exact],tbl_SeqLib[Column],tbl_SeqLib[[#This Row],[Column]]),1),"")</f>
        <v/>
      </c>
      <c r="O69" s="44" t="str">
        <f>IF(tbl_SeqLib[[#This Row],[entry]]=2,ROUNDDOWN(_xlfn.MAXIFS(tbl_SeqLib[Exact],tbl_SeqLib[Column],tbl_SeqLib[[#This Row],[Column]]),1),"")</f>
        <v/>
      </c>
      <c r="P69" s="44" t="str">
        <f>IF(tbl_SeqLib[[#This Row],[entry]]=2,ROUNDUP(AVERAGEIFS(tbl_SeqLib[Exact],tbl_SeqLib[Column],tbl_SeqLib[[#This Row],[Column]]),1),"")</f>
        <v/>
      </c>
      <c r="Q69" s="44" t="str" cm="1">
        <f t="array" ref="Q69">_xlfn.XLOOKUP(0,ABS(tbl_SeqLib[[#This Row],[Min for col]:[Avg for col]]-tbl_SeqLib[[#This Row],[Exact]]),tbl_SeqLib[[#This Row],[Min for col]:[Avg for col]],"",1)</f>
        <v/>
      </c>
      <c r="R69" s="44" t="str" cm="1">
        <f t="array" ref="R69">_xlfn.XLOOKUP(0,ABS(tbl_SeqLib[[#This Row],[Max for col]:[Avg for col]]-tbl_SeqLib[[#This Row],[Exact]]),tbl_SeqLib[[#This Row],[Max for col]:[Avg for col]],"",1)</f>
        <v/>
      </c>
      <c r="S69" s="44" t="str">
        <f>IF(tbl_SeqLib[[#This Row],[entry]]=2,tbl_SeqLib[[#This Row],[Max for col]],"")</f>
        <v/>
      </c>
      <c r="T69" s="44" t="str">
        <f>IF(tbl_SeqLib[[#This Row],[entry]]=2,tbl_SeqLib[[#This Row],[Avg for col]],"")</f>
        <v/>
      </c>
      <c r="U69" s="44" t="str">
        <f>IF(tbl_SeqLib[[#This Row],[entry]]=2,AVERAGE(tbl_SeqLib[Exact]),"")</f>
        <v/>
      </c>
      <c r="V69" s="44" t="str">
        <f>IF(tbl_SeqLib[[#This Row],[entry]]=2,MAX(tbl_SeqLib[Exact]),"")</f>
        <v/>
      </c>
      <c r="W69" s="44" t="str" cm="1">
        <f t="array" ref="W69">_xlfn.XLOOKUP(0,ABS(tbl_SeqLib[[#This Row],[Avg per plate]:[Max per plate]]-tbl_SeqLib[[#This Row],[Exact]]),tbl_SeqLib[[#This Row],[Avg per plate]:[Max per plate]],,1)</f>
        <v/>
      </c>
      <c r="X6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69" s="85" t="str">
        <f>IF(tbl_SeqLib[[#This Row],[entry]]=1,ROUNDUP(AVERAGE(tbl_SeqLib[Exact]),1),"")</f>
        <v/>
      </c>
      <c r="Z69" s="85" t="str">
        <f>IF(tbl_SeqLib[[#This Row],[entry]]=1,ROUNDUP(AVERAGEIFS(tbl_SeqLib[Exact],tbl_SeqLib[Column],tbl_SeqLib[[#This Row],[Column]]),1),"")</f>
        <v/>
      </c>
      <c r="AA69" s="44" t="str">
        <f>IF(missing_qc_resolution=reference!$E$34,tbl_SeqLib[[#This Row],[Avg per col (missing)]],tbl_SeqLib[[#This Row],[Avg per plate (missing)]])</f>
        <v/>
      </c>
      <c r="AB69" s="44" t="str">
        <f>IF(tbl_SeqLib[[#This Row],[entry]]=0,"",IF(tbl_SeqLib[[#This Row],[entry]]=1,tbl_SeqLib[[#This Row],[Not quantified]],IF(tbl_SeqLib[[#This Row],[entry]]=2,tbl_SeqLib[[#This Row],[Quantified]])))</f>
        <v/>
      </c>
      <c r="AC69" s="137"/>
      <c r="AD6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69" s="60" t="str">
        <f>IF(ISBLANK(tbl_SeqLib[[#This Row],[sWGA Identifier]]),"",CONCATENATE(exp_id,"_",tbl_SeqLib[[#This Row],[Well]]))</f>
        <v/>
      </c>
    </row>
    <row r="70" spans="1:31" ht="15.75" customHeight="1" x14ac:dyDescent="0.25">
      <c r="A70" s="59">
        <v>68</v>
      </c>
      <c r="B70" s="46" t="str">
        <f>RIGHT(tbl_SeqLib[[#This Row],[Well]],LEN(tbl_SeqLib[[#This Row],[Well]])-1)</f>
        <v>9</v>
      </c>
      <c r="C70" s="45" t="s">
        <v>219</v>
      </c>
      <c r="D70" s="19"/>
      <c r="E70" s="21"/>
      <c r="F70" s="31"/>
      <c r="G70" s="31"/>
      <c r="H70" s="31"/>
      <c r="I70" s="31"/>
      <c r="J7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0" s="32" t="s">
        <v>220</v>
      </c>
      <c r="L70" s="85">
        <f>IF(OR(ISBLANK(tbl_SeqLib[[#This Row],[Sample ID]]),ISBLANK(endrepair_targetmass)),0,IF(LEN(tbl_SeqLib[[#This Row],[PCR '[DNA'] (ng / µl)]])=0,1,2))</f>
        <v>0</v>
      </c>
      <c r="M7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0" s="44" t="str">
        <f>IF(tbl_SeqLib[[#This Row],[entry]]=2,ROUNDUP(_xlfn.MINIFS(tbl_SeqLib[Exact],tbl_SeqLib[Column],tbl_SeqLib[[#This Row],[Column]]),1),"")</f>
        <v/>
      </c>
      <c r="O70" s="44" t="str">
        <f>IF(tbl_SeqLib[[#This Row],[entry]]=2,ROUNDDOWN(_xlfn.MAXIFS(tbl_SeqLib[Exact],tbl_SeqLib[Column],tbl_SeqLib[[#This Row],[Column]]),1),"")</f>
        <v/>
      </c>
      <c r="P70" s="44" t="str">
        <f>IF(tbl_SeqLib[[#This Row],[entry]]=2,ROUNDUP(AVERAGEIFS(tbl_SeqLib[Exact],tbl_SeqLib[Column],tbl_SeqLib[[#This Row],[Column]]),1),"")</f>
        <v/>
      </c>
      <c r="Q70" s="44" t="str" cm="1">
        <f t="array" ref="Q70">_xlfn.XLOOKUP(0,ABS(tbl_SeqLib[[#This Row],[Min for col]:[Avg for col]]-tbl_SeqLib[[#This Row],[Exact]]),tbl_SeqLib[[#This Row],[Min for col]:[Avg for col]],"",1)</f>
        <v/>
      </c>
      <c r="R70" s="44" t="str" cm="1">
        <f t="array" ref="R70">_xlfn.XLOOKUP(0,ABS(tbl_SeqLib[[#This Row],[Max for col]:[Avg for col]]-tbl_SeqLib[[#This Row],[Exact]]),tbl_SeqLib[[#This Row],[Max for col]:[Avg for col]],"",1)</f>
        <v/>
      </c>
      <c r="S70" s="44" t="str">
        <f>IF(tbl_SeqLib[[#This Row],[entry]]=2,tbl_SeqLib[[#This Row],[Max for col]],"")</f>
        <v/>
      </c>
      <c r="T70" s="44" t="str">
        <f>IF(tbl_SeqLib[[#This Row],[entry]]=2,tbl_SeqLib[[#This Row],[Avg for col]],"")</f>
        <v/>
      </c>
      <c r="U70" s="44" t="str">
        <f>IF(tbl_SeqLib[[#This Row],[entry]]=2,AVERAGE(tbl_SeqLib[Exact]),"")</f>
        <v/>
      </c>
      <c r="V70" s="44" t="str">
        <f>IF(tbl_SeqLib[[#This Row],[entry]]=2,MAX(tbl_SeqLib[Exact]),"")</f>
        <v/>
      </c>
      <c r="W70" s="44" t="str" cm="1">
        <f t="array" ref="W70">_xlfn.XLOOKUP(0,ABS(tbl_SeqLib[[#This Row],[Avg per plate]:[Max per plate]]-tbl_SeqLib[[#This Row],[Exact]]),tbl_SeqLib[[#This Row],[Avg per plate]:[Max per plate]],,1)</f>
        <v/>
      </c>
      <c r="X7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0" s="85" t="str">
        <f>IF(tbl_SeqLib[[#This Row],[entry]]=1,ROUNDUP(AVERAGE(tbl_SeqLib[Exact]),1),"")</f>
        <v/>
      </c>
      <c r="Z70" s="85" t="str">
        <f>IF(tbl_SeqLib[[#This Row],[entry]]=1,ROUNDUP(AVERAGEIFS(tbl_SeqLib[Exact],tbl_SeqLib[Column],tbl_SeqLib[[#This Row],[Column]]),1),"")</f>
        <v/>
      </c>
      <c r="AA70" s="44" t="str">
        <f>IF(missing_qc_resolution=reference!$E$34,tbl_SeqLib[[#This Row],[Avg per col (missing)]],tbl_SeqLib[[#This Row],[Avg per plate (missing)]])</f>
        <v/>
      </c>
      <c r="AB70" s="44" t="str">
        <f>IF(tbl_SeqLib[[#This Row],[entry]]=0,"",IF(tbl_SeqLib[[#This Row],[entry]]=1,tbl_SeqLib[[#This Row],[Not quantified]],IF(tbl_SeqLib[[#This Row],[entry]]=2,tbl_SeqLib[[#This Row],[Quantified]])))</f>
        <v/>
      </c>
      <c r="AC70" s="137"/>
      <c r="AD7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0" s="60" t="str">
        <f>IF(ISBLANK(tbl_SeqLib[[#This Row],[sWGA Identifier]]),"",CONCATENATE(exp_id,"_",tbl_SeqLib[[#This Row],[Well]]))</f>
        <v/>
      </c>
    </row>
    <row r="71" spans="1:31" ht="15.75" customHeight="1" x14ac:dyDescent="0.25">
      <c r="A71" s="59">
        <v>69</v>
      </c>
      <c r="B71" s="46" t="str">
        <f>RIGHT(tbl_SeqLib[[#This Row],[Well]],LEN(tbl_SeqLib[[#This Row],[Well]])-1)</f>
        <v>9</v>
      </c>
      <c r="C71" s="45" t="s">
        <v>221</v>
      </c>
      <c r="D71" s="19"/>
      <c r="E71" s="21"/>
      <c r="F71" s="31"/>
      <c r="G71" s="31"/>
      <c r="H71" s="31"/>
      <c r="I71" s="31"/>
      <c r="J7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1" s="32" t="s">
        <v>222</v>
      </c>
      <c r="L71" s="85">
        <f>IF(OR(ISBLANK(tbl_SeqLib[[#This Row],[Sample ID]]),ISBLANK(endrepair_targetmass)),0,IF(LEN(tbl_SeqLib[[#This Row],[PCR '[DNA'] (ng / µl)]])=0,1,2))</f>
        <v>0</v>
      </c>
      <c r="M7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1" s="44" t="str">
        <f>IF(tbl_SeqLib[[#This Row],[entry]]=2,ROUNDUP(_xlfn.MINIFS(tbl_SeqLib[Exact],tbl_SeqLib[Column],tbl_SeqLib[[#This Row],[Column]]),1),"")</f>
        <v/>
      </c>
      <c r="O71" s="44" t="str">
        <f>IF(tbl_SeqLib[[#This Row],[entry]]=2,ROUNDDOWN(_xlfn.MAXIFS(tbl_SeqLib[Exact],tbl_SeqLib[Column],tbl_SeqLib[[#This Row],[Column]]),1),"")</f>
        <v/>
      </c>
      <c r="P71" s="44" t="str">
        <f>IF(tbl_SeqLib[[#This Row],[entry]]=2,ROUNDUP(AVERAGEIFS(tbl_SeqLib[Exact],tbl_SeqLib[Column],tbl_SeqLib[[#This Row],[Column]]),1),"")</f>
        <v/>
      </c>
      <c r="Q71" s="44" t="str" cm="1">
        <f t="array" ref="Q71">_xlfn.XLOOKUP(0,ABS(tbl_SeqLib[[#This Row],[Min for col]:[Avg for col]]-tbl_SeqLib[[#This Row],[Exact]]),tbl_SeqLib[[#This Row],[Min for col]:[Avg for col]],"",1)</f>
        <v/>
      </c>
      <c r="R71" s="44" t="str" cm="1">
        <f t="array" ref="R71">_xlfn.XLOOKUP(0,ABS(tbl_SeqLib[[#This Row],[Max for col]:[Avg for col]]-tbl_SeqLib[[#This Row],[Exact]]),tbl_SeqLib[[#This Row],[Max for col]:[Avg for col]],"",1)</f>
        <v/>
      </c>
      <c r="S71" s="44" t="str">
        <f>IF(tbl_SeqLib[[#This Row],[entry]]=2,tbl_SeqLib[[#This Row],[Max for col]],"")</f>
        <v/>
      </c>
      <c r="T71" s="44" t="str">
        <f>IF(tbl_SeqLib[[#This Row],[entry]]=2,tbl_SeqLib[[#This Row],[Avg for col]],"")</f>
        <v/>
      </c>
      <c r="U71" s="44" t="str">
        <f>IF(tbl_SeqLib[[#This Row],[entry]]=2,AVERAGE(tbl_SeqLib[Exact]),"")</f>
        <v/>
      </c>
      <c r="V71" s="44" t="str">
        <f>IF(tbl_SeqLib[[#This Row],[entry]]=2,MAX(tbl_SeqLib[Exact]),"")</f>
        <v/>
      </c>
      <c r="W71" s="44" t="str" cm="1">
        <f t="array" ref="W71">_xlfn.XLOOKUP(0,ABS(tbl_SeqLib[[#This Row],[Avg per plate]:[Max per plate]]-tbl_SeqLib[[#This Row],[Exact]]),tbl_SeqLib[[#This Row],[Avg per plate]:[Max per plate]],,1)</f>
        <v/>
      </c>
      <c r="X7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1" s="85" t="str">
        <f>IF(tbl_SeqLib[[#This Row],[entry]]=1,ROUNDUP(AVERAGE(tbl_SeqLib[Exact]),1),"")</f>
        <v/>
      </c>
      <c r="Z71" s="85" t="str">
        <f>IF(tbl_SeqLib[[#This Row],[entry]]=1,ROUNDUP(AVERAGEIFS(tbl_SeqLib[Exact],tbl_SeqLib[Column],tbl_SeqLib[[#This Row],[Column]]),1),"")</f>
        <v/>
      </c>
      <c r="AA71" s="44" t="str">
        <f>IF(missing_qc_resolution=reference!$E$34,tbl_SeqLib[[#This Row],[Avg per col (missing)]],tbl_SeqLib[[#This Row],[Avg per plate (missing)]])</f>
        <v/>
      </c>
      <c r="AB71" s="44" t="str">
        <f>IF(tbl_SeqLib[[#This Row],[entry]]=0,"",IF(tbl_SeqLib[[#This Row],[entry]]=1,tbl_SeqLib[[#This Row],[Not quantified]],IF(tbl_SeqLib[[#This Row],[entry]]=2,tbl_SeqLib[[#This Row],[Quantified]])))</f>
        <v/>
      </c>
      <c r="AC71" s="137"/>
      <c r="AD7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1" s="60" t="str">
        <f>IF(ISBLANK(tbl_SeqLib[[#This Row],[sWGA Identifier]]),"",CONCATENATE(exp_id,"_",tbl_SeqLib[[#This Row],[Well]]))</f>
        <v/>
      </c>
    </row>
    <row r="72" spans="1:31" ht="15.75" customHeight="1" x14ac:dyDescent="0.25">
      <c r="A72" s="59">
        <v>70</v>
      </c>
      <c r="B72" s="46" t="str">
        <f>RIGHT(tbl_SeqLib[[#This Row],[Well]],LEN(tbl_SeqLib[[#This Row],[Well]])-1)</f>
        <v>9</v>
      </c>
      <c r="C72" s="45" t="s">
        <v>223</v>
      </c>
      <c r="D72" s="19"/>
      <c r="E72" s="21"/>
      <c r="F72" s="31"/>
      <c r="G72" s="31"/>
      <c r="H72" s="31"/>
      <c r="I72" s="31"/>
      <c r="J7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2" s="32" t="s">
        <v>224</v>
      </c>
      <c r="L72" s="85">
        <f>IF(OR(ISBLANK(tbl_SeqLib[[#This Row],[Sample ID]]),ISBLANK(endrepair_targetmass)),0,IF(LEN(tbl_SeqLib[[#This Row],[PCR '[DNA'] (ng / µl)]])=0,1,2))</f>
        <v>0</v>
      </c>
      <c r="M7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2" s="44" t="str">
        <f>IF(tbl_SeqLib[[#This Row],[entry]]=2,ROUNDUP(_xlfn.MINIFS(tbl_SeqLib[Exact],tbl_SeqLib[Column],tbl_SeqLib[[#This Row],[Column]]),1),"")</f>
        <v/>
      </c>
      <c r="O72" s="44" t="str">
        <f>IF(tbl_SeqLib[[#This Row],[entry]]=2,ROUNDDOWN(_xlfn.MAXIFS(tbl_SeqLib[Exact],tbl_SeqLib[Column],tbl_SeqLib[[#This Row],[Column]]),1),"")</f>
        <v/>
      </c>
      <c r="P72" s="44" t="str">
        <f>IF(tbl_SeqLib[[#This Row],[entry]]=2,ROUNDUP(AVERAGEIFS(tbl_SeqLib[Exact],tbl_SeqLib[Column],tbl_SeqLib[[#This Row],[Column]]),1),"")</f>
        <v/>
      </c>
      <c r="Q72" s="44" t="str" cm="1">
        <f t="array" ref="Q72">_xlfn.XLOOKUP(0,ABS(tbl_SeqLib[[#This Row],[Min for col]:[Avg for col]]-tbl_SeqLib[[#This Row],[Exact]]),tbl_SeqLib[[#This Row],[Min for col]:[Avg for col]],"",1)</f>
        <v/>
      </c>
      <c r="R72" s="44" t="str" cm="1">
        <f t="array" ref="R72">_xlfn.XLOOKUP(0,ABS(tbl_SeqLib[[#This Row],[Max for col]:[Avg for col]]-tbl_SeqLib[[#This Row],[Exact]]),tbl_SeqLib[[#This Row],[Max for col]:[Avg for col]],"",1)</f>
        <v/>
      </c>
      <c r="S72" s="44" t="str">
        <f>IF(tbl_SeqLib[[#This Row],[entry]]=2,tbl_SeqLib[[#This Row],[Max for col]],"")</f>
        <v/>
      </c>
      <c r="T72" s="44" t="str">
        <f>IF(tbl_SeqLib[[#This Row],[entry]]=2,tbl_SeqLib[[#This Row],[Avg for col]],"")</f>
        <v/>
      </c>
      <c r="U72" s="44" t="str">
        <f>IF(tbl_SeqLib[[#This Row],[entry]]=2,AVERAGE(tbl_SeqLib[Exact]),"")</f>
        <v/>
      </c>
      <c r="V72" s="44" t="str">
        <f>IF(tbl_SeqLib[[#This Row],[entry]]=2,MAX(tbl_SeqLib[Exact]),"")</f>
        <v/>
      </c>
      <c r="W72" s="44" t="str" cm="1">
        <f t="array" ref="W72">_xlfn.XLOOKUP(0,ABS(tbl_SeqLib[[#This Row],[Avg per plate]:[Max per plate]]-tbl_SeqLib[[#This Row],[Exact]]),tbl_SeqLib[[#This Row],[Avg per plate]:[Max per plate]],,1)</f>
        <v/>
      </c>
      <c r="X7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2" s="85" t="str">
        <f>IF(tbl_SeqLib[[#This Row],[entry]]=1,ROUNDUP(AVERAGE(tbl_SeqLib[Exact]),1),"")</f>
        <v/>
      </c>
      <c r="Z72" s="85" t="str">
        <f>IF(tbl_SeqLib[[#This Row],[entry]]=1,ROUNDUP(AVERAGEIFS(tbl_SeqLib[Exact],tbl_SeqLib[Column],tbl_SeqLib[[#This Row],[Column]]),1),"")</f>
        <v/>
      </c>
      <c r="AA72" s="44" t="str">
        <f>IF(missing_qc_resolution=reference!$E$34,tbl_SeqLib[[#This Row],[Avg per col (missing)]],tbl_SeqLib[[#This Row],[Avg per plate (missing)]])</f>
        <v/>
      </c>
      <c r="AB72" s="44" t="str">
        <f>IF(tbl_SeqLib[[#This Row],[entry]]=0,"",IF(tbl_SeqLib[[#This Row],[entry]]=1,tbl_SeqLib[[#This Row],[Not quantified]],IF(tbl_SeqLib[[#This Row],[entry]]=2,tbl_SeqLib[[#This Row],[Quantified]])))</f>
        <v/>
      </c>
      <c r="AC72" s="137"/>
      <c r="AD7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2" s="60" t="str">
        <f>IF(ISBLANK(tbl_SeqLib[[#This Row],[sWGA Identifier]]),"",CONCATENATE(exp_id,"_",tbl_SeqLib[[#This Row],[Well]]))</f>
        <v/>
      </c>
    </row>
    <row r="73" spans="1:31" ht="15.75" customHeight="1" x14ac:dyDescent="0.25">
      <c r="A73" s="59">
        <v>71</v>
      </c>
      <c r="B73" s="46" t="str">
        <f>RIGHT(tbl_SeqLib[[#This Row],[Well]],LEN(tbl_SeqLib[[#This Row],[Well]])-1)</f>
        <v>9</v>
      </c>
      <c r="C73" s="45" t="s">
        <v>225</v>
      </c>
      <c r="D73" s="19"/>
      <c r="E73" s="21"/>
      <c r="F73" s="31"/>
      <c r="G73" s="31"/>
      <c r="H73" s="31"/>
      <c r="I73" s="31"/>
      <c r="J7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3" s="32" t="s">
        <v>226</v>
      </c>
      <c r="L73" s="85">
        <f>IF(OR(ISBLANK(tbl_SeqLib[[#This Row],[Sample ID]]),ISBLANK(endrepair_targetmass)),0,IF(LEN(tbl_SeqLib[[#This Row],[PCR '[DNA'] (ng / µl)]])=0,1,2))</f>
        <v>0</v>
      </c>
      <c r="M7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3" s="44" t="str">
        <f>IF(tbl_SeqLib[[#This Row],[entry]]=2,ROUNDUP(_xlfn.MINIFS(tbl_SeqLib[Exact],tbl_SeqLib[Column],tbl_SeqLib[[#This Row],[Column]]),1),"")</f>
        <v/>
      </c>
      <c r="O73" s="44" t="str">
        <f>IF(tbl_SeqLib[[#This Row],[entry]]=2,ROUNDDOWN(_xlfn.MAXIFS(tbl_SeqLib[Exact],tbl_SeqLib[Column],tbl_SeqLib[[#This Row],[Column]]),1),"")</f>
        <v/>
      </c>
      <c r="P73" s="44" t="str">
        <f>IF(tbl_SeqLib[[#This Row],[entry]]=2,ROUNDUP(AVERAGEIFS(tbl_SeqLib[Exact],tbl_SeqLib[Column],tbl_SeqLib[[#This Row],[Column]]),1),"")</f>
        <v/>
      </c>
      <c r="Q73" s="44" t="str" cm="1">
        <f t="array" ref="Q73">_xlfn.XLOOKUP(0,ABS(tbl_SeqLib[[#This Row],[Min for col]:[Avg for col]]-tbl_SeqLib[[#This Row],[Exact]]),tbl_SeqLib[[#This Row],[Min for col]:[Avg for col]],"",1)</f>
        <v/>
      </c>
      <c r="R73" s="44" t="str" cm="1">
        <f t="array" ref="R73">_xlfn.XLOOKUP(0,ABS(tbl_SeqLib[[#This Row],[Max for col]:[Avg for col]]-tbl_SeqLib[[#This Row],[Exact]]),tbl_SeqLib[[#This Row],[Max for col]:[Avg for col]],"",1)</f>
        <v/>
      </c>
      <c r="S73" s="44" t="str">
        <f>IF(tbl_SeqLib[[#This Row],[entry]]=2,tbl_SeqLib[[#This Row],[Max for col]],"")</f>
        <v/>
      </c>
      <c r="T73" s="44" t="str">
        <f>IF(tbl_SeqLib[[#This Row],[entry]]=2,tbl_SeqLib[[#This Row],[Avg for col]],"")</f>
        <v/>
      </c>
      <c r="U73" s="44" t="str">
        <f>IF(tbl_SeqLib[[#This Row],[entry]]=2,AVERAGE(tbl_SeqLib[Exact]),"")</f>
        <v/>
      </c>
      <c r="V73" s="44" t="str">
        <f>IF(tbl_SeqLib[[#This Row],[entry]]=2,MAX(tbl_SeqLib[Exact]),"")</f>
        <v/>
      </c>
      <c r="W73" s="44" t="str" cm="1">
        <f t="array" ref="W73">_xlfn.XLOOKUP(0,ABS(tbl_SeqLib[[#This Row],[Avg per plate]:[Max per plate]]-tbl_SeqLib[[#This Row],[Exact]]),tbl_SeqLib[[#This Row],[Avg per plate]:[Max per plate]],,1)</f>
        <v/>
      </c>
      <c r="X7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3" s="85" t="str">
        <f>IF(tbl_SeqLib[[#This Row],[entry]]=1,ROUNDUP(AVERAGE(tbl_SeqLib[Exact]),1),"")</f>
        <v/>
      </c>
      <c r="Z73" s="85" t="str">
        <f>IF(tbl_SeqLib[[#This Row],[entry]]=1,ROUNDUP(AVERAGEIFS(tbl_SeqLib[Exact],tbl_SeqLib[Column],tbl_SeqLib[[#This Row],[Column]]),1),"")</f>
        <v/>
      </c>
      <c r="AA73" s="44" t="str">
        <f>IF(missing_qc_resolution=reference!$E$34,tbl_SeqLib[[#This Row],[Avg per col (missing)]],tbl_SeqLib[[#This Row],[Avg per plate (missing)]])</f>
        <v/>
      </c>
      <c r="AB73" s="44" t="str">
        <f>IF(tbl_SeqLib[[#This Row],[entry]]=0,"",IF(tbl_SeqLib[[#This Row],[entry]]=1,tbl_SeqLib[[#This Row],[Not quantified]],IF(tbl_SeqLib[[#This Row],[entry]]=2,tbl_SeqLib[[#This Row],[Quantified]])))</f>
        <v/>
      </c>
      <c r="AC73" s="137"/>
      <c r="AD7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3" s="60" t="str">
        <f>IF(ISBLANK(tbl_SeqLib[[#This Row],[sWGA Identifier]]),"",CONCATENATE(exp_id,"_",tbl_SeqLib[[#This Row],[Well]]))</f>
        <v/>
      </c>
    </row>
    <row r="74" spans="1:31" ht="15.75" customHeight="1" thickBot="1" x14ac:dyDescent="0.3">
      <c r="A74" s="61">
        <v>72</v>
      </c>
      <c r="B74" s="62" t="str">
        <f>RIGHT(tbl_SeqLib[[#This Row],[Well]],LEN(tbl_SeqLib[[#This Row],[Well]])-1)</f>
        <v>9</v>
      </c>
      <c r="C74" s="70" t="s">
        <v>227</v>
      </c>
      <c r="D74" s="63"/>
      <c r="E74" s="64"/>
      <c r="F74" s="65"/>
      <c r="G74" s="65"/>
      <c r="H74" s="65"/>
      <c r="I74" s="65"/>
      <c r="J74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4" s="67" t="s">
        <v>228</v>
      </c>
      <c r="L74" s="86">
        <f>IF(OR(ISBLANK(tbl_SeqLib[[#This Row],[Sample ID]]),ISBLANK(endrepair_targetmass)),0,IF(LEN(tbl_SeqLib[[#This Row],[PCR '[DNA'] (ng / µl)]])=0,1,2))</f>
        <v>0</v>
      </c>
      <c r="M74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4" s="68" t="str">
        <f>IF(tbl_SeqLib[[#This Row],[entry]]=2,ROUNDUP(_xlfn.MINIFS(tbl_SeqLib[Exact],tbl_SeqLib[Column],tbl_SeqLib[[#This Row],[Column]]),1),"")</f>
        <v/>
      </c>
      <c r="O74" s="68" t="str">
        <f>IF(tbl_SeqLib[[#This Row],[entry]]=2,ROUNDDOWN(_xlfn.MAXIFS(tbl_SeqLib[Exact],tbl_SeqLib[Column],tbl_SeqLib[[#This Row],[Column]]),1),"")</f>
        <v/>
      </c>
      <c r="P74" s="68" t="str">
        <f>IF(tbl_SeqLib[[#This Row],[entry]]=2,ROUNDUP(AVERAGEIFS(tbl_SeqLib[Exact],tbl_SeqLib[Column],tbl_SeqLib[[#This Row],[Column]]),1),"")</f>
        <v/>
      </c>
      <c r="Q74" s="68" t="str" cm="1">
        <f t="array" ref="Q74">_xlfn.XLOOKUP(0,ABS(tbl_SeqLib[[#This Row],[Min for col]:[Avg for col]]-tbl_SeqLib[[#This Row],[Exact]]),tbl_SeqLib[[#This Row],[Min for col]:[Avg for col]],"",1)</f>
        <v/>
      </c>
      <c r="R74" s="68" t="str" cm="1">
        <f t="array" ref="R74">_xlfn.XLOOKUP(0,ABS(tbl_SeqLib[[#This Row],[Max for col]:[Avg for col]]-tbl_SeqLib[[#This Row],[Exact]]),tbl_SeqLib[[#This Row],[Max for col]:[Avg for col]],"",1)</f>
        <v/>
      </c>
      <c r="S74" s="68" t="str">
        <f>IF(tbl_SeqLib[[#This Row],[entry]]=2,tbl_SeqLib[[#This Row],[Max for col]],"")</f>
        <v/>
      </c>
      <c r="T74" s="68" t="str">
        <f>IF(tbl_SeqLib[[#This Row],[entry]]=2,tbl_SeqLib[[#This Row],[Avg for col]],"")</f>
        <v/>
      </c>
      <c r="U74" s="68" t="str">
        <f>IF(tbl_SeqLib[[#This Row],[entry]]=2,AVERAGE(tbl_SeqLib[Exact]),"")</f>
        <v/>
      </c>
      <c r="V74" s="68" t="str">
        <f>IF(tbl_SeqLib[[#This Row],[entry]]=2,MAX(tbl_SeqLib[Exact]),"")</f>
        <v/>
      </c>
      <c r="W74" s="68" t="str" cm="1">
        <f t="array" ref="W74">_xlfn.XLOOKUP(0,ABS(tbl_SeqLib[[#This Row],[Avg per plate]:[Max per plate]]-tbl_SeqLib[[#This Row],[Exact]]),tbl_SeqLib[[#This Row],[Avg per plate]:[Max per plate]],,1)</f>
        <v/>
      </c>
      <c r="X74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4" s="86" t="str">
        <f>IF(tbl_SeqLib[[#This Row],[entry]]=1,ROUNDUP(AVERAGE(tbl_SeqLib[Exact]),1),"")</f>
        <v/>
      </c>
      <c r="Z74" s="86" t="str">
        <f>IF(tbl_SeqLib[[#This Row],[entry]]=1,ROUNDUP(AVERAGEIFS(tbl_SeqLib[Exact],tbl_SeqLib[Column],tbl_SeqLib[[#This Row],[Column]]),1),"")</f>
        <v/>
      </c>
      <c r="AA74" s="68" t="str">
        <f>IF(missing_qc_resolution=reference!$E$34,tbl_SeqLib[[#This Row],[Avg per col (missing)]],tbl_SeqLib[[#This Row],[Avg per plate (missing)]])</f>
        <v/>
      </c>
      <c r="AB74" s="68" t="str">
        <f>IF(tbl_SeqLib[[#This Row],[entry]]=0,"",IF(tbl_SeqLib[[#This Row],[entry]]=1,tbl_SeqLib[[#This Row],[Not quantified]],IF(tbl_SeqLib[[#This Row],[entry]]=2,tbl_SeqLib[[#This Row],[Quantified]])))</f>
        <v/>
      </c>
      <c r="AC74" s="138"/>
      <c r="AD74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4" s="69" t="str">
        <f>IF(ISBLANK(tbl_SeqLib[[#This Row],[sWGA Identifier]]),"",CONCATENATE(exp_id,"_",tbl_SeqLib[[#This Row],[Well]]))</f>
        <v/>
      </c>
    </row>
    <row r="75" spans="1:31" ht="15.75" customHeight="1" x14ac:dyDescent="0.25">
      <c r="A75" s="50">
        <v>73</v>
      </c>
      <c r="B75" s="51" t="str">
        <f>RIGHT(tbl_SeqLib[[#This Row],[Well]],LEN(tbl_SeqLib[[#This Row],[Well]])-1)</f>
        <v>10</v>
      </c>
      <c r="C75" s="51" t="s">
        <v>229</v>
      </c>
      <c r="D75" s="52"/>
      <c r="E75" s="56"/>
      <c r="F75" s="52"/>
      <c r="G75" s="52"/>
      <c r="H75" s="52"/>
      <c r="I75" s="52"/>
      <c r="J75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5" s="56" t="s">
        <v>230</v>
      </c>
      <c r="L75" s="84">
        <f>IF(OR(ISBLANK(tbl_SeqLib[[#This Row],[Sample ID]]),ISBLANK(endrepair_targetmass)),0,IF(LEN(tbl_SeqLib[[#This Row],[PCR '[DNA'] (ng / µl)]])=0,1,2))</f>
        <v>0</v>
      </c>
      <c r="M75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5" s="57" t="str">
        <f>IF(tbl_SeqLib[[#This Row],[entry]]=2,ROUNDUP(_xlfn.MINIFS(tbl_SeqLib[Exact],tbl_SeqLib[Column],tbl_SeqLib[[#This Row],[Column]]),1),"")</f>
        <v/>
      </c>
      <c r="O75" s="57" t="str">
        <f>IF(tbl_SeqLib[[#This Row],[entry]]=2,ROUNDDOWN(_xlfn.MAXIFS(tbl_SeqLib[Exact],tbl_SeqLib[Column],tbl_SeqLib[[#This Row],[Column]]),1),"")</f>
        <v/>
      </c>
      <c r="P75" s="57" t="str">
        <f>IF(tbl_SeqLib[[#This Row],[entry]]=2,ROUNDUP(AVERAGEIFS(tbl_SeqLib[Exact],tbl_SeqLib[Column],tbl_SeqLib[[#This Row],[Column]]),1),"")</f>
        <v/>
      </c>
      <c r="Q75" s="57" t="str" cm="1">
        <f t="array" ref="Q75">_xlfn.XLOOKUP(0,ABS(tbl_SeqLib[[#This Row],[Min for col]:[Avg for col]]-tbl_SeqLib[[#This Row],[Exact]]),tbl_SeqLib[[#This Row],[Min for col]:[Avg for col]],"",1)</f>
        <v/>
      </c>
      <c r="R75" s="57" t="str" cm="1">
        <f t="array" ref="R75">_xlfn.XLOOKUP(0,ABS(tbl_SeqLib[[#This Row],[Max for col]:[Avg for col]]-tbl_SeqLib[[#This Row],[Exact]]),tbl_SeqLib[[#This Row],[Max for col]:[Avg for col]],"",1)</f>
        <v/>
      </c>
      <c r="S75" s="57" t="str">
        <f>IF(tbl_SeqLib[[#This Row],[entry]]=2,tbl_SeqLib[[#This Row],[Max for col]],"")</f>
        <v/>
      </c>
      <c r="T75" s="57" t="str">
        <f>IF(tbl_SeqLib[[#This Row],[entry]]=2,tbl_SeqLib[[#This Row],[Avg for col]],"")</f>
        <v/>
      </c>
      <c r="U75" s="57" t="str">
        <f>IF(tbl_SeqLib[[#This Row],[entry]]=2,AVERAGE(tbl_SeqLib[Exact]),"")</f>
        <v/>
      </c>
      <c r="V75" s="57" t="str">
        <f>IF(tbl_SeqLib[[#This Row],[entry]]=2,MAX(tbl_SeqLib[Exact]),"")</f>
        <v/>
      </c>
      <c r="W75" s="57" t="str" cm="1">
        <f t="array" ref="W75">_xlfn.XLOOKUP(0,ABS(tbl_SeqLib[[#This Row],[Avg per plate]:[Max per plate]]-tbl_SeqLib[[#This Row],[Exact]]),tbl_SeqLib[[#This Row],[Avg per plate]:[Max per plate]],,1)</f>
        <v/>
      </c>
      <c r="X75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5" s="84" t="str">
        <f>IF(tbl_SeqLib[[#This Row],[entry]]=1,ROUNDUP(AVERAGE(tbl_SeqLib[Exact]),1),"")</f>
        <v/>
      </c>
      <c r="Z75" s="84" t="str">
        <f>IF(tbl_SeqLib[[#This Row],[entry]]=1,ROUNDUP(AVERAGEIFS(tbl_SeqLib[Exact],tbl_SeqLib[Column],tbl_SeqLib[[#This Row],[Column]]),1),"")</f>
        <v/>
      </c>
      <c r="AA75" s="57" t="str">
        <f>IF(missing_qc_resolution=reference!$E$34,tbl_SeqLib[[#This Row],[Avg per col (missing)]],tbl_SeqLib[[#This Row],[Avg per plate (missing)]])</f>
        <v/>
      </c>
      <c r="AB75" s="57" t="str">
        <f>IF(tbl_SeqLib[[#This Row],[entry]]=0,"",IF(tbl_SeqLib[[#This Row],[entry]]=1,tbl_SeqLib[[#This Row],[Not quantified]],IF(tbl_SeqLib[[#This Row],[entry]]=2,tbl_SeqLib[[#This Row],[Quantified]])))</f>
        <v/>
      </c>
      <c r="AC75" s="136"/>
      <c r="AD75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5" s="58" t="str">
        <f>IF(ISBLANK(tbl_SeqLib[[#This Row],[sWGA Identifier]]),"",CONCATENATE(exp_id,"_",tbl_SeqLib[[#This Row],[Well]]))</f>
        <v/>
      </c>
    </row>
    <row r="76" spans="1:31" ht="15.75" customHeight="1" x14ac:dyDescent="0.25">
      <c r="A76" s="59">
        <v>74</v>
      </c>
      <c r="B76" s="46" t="str">
        <f>RIGHT(tbl_SeqLib[[#This Row],[Well]],LEN(tbl_SeqLib[[#This Row],[Well]])-1)</f>
        <v>10</v>
      </c>
      <c r="C76" s="45" t="s">
        <v>231</v>
      </c>
      <c r="D76" s="19"/>
      <c r="E76" s="21"/>
      <c r="F76" s="31"/>
      <c r="G76" s="31"/>
      <c r="H76" s="31"/>
      <c r="I76" s="31"/>
      <c r="J7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6" s="32" t="s">
        <v>232</v>
      </c>
      <c r="L76" s="85">
        <f>IF(OR(ISBLANK(tbl_SeqLib[[#This Row],[Sample ID]]),ISBLANK(endrepair_targetmass)),0,IF(LEN(tbl_SeqLib[[#This Row],[PCR '[DNA'] (ng / µl)]])=0,1,2))</f>
        <v>0</v>
      </c>
      <c r="M7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6" s="44" t="str">
        <f>IF(tbl_SeqLib[[#This Row],[entry]]=2,ROUNDUP(_xlfn.MINIFS(tbl_SeqLib[Exact],tbl_SeqLib[Column],tbl_SeqLib[[#This Row],[Column]]),1),"")</f>
        <v/>
      </c>
      <c r="O76" s="44" t="str">
        <f>IF(tbl_SeqLib[[#This Row],[entry]]=2,ROUNDDOWN(_xlfn.MAXIFS(tbl_SeqLib[Exact],tbl_SeqLib[Column],tbl_SeqLib[[#This Row],[Column]]),1),"")</f>
        <v/>
      </c>
      <c r="P76" s="44" t="str">
        <f>IF(tbl_SeqLib[[#This Row],[entry]]=2,ROUNDUP(AVERAGEIFS(tbl_SeqLib[Exact],tbl_SeqLib[Column],tbl_SeqLib[[#This Row],[Column]]),1),"")</f>
        <v/>
      </c>
      <c r="Q76" s="44" t="str" cm="1">
        <f t="array" ref="Q76">_xlfn.XLOOKUP(0,ABS(tbl_SeqLib[[#This Row],[Min for col]:[Avg for col]]-tbl_SeqLib[[#This Row],[Exact]]),tbl_SeqLib[[#This Row],[Min for col]:[Avg for col]],"",1)</f>
        <v/>
      </c>
      <c r="R76" s="44" t="str" cm="1">
        <f t="array" ref="R76">_xlfn.XLOOKUP(0,ABS(tbl_SeqLib[[#This Row],[Max for col]:[Avg for col]]-tbl_SeqLib[[#This Row],[Exact]]),tbl_SeqLib[[#This Row],[Max for col]:[Avg for col]],"",1)</f>
        <v/>
      </c>
      <c r="S76" s="44" t="str">
        <f>IF(tbl_SeqLib[[#This Row],[entry]]=2,tbl_SeqLib[[#This Row],[Max for col]],"")</f>
        <v/>
      </c>
      <c r="T76" s="44" t="str">
        <f>IF(tbl_SeqLib[[#This Row],[entry]]=2,tbl_SeqLib[[#This Row],[Avg for col]],"")</f>
        <v/>
      </c>
      <c r="U76" s="44" t="str">
        <f>IF(tbl_SeqLib[[#This Row],[entry]]=2,AVERAGE(tbl_SeqLib[Exact]),"")</f>
        <v/>
      </c>
      <c r="V76" s="44" t="str">
        <f>IF(tbl_SeqLib[[#This Row],[entry]]=2,MAX(tbl_SeqLib[Exact]),"")</f>
        <v/>
      </c>
      <c r="W76" s="44" t="str" cm="1">
        <f t="array" ref="W76">_xlfn.XLOOKUP(0,ABS(tbl_SeqLib[[#This Row],[Avg per plate]:[Max per plate]]-tbl_SeqLib[[#This Row],[Exact]]),tbl_SeqLib[[#This Row],[Avg per plate]:[Max per plate]],,1)</f>
        <v/>
      </c>
      <c r="X7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6" s="85" t="str">
        <f>IF(tbl_SeqLib[[#This Row],[entry]]=1,ROUNDUP(AVERAGE(tbl_SeqLib[Exact]),1),"")</f>
        <v/>
      </c>
      <c r="Z76" s="85" t="str">
        <f>IF(tbl_SeqLib[[#This Row],[entry]]=1,ROUNDUP(AVERAGEIFS(tbl_SeqLib[Exact],tbl_SeqLib[Column],tbl_SeqLib[[#This Row],[Column]]),1),"")</f>
        <v/>
      </c>
      <c r="AA76" s="44" t="str">
        <f>IF(missing_qc_resolution=reference!$E$34,tbl_SeqLib[[#This Row],[Avg per col (missing)]],tbl_SeqLib[[#This Row],[Avg per plate (missing)]])</f>
        <v/>
      </c>
      <c r="AB76" s="44" t="str">
        <f>IF(tbl_SeqLib[[#This Row],[entry]]=0,"",IF(tbl_SeqLib[[#This Row],[entry]]=1,tbl_SeqLib[[#This Row],[Not quantified]],IF(tbl_SeqLib[[#This Row],[entry]]=2,tbl_SeqLib[[#This Row],[Quantified]])))</f>
        <v/>
      </c>
      <c r="AC76" s="137"/>
      <c r="AD7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6" s="60" t="str">
        <f>IF(ISBLANK(tbl_SeqLib[[#This Row],[sWGA Identifier]]),"",CONCATENATE(exp_id,"_",tbl_SeqLib[[#This Row],[Well]]))</f>
        <v/>
      </c>
    </row>
    <row r="77" spans="1:31" ht="15.75" customHeight="1" x14ac:dyDescent="0.25">
      <c r="A77" s="59">
        <v>75</v>
      </c>
      <c r="B77" s="46" t="str">
        <f>RIGHT(tbl_SeqLib[[#This Row],[Well]],LEN(tbl_SeqLib[[#This Row],[Well]])-1)</f>
        <v>10</v>
      </c>
      <c r="C77" s="45" t="s">
        <v>233</v>
      </c>
      <c r="D77" s="19"/>
      <c r="E77" s="21"/>
      <c r="F77" s="31"/>
      <c r="G77" s="31"/>
      <c r="H77" s="31"/>
      <c r="I77" s="31"/>
      <c r="J7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7" s="32" t="s">
        <v>234</v>
      </c>
      <c r="L77" s="85">
        <f>IF(OR(ISBLANK(tbl_SeqLib[[#This Row],[Sample ID]]),ISBLANK(endrepair_targetmass)),0,IF(LEN(tbl_SeqLib[[#This Row],[PCR '[DNA'] (ng / µl)]])=0,1,2))</f>
        <v>0</v>
      </c>
      <c r="M7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7" s="44" t="str">
        <f>IF(tbl_SeqLib[[#This Row],[entry]]=2,ROUNDUP(_xlfn.MINIFS(tbl_SeqLib[Exact],tbl_SeqLib[Column],tbl_SeqLib[[#This Row],[Column]]),1),"")</f>
        <v/>
      </c>
      <c r="O77" s="44" t="str">
        <f>IF(tbl_SeqLib[[#This Row],[entry]]=2,ROUNDDOWN(_xlfn.MAXIFS(tbl_SeqLib[Exact],tbl_SeqLib[Column],tbl_SeqLib[[#This Row],[Column]]),1),"")</f>
        <v/>
      </c>
      <c r="P77" s="44" t="str">
        <f>IF(tbl_SeqLib[[#This Row],[entry]]=2,ROUNDUP(AVERAGEIFS(tbl_SeqLib[Exact],tbl_SeqLib[Column],tbl_SeqLib[[#This Row],[Column]]),1),"")</f>
        <v/>
      </c>
      <c r="Q77" s="44" t="str" cm="1">
        <f t="array" ref="Q77">_xlfn.XLOOKUP(0,ABS(tbl_SeqLib[[#This Row],[Min for col]:[Avg for col]]-tbl_SeqLib[[#This Row],[Exact]]),tbl_SeqLib[[#This Row],[Min for col]:[Avg for col]],"",1)</f>
        <v/>
      </c>
      <c r="R77" s="44" t="str" cm="1">
        <f t="array" ref="R77">_xlfn.XLOOKUP(0,ABS(tbl_SeqLib[[#This Row],[Max for col]:[Avg for col]]-tbl_SeqLib[[#This Row],[Exact]]),tbl_SeqLib[[#This Row],[Max for col]:[Avg for col]],"",1)</f>
        <v/>
      </c>
      <c r="S77" s="44" t="str">
        <f>IF(tbl_SeqLib[[#This Row],[entry]]=2,tbl_SeqLib[[#This Row],[Max for col]],"")</f>
        <v/>
      </c>
      <c r="T77" s="44" t="str">
        <f>IF(tbl_SeqLib[[#This Row],[entry]]=2,tbl_SeqLib[[#This Row],[Avg for col]],"")</f>
        <v/>
      </c>
      <c r="U77" s="44" t="str">
        <f>IF(tbl_SeqLib[[#This Row],[entry]]=2,AVERAGE(tbl_SeqLib[Exact]),"")</f>
        <v/>
      </c>
      <c r="V77" s="44" t="str">
        <f>IF(tbl_SeqLib[[#This Row],[entry]]=2,MAX(tbl_SeqLib[Exact]),"")</f>
        <v/>
      </c>
      <c r="W77" s="44" t="str" cm="1">
        <f t="array" ref="W77">_xlfn.XLOOKUP(0,ABS(tbl_SeqLib[[#This Row],[Avg per plate]:[Max per plate]]-tbl_SeqLib[[#This Row],[Exact]]),tbl_SeqLib[[#This Row],[Avg per plate]:[Max per plate]],,1)</f>
        <v/>
      </c>
      <c r="X7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7" s="85" t="str">
        <f>IF(tbl_SeqLib[[#This Row],[entry]]=1,ROUNDUP(AVERAGE(tbl_SeqLib[Exact]),1),"")</f>
        <v/>
      </c>
      <c r="Z77" s="85" t="str">
        <f>IF(tbl_SeqLib[[#This Row],[entry]]=1,ROUNDUP(AVERAGEIFS(tbl_SeqLib[Exact],tbl_SeqLib[Column],tbl_SeqLib[[#This Row],[Column]]),1),"")</f>
        <v/>
      </c>
      <c r="AA77" s="44" t="str">
        <f>IF(missing_qc_resolution=reference!$E$34,tbl_SeqLib[[#This Row],[Avg per col (missing)]],tbl_SeqLib[[#This Row],[Avg per plate (missing)]])</f>
        <v/>
      </c>
      <c r="AB77" s="44" t="str">
        <f>IF(tbl_SeqLib[[#This Row],[entry]]=0,"",IF(tbl_SeqLib[[#This Row],[entry]]=1,tbl_SeqLib[[#This Row],[Not quantified]],IF(tbl_SeqLib[[#This Row],[entry]]=2,tbl_SeqLib[[#This Row],[Quantified]])))</f>
        <v/>
      </c>
      <c r="AC77" s="137"/>
      <c r="AD7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7" s="60" t="str">
        <f>IF(ISBLANK(tbl_SeqLib[[#This Row],[sWGA Identifier]]),"",CONCATENATE(exp_id,"_",tbl_SeqLib[[#This Row],[Well]]))</f>
        <v/>
      </c>
    </row>
    <row r="78" spans="1:31" ht="15.75" customHeight="1" x14ac:dyDescent="0.25">
      <c r="A78" s="59">
        <v>76</v>
      </c>
      <c r="B78" s="46" t="str">
        <f>RIGHT(tbl_SeqLib[[#This Row],[Well]],LEN(tbl_SeqLib[[#This Row],[Well]])-1)</f>
        <v>10</v>
      </c>
      <c r="C78" s="45" t="s">
        <v>235</v>
      </c>
      <c r="D78" s="19"/>
      <c r="E78" s="21"/>
      <c r="F78" s="31"/>
      <c r="G78" s="31"/>
      <c r="H78" s="31"/>
      <c r="I78" s="31"/>
      <c r="J7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8" s="32" t="s">
        <v>236</v>
      </c>
      <c r="L78" s="85">
        <f>IF(OR(ISBLANK(tbl_SeqLib[[#This Row],[Sample ID]]),ISBLANK(endrepair_targetmass)),0,IF(LEN(tbl_SeqLib[[#This Row],[PCR '[DNA'] (ng / µl)]])=0,1,2))</f>
        <v>0</v>
      </c>
      <c r="M7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8" s="44" t="str">
        <f>IF(tbl_SeqLib[[#This Row],[entry]]=2,ROUNDUP(_xlfn.MINIFS(tbl_SeqLib[Exact],tbl_SeqLib[Column],tbl_SeqLib[[#This Row],[Column]]),1),"")</f>
        <v/>
      </c>
      <c r="O78" s="44" t="str">
        <f>IF(tbl_SeqLib[[#This Row],[entry]]=2,ROUNDDOWN(_xlfn.MAXIFS(tbl_SeqLib[Exact],tbl_SeqLib[Column],tbl_SeqLib[[#This Row],[Column]]),1),"")</f>
        <v/>
      </c>
      <c r="P78" s="44" t="str">
        <f>IF(tbl_SeqLib[[#This Row],[entry]]=2,ROUNDUP(AVERAGEIFS(tbl_SeqLib[Exact],tbl_SeqLib[Column],tbl_SeqLib[[#This Row],[Column]]),1),"")</f>
        <v/>
      </c>
      <c r="Q78" s="44" t="str" cm="1">
        <f t="array" ref="Q78">_xlfn.XLOOKUP(0,ABS(tbl_SeqLib[[#This Row],[Min for col]:[Avg for col]]-tbl_SeqLib[[#This Row],[Exact]]),tbl_SeqLib[[#This Row],[Min for col]:[Avg for col]],"",1)</f>
        <v/>
      </c>
      <c r="R78" s="44" t="str" cm="1">
        <f t="array" ref="R78">_xlfn.XLOOKUP(0,ABS(tbl_SeqLib[[#This Row],[Max for col]:[Avg for col]]-tbl_SeqLib[[#This Row],[Exact]]),tbl_SeqLib[[#This Row],[Max for col]:[Avg for col]],"",1)</f>
        <v/>
      </c>
      <c r="S78" s="44" t="str">
        <f>IF(tbl_SeqLib[[#This Row],[entry]]=2,tbl_SeqLib[[#This Row],[Max for col]],"")</f>
        <v/>
      </c>
      <c r="T78" s="44" t="str">
        <f>IF(tbl_SeqLib[[#This Row],[entry]]=2,tbl_SeqLib[[#This Row],[Avg for col]],"")</f>
        <v/>
      </c>
      <c r="U78" s="44" t="str">
        <f>IF(tbl_SeqLib[[#This Row],[entry]]=2,AVERAGE(tbl_SeqLib[Exact]),"")</f>
        <v/>
      </c>
      <c r="V78" s="44" t="str">
        <f>IF(tbl_SeqLib[[#This Row],[entry]]=2,MAX(tbl_SeqLib[Exact]),"")</f>
        <v/>
      </c>
      <c r="W78" s="44" t="str" cm="1">
        <f t="array" ref="W78">_xlfn.XLOOKUP(0,ABS(tbl_SeqLib[[#This Row],[Avg per plate]:[Max per plate]]-tbl_SeqLib[[#This Row],[Exact]]),tbl_SeqLib[[#This Row],[Avg per plate]:[Max per plate]],,1)</f>
        <v/>
      </c>
      <c r="X7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8" s="85" t="str">
        <f>IF(tbl_SeqLib[[#This Row],[entry]]=1,ROUNDUP(AVERAGE(tbl_SeqLib[Exact]),1),"")</f>
        <v/>
      </c>
      <c r="Z78" s="85" t="str">
        <f>IF(tbl_SeqLib[[#This Row],[entry]]=1,ROUNDUP(AVERAGEIFS(tbl_SeqLib[Exact],tbl_SeqLib[Column],tbl_SeqLib[[#This Row],[Column]]),1),"")</f>
        <v/>
      </c>
      <c r="AA78" s="44" t="str">
        <f>IF(missing_qc_resolution=reference!$E$34,tbl_SeqLib[[#This Row],[Avg per col (missing)]],tbl_SeqLib[[#This Row],[Avg per plate (missing)]])</f>
        <v/>
      </c>
      <c r="AB78" s="44" t="str">
        <f>IF(tbl_SeqLib[[#This Row],[entry]]=0,"",IF(tbl_SeqLib[[#This Row],[entry]]=1,tbl_SeqLib[[#This Row],[Not quantified]],IF(tbl_SeqLib[[#This Row],[entry]]=2,tbl_SeqLib[[#This Row],[Quantified]])))</f>
        <v/>
      </c>
      <c r="AC78" s="137"/>
      <c r="AD7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8" s="60" t="str">
        <f>IF(ISBLANK(tbl_SeqLib[[#This Row],[sWGA Identifier]]),"",CONCATENATE(exp_id,"_",tbl_SeqLib[[#This Row],[Well]]))</f>
        <v/>
      </c>
    </row>
    <row r="79" spans="1:31" ht="15.75" customHeight="1" x14ac:dyDescent="0.25">
      <c r="A79" s="59">
        <v>77</v>
      </c>
      <c r="B79" s="46" t="str">
        <f>RIGHT(tbl_SeqLib[[#This Row],[Well]],LEN(tbl_SeqLib[[#This Row],[Well]])-1)</f>
        <v>10</v>
      </c>
      <c r="C79" s="45" t="s">
        <v>237</v>
      </c>
      <c r="D79" s="19"/>
      <c r="E79" s="21"/>
      <c r="F79" s="31"/>
      <c r="G79" s="31"/>
      <c r="H79" s="31"/>
      <c r="I79" s="31"/>
      <c r="J7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79" s="32" t="s">
        <v>238</v>
      </c>
      <c r="L79" s="85">
        <f>IF(OR(ISBLANK(tbl_SeqLib[[#This Row],[Sample ID]]),ISBLANK(endrepair_targetmass)),0,IF(LEN(tbl_SeqLib[[#This Row],[PCR '[DNA'] (ng / µl)]])=0,1,2))</f>
        <v>0</v>
      </c>
      <c r="M7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79" s="44" t="str">
        <f>IF(tbl_SeqLib[[#This Row],[entry]]=2,ROUNDUP(_xlfn.MINIFS(tbl_SeqLib[Exact],tbl_SeqLib[Column],tbl_SeqLib[[#This Row],[Column]]),1),"")</f>
        <v/>
      </c>
      <c r="O79" s="44" t="str">
        <f>IF(tbl_SeqLib[[#This Row],[entry]]=2,ROUNDDOWN(_xlfn.MAXIFS(tbl_SeqLib[Exact],tbl_SeqLib[Column],tbl_SeqLib[[#This Row],[Column]]),1),"")</f>
        <v/>
      </c>
      <c r="P79" s="44" t="str">
        <f>IF(tbl_SeqLib[[#This Row],[entry]]=2,ROUNDUP(AVERAGEIFS(tbl_SeqLib[Exact],tbl_SeqLib[Column],tbl_SeqLib[[#This Row],[Column]]),1),"")</f>
        <v/>
      </c>
      <c r="Q79" s="44" t="str" cm="1">
        <f t="array" ref="Q79">_xlfn.XLOOKUP(0,ABS(tbl_SeqLib[[#This Row],[Min for col]:[Avg for col]]-tbl_SeqLib[[#This Row],[Exact]]),tbl_SeqLib[[#This Row],[Min for col]:[Avg for col]],"",1)</f>
        <v/>
      </c>
      <c r="R79" s="44" t="str" cm="1">
        <f t="array" ref="R79">_xlfn.XLOOKUP(0,ABS(tbl_SeqLib[[#This Row],[Max for col]:[Avg for col]]-tbl_SeqLib[[#This Row],[Exact]]),tbl_SeqLib[[#This Row],[Max for col]:[Avg for col]],"",1)</f>
        <v/>
      </c>
      <c r="S79" s="44" t="str">
        <f>IF(tbl_SeqLib[[#This Row],[entry]]=2,tbl_SeqLib[[#This Row],[Max for col]],"")</f>
        <v/>
      </c>
      <c r="T79" s="44" t="str">
        <f>IF(tbl_SeqLib[[#This Row],[entry]]=2,tbl_SeqLib[[#This Row],[Avg for col]],"")</f>
        <v/>
      </c>
      <c r="U79" s="44" t="str">
        <f>IF(tbl_SeqLib[[#This Row],[entry]]=2,AVERAGE(tbl_SeqLib[Exact]),"")</f>
        <v/>
      </c>
      <c r="V79" s="44" t="str">
        <f>IF(tbl_SeqLib[[#This Row],[entry]]=2,MAX(tbl_SeqLib[Exact]),"")</f>
        <v/>
      </c>
      <c r="W79" s="44" t="str" cm="1">
        <f t="array" ref="W79">_xlfn.XLOOKUP(0,ABS(tbl_SeqLib[[#This Row],[Avg per plate]:[Max per plate]]-tbl_SeqLib[[#This Row],[Exact]]),tbl_SeqLib[[#This Row],[Avg per plate]:[Max per plate]],,1)</f>
        <v/>
      </c>
      <c r="X7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79" s="85" t="str">
        <f>IF(tbl_SeqLib[[#This Row],[entry]]=1,ROUNDUP(AVERAGE(tbl_SeqLib[Exact]),1),"")</f>
        <v/>
      </c>
      <c r="Z79" s="85" t="str">
        <f>IF(tbl_SeqLib[[#This Row],[entry]]=1,ROUNDUP(AVERAGEIFS(tbl_SeqLib[Exact],tbl_SeqLib[Column],tbl_SeqLib[[#This Row],[Column]]),1),"")</f>
        <v/>
      </c>
      <c r="AA79" s="44" t="str">
        <f>IF(missing_qc_resolution=reference!$E$34,tbl_SeqLib[[#This Row],[Avg per col (missing)]],tbl_SeqLib[[#This Row],[Avg per plate (missing)]])</f>
        <v/>
      </c>
      <c r="AB79" s="44" t="str">
        <f>IF(tbl_SeqLib[[#This Row],[entry]]=0,"",IF(tbl_SeqLib[[#This Row],[entry]]=1,tbl_SeqLib[[#This Row],[Not quantified]],IF(tbl_SeqLib[[#This Row],[entry]]=2,tbl_SeqLib[[#This Row],[Quantified]])))</f>
        <v/>
      </c>
      <c r="AC79" s="137"/>
      <c r="AD7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79" s="60" t="str">
        <f>IF(ISBLANK(tbl_SeqLib[[#This Row],[sWGA Identifier]]),"",CONCATENATE(exp_id,"_",tbl_SeqLib[[#This Row],[Well]]))</f>
        <v/>
      </c>
    </row>
    <row r="80" spans="1:31" ht="15.75" customHeight="1" x14ac:dyDescent="0.25">
      <c r="A80" s="59">
        <v>78</v>
      </c>
      <c r="B80" s="46" t="str">
        <f>RIGHT(tbl_SeqLib[[#This Row],[Well]],LEN(tbl_SeqLib[[#This Row],[Well]])-1)</f>
        <v>10</v>
      </c>
      <c r="C80" s="45" t="s">
        <v>239</v>
      </c>
      <c r="D80" s="19"/>
      <c r="E80" s="21"/>
      <c r="F80" s="31"/>
      <c r="G80" s="31"/>
      <c r="H80" s="31"/>
      <c r="I80" s="31"/>
      <c r="J80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0" s="32" t="s">
        <v>240</v>
      </c>
      <c r="L80" s="85">
        <f>IF(OR(ISBLANK(tbl_SeqLib[[#This Row],[Sample ID]]),ISBLANK(endrepair_targetmass)),0,IF(LEN(tbl_SeqLib[[#This Row],[PCR '[DNA'] (ng / µl)]])=0,1,2))</f>
        <v>0</v>
      </c>
      <c r="M80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0" s="44" t="str">
        <f>IF(tbl_SeqLib[[#This Row],[entry]]=2,ROUNDUP(_xlfn.MINIFS(tbl_SeqLib[Exact],tbl_SeqLib[Column],tbl_SeqLib[[#This Row],[Column]]),1),"")</f>
        <v/>
      </c>
      <c r="O80" s="44" t="str">
        <f>IF(tbl_SeqLib[[#This Row],[entry]]=2,ROUNDDOWN(_xlfn.MAXIFS(tbl_SeqLib[Exact],tbl_SeqLib[Column],tbl_SeqLib[[#This Row],[Column]]),1),"")</f>
        <v/>
      </c>
      <c r="P80" s="44" t="str">
        <f>IF(tbl_SeqLib[[#This Row],[entry]]=2,ROUNDUP(AVERAGEIFS(tbl_SeqLib[Exact],tbl_SeqLib[Column],tbl_SeqLib[[#This Row],[Column]]),1),"")</f>
        <v/>
      </c>
      <c r="Q80" s="44" t="str" cm="1">
        <f t="array" ref="Q80">_xlfn.XLOOKUP(0,ABS(tbl_SeqLib[[#This Row],[Min for col]:[Avg for col]]-tbl_SeqLib[[#This Row],[Exact]]),tbl_SeqLib[[#This Row],[Min for col]:[Avg for col]],"",1)</f>
        <v/>
      </c>
      <c r="R80" s="44" t="str" cm="1">
        <f t="array" ref="R80">_xlfn.XLOOKUP(0,ABS(tbl_SeqLib[[#This Row],[Max for col]:[Avg for col]]-tbl_SeqLib[[#This Row],[Exact]]),tbl_SeqLib[[#This Row],[Max for col]:[Avg for col]],"",1)</f>
        <v/>
      </c>
      <c r="S80" s="44" t="str">
        <f>IF(tbl_SeqLib[[#This Row],[entry]]=2,tbl_SeqLib[[#This Row],[Max for col]],"")</f>
        <v/>
      </c>
      <c r="T80" s="44" t="str">
        <f>IF(tbl_SeqLib[[#This Row],[entry]]=2,tbl_SeqLib[[#This Row],[Avg for col]],"")</f>
        <v/>
      </c>
      <c r="U80" s="44" t="str">
        <f>IF(tbl_SeqLib[[#This Row],[entry]]=2,AVERAGE(tbl_SeqLib[Exact]),"")</f>
        <v/>
      </c>
      <c r="V80" s="44" t="str">
        <f>IF(tbl_SeqLib[[#This Row],[entry]]=2,MAX(tbl_SeqLib[Exact]),"")</f>
        <v/>
      </c>
      <c r="W80" s="44" t="str" cm="1">
        <f t="array" ref="W80">_xlfn.XLOOKUP(0,ABS(tbl_SeqLib[[#This Row],[Avg per plate]:[Max per plate]]-tbl_SeqLib[[#This Row],[Exact]]),tbl_SeqLib[[#This Row],[Avg per plate]:[Max per plate]],,1)</f>
        <v/>
      </c>
      <c r="X80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0" s="85" t="str">
        <f>IF(tbl_SeqLib[[#This Row],[entry]]=1,ROUNDUP(AVERAGE(tbl_SeqLib[Exact]),1),"")</f>
        <v/>
      </c>
      <c r="Z80" s="85" t="str">
        <f>IF(tbl_SeqLib[[#This Row],[entry]]=1,ROUNDUP(AVERAGEIFS(tbl_SeqLib[Exact],tbl_SeqLib[Column],tbl_SeqLib[[#This Row],[Column]]),1),"")</f>
        <v/>
      </c>
      <c r="AA80" s="44" t="str">
        <f>IF(missing_qc_resolution=reference!$E$34,tbl_SeqLib[[#This Row],[Avg per col (missing)]],tbl_SeqLib[[#This Row],[Avg per plate (missing)]])</f>
        <v/>
      </c>
      <c r="AB80" s="44" t="str">
        <f>IF(tbl_SeqLib[[#This Row],[entry]]=0,"",IF(tbl_SeqLib[[#This Row],[entry]]=1,tbl_SeqLib[[#This Row],[Not quantified]],IF(tbl_SeqLib[[#This Row],[entry]]=2,tbl_SeqLib[[#This Row],[Quantified]])))</f>
        <v/>
      </c>
      <c r="AC80" s="137"/>
      <c r="AD80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0" s="60" t="str">
        <f>IF(ISBLANK(tbl_SeqLib[[#This Row],[sWGA Identifier]]),"",CONCATENATE(exp_id,"_",tbl_SeqLib[[#This Row],[Well]]))</f>
        <v/>
      </c>
    </row>
    <row r="81" spans="1:31" ht="15.75" customHeight="1" x14ac:dyDescent="0.25">
      <c r="A81" s="59">
        <v>79</v>
      </c>
      <c r="B81" s="46" t="str">
        <f>RIGHT(tbl_SeqLib[[#This Row],[Well]],LEN(tbl_SeqLib[[#This Row],[Well]])-1)</f>
        <v>10</v>
      </c>
      <c r="C81" s="45" t="s">
        <v>241</v>
      </c>
      <c r="D81" s="19"/>
      <c r="E81" s="21"/>
      <c r="F81" s="31"/>
      <c r="G81" s="31"/>
      <c r="H81" s="31"/>
      <c r="I81" s="31"/>
      <c r="J81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1" s="32" t="s">
        <v>242</v>
      </c>
      <c r="L81" s="85">
        <f>IF(OR(ISBLANK(tbl_SeqLib[[#This Row],[Sample ID]]),ISBLANK(endrepair_targetmass)),0,IF(LEN(tbl_SeqLib[[#This Row],[PCR '[DNA'] (ng / µl)]])=0,1,2))</f>
        <v>0</v>
      </c>
      <c r="M81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1" s="44" t="str">
        <f>IF(tbl_SeqLib[[#This Row],[entry]]=2,ROUNDUP(_xlfn.MINIFS(tbl_SeqLib[Exact],tbl_SeqLib[Column],tbl_SeqLib[[#This Row],[Column]]),1),"")</f>
        <v/>
      </c>
      <c r="O81" s="44" t="str">
        <f>IF(tbl_SeqLib[[#This Row],[entry]]=2,ROUNDDOWN(_xlfn.MAXIFS(tbl_SeqLib[Exact],tbl_SeqLib[Column],tbl_SeqLib[[#This Row],[Column]]),1),"")</f>
        <v/>
      </c>
      <c r="P81" s="44" t="str">
        <f>IF(tbl_SeqLib[[#This Row],[entry]]=2,ROUNDUP(AVERAGEIFS(tbl_SeqLib[Exact],tbl_SeqLib[Column],tbl_SeqLib[[#This Row],[Column]]),1),"")</f>
        <v/>
      </c>
      <c r="Q81" s="44" t="str" cm="1">
        <f t="array" ref="Q81">_xlfn.XLOOKUP(0,ABS(tbl_SeqLib[[#This Row],[Min for col]:[Avg for col]]-tbl_SeqLib[[#This Row],[Exact]]),tbl_SeqLib[[#This Row],[Min for col]:[Avg for col]],"",1)</f>
        <v/>
      </c>
      <c r="R81" s="44" t="str" cm="1">
        <f t="array" ref="R81">_xlfn.XLOOKUP(0,ABS(tbl_SeqLib[[#This Row],[Max for col]:[Avg for col]]-tbl_SeqLib[[#This Row],[Exact]]),tbl_SeqLib[[#This Row],[Max for col]:[Avg for col]],"",1)</f>
        <v/>
      </c>
      <c r="S81" s="44" t="str">
        <f>IF(tbl_SeqLib[[#This Row],[entry]]=2,tbl_SeqLib[[#This Row],[Max for col]],"")</f>
        <v/>
      </c>
      <c r="T81" s="44" t="str">
        <f>IF(tbl_SeqLib[[#This Row],[entry]]=2,tbl_SeqLib[[#This Row],[Avg for col]],"")</f>
        <v/>
      </c>
      <c r="U81" s="44" t="str">
        <f>IF(tbl_SeqLib[[#This Row],[entry]]=2,AVERAGE(tbl_SeqLib[Exact]),"")</f>
        <v/>
      </c>
      <c r="V81" s="44" t="str">
        <f>IF(tbl_SeqLib[[#This Row],[entry]]=2,MAX(tbl_SeqLib[Exact]),"")</f>
        <v/>
      </c>
      <c r="W81" s="44" t="str" cm="1">
        <f t="array" ref="W81">_xlfn.XLOOKUP(0,ABS(tbl_SeqLib[[#This Row],[Avg per plate]:[Max per plate]]-tbl_SeqLib[[#This Row],[Exact]]),tbl_SeqLib[[#This Row],[Avg per plate]:[Max per plate]],,1)</f>
        <v/>
      </c>
      <c r="X81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1" s="85" t="str">
        <f>IF(tbl_SeqLib[[#This Row],[entry]]=1,ROUNDUP(AVERAGE(tbl_SeqLib[Exact]),1),"")</f>
        <v/>
      </c>
      <c r="Z81" s="85" t="str">
        <f>IF(tbl_SeqLib[[#This Row],[entry]]=1,ROUNDUP(AVERAGEIFS(tbl_SeqLib[Exact],tbl_SeqLib[Column],tbl_SeqLib[[#This Row],[Column]]),1),"")</f>
        <v/>
      </c>
      <c r="AA81" s="44" t="str">
        <f>IF(missing_qc_resolution=reference!$E$34,tbl_SeqLib[[#This Row],[Avg per col (missing)]],tbl_SeqLib[[#This Row],[Avg per plate (missing)]])</f>
        <v/>
      </c>
      <c r="AB81" s="44" t="str">
        <f>IF(tbl_SeqLib[[#This Row],[entry]]=0,"",IF(tbl_SeqLib[[#This Row],[entry]]=1,tbl_SeqLib[[#This Row],[Not quantified]],IF(tbl_SeqLib[[#This Row],[entry]]=2,tbl_SeqLib[[#This Row],[Quantified]])))</f>
        <v/>
      </c>
      <c r="AC81" s="137"/>
      <c r="AD81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1" s="60" t="str">
        <f>IF(ISBLANK(tbl_SeqLib[[#This Row],[sWGA Identifier]]),"",CONCATENATE(exp_id,"_",tbl_SeqLib[[#This Row],[Well]]))</f>
        <v/>
      </c>
    </row>
    <row r="82" spans="1:31" ht="15.75" customHeight="1" thickBot="1" x14ac:dyDescent="0.3">
      <c r="A82" s="61">
        <v>80</v>
      </c>
      <c r="B82" s="62" t="str">
        <f>RIGHT(tbl_SeqLib[[#This Row],[Well]],LEN(tbl_SeqLib[[#This Row],[Well]])-1)</f>
        <v>10</v>
      </c>
      <c r="C82" s="70" t="s">
        <v>243</v>
      </c>
      <c r="D82" s="63"/>
      <c r="E82" s="64"/>
      <c r="F82" s="65"/>
      <c r="G82" s="65"/>
      <c r="H82" s="65"/>
      <c r="I82" s="65"/>
      <c r="J82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2" s="67" t="s">
        <v>244</v>
      </c>
      <c r="L82" s="86">
        <f>IF(OR(ISBLANK(tbl_SeqLib[[#This Row],[Sample ID]]),ISBLANK(endrepair_targetmass)),0,IF(LEN(tbl_SeqLib[[#This Row],[PCR '[DNA'] (ng / µl)]])=0,1,2))</f>
        <v>0</v>
      </c>
      <c r="M82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2" s="68" t="str">
        <f>IF(tbl_SeqLib[[#This Row],[entry]]=2,ROUNDUP(_xlfn.MINIFS(tbl_SeqLib[Exact],tbl_SeqLib[Column],tbl_SeqLib[[#This Row],[Column]]),1),"")</f>
        <v/>
      </c>
      <c r="O82" s="68" t="str">
        <f>IF(tbl_SeqLib[[#This Row],[entry]]=2,ROUNDDOWN(_xlfn.MAXIFS(tbl_SeqLib[Exact],tbl_SeqLib[Column],tbl_SeqLib[[#This Row],[Column]]),1),"")</f>
        <v/>
      </c>
      <c r="P82" s="68" t="str">
        <f>IF(tbl_SeqLib[[#This Row],[entry]]=2,ROUNDUP(AVERAGEIFS(tbl_SeqLib[Exact],tbl_SeqLib[Column],tbl_SeqLib[[#This Row],[Column]]),1),"")</f>
        <v/>
      </c>
      <c r="Q82" s="68" t="str" cm="1">
        <f t="array" ref="Q82">_xlfn.XLOOKUP(0,ABS(tbl_SeqLib[[#This Row],[Min for col]:[Avg for col]]-tbl_SeqLib[[#This Row],[Exact]]),tbl_SeqLib[[#This Row],[Min for col]:[Avg for col]],"",1)</f>
        <v/>
      </c>
      <c r="R82" s="68" t="str" cm="1">
        <f t="array" ref="R82">_xlfn.XLOOKUP(0,ABS(tbl_SeqLib[[#This Row],[Max for col]:[Avg for col]]-tbl_SeqLib[[#This Row],[Exact]]),tbl_SeqLib[[#This Row],[Max for col]:[Avg for col]],"",1)</f>
        <v/>
      </c>
      <c r="S82" s="68" t="str">
        <f>IF(tbl_SeqLib[[#This Row],[entry]]=2,tbl_SeqLib[[#This Row],[Max for col]],"")</f>
        <v/>
      </c>
      <c r="T82" s="68" t="str">
        <f>IF(tbl_SeqLib[[#This Row],[entry]]=2,tbl_SeqLib[[#This Row],[Avg for col]],"")</f>
        <v/>
      </c>
      <c r="U82" s="68" t="str">
        <f>IF(tbl_SeqLib[[#This Row],[entry]]=2,AVERAGE(tbl_SeqLib[Exact]),"")</f>
        <v/>
      </c>
      <c r="V82" s="68" t="str">
        <f>IF(tbl_SeqLib[[#This Row],[entry]]=2,MAX(tbl_SeqLib[Exact]),"")</f>
        <v/>
      </c>
      <c r="W82" s="68" t="str" cm="1">
        <f t="array" ref="W82">_xlfn.XLOOKUP(0,ABS(tbl_SeqLib[[#This Row],[Avg per plate]:[Max per plate]]-tbl_SeqLib[[#This Row],[Exact]]),tbl_SeqLib[[#This Row],[Avg per plate]:[Max per plate]],,1)</f>
        <v/>
      </c>
      <c r="X82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2" s="86" t="str">
        <f>IF(tbl_SeqLib[[#This Row],[entry]]=1,ROUNDUP(AVERAGE(tbl_SeqLib[Exact]),1),"")</f>
        <v/>
      </c>
      <c r="Z82" s="86" t="str">
        <f>IF(tbl_SeqLib[[#This Row],[entry]]=1,ROUNDUP(AVERAGEIFS(tbl_SeqLib[Exact],tbl_SeqLib[Column],tbl_SeqLib[[#This Row],[Column]]),1),"")</f>
        <v/>
      </c>
      <c r="AA82" s="68" t="str">
        <f>IF(missing_qc_resolution=reference!$E$34,tbl_SeqLib[[#This Row],[Avg per col (missing)]],tbl_SeqLib[[#This Row],[Avg per plate (missing)]])</f>
        <v/>
      </c>
      <c r="AB82" s="68" t="str">
        <f>IF(tbl_SeqLib[[#This Row],[entry]]=0,"",IF(tbl_SeqLib[[#This Row],[entry]]=1,tbl_SeqLib[[#This Row],[Not quantified]],IF(tbl_SeqLib[[#This Row],[entry]]=2,tbl_SeqLib[[#This Row],[Quantified]])))</f>
        <v/>
      </c>
      <c r="AC82" s="138"/>
      <c r="AD82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2" s="69" t="str">
        <f>IF(ISBLANK(tbl_SeqLib[[#This Row],[sWGA Identifier]]),"",CONCATENATE(exp_id,"_",tbl_SeqLib[[#This Row],[Well]]))</f>
        <v/>
      </c>
    </row>
    <row r="83" spans="1:31" ht="15.75" customHeight="1" x14ac:dyDescent="0.25">
      <c r="A83" s="50">
        <v>81</v>
      </c>
      <c r="B83" s="51" t="str">
        <f>RIGHT(tbl_SeqLib[[#This Row],[Well]],LEN(tbl_SeqLib[[#This Row],[Well]])-1)</f>
        <v>11</v>
      </c>
      <c r="C83" s="51" t="s">
        <v>245</v>
      </c>
      <c r="D83" s="52"/>
      <c r="E83" s="56"/>
      <c r="F83" s="52"/>
      <c r="G83" s="52"/>
      <c r="H83" s="52"/>
      <c r="I83" s="52"/>
      <c r="J83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3" s="56" t="s">
        <v>246</v>
      </c>
      <c r="L83" s="84">
        <f>IF(OR(ISBLANK(tbl_SeqLib[[#This Row],[Sample ID]]),ISBLANK(endrepair_targetmass)),0,IF(LEN(tbl_SeqLib[[#This Row],[PCR '[DNA'] (ng / µl)]])=0,1,2))</f>
        <v>0</v>
      </c>
      <c r="M83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3" s="57" t="str">
        <f>IF(tbl_SeqLib[[#This Row],[entry]]=2,ROUNDUP(_xlfn.MINIFS(tbl_SeqLib[Exact],tbl_SeqLib[Column],tbl_SeqLib[[#This Row],[Column]]),1),"")</f>
        <v/>
      </c>
      <c r="O83" s="57" t="str">
        <f>IF(tbl_SeqLib[[#This Row],[entry]]=2,ROUNDDOWN(_xlfn.MAXIFS(tbl_SeqLib[Exact],tbl_SeqLib[Column],tbl_SeqLib[[#This Row],[Column]]),1),"")</f>
        <v/>
      </c>
      <c r="P83" s="57" t="str">
        <f>IF(tbl_SeqLib[[#This Row],[entry]]=2,ROUNDUP(AVERAGEIFS(tbl_SeqLib[Exact],tbl_SeqLib[Column],tbl_SeqLib[[#This Row],[Column]]),1),"")</f>
        <v/>
      </c>
      <c r="Q83" s="57" t="str" cm="1">
        <f t="array" ref="Q83">_xlfn.XLOOKUP(0,ABS(tbl_SeqLib[[#This Row],[Min for col]:[Avg for col]]-tbl_SeqLib[[#This Row],[Exact]]),tbl_SeqLib[[#This Row],[Min for col]:[Avg for col]],"",1)</f>
        <v/>
      </c>
      <c r="R83" s="57" t="str" cm="1">
        <f t="array" ref="R83">_xlfn.XLOOKUP(0,ABS(tbl_SeqLib[[#This Row],[Max for col]:[Avg for col]]-tbl_SeqLib[[#This Row],[Exact]]),tbl_SeqLib[[#This Row],[Max for col]:[Avg for col]],"",1)</f>
        <v/>
      </c>
      <c r="S83" s="57" t="str">
        <f>IF(tbl_SeqLib[[#This Row],[entry]]=2,tbl_SeqLib[[#This Row],[Max for col]],"")</f>
        <v/>
      </c>
      <c r="T83" s="57" t="str">
        <f>IF(tbl_SeqLib[[#This Row],[entry]]=2,tbl_SeqLib[[#This Row],[Avg for col]],"")</f>
        <v/>
      </c>
      <c r="U83" s="57" t="str">
        <f>IF(tbl_SeqLib[[#This Row],[entry]]=2,AVERAGE(tbl_SeqLib[Exact]),"")</f>
        <v/>
      </c>
      <c r="V83" s="57" t="str">
        <f>IF(tbl_SeqLib[[#This Row],[entry]]=2,MAX(tbl_SeqLib[Exact]),"")</f>
        <v/>
      </c>
      <c r="W83" s="57" t="str" cm="1">
        <f t="array" ref="W83">_xlfn.XLOOKUP(0,ABS(tbl_SeqLib[[#This Row],[Avg per plate]:[Max per plate]]-tbl_SeqLib[[#This Row],[Exact]]),tbl_SeqLib[[#This Row],[Avg per plate]:[Max per plate]],,1)</f>
        <v/>
      </c>
      <c r="X83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3" s="84" t="str">
        <f>IF(tbl_SeqLib[[#This Row],[entry]]=1,ROUNDUP(AVERAGE(tbl_SeqLib[Exact]),1),"")</f>
        <v/>
      </c>
      <c r="Z83" s="84" t="str">
        <f>IF(tbl_SeqLib[[#This Row],[entry]]=1,ROUNDUP(AVERAGEIFS(tbl_SeqLib[Exact],tbl_SeqLib[Column],tbl_SeqLib[[#This Row],[Column]]),1),"")</f>
        <v/>
      </c>
      <c r="AA83" s="57" t="str">
        <f>IF(missing_qc_resolution=reference!$E$34,tbl_SeqLib[[#This Row],[Avg per col (missing)]],tbl_SeqLib[[#This Row],[Avg per plate (missing)]])</f>
        <v/>
      </c>
      <c r="AB83" s="57" t="str">
        <f>IF(tbl_SeqLib[[#This Row],[entry]]=0,"",IF(tbl_SeqLib[[#This Row],[entry]]=1,tbl_SeqLib[[#This Row],[Not quantified]],IF(tbl_SeqLib[[#This Row],[entry]]=2,tbl_SeqLib[[#This Row],[Quantified]])))</f>
        <v/>
      </c>
      <c r="AC83" s="136"/>
      <c r="AD83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3" s="58" t="str">
        <f>IF(ISBLANK(tbl_SeqLib[[#This Row],[sWGA Identifier]]),"",CONCATENATE(exp_id,"_",tbl_SeqLib[[#This Row],[Well]]))</f>
        <v/>
      </c>
    </row>
    <row r="84" spans="1:31" ht="15.75" customHeight="1" x14ac:dyDescent="0.25">
      <c r="A84" s="59">
        <v>82</v>
      </c>
      <c r="B84" s="46" t="str">
        <f>RIGHT(tbl_SeqLib[[#This Row],[Well]],LEN(tbl_SeqLib[[#This Row],[Well]])-1)</f>
        <v>11</v>
      </c>
      <c r="C84" s="45" t="s">
        <v>247</v>
      </c>
      <c r="D84" s="19"/>
      <c r="E84" s="21"/>
      <c r="F84" s="31"/>
      <c r="G84" s="31"/>
      <c r="H84" s="31"/>
      <c r="I84" s="31"/>
      <c r="J8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4" s="32" t="s">
        <v>248</v>
      </c>
      <c r="L84" s="85">
        <f>IF(OR(ISBLANK(tbl_SeqLib[[#This Row],[Sample ID]]),ISBLANK(endrepair_targetmass)),0,IF(LEN(tbl_SeqLib[[#This Row],[PCR '[DNA'] (ng / µl)]])=0,1,2))</f>
        <v>0</v>
      </c>
      <c r="M8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4" s="44" t="str">
        <f>IF(tbl_SeqLib[[#This Row],[entry]]=2,ROUNDUP(_xlfn.MINIFS(tbl_SeqLib[Exact],tbl_SeqLib[Column],tbl_SeqLib[[#This Row],[Column]]),1),"")</f>
        <v/>
      </c>
      <c r="O84" s="44" t="str">
        <f>IF(tbl_SeqLib[[#This Row],[entry]]=2,ROUNDDOWN(_xlfn.MAXIFS(tbl_SeqLib[Exact],tbl_SeqLib[Column],tbl_SeqLib[[#This Row],[Column]]),1),"")</f>
        <v/>
      </c>
      <c r="P84" s="44" t="str">
        <f>IF(tbl_SeqLib[[#This Row],[entry]]=2,ROUNDUP(AVERAGEIFS(tbl_SeqLib[Exact],tbl_SeqLib[Column],tbl_SeqLib[[#This Row],[Column]]),1),"")</f>
        <v/>
      </c>
      <c r="Q84" s="44" t="str" cm="1">
        <f t="array" ref="Q84">_xlfn.XLOOKUP(0,ABS(tbl_SeqLib[[#This Row],[Min for col]:[Avg for col]]-tbl_SeqLib[[#This Row],[Exact]]),tbl_SeqLib[[#This Row],[Min for col]:[Avg for col]],"",1)</f>
        <v/>
      </c>
      <c r="R84" s="44" t="str" cm="1">
        <f t="array" ref="R84">_xlfn.XLOOKUP(0,ABS(tbl_SeqLib[[#This Row],[Max for col]:[Avg for col]]-tbl_SeqLib[[#This Row],[Exact]]),tbl_SeqLib[[#This Row],[Max for col]:[Avg for col]],"",1)</f>
        <v/>
      </c>
      <c r="S84" s="44" t="str">
        <f>IF(tbl_SeqLib[[#This Row],[entry]]=2,tbl_SeqLib[[#This Row],[Max for col]],"")</f>
        <v/>
      </c>
      <c r="T84" s="44" t="str">
        <f>IF(tbl_SeqLib[[#This Row],[entry]]=2,tbl_SeqLib[[#This Row],[Avg for col]],"")</f>
        <v/>
      </c>
      <c r="U84" s="44" t="str">
        <f>IF(tbl_SeqLib[[#This Row],[entry]]=2,AVERAGE(tbl_SeqLib[Exact]),"")</f>
        <v/>
      </c>
      <c r="V84" s="44" t="str">
        <f>IF(tbl_SeqLib[[#This Row],[entry]]=2,MAX(tbl_SeqLib[Exact]),"")</f>
        <v/>
      </c>
      <c r="W84" s="44" t="str" cm="1">
        <f t="array" ref="W84">_xlfn.XLOOKUP(0,ABS(tbl_SeqLib[[#This Row],[Avg per plate]:[Max per plate]]-tbl_SeqLib[[#This Row],[Exact]]),tbl_SeqLib[[#This Row],[Avg per plate]:[Max per plate]],,1)</f>
        <v/>
      </c>
      <c r="X8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4" s="85" t="str">
        <f>IF(tbl_SeqLib[[#This Row],[entry]]=1,ROUNDUP(AVERAGE(tbl_SeqLib[Exact]),1),"")</f>
        <v/>
      </c>
      <c r="Z84" s="85" t="str">
        <f>IF(tbl_SeqLib[[#This Row],[entry]]=1,ROUNDUP(AVERAGEIFS(tbl_SeqLib[Exact],tbl_SeqLib[Column],tbl_SeqLib[[#This Row],[Column]]),1),"")</f>
        <v/>
      </c>
      <c r="AA84" s="44" t="str">
        <f>IF(missing_qc_resolution=reference!$E$34,tbl_SeqLib[[#This Row],[Avg per col (missing)]],tbl_SeqLib[[#This Row],[Avg per plate (missing)]])</f>
        <v/>
      </c>
      <c r="AB84" s="44" t="str">
        <f>IF(tbl_SeqLib[[#This Row],[entry]]=0,"",IF(tbl_SeqLib[[#This Row],[entry]]=1,tbl_SeqLib[[#This Row],[Not quantified]],IF(tbl_SeqLib[[#This Row],[entry]]=2,tbl_SeqLib[[#This Row],[Quantified]])))</f>
        <v/>
      </c>
      <c r="AC84" s="137"/>
      <c r="AD8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4" s="60" t="str">
        <f>IF(ISBLANK(tbl_SeqLib[[#This Row],[sWGA Identifier]]),"",CONCATENATE(exp_id,"_",tbl_SeqLib[[#This Row],[Well]]))</f>
        <v/>
      </c>
    </row>
    <row r="85" spans="1:31" ht="15.75" customHeight="1" x14ac:dyDescent="0.25">
      <c r="A85" s="59">
        <v>83</v>
      </c>
      <c r="B85" s="46" t="str">
        <f>RIGHT(tbl_SeqLib[[#This Row],[Well]],LEN(tbl_SeqLib[[#This Row],[Well]])-1)</f>
        <v>11</v>
      </c>
      <c r="C85" s="45" t="s">
        <v>249</v>
      </c>
      <c r="D85" s="19"/>
      <c r="E85" s="21"/>
      <c r="F85" s="31"/>
      <c r="G85" s="31"/>
      <c r="H85" s="31"/>
      <c r="I85" s="31"/>
      <c r="J8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5" s="32" t="s">
        <v>250</v>
      </c>
      <c r="L85" s="85">
        <f>IF(OR(ISBLANK(tbl_SeqLib[[#This Row],[Sample ID]]),ISBLANK(endrepair_targetmass)),0,IF(LEN(tbl_SeqLib[[#This Row],[PCR '[DNA'] (ng / µl)]])=0,1,2))</f>
        <v>0</v>
      </c>
      <c r="M8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5" s="44" t="str">
        <f>IF(tbl_SeqLib[[#This Row],[entry]]=2,ROUNDUP(_xlfn.MINIFS(tbl_SeqLib[Exact],tbl_SeqLib[Column],tbl_SeqLib[[#This Row],[Column]]),1),"")</f>
        <v/>
      </c>
      <c r="O85" s="44" t="str">
        <f>IF(tbl_SeqLib[[#This Row],[entry]]=2,ROUNDDOWN(_xlfn.MAXIFS(tbl_SeqLib[Exact],tbl_SeqLib[Column],tbl_SeqLib[[#This Row],[Column]]),1),"")</f>
        <v/>
      </c>
      <c r="P85" s="44" t="str">
        <f>IF(tbl_SeqLib[[#This Row],[entry]]=2,ROUNDUP(AVERAGEIFS(tbl_SeqLib[Exact],tbl_SeqLib[Column],tbl_SeqLib[[#This Row],[Column]]),1),"")</f>
        <v/>
      </c>
      <c r="Q85" s="44" t="str" cm="1">
        <f t="array" ref="Q85">_xlfn.XLOOKUP(0,ABS(tbl_SeqLib[[#This Row],[Min for col]:[Avg for col]]-tbl_SeqLib[[#This Row],[Exact]]),tbl_SeqLib[[#This Row],[Min for col]:[Avg for col]],"",1)</f>
        <v/>
      </c>
      <c r="R85" s="44" t="str" cm="1">
        <f t="array" ref="R85">_xlfn.XLOOKUP(0,ABS(tbl_SeqLib[[#This Row],[Max for col]:[Avg for col]]-tbl_SeqLib[[#This Row],[Exact]]),tbl_SeqLib[[#This Row],[Max for col]:[Avg for col]],"",1)</f>
        <v/>
      </c>
      <c r="S85" s="44" t="str">
        <f>IF(tbl_SeqLib[[#This Row],[entry]]=2,tbl_SeqLib[[#This Row],[Max for col]],"")</f>
        <v/>
      </c>
      <c r="T85" s="44" t="str">
        <f>IF(tbl_SeqLib[[#This Row],[entry]]=2,tbl_SeqLib[[#This Row],[Avg for col]],"")</f>
        <v/>
      </c>
      <c r="U85" s="44" t="str">
        <f>IF(tbl_SeqLib[[#This Row],[entry]]=2,AVERAGE(tbl_SeqLib[Exact]),"")</f>
        <v/>
      </c>
      <c r="V85" s="44" t="str">
        <f>IF(tbl_SeqLib[[#This Row],[entry]]=2,MAX(tbl_SeqLib[Exact]),"")</f>
        <v/>
      </c>
      <c r="W85" s="44" t="str" cm="1">
        <f t="array" ref="W85">_xlfn.XLOOKUP(0,ABS(tbl_SeqLib[[#This Row],[Avg per plate]:[Max per plate]]-tbl_SeqLib[[#This Row],[Exact]]),tbl_SeqLib[[#This Row],[Avg per plate]:[Max per plate]],,1)</f>
        <v/>
      </c>
      <c r="X8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5" s="85" t="str">
        <f>IF(tbl_SeqLib[[#This Row],[entry]]=1,ROUNDUP(AVERAGE(tbl_SeqLib[Exact]),1),"")</f>
        <v/>
      </c>
      <c r="Z85" s="85" t="str">
        <f>IF(tbl_SeqLib[[#This Row],[entry]]=1,ROUNDUP(AVERAGEIFS(tbl_SeqLib[Exact],tbl_SeqLib[Column],tbl_SeqLib[[#This Row],[Column]]),1),"")</f>
        <v/>
      </c>
      <c r="AA85" s="44" t="str">
        <f>IF(missing_qc_resolution=reference!$E$34,tbl_SeqLib[[#This Row],[Avg per col (missing)]],tbl_SeqLib[[#This Row],[Avg per plate (missing)]])</f>
        <v/>
      </c>
      <c r="AB85" s="44" t="str">
        <f>IF(tbl_SeqLib[[#This Row],[entry]]=0,"",IF(tbl_SeqLib[[#This Row],[entry]]=1,tbl_SeqLib[[#This Row],[Not quantified]],IF(tbl_SeqLib[[#This Row],[entry]]=2,tbl_SeqLib[[#This Row],[Quantified]])))</f>
        <v/>
      </c>
      <c r="AC85" s="137"/>
      <c r="AD8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5" s="60" t="str">
        <f>IF(ISBLANK(tbl_SeqLib[[#This Row],[sWGA Identifier]]),"",CONCATENATE(exp_id,"_",tbl_SeqLib[[#This Row],[Well]]))</f>
        <v/>
      </c>
    </row>
    <row r="86" spans="1:31" ht="15.75" customHeight="1" x14ac:dyDescent="0.25">
      <c r="A86" s="59">
        <v>84</v>
      </c>
      <c r="B86" s="46" t="str">
        <f>RIGHT(tbl_SeqLib[[#This Row],[Well]],LEN(tbl_SeqLib[[#This Row],[Well]])-1)</f>
        <v>11</v>
      </c>
      <c r="C86" s="45" t="s">
        <v>251</v>
      </c>
      <c r="D86" s="19"/>
      <c r="E86" s="21"/>
      <c r="F86" s="31"/>
      <c r="G86" s="31"/>
      <c r="H86" s="31"/>
      <c r="I86" s="31"/>
      <c r="J8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6" s="32" t="s">
        <v>252</v>
      </c>
      <c r="L86" s="85">
        <f>IF(OR(ISBLANK(tbl_SeqLib[[#This Row],[Sample ID]]),ISBLANK(endrepair_targetmass)),0,IF(LEN(tbl_SeqLib[[#This Row],[PCR '[DNA'] (ng / µl)]])=0,1,2))</f>
        <v>0</v>
      </c>
      <c r="M8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6" s="44" t="str">
        <f>IF(tbl_SeqLib[[#This Row],[entry]]=2,ROUNDUP(_xlfn.MINIFS(tbl_SeqLib[Exact],tbl_SeqLib[Column],tbl_SeqLib[[#This Row],[Column]]),1),"")</f>
        <v/>
      </c>
      <c r="O86" s="44" t="str">
        <f>IF(tbl_SeqLib[[#This Row],[entry]]=2,ROUNDDOWN(_xlfn.MAXIFS(tbl_SeqLib[Exact],tbl_SeqLib[Column],tbl_SeqLib[[#This Row],[Column]]),1),"")</f>
        <v/>
      </c>
      <c r="P86" s="44" t="str">
        <f>IF(tbl_SeqLib[[#This Row],[entry]]=2,ROUNDUP(AVERAGEIFS(tbl_SeqLib[Exact],tbl_SeqLib[Column],tbl_SeqLib[[#This Row],[Column]]),1),"")</f>
        <v/>
      </c>
      <c r="Q86" s="44" t="str" cm="1">
        <f t="array" ref="Q86">_xlfn.XLOOKUP(0,ABS(tbl_SeqLib[[#This Row],[Min for col]:[Avg for col]]-tbl_SeqLib[[#This Row],[Exact]]),tbl_SeqLib[[#This Row],[Min for col]:[Avg for col]],"",1)</f>
        <v/>
      </c>
      <c r="R86" s="44" t="str" cm="1">
        <f t="array" ref="R86">_xlfn.XLOOKUP(0,ABS(tbl_SeqLib[[#This Row],[Max for col]:[Avg for col]]-tbl_SeqLib[[#This Row],[Exact]]),tbl_SeqLib[[#This Row],[Max for col]:[Avg for col]],"",1)</f>
        <v/>
      </c>
      <c r="S86" s="44" t="str">
        <f>IF(tbl_SeqLib[[#This Row],[entry]]=2,tbl_SeqLib[[#This Row],[Max for col]],"")</f>
        <v/>
      </c>
      <c r="T86" s="44" t="str">
        <f>IF(tbl_SeqLib[[#This Row],[entry]]=2,tbl_SeqLib[[#This Row],[Avg for col]],"")</f>
        <v/>
      </c>
      <c r="U86" s="44" t="str">
        <f>IF(tbl_SeqLib[[#This Row],[entry]]=2,AVERAGE(tbl_SeqLib[Exact]),"")</f>
        <v/>
      </c>
      <c r="V86" s="44" t="str">
        <f>IF(tbl_SeqLib[[#This Row],[entry]]=2,MAX(tbl_SeqLib[Exact]),"")</f>
        <v/>
      </c>
      <c r="W86" s="44" t="str" cm="1">
        <f t="array" ref="W86">_xlfn.XLOOKUP(0,ABS(tbl_SeqLib[[#This Row],[Avg per plate]:[Max per plate]]-tbl_SeqLib[[#This Row],[Exact]]),tbl_SeqLib[[#This Row],[Avg per plate]:[Max per plate]],,1)</f>
        <v/>
      </c>
      <c r="X8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6" s="85" t="str">
        <f>IF(tbl_SeqLib[[#This Row],[entry]]=1,ROUNDUP(AVERAGE(tbl_SeqLib[Exact]),1),"")</f>
        <v/>
      </c>
      <c r="Z86" s="85" t="str">
        <f>IF(tbl_SeqLib[[#This Row],[entry]]=1,ROUNDUP(AVERAGEIFS(tbl_SeqLib[Exact],tbl_SeqLib[Column],tbl_SeqLib[[#This Row],[Column]]),1),"")</f>
        <v/>
      </c>
      <c r="AA86" s="44" t="str">
        <f>IF(missing_qc_resolution=reference!$E$34,tbl_SeqLib[[#This Row],[Avg per col (missing)]],tbl_SeqLib[[#This Row],[Avg per plate (missing)]])</f>
        <v/>
      </c>
      <c r="AB86" s="44" t="str">
        <f>IF(tbl_SeqLib[[#This Row],[entry]]=0,"",IF(tbl_SeqLib[[#This Row],[entry]]=1,tbl_SeqLib[[#This Row],[Not quantified]],IF(tbl_SeqLib[[#This Row],[entry]]=2,tbl_SeqLib[[#This Row],[Quantified]])))</f>
        <v/>
      </c>
      <c r="AC86" s="137"/>
      <c r="AD8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6" s="60" t="str">
        <f>IF(ISBLANK(tbl_SeqLib[[#This Row],[sWGA Identifier]]),"",CONCATENATE(exp_id,"_",tbl_SeqLib[[#This Row],[Well]]))</f>
        <v/>
      </c>
    </row>
    <row r="87" spans="1:31" ht="15.75" customHeight="1" x14ac:dyDescent="0.25">
      <c r="A87" s="59">
        <v>85</v>
      </c>
      <c r="B87" s="46" t="str">
        <f>RIGHT(tbl_SeqLib[[#This Row],[Well]],LEN(tbl_SeqLib[[#This Row],[Well]])-1)</f>
        <v>11</v>
      </c>
      <c r="C87" s="45" t="s">
        <v>253</v>
      </c>
      <c r="D87" s="19"/>
      <c r="E87" s="21"/>
      <c r="F87" s="31"/>
      <c r="G87" s="31"/>
      <c r="H87" s="31"/>
      <c r="I87" s="31"/>
      <c r="J8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7" s="32" t="s">
        <v>254</v>
      </c>
      <c r="L87" s="85">
        <f>IF(OR(ISBLANK(tbl_SeqLib[[#This Row],[Sample ID]]),ISBLANK(endrepair_targetmass)),0,IF(LEN(tbl_SeqLib[[#This Row],[PCR '[DNA'] (ng / µl)]])=0,1,2))</f>
        <v>0</v>
      </c>
      <c r="M8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7" s="44" t="str">
        <f>IF(tbl_SeqLib[[#This Row],[entry]]=2,ROUNDUP(_xlfn.MINIFS(tbl_SeqLib[Exact],tbl_SeqLib[Column],tbl_SeqLib[[#This Row],[Column]]),1),"")</f>
        <v/>
      </c>
      <c r="O87" s="44" t="str">
        <f>IF(tbl_SeqLib[[#This Row],[entry]]=2,ROUNDDOWN(_xlfn.MAXIFS(tbl_SeqLib[Exact],tbl_SeqLib[Column],tbl_SeqLib[[#This Row],[Column]]),1),"")</f>
        <v/>
      </c>
      <c r="P87" s="44" t="str">
        <f>IF(tbl_SeqLib[[#This Row],[entry]]=2,ROUNDUP(AVERAGEIFS(tbl_SeqLib[Exact],tbl_SeqLib[Column],tbl_SeqLib[[#This Row],[Column]]),1),"")</f>
        <v/>
      </c>
      <c r="Q87" s="44" t="str" cm="1">
        <f t="array" ref="Q87">_xlfn.XLOOKUP(0,ABS(tbl_SeqLib[[#This Row],[Min for col]:[Avg for col]]-tbl_SeqLib[[#This Row],[Exact]]),tbl_SeqLib[[#This Row],[Min for col]:[Avg for col]],"",1)</f>
        <v/>
      </c>
      <c r="R87" s="44" t="str" cm="1">
        <f t="array" ref="R87">_xlfn.XLOOKUP(0,ABS(tbl_SeqLib[[#This Row],[Max for col]:[Avg for col]]-tbl_SeqLib[[#This Row],[Exact]]),tbl_SeqLib[[#This Row],[Max for col]:[Avg for col]],"",1)</f>
        <v/>
      </c>
      <c r="S87" s="44" t="str">
        <f>IF(tbl_SeqLib[[#This Row],[entry]]=2,tbl_SeqLib[[#This Row],[Max for col]],"")</f>
        <v/>
      </c>
      <c r="T87" s="44" t="str">
        <f>IF(tbl_SeqLib[[#This Row],[entry]]=2,tbl_SeqLib[[#This Row],[Avg for col]],"")</f>
        <v/>
      </c>
      <c r="U87" s="44" t="str">
        <f>IF(tbl_SeqLib[[#This Row],[entry]]=2,AVERAGE(tbl_SeqLib[Exact]),"")</f>
        <v/>
      </c>
      <c r="V87" s="44" t="str">
        <f>IF(tbl_SeqLib[[#This Row],[entry]]=2,MAX(tbl_SeqLib[Exact]),"")</f>
        <v/>
      </c>
      <c r="W87" s="44" t="str" cm="1">
        <f t="array" ref="W87">_xlfn.XLOOKUP(0,ABS(tbl_SeqLib[[#This Row],[Avg per plate]:[Max per plate]]-tbl_SeqLib[[#This Row],[Exact]]),tbl_SeqLib[[#This Row],[Avg per plate]:[Max per plate]],,1)</f>
        <v/>
      </c>
      <c r="X8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7" s="85" t="str">
        <f>IF(tbl_SeqLib[[#This Row],[entry]]=1,ROUNDUP(AVERAGE(tbl_SeqLib[Exact]),1),"")</f>
        <v/>
      </c>
      <c r="Z87" s="85" t="str">
        <f>IF(tbl_SeqLib[[#This Row],[entry]]=1,ROUNDUP(AVERAGEIFS(tbl_SeqLib[Exact],tbl_SeqLib[Column],tbl_SeqLib[[#This Row],[Column]]),1),"")</f>
        <v/>
      </c>
      <c r="AA87" s="44" t="str">
        <f>IF(missing_qc_resolution=reference!$E$34,tbl_SeqLib[[#This Row],[Avg per col (missing)]],tbl_SeqLib[[#This Row],[Avg per plate (missing)]])</f>
        <v/>
      </c>
      <c r="AB87" s="44" t="str">
        <f>IF(tbl_SeqLib[[#This Row],[entry]]=0,"",IF(tbl_SeqLib[[#This Row],[entry]]=1,tbl_SeqLib[[#This Row],[Not quantified]],IF(tbl_SeqLib[[#This Row],[entry]]=2,tbl_SeqLib[[#This Row],[Quantified]])))</f>
        <v/>
      </c>
      <c r="AC87" s="137"/>
      <c r="AD8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7" s="60" t="str">
        <f>IF(ISBLANK(tbl_SeqLib[[#This Row],[sWGA Identifier]]),"",CONCATENATE(exp_id,"_",tbl_SeqLib[[#This Row],[Well]]))</f>
        <v/>
      </c>
    </row>
    <row r="88" spans="1:31" ht="15.75" customHeight="1" x14ac:dyDescent="0.25">
      <c r="A88" s="59">
        <v>86</v>
      </c>
      <c r="B88" s="46" t="str">
        <f>RIGHT(tbl_SeqLib[[#This Row],[Well]],LEN(tbl_SeqLib[[#This Row],[Well]])-1)</f>
        <v>11</v>
      </c>
      <c r="C88" s="45" t="s">
        <v>255</v>
      </c>
      <c r="D88" s="19"/>
      <c r="E88" s="21"/>
      <c r="F88" s="31"/>
      <c r="G88" s="31"/>
      <c r="H88" s="31"/>
      <c r="I88" s="31"/>
      <c r="J88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8" s="32" t="s">
        <v>256</v>
      </c>
      <c r="L88" s="85">
        <f>IF(OR(ISBLANK(tbl_SeqLib[[#This Row],[Sample ID]]),ISBLANK(endrepair_targetmass)),0,IF(LEN(tbl_SeqLib[[#This Row],[PCR '[DNA'] (ng / µl)]])=0,1,2))</f>
        <v>0</v>
      </c>
      <c r="M88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8" s="44" t="str">
        <f>IF(tbl_SeqLib[[#This Row],[entry]]=2,ROUNDUP(_xlfn.MINIFS(tbl_SeqLib[Exact],tbl_SeqLib[Column],tbl_SeqLib[[#This Row],[Column]]),1),"")</f>
        <v/>
      </c>
      <c r="O88" s="44" t="str">
        <f>IF(tbl_SeqLib[[#This Row],[entry]]=2,ROUNDDOWN(_xlfn.MAXIFS(tbl_SeqLib[Exact],tbl_SeqLib[Column],tbl_SeqLib[[#This Row],[Column]]),1),"")</f>
        <v/>
      </c>
      <c r="P88" s="44" t="str">
        <f>IF(tbl_SeqLib[[#This Row],[entry]]=2,ROUNDUP(AVERAGEIFS(tbl_SeqLib[Exact],tbl_SeqLib[Column],tbl_SeqLib[[#This Row],[Column]]),1),"")</f>
        <v/>
      </c>
      <c r="Q88" s="44" t="str" cm="1">
        <f t="array" ref="Q88">_xlfn.XLOOKUP(0,ABS(tbl_SeqLib[[#This Row],[Min for col]:[Avg for col]]-tbl_SeqLib[[#This Row],[Exact]]),tbl_SeqLib[[#This Row],[Min for col]:[Avg for col]],"",1)</f>
        <v/>
      </c>
      <c r="R88" s="44" t="str" cm="1">
        <f t="array" ref="R88">_xlfn.XLOOKUP(0,ABS(tbl_SeqLib[[#This Row],[Max for col]:[Avg for col]]-tbl_SeqLib[[#This Row],[Exact]]),tbl_SeqLib[[#This Row],[Max for col]:[Avg for col]],"",1)</f>
        <v/>
      </c>
      <c r="S88" s="44" t="str">
        <f>IF(tbl_SeqLib[[#This Row],[entry]]=2,tbl_SeqLib[[#This Row],[Max for col]],"")</f>
        <v/>
      </c>
      <c r="T88" s="44" t="str">
        <f>IF(tbl_SeqLib[[#This Row],[entry]]=2,tbl_SeqLib[[#This Row],[Avg for col]],"")</f>
        <v/>
      </c>
      <c r="U88" s="44" t="str">
        <f>IF(tbl_SeqLib[[#This Row],[entry]]=2,AVERAGE(tbl_SeqLib[Exact]),"")</f>
        <v/>
      </c>
      <c r="V88" s="44" t="str">
        <f>IF(tbl_SeqLib[[#This Row],[entry]]=2,MAX(tbl_SeqLib[Exact]),"")</f>
        <v/>
      </c>
      <c r="W88" s="44" t="str" cm="1">
        <f t="array" ref="W88">_xlfn.XLOOKUP(0,ABS(tbl_SeqLib[[#This Row],[Avg per plate]:[Max per plate]]-tbl_SeqLib[[#This Row],[Exact]]),tbl_SeqLib[[#This Row],[Avg per plate]:[Max per plate]],,1)</f>
        <v/>
      </c>
      <c r="X88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8" s="85" t="str">
        <f>IF(tbl_SeqLib[[#This Row],[entry]]=1,ROUNDUP(AVERAGE(tbl_SeqLib[Exact]),1),"")</f>
        <v/>
      </c>
      <c r="Z88" s="85" t="str">
        <f>IF(tbl_SeqLib[[#This Row],[entry]]=1,ROUNDUP(AVERAGEIFS(tbl_SeqLib[Exact],tbl_SeqLib[Column],tbl_SeqLib[[#This Row],[Column]]),1),"")</f>
        <v/>
      </c>
      <c r="AA88" s="44" t="str">
        <f>IF(missing_qc_resolution=reference!$E$34,tbl_SeqLib[[#This Row],[Avg per col (missing)]],tbl_SeqLib[[#This Row],[Avg per plate (missing)]])</f>
        <v/>
      </c>
      <c r="AB88" s="44" t="str">
        <f>IF(tbl_SeqLib[[#This Row],[entry]]=0,"",IF(tbl_SeqLib[[#This Row],[entry]]=1,tbl_SeqLib[[#This Row],[Not quantified]],IF(tbl_SeqLib[[#This Row],[entry]]=2,tbl_SeqLib[[#This Row],[Quantified]])))</f>
        <v/>
      </c>
      <c r="AC88" s="137"/>
      <c r="AD88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8" s="60" t="str">
        <f>IF(ISBLANK(tbl_SeqLib[[#This Row],[sWGA Identifier]]),"",CONCATENATE(exp_id,"_",tbl_SeqLib[[#This Row],[Well]]))</f>
        <v/>
      </c>
    </row>
    <row r="89" spans="1:31" ht="15.75" customHeight="1" x14ac:dyDescent="0.25">
      <c r="A89" s="59">
        <v>87</v>
      </c>
      <c r="B89" s="46" t="str">
        <f>RIGHT(tbl_SeqLib[[#This Row],[Well]],LEN(tbl_SeqLib[[#This Row],[Well]])-1)</f>
        <v>11</v>
      </c>
      <c r="C89" s="45" t="s">
        <v>257</v>
      </c>
      <c r="D89" s="19"/>
      <c r="E89" s="21"/>
      <c r="F89" s="31"/>
      <c r="G89" s="31"/>
      <c r="H89" s="31"/>
      <c r="I89" s="31"/>
      <c r="J89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89" s="32" t="s">
        <v>258</v>
      </c>
      <c r="L89" s="85">
        <f>IF(OR(ISBLANK(tbl_SeqLib[[#This Row],[Sample ID]]),ISBLANK(endrepair_targetmass)),0,IF(LEN(tbl_SeqLib[[#This Row],[PCR '[DNA'] (ng / µl)]])=0,1,2))</f>
        <v>0</v>
      </c>
      <c r="M89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89" s="44" t="str">
        <f>IF(tbl_SeqLib[[#This Row],[entry]]=2,ROUNDUP(_xlfn.MINIFS(tbl_SeqLib[Exact],tbl_SeqLib[Column],tbl_SeqLib[[#This Row],[Column]]),1),"")</f>
        <v/>
      </c>
      <c r="O89" s="44" t="str">
        <f>IF(tbl_SeqLib[[#This Row],[entry]]=2,ROUNDDOWN(_xlfn.MAXIFS(tbl_SeqLib[Exact],tbl_SeqLib[Column],tbl_SeqLib[[#This Row],[Column]]),1),"")</f>
        <v/>
      </c>
      <c r="P89" s="44" t="str">
        <f>IF(tbl_SeqLib[[#This Row],[entry]]=2,ROUNDUP(AVERAGEIFS(tbl_SeqLib[Exact],tbl_SeqLib[Column],tbl_SeqLib[[#This Row],[Column]]),1),"")</f>
        <v/>
      </c>
      <c r="Q89" s="44" t="str" cm="1">
        <f t="array" ref="Q89">_xlfn.XLOOKUP(0,ABS(tbl_SeqLib[[#This Row],[Min for col]:[Avg for col]]-tbl_SeqLib[[#This Row],[Exact]]),tbl_SeqLib[[#This Row],[Min for col]:[Avg for col]],"",1)</f>
        <v/>
      </c>
      <c r="R89" s="44" t="str" cm="1">
        <f t="array" ref="R89">_xlfn.XLOOKUP(0,ABS(tbl_SeqLib[[#This Row],[Max for col]:[Avg for col]]-tbl_SeqLib[[#This Row],[Exact]]),tbl_SeqLib[[#This Row],[Max for col]:[Avg for col]],"",1)</f>
        <v/>
      </c>
      <c r="S89" s="44" t="str">
        <f>IF(tbl_SeqLib[[#This Row],[entry]]=2,tbl_SeqLib[[#This Row],[Max for col]],"")</f>
        <v/>
      </c>
      <c r="T89" s="44" t="str">
        <f>IF(tbl_SeqLib[[#This Row],[entry]]=2,tbl_SeqLib[[#This Row],[Avg for col]],"")</f>
        <v/>
      </c>
      <c r="U89" s="44" t="str">
        <f>IF(tbl_SeqLib[[#This Row],[entry]]=2,AVERAGE(tbl_SeqLib[Exact]),"")</f>
        <v/>
      </c>
      <c r="V89" s="44" t="str">
        <f>IF(tbl_SeqLib[[#This Row],[entry]]=2,MAX(tbl_SeqLib[Exact]),"")</f>
        <v/>
      </c>
      <c r="W89" s="44" t="str" cm="1">
        <f t="array" ref="W89">_xlfn.XLOOKUP(0,ABS(tbl_SeqLib[[#This Row],[Avg per plate]:[Max per plate]]-tbl_SeqLib[[#This Row],[Exact]]),tbl_SeqLib[[#This Row],[Avg per plate]:[Max per plate]],,1)</f>
        <v/>
      </c>
      <c r="X89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89" s="85" t="str">
        <f>IF(tbl_SeqLib[[#This Row],[entry]]=1,ROUNDUP(AVERAGE(tbl_SeqLib[Exact]),1),"")</f>
        <v/>
      </c>
      <c r="Z89" s="85" t="str">
        <f>IF(tbl_SeqLib[[#This Row],[entry]]=1,ROUNDUP(AVERAGEIFS(tbl_SeqLib[Exact],tbl_SeqLib[Column],tbl_SeqLib[[#This Row],[Column]]),1),"")</f>
        <v/>
      </c>
      <c r="AA89" s="44" t="str">
        <f>IF(missing_qc_resolution=reference!$E$34,tbl_SeqLib[[#This Row],[Avg per col (missing)]],tbl_SeqLib[[#This Row],[Avg per plate (missing)]])</f>
        <v/>
      </c>
      <c r="AB89" s="44" t="str">
        <f>IF(tbl_SeqLib[[#This Row],[entry]]=0,"",IF(tbl_SeqLib[[#This Row],[entry]]=1,tbl_SeqLib[[#This Row],[Not quantified]],IF(tbl_SeqLib[[#This Row],[entry]]=2,tbl_SeqLib[[#This Row],[Quantified]])))</f>
        <v/>
      </c>
      <c r="AC89" s="137"/>
      <c r="AD89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89" s="60" t="str">
        <f>IF(ISBLANK(tbl_SeqLib[[#This Row],[sWGA Identifier]]),"",CONCATENATE(exp_id,"_",tbl_SeqLib[[#This Row],[Well]]))</f>
        <v/>
      </c>
    </row>
    <row r="90" spans="1:31" ht="15.75" customHeight="1" thickBot="1" x14ac:dyDescent="0.3">
      <c r="A90" s="61">
        <v>88</v>
      </c>
      <c r="B90" s="62" t="str">
        <f>RIGHT(tbl_SeqLib[[#This Row],[Well]],LEN(tbl_SeqLib[[#This Row],[Well]])-1)</f>
        <v>11</v>
      </c>
      <c r="C90" s="70" t="s">
        <v>259</v>
      </c>
      <c r="D90" s="63"/>
      <c r="E90" s="64"/>
      <c r="F90" s="65"/>
      <c r="G90" s="65"/>
      <c r="H90" s="65"/>
      <c r="I90" s="65"/>
      <c r="J90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0" s="67" t="s">
        <v>260</v>
      </c>
      <c r="L90" s="86">
        <f>IF(OR(ISBLANK(tbl_SeqLib[[#This Row],[Sample ID]]),ISBLANK(endrepair_targetmass)),0,IF(LEN(tbl_SeqLib[[#This Row],[PCR '[DNA'] (ng / µl)]])=0,1,2))</f>
        <v>0</v>
      </c>
      <c r="M90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0" s="68" t="str">
        <f>IF(tbl_SeqLib[[#This Row],[entry]]=2,ROUNDUP(_xlfn.MINIFS(tbl_SeqLib[Exact],tbl_SeqLib[Column],tbl_SeqLib[[#This Row],[Column]]),1),"")</f>
        <v/>
      </c>
      <c r="O90" s="68" t="str">
        <f>IF(tbl_SeqLib[[#This Row],[entry]]=2,ROUNDDOWN(_xlfn.MAXIFS(tbl_SeqLib[Exact],tbl_SeqLib[Column],tbl_SeqLib[[#This Row],[Column]]),1),"")</f>
        <v/>
      </c>
      <c r="P90" s="68" t="str">
        <f>IF(tbl_SeqLib[[#This Row],[entry]]=2,ROUNDUP(AVERAGEIFS(tbl_SeqLib[Exact],tbl_SeqLib[Column],tbl_SeqLib[[#This Row],[Column]]),1),"")</f>
        <v/>
      </c>
      <c r="Q90" s="68" t="str" cm="1">
        <f t="array" ref="Q90">_xlfn.XLOOKUP(0,ABS(tbl_SeqLib[[#This Row],[Min for col]:[Avg for col]]-tbl_SeqLib[[#This Row],[Exact]]),tbl_SeqLib[[#This Row],[Min for col]:[Avg for col]],"",1)</f>
        <v/>
      </c>
      <c r="R90" s="68" t="str" cm="1">
        <f t="array" ref="R90">_xlfn.XLOOKUP(0,ABS(tbl_SeqLib[[#This Row],[Max for col]:[Avg for col]]-tbl_SeqLib[[#This Row],[Exact]]),tbl_SeqLib[[#This Row],[Max for col]:[Avg for col]],"",1)</f>
        <v/>
      </c>
      <c r="S90" s="68" t="str">
        <f>IF(tbl_SeqLib[[#This Row],[entry]]=2,tbl_SeqLib[[#This Row],[Max for col]],"")</f>
        <v/>
      </c>
      <c r="T90" s="68" t="str">
        <f>IF(tbl_SeqLib[[#This Row],[entry]]=2,tbl_SeqLib[[#This Row],[Avg for col]],"")</f>
        <v/>
      </c>
      <c r="U90" s="68" t="str">
        <f>IF(tbl_SeqLib[[#This Row],[entry]]=2,AVERAGE(tbl_SeqLib[Exact]),"")</f>
        <v/>
      </c>
      <c r="V90" s="68" t="str">
        <f>IF(tbl_SeqLib[[#This Row],[entry]]=2,MAX(tbl_SeqLib[Exact]),"")</f>
        <v/>
      </c>
      <c r="W90" s="68" t="str" cm="1">
        <f t="array" ref="W90">_xlfn.XLOOKUP(0,ABS(tbl_SeqLib[[#This Row],[Avg per plate]:[Max per plate]]-tbl_SeqLib[[#This Row],[Exact]]),tbl_SeqLib[[#This Row],[Avg per plate]:[Max per plate]],,1)</f>
        <v/>
      </c>
      <c r="X90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0" s="86" t="str">
        <f>IF(tbl_SeqLib[[#This Row],[entry]]=1,ROUNDUP(AVERAGE(tbl_SeqLib[Exact]),1),"")</f>
        <v/>
      </c>
      <c r="Z90" s="86" t="str">
        <f>IF(tbl_SeqLib[[#This Row],[entry]]=1,ROUNDUP(AVERAGEIFS(tbl_SeqLib[Exact],tbl_SeqLib[Column],tbl_SeqLib[[#This Row],[Column]]),1),"")</f>
        <v/>
      </c>
      <c r="AA90" s="68" t="str">
        <f>IF(missing_qc_resolution=reference!$E$34,tbl_SeqLib[[#This Row],[Avg per col (missing)]],tbl_SeqLib[[#This Row],[Avg per plate (missing)]])</f>
        <v/>
      </c>
      <c r="AB90" s="68" t="str">
        <f>IF(tbl_SeqLib[[#This Row],[entry]]=0,"",IF(tbl_SeqLib[[#This Row],[entry]]=1,tbl_SeqLib[[#This Row],[Not quantified]],IF(tbl_SeqLib[[#This Row],[entry]]=2,tbl_SeqLib[[#This Row],[Quantified]])))</f>
        <v/>
      </c>
      <c r="AC90" s="138"/>
      <c r="AD90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0" s="69" t="str">
        <f>IF(ISBLANK(tbl_SeqLib[[#This Row],[sWGA Identifier]]),"",CONCATENATE(exp_id,"_",tbl_SeqLib[[#This Row],[Well]]))</f>
        <v/>
      </c>
    </row>
    <row r="91" spans="1:31" ht="15.75" customHeight="1" x14ac:dyDescent="0.25">
      <c r="A91" s="50">
        <v>89</v>
      </c>
      <c r="B91" s="51" t="str">
        <f>RIGHT(tbl_SeqLib[[#This Row],[Well]],LEN(tbl_SeqLib[[#This Row],[Well]])-1)</f>
        <v>12</v>
      </c>
      <c r="C91" s="51" t="s">
        <v>261</v>
      </c>
      <c r="D91" s="52"/>
      <c r="E91" s="56"/>
      <c r="F91" s="52"/>
      <c r="G91" s="52"/>
      <c r="H91" s="52"/>
      <c r="I91" s="52"/>
      <c r="J91" s="55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1" s="56" t="s">
        <v>262</v>
      </c>
      <c r="L91" s="84">
        <f>IF(OR(ISBLANK(tbl_SeqLib[[#This Row],[Sample ID]]),ISBLANK(endrepair_targetmass)),0,IF(LEN(tbl_SeqLib[[#This Row],[PCR '[DNA'] (ng / µl)]])=0,1,2))</f>
        <v>0</v>
      </c>
      <c r="M91" s="57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1" s="57" t="str">
        <f>IF(tbl_SeqLib[[#This Row],[entry]]=2,ROUNDUP(_xlfn.MINIFS(tbl_SeqLib[Exact],tbl_SeqLib[Column],tbl_SeqLib[[#This Row],[Column]]),1),"")</f>
        <v/>
      </c>
      <c r="O91" s="57" t="str">
        <f>IF(tbl_SeqLib[[#This Row],[entry]]=2,ROUNDDOWN(_xlfn.MAXIFS(tbl_SeqLib[Exact],tbl_SeqLib[Column],tbl_SeqLib[[#This Row],[Column]]),1),"")</f>
        <v/>
      </c>
      <c r="P91" s="57" t="str">
        <f>IF(tbl_SeqLib[[#This Row],[entry]]=2,ROUNDUP(AVERAGEIFS(tbl_SeqLib[Exact],tbl_SeqLib[Column],tbl_SeqLib[[#This Row],[Column]]),1),"")</f>
        <v/>
      </c>
      <c r="Q91" s="57" t="str" cm="1">
        <f t="array" ref="Q91">_xlfn.XLOOKUP(0,ABS(tbl_SeqLib[[#This Row],[Min for col]:[Avg for col]]-tbl_SeqLib[[#This Row],[Exact]]),tbl_SeqLib[[#This Row],[Min for col]:[Avg for col]],"",1)</f>
        <v/>
      </c>
      <c r="R91" s="57" t="str" cm="1">
        <f t="array" ref="R91">_xlfn.XLOOKUP(0,ABS(tbl_SeqLib[[#This Row],[Max for col]:[Avg for col]]-tbl_SeqLib[[#This Row],[Exact]]),tbl_SeqLib[[#This Row],[Max for col]:[Avg for col]],"",1)</f>
        <v/>
      </c>
      <c r="S91" s="57" t="str">
        <f>IF(tbl_SeqLib[[#This Row],[entry]]=2,tbl_SeqLib[[#This Row],[Max for col]],"")</f>
        <v/>
      </c>
      <c r="T91" s="57" t="str">
        <f>IF(tbl_SeqLib[[#This Row],[entry]]=2,tbl_SeqLib[[#This Row],[Avg for col]],"")</f>
        <v/>
      </c>
      <c r="U91" s="57" t="str">
        <f>IF(tbl_SeqLib[[#This Row],[entry]]=2,AVERAGE(tbl_SeqLib[Exact]),"")</f>
        <v/>
      </c>
      <c r="V91" s="57" t="str">
        <f>IF(tbl_SeqLib[[#This Row],[entry]]=2,MAX(tbl_SeqLib[Exact]),"")</f>
        <v/>
      </c>
      <c r="W91" s="57" t="str" cm="1">
        <f t="array" ref="W91">_xlfn.XLOOKUP(0,ABS(tbl_SeqLib[[#This Row],[Avg per plate]:[Max per plate]]-tbl_SeqLib[[#This Row],[Exact]]),tbl_SeqLib[[#This Row],[Avg per plate]:[Max per plate]],,1)</f>
        <v/>
      </c>
      <c r="X91" s="57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1" s="84" t="str">
        <f>IF(tbl_SeqLib[[#This Row],[entry]]=1,ROUNDUP(AVERAGE(tbl_SeqLib[Exact]),1),"")</f>
        <v/>
      </c>
      <c r="Z91" s="84" t="str">
        <f>IF(tbl_SeqLib[[#This Row],[entry]]=1,ROUNDUP(AVERAGEIFS(tbl_SeqLib[Exact],tbl_SeqLib[Column],tbl_SeqLib[[#This Row],[Column]]),1),"")</f>
        <v/>
      </c>
      <c r="AA91" s="57" t="str">
        <f>IF(missing_qc_resolution=reference!$E$34,tbl_SeqLib[[#This Row],[Avg per col (missing)]],tbl_SeqLib[[#This Row],[Avg per plate (missing)]])</f>
        <v/>
      </c>
      <c r="AB91" s="57" t="str">
        <f>IF(tbl_SeqLib[[#This Row],[entry]]=0,"",IF(tbl_SeqLib[[#This Row],[entry]]=1,tbl_SeqLib[[#This Row],[Not quantified]],IF(tbl_SeqLib[[#This Row],[entry]]=2,tbl_SeqLib[[#This Row],[Quantified]])))</f>
        <v/>
      </c>
      <c r="AC91" s="136"/>
      <c r="AD91" s="57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1" s="58" t="str">
        <f>IF(ISBLANK(tbl_SeqLib[[#This Row],[sWGA Identifier]]),"",CONCATENATE(exp_id,"_",tbl_SeqLib[[#This Row],[Well]]))</f>
        <v/>
      </c>
    </row>
    <row r="92" spans="1:31" ht="15.75" customHeight="1" x14ac:dyDescent="0.25">
      <c r="A92" s="59">
        <v>90</v>
      </c>
      <c r="B92" s="46" t="str">
        <f>RIGHT(tbl_SeqLib[[#This Row],[Well]],LEN(tbl_SeqLib[[#This Row],[Well]])-1)</f>
        <v>12</v>
      </c>
      <c r="C92" s="45" t="s">
        <v>263</v>
      </c>
      <c r="D92" s="19"/>
      <c r="E92" s="21"/>
      <c r="F92" s="31"/>
      <c r="G92" s="31"/>
      <c r="H92" s="31"/>
      <c r="I92" s="31"/>
      <c r="J92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2" s="32" t="s">
        <v>264</v>
      </c>
      <c r="L92" s="85">
        <f>IF(OR(ISBLANK(tbl_SeqLib[[#This Row],[Sample ID]]),ISBLANK(endrepair_targetmass)),0,IF(LEN(tbl_SeqLib[[#This Row],[PCR '[DNA'] (ng / µl)]])=0,1,2))</f>
        <v>0</v>
      </c>
      <c r="M92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2" s="44" t="str">
        <f>IF(tbl_SeqLib[[#This Row],[entry]]=2,ROUNDUP(_xlfn.MINIFS(tbl_SeqLib[Exact],tbl_SeqLib[Column],tbl_SeqLib[[#This Row],[Column]]),1),"")</f>
        <v/>
      </c>
      <c r="O92" s="44" t="str">
        <f>IF(tbl_SeqLib[[#This Row],[entry]]=2,ROUNDDOWN(_xlfn.MAXIFS(tbl_SeqLib[Exact],tbl_SeqLib[Column],tbl_SeqLib[[#This Row],[Column]]),1),"")</f>
        <v/>
      </c>
      <c r="P92" s="44" t="str">
        <f>IF(tbl_SeqLib[[#This Row],[entry]]=2,ROUNDUP(AVERAGEIFS(tbl_SeqLib[Exact],tbl_SeqLib[Column],tbl_SeqLib[[#This Row],[Column]]),1),"")</f>
        <v/>
      </c>
      <c r="Q92" s="44" t="str" cm="1">
        <f t="array" ref="Q92">_xlfn.XLOOKUP(0,ABS(tbl_SeqLib[[#This Row],[Min for col]:[Avg for col]]-tbl_SeqLib[[#This Row],[Exact]]),tbl_SeqLib[[#This Row],[Min for col]:[Avg for col]],"",1)</f>
        <v/>
      </c>
      <c r="R92" s="44" t="str" cm="1">
        <f t="array" ref="R92">_xlfn.XLOOKUP(0,ABS(tbl_SeqLib[[#This Row],[Max for col]:[Avg for col]]-tbl_SeqLib[[#This Row],[Exact]]),tbl_SeqLib[[#This Row],[Max for col]:[Avg for col]],"",1)</f>
        <v/>
      </c>
      <c r="S92" s="44" t="str">
        <f>IF(tbl_SeqLib[[#This Row],[entry]]=2,tbl_SeqLib[[#This Row],[Max for col]],"")</f>
        <v/>
      </c>
      <c r="T92" s="44" t="str">
        <f>IF(tbl_SeqLib[[#This Row],[entry]]=2,tbl_SeqLib[[#This Row],[Avg for col]],"")</f>
        <v/>
      </c>
      <c r="U92" s="44" t="str">
        <f>IF(tbl_SeqLib[[#This Row],[entry]]=2,AVERAGE(tbl_SeqLib[Exact]),"")</f>
        <v/>
      </c>
      <c r="V92" s="44" t="str">
        <f>IF(tbl_SeqLib[[#This Row],[entry]]=2,MAX(tbl_SeqLib[Exact]),"")</f>
        <v/>
      </c>
      <c r="W92" s="44" t="str" cm="1">
        <f t="array" ref="W92">_xlfn.XLOOKUP(0,ABS(tbl_SeqLib[[#This Row],[Avg per plate]:[Max per plate]]-tbl_SeqLib[[#This Row],[Exact]]),tbl_SeqLib[[#This Row],[Avg per plate]:[Max per plate]],,1)</f>
        <v/>
      </c>
      <c r="X92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2" s="85" t="str">
        <f>IF(tbl_SeqLib[[#This Row],[entry]]=1,ROUNDUP(AVERAGE(tbl_SeqLib[Exact]),1),"")</f>
        <v/>
      </c>
      <c r="Z92" s="85" t="str">
        <f>IF(tbl_SeqLib[[#This Row],[entry]]=1,ROUNDUP(AVERAGEIFS(tbl_SeqLib[Exact],tbl_SeqLib[Column],tbl_SeqLib[[#This Row],[Column]]),1),"")</f>
        <v/>
      </c>
      <c r="AA92" s="44" t="str">
        <f>IF(missing_qc_resolution=reference!$E$34,tbl_SeqLib[[#This Row],[Avg per col (missing)]],tbl_SeqLib[[#This Row],[Avg per plate (missing)]])</f>
        <v/>
      </c>
      <c r="AB92" s="44" t="str">
        <f>IF(tbl_SeqLib[[#This Row],[entry]]=0,"",IF(tbl_SeqLib[[#This Row],[entry]]=1,tbl_SeqLib[[#This Row],[Not quantified]],IF(tbl_SeqLib[[#This Row],[entry]]=2,tbl_SeqLib[[#This Row],[Quantified]])))</f>
        <v/>
      </c>
      <c r="AC92" s="137"/>
      <c r="AD92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2" s="60" t="str">
        <f>IF(ISBLANK(tbl_SeqLib[[#This Row],[sWGA Identifier]]),"",CONCATENATE(exp_id,"_",tbl_SeqLib[[#This Row],[Well]]))</f>
        <v/>
      </c>
    </row>
    <row r="93" spans="1:31" ht="15.75" customHeight="1" x14ac:dyDescent="0.25">
      <c r="A93" s="59">
        <v>91</v>
      </c>
      <c r="B93" s="46" t="str">
        <f>RIGHT(tbl_SeqLib[[#This Row],[Well]],LEN(tbl_SeqLib[[#This Row],[Well]])-1)</f>
        <v>12</v>
      </c>
      <c r="C93" s="45" t="s">
        <v>265</v>
      </c>
      <c r="D93" s="19"/>
      <c r="E93" s="21"/>
      <c r="F93" s="31"/>
      <c r="G93" s="31"/>
      <c r="H93" s="31"/>
      <c r="I93" s="31"/>
      <c r="J93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3" s="32" t="s">
        <v>266</v>
      </c>
      <c r="L93" s="85">
        <f>IF(OR(ISBLANK(tbl_SeqLib[[#This Row],[Sample ID]]),ISBLANK(endrepair_targetmass)),0,IF(LEN(tbl_SeqLib[[#This Row],[PCR '[DNA'] (ng / µl)]])=0,1,2))</f>
        <v>0</v>
      </c>
      <c r="M93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3" s="44" t="str">
        <f>IF(tbl_SeqLib[[#This Row],[entry]]=2,ROUNDUP(_xlfn.MINIFS(tbl_SeqLib[Exact],tbl_SeqLib[Column],tbl_SeqLib[[#This Row],[Column]]),1),"")</f>
        <v/>
      </c>
      <c r="O93" s="44" t="str">
        <f>IF(tbl_SeqLib[[#This Row],[entry]]=2,ROUNDDOWN(_xlfn.MAXIFS(tbl_SeqLib[Exact],tbl_SeqLib[Column],tbl_SeqLib[[#This Row],[Column]]),1),"")</f>
        <v/>
      </c>
      <c r="P93" s="44" t="str">
        <f>IF(tbl_SeqLib[[#This Row],[entry]]=2,ROUNDUP(AVERAGEIFS(tbl_SeqLib[Exact],tbl_SeqLib[Column],tbl_SeqLib[[#This Row],[Column]]),1),"")</f>
        <v/>
      </c>
      <c r="Q93" s="44" t="str" cm="1">
        <f t="array" ref="Q93">_xlfn.XLOOKUP(0,ABS(tbl_SeqLib[[#This Row],[Min for col]:[Avg for col]]-tbl_SeqLib[[#This Row],[Exact]]),tbl_SeqLib[[#This Row],[Min for col]:[Avg for col]],"",1)</f>
        <v/>
      </c>
      <c r="R93" s="44" t="str" cm="1">
        <f t="array" ref="R93">_xlfn.XLOOKUP(0,ABS(tbl_SeqLib[[#This Row],[Max for col]:[Avg for col]]-tbl_SeqLib[[#This Row],[Exact]]),tbl_SeqLib[[#This Row],[Max for col]:[Avg for col]],"",1)</f>
        <v/>
      </c>
      <c r="S93" s="44" t="str">
        <f>IF(tbl_SeqLib[[#This Row],[entry]]=2,tbl_SeqLib[[#This Row],[Max for col]],"")</f>
        <v/>
      </c>
      <c r="T93" s="44" t="str">
        <f>IF(tbl_SeqLib[[#This Row],[entry]]=2,tbl_SeqLib[[#This Row],[Avg for col]],"")</f>
        <v/>
      </c>
      <c r="U93" s="44" t="str">
        <f>IF(tbl_SeqLib[[#This Row],[entry]]=2,AVERAGE(tbl_SeqLib[Exact]),"")</f>
        <v/>
      </c>
      <c r="V93" s="44" t="str">
        <f>IF(tbl_SeqLib[[#This Row],[entry]]=2,MAX(tbl_SeqLib[Exact]),"")</f>
        <v/>
      </c>
      <c r="W93" s="44" t="str" cm="1">
        <f t="array" ref="W93">_xlfn.XLOOKUP(0,ABS(tbl_SeqLib[[#This Row],[Avg per plate]:[Max per plate]]-tbl_SeqLib[[#This Row],[Exact]]),tbl_SeqLib[[#This Row],[Avg per plate]:[Max per plate]],,1)</f>
        <v/>
      </c>
      <c r="X93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3" s="85" t="str">
        <f>IF(tbl_SeqLib[[#This Row],[entry]]=1,ROUNDUP(AVERAGE(tbl_SeqLib[Exact]),1),"")</f>
        <v/>
      </c>
      <c r="Z93" s="85" t="str">
        <f>IF(tbl_SeqLib[[#This Row],[entry]]=1,ROUNDUP(AVERAGEIFS(tbl_SeqLib[Exact],tbl_SeqLib[Column],tbl_SeqLib[[#This Row],[Column]]),1),"")</f>
        <v/>
      </c>
      <c r="AA93" s="44" t="str">
        <f>IF(missing_qc_resolution=reference!$E$34,tbl_SeqLib[[#This Row],[Avg per col (missing)]],tbl_SeqLib[[#This Row],[Avg per plate (missing)]])</f>
        <v/>
      </c>
      <c r="AB93" s="44" t="str">
        <f>IF(tbl_SeqLib[[#This Row],[entry]]=0,"",IF(tbl_SeqLib[[#This Row],[entry]]=1,tbl_SeqLib[[#This Row],[Not quantified]],IF(tbl_SeqLib[[#This Row],[entry]]=2,tbl_SeqLib[[#This Row],[Quantified]])))</f>
        <v/>
      </c>
      <c r="AC93" s="137"/>
      <c r="AD93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3" s="60" t="str">
        <f>IF(ISBLANK(tbl_SeqLib[[#This Row],[sWGA Identifier]]),"",CONCATENATE(exp_id,"_",tbl_SeqLib[[#This Row],[Well]]))</f>
        <v/>
      </c>
    </row>
    <row r="94" spans="1:31" ht="15.75" customHeight="1" x14ac:dyDescent="0.25">
      <c r="A94" s="59">
        <v>92</v>
      </c>
      <c r="B94" s="46" t="str">
        <f>RIGHT(tbl_SeqLib[[#This Row],[Well]],LEN(tbl_SeqLib[[#This Row],[Well]])-1)</f>
        <v>12</v>
      </c>
      <c r="C94" s="45" t="s">
        <v>267</v>
      </c>
      <c r="D94" s="19"/>
      <c r="E94" s="21"/>
      <c r="F94" s="31"/>
      <c r="G94" s="31"/>
      <c r="H94" s="31"/>
      <c r="I94" s="31"/>
      <c r="J94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4" s="32" t="s">
        <v>268</v>
      </c>
      <c r="L94" s="85">
        <f>IF(OR(ISBLANK(tbl_SeqLib[[#This Row],[Sample ID]]),ISBLANK(endrepair_targetmass)),0,IF(LEN(tbl_SeqLib[[#This Row],[PCR '[DNA'] (ng / µl)]])=0,1,2))</f>
        <v>0</v>
      </c>
      <c r="M94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4" s="44" t="str">
        <f>IF(tbl_SeqLib[[#This Row],[entry]]=2,ROUNDUP(_xlfn.MINIFS(tbl_SeqLib[Exact],tbl_SeqLib[Column],tbl_SeqLib[[#This Row],[Column]]),1),"")</f>
        <v/>
      </c>
      <c r="O94" s="44" t="str">
        <f>IF(tbl_SeqLib[[#This Row],[entry]]=2,ROUNDDOWN(_xlfn.MAXIFS(tbl_SeqLib[Exact],tbl_SeqLib[Column],tbl_SeqLib[[#This Row],[Column]]),1),"")</f>
        <v/>
      </c>
      <c r="P94" s="44" t="str">
        <f>IF(tbl_SeqLib[[#This Row],[entry]]=2,ROUNDUP(AVERAGEIFS(tbl_SeqLib[Exact],tbl_SeqLib[Column],tbl_SeqLib[[#This Row],[Column]]),1),"")</f>
        <v/>
      </c>
      <c r="Q94" s="44" t="str" cm="1">
        <f t="array" ref="Q94">_xlfn.XLOOKUP(0,ABS(tbl_SeqLib[[#This Row],[Min for col]:[Avg for col]]-tbl_SeqLib[[#This Row],[Exact]]),tbl_SeqLib[[#This Row],[Min for col]:[Avg for col]],"",1)</f>
        <v/>
      </c>
      <c r="R94" s="44" t="str" cm="1">
        <f t="array" ref="R94">_xlfn.XLOOKUP(0,ABS(tbl_SeqLib[[#This Row],[Max for col]:[Avg for col]]-tbl_SeqLib[[#This Row],[Exact]]),tbl_SeqLib[[#This Row],[Max for col]:[Avg for col]],"",1)</f>
        <v/>
      </c>
      <c r="S94" s="44" t="str">
        <f>IF(tbl_SeqLib[[#This Row],[entry]]=2,tbl_SeqLib[[#This Row],[Max for col]],"")</f>
        <v/>
      </c>
      <c r="T94" s="44" t="str">
        <f>IF(tbl_SeqLib[[#This Row],[entry]]=2,tbl_SeqLib[[#This Row],[Avg for col]],"")</f>
        <v/>
      </c>
      <c r="U94" s="44" t="str">
        <f>IF(tbl_SeqLib[[#This Row],[entry]]=2,AVERAGE(tbl_SeqLib[Exact]),"")</f>
        <v/>
      </c>
      <c r="V94" s="44" t="str">
        <f>IF(tbl_SeqLib[[#This Row],[entry]]=2,MAX(tbl_SeqLib[Exact]),"")</f>
        <v/>
      </c>
      <c r="W94" s="44" t="str" cm="1">
        <f t="array" ref="W94">_xlfn.XLOOKUP(0,ABS(tbl_SeqLib[[#This Row],[Avg per plate]:[Max per plate]]-tbl_SeqLib[[#This Row],[Exact]]),tbl_SeqLib[[#This Row],[Avg per plate]:[Max per plate]],,1)</f>
        <v/>
      </c>
      <c r="X94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4" s="85" t="str">
        <f>IF(tbl_SeqLib[[#This Row],[entry]]=1,ROUNDUP(AVERAGE(tbl_SeqLib[Exact]),1),"")</f>
        <v/>
      </c>
      <c r="Z94" s="85" t="str">
        <f>IF(tbl_SeqLib[[#This Row],[entry]]=1,ROUNDUP(AVERAGEIFS(tbl_SeqLib[Exact],tbl_SeqLib[Column],tbl_SeqLib[[#This Row],[Column]]),1),"")</f>
        <v/>
      </c>
      <c r="AA94" s="44" t="str">
        <f>IF(missing_qc_resolution=reference!$E$34,tbl_SeqLib[[#This Row],[Avg per col (missing)]],tbl_SeqLib[[#This Row],[Avg per plate (missing)]])</f>
        <v/>
      </c>
      <c r="AB94" s="44" t="str">
        <f>IF(tbl_SeqLib[[#This Row],[entry]]=0,"",IF(tbl_SeqLib[[#This Row],[entry]]=1,tbl_SeqLib[[#This Row],[Not quantified]],IF(tbl_SeqLib[[#This Row],[entry]]=2,tbl_SeqLib[[#This Row],[Quantified]])))</f>
        <v/>
      </c>
      <c r="AC94" s="137"/>
      <c r="AD94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4" s="60" t="str">
        <f>IF(ISBLANK(tbl_SeqLib[[#This Row],[sWGA Identifier]]),"",CONCATENATE(exp_id,"_",tbl_SeqLib[[#This Row],[Well]]))</f>
        <v/>
      </c>
    </row>
    <row r="95" spans="1:31" ht="15.75" customHeight="1" x14ac:dyDescent="0.25">
      <c r="A95" s="59">
        <v>93</v>
      </c>
      <c r="B95" s="46" t="str">
        <f>RIGHT(tbl_SeqLib[[#This Row],[Well]],LEN(tbl_SeqLib[[#This Row],[Well]])-1)</f>
        <v>12</v>
      </c>
      <c r="C95" s="45" t="s">
        <v>269</v>
      </c>
      <c r="D95" s="19"/>
      <c r="E95" s="21"/>
      <c r="F95" s="31"/>
      <c r="G95" s="31"/>
      <c r="H95" s="31"/>
      <c r="I95" s="31"/>
      <c r="J95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5" s="32" t="s">
        <v>270</v>
      </c>
      <c r="L95" s="85">
        <f>IF(OR(ISBLANK(tbl_SeqLib[[#This Row],[Sample ID]]),ISBLANK(endrepair_targetmass)),0,IF(LEN(tbl_SeqLib[[#This Row],[PCR '[DNA'] (ng / µl)]])=0,1,2))</f>
        <v>0</v>
      </c>
      <c r="M95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5" s="44" t="str">
        <f>IF(tbl_SeqLib[[#This Row],[entry]]=2,ROUNDUP(_xlfn.MINIFS(tbl_SeqLib[Exact],tbl_SeqLib[Column],tbl_SeqLib[[#This Row],[Column]]),1),"")</f>
        <v/>
      </c>
      <c r="O95" s="44" t="str">
        <f>IF(tbl_SeqLib[[#This Row],[entry]]=2,ROUNDDOWN(_xlfn.MAXIFS(tbl_SeqLib[Exact],tbl_SeqLib[Column],tbl_SeqLib[[#This Row],[Column]]),1),"")</f>
        <v/>
      </c>
      <c r="P95" s="44" t="str">
        <f>IF(tbl_SeqLib[[#This Row],[entry]]=2,ROUNDUP(AVERAGEIFS(tbl_SeqLib[Exact],tbl_SeqLib[Column],tbl_SeqLib[[#This Row],[Column]]),1),"")</f>
        <v/>
      </c>
      <c r="Q95" s="44" t="str" cm="1">
        <f t="array" ref="Q95">_xlfn.XLOOKUP(0,ABS(tbl_SeqLib[[#This Row],[Min for col]:[Avg for col]]-tbl_SeqLib[[#This Row],[Exact]]),tbl_SeqLib[[#This Row],[Min for col]:[Avg for col]],"",1)</f>
        <v/>
      </c>
      <c r="R95" s="44" t="str" cm="1">
        <f t="array" ref="R95">_xlfn.XLOOKUP(0,ABS(tbl_SeqLib[[#This Row],[Max for col]:[Avg for col]]-tbl_SeqLib[[#This Row],[Exact]]),tbl_SeqLib[[#This Row],[Max for col]:[Avg for col]],"",1)</f>
        <v/>
      </c>
      <c r="S95" s="44" t="str">
        <f>IF(tbl_SeqLib[[#This Row],[entry]]=2,tbl_SeqLib[[#This Row],[Max for col]],"")</f>
        <v/>
      </c>
      <c r="T95" s="44" t="str">
        <f>IF(tbl_SeqLib[[#This Row],[entry]]=2,tbl_SeqLib[[#This Row],[Avg for col]],"")</f>
        <v/>
      </c>
      <c r="U95" s="44" t="str">
        <f>IF(tbl_SeqLib[[#This Row],[entry]]=2,AVERAGE(tbl_SeqLib[Exact]),"")</f>
        <v/>
      </c>
      <c r="V95" s="44" t="str">
        <f>IF(tbl_SeqLib[[#This Row],[entry]]=2,MAX(tbl_SeqLib[Exact]),"")</f>
        <v/>
      </c>
      <c r="W95" s="44" t="str" cm="1">
        <f t="array" ref="W95">_xlfn.XLOOKUP(0,ABS(tbl_SeqLib[[#This Row],[Avg per plate]:[Max per plate]]-tbl_SeqLib[[#This Row],[Exact]]),tbl_SeqLib[[#This Row],[Avg per plate]:[Max per plate]],,1)</f>
        <v/>
      </c>
      <c r="X95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5" s="85" t="str">
        <f>IF(tbl_SeqLib[[#This Row],[entry]]=1,ROUNDUP(AVERAGE(tbl_SeqLib[Exact]),1),"")</f>
        <v/>
      </c>
      <c r="Z95" s="85" t="str">
        <f>IF(tbl_SeqLib[[#This Row],[entry]]=1,ROUNDUP(AVERAGEIFS(tbl_SeqLib[Exact],tbl_SeqLib[Column],tbl_SeqLib[[#This Row],[Column]]),1),"")</f>
        <v/>
      </c>
      <c r="AA95" s="44" t="str">
        <f>IF(missing_qc_resolution=reference!$E$34,tbl_SeqLib[[#This Row],[Avg per col (missing)]],tbl_SeqLib[[#This Row],[Avg per plate (missing)]])</f>
        <v/>
      </c>
      <c r="AB95" s="44" t="str">
        <f>IF(tbl_SeqLib[[#This Row],[entry]]=0,"",IF(tbl_SeqLib[[#This Row],[entry]]=1,tbl_SeqLib[[#This Row],[Not quantified]],IF(tbl_SeqLib[[#This Row],[entry]]=2,tbl_SeqLib[[#This Row],[Quantified]])))</f>
        <v/>
      </c>
      <c r="AC95" s="137"/>
      <c r="AD95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5" s="60" t="str">
        <f>IF(ISBLANK(tbl_SeqLib[[#This Row],[sWGA Identifier]]),"",CONCATENATE(exp_id,"_",tbl_SeqLib[[#This Row],[Well]]))</f>
        <v/>
      </c>
    </row>
    <row r="96" spans="1:31" ht="15.75" customHeight="1" x14ac:dyDescent="0.25">
      <c r="A96" s="59">
        <v>94</v>
      </c>
      <c r="B96" s="46" t="str">
        <f>RIGHT(tbl_SeqLib[[#This Row],[Well]],LEN(tbl_SeqLib[[#This Row],[Well]])-1)</f>
        <v>12</v>
      </c>
      <c r="C96" s="45" t="s">
        <v>271</v>
      </c>
      <c r="D96" s="19"/>
      <c r="E96" s="21"/>
      <c r="F96" s="31"/>
      <c r="G96" s="31"/>
      <c r="H96" s="31"/>
      <c r="I96" s="31"/>
      <c r="J96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6" s="32" t="s">
        <v>272</v>
      </c>
      <c r="L96" s="85">
        <f>IF(OR(ISBLANK(tbl_SeqLib[[#This Row],[Sample ID]]),ISBLANK(endrepair_targetmass)),0,IF(LEN(tbl_SeqLib[[#This Row],[PCR '[DNA'] (ng / µl)]])=0,1,2))</f>
        <v>0</v>
      </c>
      <c r="M96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6" s="44" t="str">
        <f>IF(tbl_SeqLib[[#This Row],[entry]]=2,ROUNDUP(_xlfn.MINIFS(tbl_SeqLib[Exact],tbl_SeqLib[Column],tbl_SeqLib[[#This Row],[Column]]),1),"")</f>
        <v/>
      </c>
      <c r="O96" s="44" t="str">
        <f>IF(tbl_SeqLib[[#This Row],[entry]]=2,ROUNDDOWN(_xlfn.MAXIFS(tbl_SeqLib[Exact],tbl_SeqLib[Column],tbl_SeqLib[[#This Row],[Column]]),1),"")</f>
        <v/>
      </c>
      <c r="P96" s="44" t="str">
        <f>IF(tbl_SeqLib[[#This Row],[entry]]=2,ROUNDUP(AVERAGEIFS(tbl_SeqLib[Exact],tbl_SeqLib[Column],tbl_SeqLib[[#This Row],[Column]]),1),"")</f>
        <v/>
      </c>
      <c r="Q96" s="44" t="str" cm="1">
        <f t="array" ref="Q96">_xlfn.XLOOKUP(0,ABS(tbl_SeqLib[[#This Row],[Min for col]:[Avg for col]]-tbl_SeqLib[[#This Row],[Exact]]),tbl_SeqLib[[#This Row],[Min for col]:[Avg for col]],"",1)</f>
        <v/>
      </c>
      <c r="R96" s="44" t="str" cm="1">
        <f t="array" ref="R96">_xlfn.XLOOKUP(0,ABS(tbl_SeqLib[[#This Row],[Max for col]:[Avg for col]]-tbl_SeqLib[[#This Row],[Exact]]),tbl_SeqLib[[#This Row],[Max for col]:[Avg for col]],"",1)</f>
        <v/>
      </c>
      <c r="S96" s="44" t="str">
        <f>IF(tbl_SeqLib[[#This Row],[entry]]=2,tbl_SeqLib[[#This Row],[Max for col]],"")</f>
        <v/>
      </c>
      <c r="T96" s="44" t="str">
        <f>IF(tbl_SeqLib[[#This Row],[entry]]=2,tbl_SeqLib[[#This Row],[Avg for col]],"")</f>
        <v/>
      </c>
      <c r="U96" s="44" t="str">
        <f>IF(tbl_SeqLib[[#This Row],[entry]]=2,AVERAGE(tbl_SeqLib[Exact]),"")</f>
        <v/>
      </c>
      <c r="V96" s="44" t="str">
        <f>IF(tbl_SeqLib[[#This Row],[entry]]=2,MAX(tbl_SeqLib[Exact]),"")</f>
        <v/>
      </c>
      <c r="W96" s="44" t="str" cm="1">
        <f t="array" ref="W96">_xlfn.XLOOKUP(0,ABS(tbl_SeqLib[[#This Row],[Avg per plate]:[Max per plate]]-tbl_SeqLib[[#This Row],[Exact]]),tbl_SeqLib[[#This Row],[Avg per plate]:[Max per plate]],,1)</f>
        <v/>
      </c>
      <c r="X96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6" s="85" t="str">
        <f>IF(tbl_SeqLib[[#This Row],[entry]]=1,ROUNDUP(AVERAGE(tbl_SeqLib[Exact]),1),"")</f>
        <v/>
      </c>
      <c r="Z96" s="85" t="str">
        <f>IF(tbl_SeqLib[[#This Row],[entry]]=1,ROUNDUP(AVERAGEIFS(tbl_SeqLib[Exact],tbl_SeqLib[Column],tbl_SeqLib[[#This Row],[Column]]),1),"")</f>
        <v/>
      </c>
      <c r="AA96" s="44" t="str">
        <f>IF(missing_qc_resolution=reference!$E$34,tbl_SeqLib[[#This Row],[Avg per col (missing)]],tbl_SeqLib[[#This Row],[Avg per plate (missing)]])</f>
        <v/>
      </c>
      <c r="AB96" s="44" t="str">
        <f>IF(tbl_SeqLib[[#This Row],[entry]]=0,"",IF(tbl_SeqLib[[#This Row],[entry]]=1,tbl_SeqLib[[#This Row],[Not quantified]],IF(tbl_SeqLib[[#This Row],[entry]]=2,tbl_SeqLib[[#This Row],[Quantified]])))</f>
        <v/>
      </c>
      <c r="AC96" s="137"/>
      <c r="AD96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6" s="60" t="str">
        <f>IF(ISBLANK(tbl_SeqLib[[#This Row],[sWGA Identifier]]),"",CONCATENATE(exp_id,"_",tbl_SeqLib[[#This Row],[Well]]))</f>
        <v/>
      </c>
    </row>
    <row r="97" spans="1:31" ht="15.75" customHeight="1" x14ac:dyDescent="0.25">
      <c r="A97" s="59">
        <v>95</v>
      </c>
      <c r="B97" s="46" t="str">
        <f>RIGHT(tbl_SeqLib[[#This Row],[Well]],LEN(tbl_SeqLib[[#This Row],[Well]])-1)</f>
        <v>12</v>
      </c>
      <c r="C97" s="45" t="s">
        <v>273</v>
      </c>
      <c r="D97" s="19"/>
      <c r="E97" s="21"/>
      <c r="F97" s="31"/>
      <c r="G97" s="31"/>
      <c r="H97" s="31"/>
      <c r="I97" s="31"/>
      <c r="J97" s="20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7" s="32" t="s">
        <v>274</v>
      </c>
      <c r="L97" s="85">
        <f>IF(OR(ISBLANK(tbl_SeqLib[[#This Row],[Sample ID]]),ISBLANK(endrepair_targetmass)),0,IF(LEN(tbl_SeqLib[[#This Row],[PCR '[DNA'] (ng / µl)]])=0,1,2))</f>
        <v>0</v>
      </c>
      <c r="M97" s="44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7" s="44" t="str">
        <f>IF(tbl_SeqLib[[#This Row],[entry]]=2,ROUNDUP(_xlfn.MINIFS(tbl_SeqLib[Exact],tbl_SeqLib[Column],tbl_SeqLib[[#This Row],[Column]]),1),"")</f>
        <v/>
      </c>
      <c r="O97" s="44" t="str">
        <f>IF(tbl_SeqLib[[#This Row],[entry]]=2,ROUNDDOWN(_xlfn.MAXIFS(tbl_SeqLib[Exact],tbl_SeqLib[Column],tbl_SeqLib[[#This Row],[Column]]),1),"")</f>
        <v/>
      </c>
      <c r="P97" s="44" t="str">
        <f>IF(tbl_SeqLib[[#This Row],[entry]]=2,ROUNDUP(AVERAGEIFS(tbl_SeqLib[Exact],tbl_SeqLib[Column],tbl_SeqLib[[#This Row],[Column]]),1),"")</f>
        <v/>
      </c>
      <c r="Q97" s="44" t="str" cm="1">
        <f t="array" ref="Q97">_xlfn.XLOOKUP(0,ABS(tbl_SeqLib[[#This Row],[Min for col]:[Avg for col]]-tbl_SeqLib[[#This Row],[Exact]]),tbl_SeqLib[[#This Row],[Min for col]:[Avg for col]],"",1)</f>
        <v/>
      </c>
      <c r="R97" s="44" t="str" cm="1">
        <f t="array" ref="R97">_xlfn.XLOOKUP(0,ABS(tbl_SeqLib[[#This Row],[Max for col]:[Avg for col]]-tbl_SeqLib[[#This Row],[Exact]]),tbl_SeqLib[[#This Row],[Max for col]:[Avg for col]],"",1)</f>
        <v/>
      </c>
      <c r="S97" s="44" t="str">
        <f>IF(tbl_SeqLib[[#This Row],[entry]]=2,tbl_SeqLib[[#This Row],[Max for col]],"")</f>
        <v/>
      </c>
      <c r="T97" s="44" t="str">
        <f>IF(tbl_SeqLib[[#This Row],[entry]]=2,tbl_SeqLib[[#This Row],[Avg for col]],"")</f>
        <v/>
      </c>
      <c r="U97" s="44" t="str">
        <f>IF(tbl_SeqLib[[#This Row],[entry]]=2,AVERAGE(tbl_SeqLib[Exact]),"")</f>
        <v/>
      </c>
      <c r="V97" s="44" t="str">
        <f>IF(tbl_SeqLib[[#This Row],[entry]]=2,MAX(tbl_SeqLib[Exact]),"")</f>
        <v/>
      </c>
      <c r="W97" s="44" t="str" cm="1">
        <f t="array" ref="W97">_xlfn.XLOOKUP(0,ABS(tbl_SeqLib[[#This Row],[Avg per plate]:[Max per plate]]-tbl_SeqLib[[#This Row],[Exact]]),tbl_SeqLib[[#This Row],[Avg per plate]:[Max per plate]],,1)</f>
        <v/>
      </c>
      <c r="X97" s="44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7" s="85" t="str">
        <f>IF(tbl_SeqLib[[#This Row],[entry]]=1,ROUNDUP(AVERAGE(tbl_SeqLib[Exact]),1),"")</f>
        <v/>
      </c>
      <c r="Z97" s="85" t="str">
        <f>IF(tbl_SeqLib[[#This Row],[entry]]=1,ROUNDUP(AVERAGEIFS(tbl_SeqLib[Exact],tbl_SeqLib[Column],tbl_SeqLib[[#This Row],[Column]]),1),"")</f>
        <v/>
      </c>
      <c r="AA97" s="44" t="str">
        <f>IF(missing_qc_resolution=reference!$E$34,tbl_SeqLib[[#This Row],[Avg per col (missing)]],tbl_SeqLib[[#This Row],[Avg per plate (missing)]])</f>
        <v/>
      </c>
      <c r="AB97" s="44" t="str">
        <f>IF(tbl_SeqLib[[#This Row],[entry]]=0,"",IF(tbl_SeqLib[[#This Row],[entry]]=1,tbl_SeqLib[[#This Row],[Not quantified]],IF(tbl_SeqLib[[#This Row],[entry]]=2,tbl_SeqLib[[#This Row],[Quantified]])))</f>
        <v/>
      </c>
      <c r="AC97" s="137"/>
      <c r="AD97" s="44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7" s="60" t="str">
        <f>IF(ISBLANK(tbl_SeqLib[[#This Row],[sWGA Identifier]]),"",CONCATENATE(exp_id,"_",tbl_SeqLib[[#This Row],[Well]]))</f>
        <v/>
      </c>
    </row>
    <row r="98" spans="1:31" ht="15.75" customHeight="1" thickBot="1" x14ac:dyDescent="0.3">
      <c r="A98" s="61">
        <v>96</v>
      </c>
      <c r="B98" s="62" t="str">
        <f>RIGHT(tbl_SeqLib[[#This Row],[Well]],LEN(tbl_SeqLib[[#This Row],[Well]])-1)</f>
        <v>12</v>
      </c>
      <c r="C98" s="70" t="s">
        <v>275</v>
      </c>
      <c r="D98" s="63"/>
      <c r="E98" s="64"/>
      <c r="F98" s="65"/>
      <c r="G98" s="65"/>
      <c r="H98" s="65"/>
      <c r="I98" s="65"/>
      <c r="J98" s="66" t="str">
        <f>IF(OR(tbl_SeqLib[[#This Row],[Qubit PCR '[DNA'] (ng/µl)]]="", tbl_SeqLib[[#This Row],[PCR Dilution Factor]]=""),"",SUM(tbl_SeqLib[[#This Row],[Qubit PCR '[DNA'] (ng/µl)]]*tbl_SeqLib[[#This Row],[PCR Dilution Factor]]))</f>
        <v/>
      </c>
      <c r="K98" s="67" t="s">
        <v>276</v>
      </c>
      <c r="L98" s="86">
        <f>IF(OR(ISBLANK(tbl_SeqLib[[#This Row],[Sample ID]]),ISBLANK(endrepair_targetmass)),0,IF(LEN(tbl_SeqLib[[#This Row],[PCR '[DNA'] (ng / µl)]])=0,1,2))</f>
        <v>0</v>
      </c>
      <c r="M98" s="68" t="str">
        <f>IF(tbl_SeqLib[[#This Row],[entry]]&lt;2,"",IF(endrepair_targetmass/tbl_SeqLib[[#This Row],[PCR '[DNA'] (ng / µl)]]&gt;endrepair_maxvol,endrepair_maxvol,ROUNDUP(SUM(endrepair_targetmass/tbl_SeqLib[[#This Row],[PCR '[DNA'] (ng / µl)]]),1)))</f>
        <v/>
      </c>
      <c r="N98" s="68" t="str">
        <f>IF(tbl_SeqLib[[#This Row],[entry]]=2,ROUNDUP(_xlfn.MINIFS(tbl_SeqLib[Exact],tbl_SeqLib[Column],tbl_SeqLib[[#This Row],[Column]]),1),"")</f>
        <v/>
      </c>
      <c r="O98" s="68" t="str">
        <f>IF(tbl_SeqLib[[#This Row],[entry]]=2,ROUNDDOWN(_xlfn.MAXIFS(tbl_SeqLib[Exact],tbl_SeqLib[Column],tbl_SeqLib[[#This Row],[Column]]),1),"")</f>
        <v/>
      </c>
      <c r="P98" s="68" t="str">
        <f>IF(tbl_SeqLib[[#This Row],[entry]]=2,ROUNDUP(AVERAGEIFS(tbl_SeqLib[Exact],tbl_SeqLib[Column],tbl_SeqLib[[#This Row],[Column]]),1),"")</f>
        <v/>
      </c>
      <c r="Q98" s="68" t="str" cm="1">
        <f t="array" ref="Q98">_xlfn.XLOOKUP(0,ABS(tbl_SeqLib[[#This Row],[Min for col]:[Avg for col]]-tbl_SeqLib[[#This Row],[Exact]]),tbl_SeqLib[[#This Row],[Min for col]:[Avg for col]],"",1)</f>
        <v/>
      </c>
      <c r="R98" s="68" t="str" cm="1">
        <f t="array" ref="R98">_xlfn.XLOOKUP(0,ABS(tbl_SeqLib[[#This Row],[Max for col]:[Avg for col]]-tbl_SeqLib[[#This Row],[Exact]]),tbl_SeqLib[[#This Row],[Max for col]:[Avg for col]],"",1)</f>
        <v/>
      </c>
      <c r="S98" s="68" t="str">
        <f>IF(tbl_SeqLib[[#This Row],[entry]]=2,tbl_SeqLib[[#This Row],[Max for col]],"")</f>
        <v/>
      </c>
      <c r="T98" s="68" t="str">
        <f>IF(tbl_SeqLib[[#This Row],[entry]]=2,tbl_SeqLib[[#This Row],[Avg for col]],"")</f>
        <v/>
      </c>
      <c r="U98" s="68" t="str">
        <f>IF(tbl_SeqLib[[#This Row],[entry]]=2,AVERAGE(tbl_SeqLib[Exact]),"")</f>
        <v/>
      </c>
      <c r="V98" s="68" t="str">
        <f>IF(tbl_SeqLib[[#This Row],[entry]]=2,MAX(tbl_SeqLib[Exact]),"")</f>
        <v/>
      </c>
      <c r="W98" s="68" t="str" cm="1">
        <f t="array" ref="W98">_xlfn.XLOOKUP(0,ABS(tbl_SeqLib[[#This Row],[Avg per plate]:[Max per plate]]-tbl_SeqLib[[#This Row],[Exact]]),tbl_SeqLib[[#This Row],[Avg per plate]:[Max per plate]],,1)</f>
        <v/>
      </c>
      <c r="X98" s="68" t="str">
        <f>IF(vol_calc=reference!$E$23,tbl_SeqLib[[#This Row],[Exact]],IF(vol_calc=reference!$E$24,tbl_SeqLib[[#This Row],[1 per col (max)]],IF(vol_calc=reference!$E$25,tbl_SeqLib[[#This Row],[1 per col (avg)]],IF(vol_calc=reference!$E$26,tbl_SeqLib[[#This Row],[2 per col]],IF(vol_calc=reference!$E$27,tbl_SeqLib[[#This Row],[3 per col]],IF(vol_calc=reference!$E$28,tbl_SeqLib[[#This Row],[Max per plate]],IF(vol_calc=reference!$E$29,tbl_SeqLib[[#This Row],[Avg per plate]],IF(vol_calc=reference!$E$30,tbl_SeqLib[[#This Row],[2 per plate]],"ERROR"))))))))</f>
        <v/>
      </c>
      <c r="Y98" s="86" t="str">
        <f>IF(tbl_SeqLib[[#This Row],[entry]]=1,ROUNDUP(AVERAGE(tbl_SeqLib[Exact]),1),"")</f>
        <v/>
      </c>
      <c r="Z98" s="86" t="str">
        <f>IF(tbl_SeqLib[[#This Row],[entry]]=1,ROUNDUP(AVERAGEIFS(tbl_SeqLib[Exact],tbl_SeqLib[Column],tbl_SeqLib[[#This Row],[Column]]),1),"")</f>
        <v/>
      </c>
      <c r="AA98" s="68" t="str">
        <f>IF(missing_qc_resolution=reference!$E$34,tbl_SeqLib[[#This Row],[Avg per col (missing)]],tbl_SeqLib[[#This Row],[Avg per plate (missing)]])</f>
        <v/>
      </c>
      <c r="AB98" s="68" t="str">
        <f>IF(tbl_SeqLib[[#This Row],[entry]]=0,"",IF(tbl_SeqLib[[#This Row],[entry]]=1,tbl_SeqLib[[#This Row],[Not quantified]],IF(tbl_SeqLib[[#This Row],[entry]]=2,tbl_SeqLib[[#This Row],[Quantified]])))</f>
        <v/>
      </c>
      <c r="AC98" s="138"/>
      <c r="AD98" s="68" t="str">
        <f>IF(tbl_SeqLib[[#This Row],[entry]]=0,"",SUM(endrepair_maxvol-IF(tbl_SeqLib[[#This Row],[PCR prodct (µl) added (if different from calculated)]]&gt;0,tbl_SeqLib[[#This Row],[PCR prodct (µl) added (if different from calculated)]],tbl_SeqLib[[#This Row],[PCR prodct (µl) to add for end-repair (calculated)]])))</f>
        <v/>
      </c>
      <c r="AE98" s="69" t="str">
        <f>IF(ISBLANK(tbl_SeqLib[[#This Row],[sWGA Identifier]]),"",CONCATENATE(exp_id,"_",tbl_SeqLib[[#This Row],[Well]]))</f>
        <v/>
      </c>
    </row>
    <row r="99" spans="1:31" s="23" customFormat="1" ht="94.5" customHeight="1" x14ac:dyDescent="0.25">
      <c r="A99" s="22"/>
      <c r="B99" s="22"/>
      <c r="C99" s="22"/>
      <c r="D99" s="22"/>
      <c r="E99" s="22"/>
      <c r="F99" s="22"/>
      <c r="G99" s="22"/>
    </row>
    <row r="100" spans="1:31" x14ac:dyDescent="0.25">
      <c r="A100" s="3"/>
      <c r="B100" s="3"/>
      <c r="C100" s="3"/>
      <c r="D100" s="3"/>
      <c r="F100" s="3"/>
      <c r="G100" s="3"/>
    </row>
    <row r="101" spans="1:31" x14ac:dyDescent="0.25">
      <c r="A101" s="3"/>
      <c r="B101" s="3"/>
      <c r="C101" s="3"/>
      <c r="D101" s="3"/>
      <c r="F101" s="3"/>
      <c r="G101" s="3"/>
    </row>
    <row r="102" spans="1:31" x14ac:dyDescent="0.25">
      <c r="A102" s="3"/>
      <c r="B102" s="3"/>
      <c r="C102" s="3"/>
      <c r="D102" s="3"/>
      <c r="F102" s="3"/>
      <c r="G102" s="3"/>
    </row>
    <row r="103" spans="1:31" x14ac:dyDescent="0.25">
      <c r="A103" s="3"/>
      <c r="B103" s="3"/>
      <c r="C103" s="3"/>
      <c r="D103" s="3"/>
      <c r="F103" s="3"/>
      <c r="G103" s="3"/>
    </row>
    <row r="104" spans="1:31" x14ac:dyDescent="0.25">
      <c r="A104" s="3"/>
      <c r="B104" s="3"/>
      <c r="C104" s="3"/>
      <c r="D104" s="3"/>
      <c r="F104" s="3"/>
      <c r="G104" s="3"/>
    </row>
    <row r="105" spans="1:31" x14ac:dyDescent="0.25">
      <c r="A105" s="3"/>
      <c r="B105" s="3"/>
      <c r="C105" s="3"/>
      <c r="D105" s="3"/>
      <c r="F105" s="3"/>
      <c r="G105" s="3"/>
    </row>
    <row r="106" spans="1:31" x14ac:dyDescent="0.25">
      <c r="A106" s="3"/>
      <c r="B106" s="3"/>
      <c r="C106" s="3"/>
      <c r="D106" s="3"/>
      <c r="F106" s="3"/>
      <c r="G106" s="3"/>
    </row>
    <row r="107" spans="1:31" x14ac:dyDescent="0.25">
      <c r="A107" s="3"/>
      <c r="B107" s="3"/>
      <c r="C107" s="3"/>
      <c r="D107" s="3"/>
      <c r="F107" s="3"/>
      <c r="G107" s="3"/>
    </row>
    <row r="108" spans="1:31" x14ac:dyDescent="0.25">
      <c r="A108" s="3"/>
      <c r="B108" s="3"/>
      <c r="C108" s="3"/>
      <c r="D108" s="3"/>
      <c r="F108" s="3"/>
      <c r="G108" s="3"/>
    </row>
    <row r="109" spans="1:31" x14ac:dyDescent="0.25">
      <c r="A109" s="3"/>
      <c r="B109" s="3"/>
      <c r="C109" s="3"/>
      <c r="D109" s="3"/>
      <c r="F109" s="3"/>
      <c r="G109" s="3"/>
    </row>
    <row r="110" spans="1:31" x14ac:dyDescent="0.25">
      <c r="A110" s="3"/>
      <c r="B110" s="3"/>
      <c r="C110" s="3"/>
      <c r="D110" s="3"/>
      <c r="F110" s="3"/>
      <c r="G110" s="3"/>
    </row>
    <row r="111" spans="1:31" x14ac:dyDescent="0.25">
      <c r="A111" s="3"/>
      <c r="B111" s="3"/>
      <c r="C111" s="3"/>
      <c r="D111" s="3"/>
      <c r="F111" s="3"/>
      <c r="G111" s="3"/>
    </row>
  </sheetData>
  <sheetProtection sheet="1" objects="1" scenarios="1"/>
  <mergeCells count="3">
    <mergeCell ref="D1:E1"/>
    <mergeCell ref="G1:J1"/>
    <mergeCell ref="K1:AE1"/>
  </mergeCells>
  <phoneticPr fontId="18" type="noConversion"/>
  <conditionalFormatting sqref="D1:I98 K3:K98">
    <cfRule type="expression" dxfId="1" priority="2">
      <formula>COUNTIF(D1,"")</formula>
    </cfRule>
  </conditionalFormatting>
  <dataValidations count="2">
    <dataValidation type="textLength" errorStyle="warning" operator="greaterThan" allowBlank="1" showErrorMessage="1" error="The Extraction ID cannot be left blank." prompt="Enter the Extraction ID" sqref="D3:D98 E10:E98" xr:uid="{00000000-0002-0000-0100-000000000000}">
      <formula1>0</formula1>
      <formula2>0</formula2>
    </dataValidation>
    <dataValidation type="decimal" allowBlank="1" showInputMessage="1" showErrorMessage="1" errorTitle="Inconsistent value" error="The entry in this column should be a number that is greater than 0 and less than the max volume allowed for this step." sqref="AC3:AC98" xr:uid="{2A9AA8ED-9AE0-4469-98D1-1A53ECAE8FAF}">
      <formula1>0</formula1>
      <formula2>endrepair_maxvol</formula2>
    </dataValidation>
  </dataValidations>
  <pageMargins left="0.23611111111111099" right="0.23611111111111099" top="0.74791666666666701" bottom="0.74791666666666701" header="0.511811023622047" footer="0.511811023622047"/>
  <pageSetup paperSize="9" fitToHeight="2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C000"/>
  </sheetPr>
  <dimension ref="A1:P35"/>
  <sheetViews>
    <sheetView zoomScale="160" zoomScaleNormal="160" workbookViewId="0">
      <selection activeCell="B4" sqref="B4"/>
    </sheetView>
  </sheetViews>
  <sheetFormatPr defaultColWidth="8.625" defaultRowHeight="15.75" x14ac:dyDescent="0.25"/>
  <cols>
    <col min="1" max="1" width="34.25" customWidth="1"/>
    <col min="2" max="2" width="22.125" customWidth="1"/>
    <col min="3" max="3" width="33" customWidth="1"/>
    <col min="5" max="6" width="20" customWidth="1"/>
    <col min="7" max="7" width="5.125" customWidth="1"/>
    <col min="8" max="8" width="19.75" customWidth="1"/>
    <col min="9" max="9" width="8.75" customWidth="1"/>
    <col min="10" max="10" width="5.5" customWidth="1"/>
    <col min="11" max="11" width="22.625" customWidth="1"/>
    <col min="13" max="13" width="17.75" customWidth="1"/>
    <col min="14" max="14" width="28.875" customWidth="1"/>
  </cols>
  <sheetData>
    <row r="1" spans="1:16" ht="18.75" x14ac:dyDescent="0.3">
      <c r="A1" s="77" t="s">
        <v>283</v>
      </c>
      <c r="C1" s="24"/>
      <c r="D1" s="24"/>
      <c r="E1" s="77" t="s">
        <v>284</v>
      </c>
      <c r="F1" s="77"/>
      <c r="H1" s="77" t="s">
        <v>285</v>
      </c>
    </row>
    <row r="2" spans="1:16" ht="16.5" thickBot="1" x14ac:dyDescent="0.3">
      <c r="A2" s="78" t="s">
        <v>286</v>
      </c>
      <c r="B2" s="79"/>
      <c r="C2" s="79"/>
      <c r="E2" s="79" t="s">
        <v>287</v>
      </c>
      <c r="F2" s="80"/>
      <c r="H2" s="81" t="s">
        <v>288</v>
      </c>
      <c r="I2" s="81" t="s">
        <v>289</v>
      </c>
      <c r="K2" s="81" t="s">
        <v>290</v>
      </c>
    </row>
    <row r="3" spans="1:16" x14ac:dyDescent="0.25">
      <c r="A3" s="15" t="s">
        <v>292</v>
      </c>
      <c r="B3" s="47">
        <v>10</v>
      </c>
      <c r="C3" t="s">
        <v>293</v>
      </c>
      <c r="D3" s="24"/>
      <c r="E3" t="s">
        <v>291</v>
      </c>
      <c r="H3" s="35" t="s">
        <v>381</v>
      </c>
      <c r="I3" s="35" t="s">
        <v>382</v>
      </c>
      <c r="K3" s="35" t="s">
        <v>385</v>
      </c>
    </row>
    <row r="4" spans="1:16" x14ac:dyDescent="0.25">
      <c r="A4" s="15" t="s">
        <v>295</v>
      </c>
      <c r="B4" s="47">
        <f>IF(adaptlig_rxn_vol=100,65,30)</f>
        <v>30</v>
      </c>
      <c r="C4" t="s">
        <v>293</v>
      </c>
      <c r="D4" s="24"/>
      <c r="E4" t="s">
        <v>294</v>
      </c>
      <c r="H4" s="35" t="s">
        <v>393</v>
      </c>
      <c r="I4" s="35" t="s">
        <v>383</v>
      </c>
      <c r="K4" s="35" t="s">
        <v>386</v>
      </c>
    </row>
    <row r="5" spans="1:16" x14ac:dyDescent="0.25">
      <c r="A5" s="15" t="s">
        <v>298</v>
      </c>
      <c r="B5" s="47">
        <v>12</v>
      </c>
      <c r="C5" t="s">
        <v>293</v>
      </c>
      <c r="H5" s="35" t="s">
        <v>394</v>
      </c>
      <c r="I5" s="35" t="s">
        <v>384</v>
      </c>
      <c r="K5" s="35" t="s">
        <v>387</v>
      </c>
    </row>
    <row r="6" spans="1:16" ht="16.5" thickBot="1" x14ac:dyDescent="0.3">
      <c r="A6" s="15" t="s">
        <v>364</v>
      </c>
      <c r="B6" s="48" t="s">
        <v>420</v>
      </c>
      <c r="C6" t="s">
        <v>380</v>
      </c>
      <c r="E6" s="79" t="s">
        <v>340</v>
      </c>
      <c r="F6" s="80"/>
      <c r="H6" s="35"/>
      <c r="I6" s="35"/>
      <c r="K6" s="35"/>
    </row>
    <row r="7" spans="1:16" x14ac:dyDescent="0.25">
      <c r="A7" s="15" t="s">
        <v>398</v>
      </c>
      <c r="B7" s="48" t="s">
        <v>399</v>
      </c>
      <c r="C7" t="s">
        <v>404</v>
      </c>
      <c r="E7">
        <v>100</v>
      </c>
      <c r="H7" s="35"/>
      <c r="I7" s="35"/>
      <c r="K7" s="35"/>
    </row>
    <row r="8" spans="1:16" x14ac:dyDescent="0.25">
      <c r="E8">
        <v>50</v>
      </c>
      <c r="H8" s="35"/>
      <c r="I8" s="35"/>
      <c r="K8" s="35"/>
    </row>
    <row r="9" spans="1:16" ht="16.5" thickBot="1" x14ac:dyDescent="0.3">
      <c r="A9" s="78" t="s">
        <v>301</v>
      </c>
      <c r="B9" s="79"/>
      <c r="C9" s="79"/>
      <c r="H9" s="35"/>
      <c r="I9" s="35"/>
      <c r="K9" s="35"/>
    </row>
    <row r="10" spans="1:16" ht="16.5" thickBot="1" x14ac:dyDescent="0.3">
      <c r="A10" s="15" t="s">
        <v>303</v>
      </c>
      <c r="B10" t="s">
        <v>304</v>
      </c>
      <c r="E10" s="79" t="s">
        <v>356</v>
      </c>
      <c r="F10" s="80"/>
      <c r="H10" s="82" t="s">
        <v>296</v>
      </c>
    </row>
    <row r="11" spans="1:16" x14ac:dyDescent="0.25">
      <c r="A11" s="15" t="s">
        <v>305</v>
      </c>
      <c r="B11">
        <v>7</v>
      </c>
      <c r="E11" t="s">
        <v>58</v>
      </c>
      <c r="H11" s="82" t="s">
        <v>297</v>
      </c>
    </row>
    <row r="12" spans="1:16" x14ac:dyDescent="0.25">
      <c r="E12" t="s">
        <v>357</v>
      </c>
      <c r="H12" s="82" t="s">
        <v>299</v>
      </c>
      <c r="M12" s="24"/>
      <c r="N12" s="24"/>
      <c r="O12" s="24"/>
      <c r="P12" s="24"/>
    </row>
    <row r="13" spans="1:16" ht="16.5" thickBot="1" x14ac:dyDescent="0.3">
      <c r="A13" s="78" t="s">
        <v>336</v>
      </c>
      <c r="E13" t="s">
        <v>358</v>
      </c>
      <c r="H13" s="82" t="s">
        <v>300</v>
      </c>
    </row>
    <row r="14" spans="1:16" x14ac:dyDescent="0.25">
      <c r="A14" t="s">
        <v>422</v>
      </c>
      <c r="E14" t="s">
        <v>359</v>
      </c>
      <c r="H14" s="82" t="s">
        <v>302</v>
      </c>
    </row>
    <row r="15" spans="1:16" x14ac:dyDescent="0.25">
      <c r="A15" t="s">
        <v>424</v>
      </c>
      <c r="E15" s="15" t="s">
        <v>360</v>
      </c>
      <c r="F15" s="15"/>
    </row>
    <row r="17" spans="5:9" ht="16.5" thickBot="1" x14ac:dyDescent="0.3">
      <c r="E17" s="79" t="s">
        <v>361</v>
      </c>
      <c r="F17" s="80"/>
    </row>
    <row r="18" spans="5:9" x14ac:dyDescent="0.25">
      <c r="E18" t="s">
        <v>362</v>
      </c>
    </row>
    <row r="19" spans="5:9" x14ac:dyDescent="0.25">
      <c r="E19" t="s">
        <v>64</v>
      </c>
      <c r="G19" s="15"/>
    </row>
    <row r="21" spans="5:9" ht="16.5" thickBot="1" x14ac:dyDescent="0.3">
      <c r="E21" s="83" t="s">
        <v>373</v>
      </c>
      <c r="F21" s="80"/>
    </row>
    <row r="22" spans="5:9" x14ac:dyDescent="0.25">
      <c r="E22" s="80" t="s">
        <v>374</v>
      </c>
      <c r="F22" s="80" t="s">
        <v>286</v>
      </c>
    </row>
    <row r="23" spans="5:9" x14ac:dyDescent="0.25">
      <c r="E23" t="s">
        <v>365</v>
      </c>
      <c r="F23" t="s">
        <v>375</v>
      </c>
    </row>
    <row r="24" spans="5:9" x14ac:dyDescent="0.25">
      <c r="E24" t="s">
        <v>420</v>
      </c>
      <c r="F24" t="s">
        <v>376</v>
      </c>
      <c r="H24" s="15"/>
    </row>
    <row r="25" spans="5:9" x14ac:dyDescent="0.25">
      <c r="E25" t="s">
        <v>421</v>
      </c>
      <c r="F25" t="s">
        <v>416</v>
      </c>
      <c r="H25" s="15"/>
    </row>
    <row r="26" spans="5:9" x14ac:dyDescent="0.25">
      <c r="E26" t="s">
        <v>366</v>
      </c>
      <c r="F26" t="s">
        <v>414</v>
      </c>
      <c r="I26" s="15"/>
    </row>
    <row r="27" spans="5:9" x14ac:dyDescent="0.25">
      <c r="E27" t="s">
        <v>367</v>
      </c>
      <c r="F27" t="s">
        <v>415</v>
      </c>
    </row>
    <row r="28" spans="5:9" x14ac:dyDescent="0.25">
      <c r="E28" t="s">
        <v>371</v>
      </c>
      <c r="F28" t="s">
        <v>377</v>
      </c>
    </row>
    <row r="29" spans="5:9" x14ac:dyDescent="0.25">
      <c r="E29" t="s">
        <v>370</v>
      </c>
      <c r="F29" t="s">
        <v>378</v>
      </c>
    </row>
    <row r="30" spans="5:9" x14ac:dyDescent="0.25">
      <c r="E30" t="s">
        <v>372</v>
      </c>
      <c r="F30" t="s">
        <v>379</v>
      </c>
    </row>
    <row r="32" spans="5:9" ht="16.5" thickBot="1" x14ac:dyDescent="0.3">
      <c r="E32" s="83" t="s">
        <v>373</v>
      </c>
      <c r="F32" s="80"/>
    </row>
    <row r="33" spans="5:6" x14ac:dyDescent="0.25">
      <c r="E33" s="80" t="s">
        <v>374</v>
      </c>
      <c r="F33" s="80" t="s">
        <v>286</v>
      </c>
    </row>
    <row r="34" spans="5:6" x14ac:dyDescent="0.25">
      <c r="E34" t="s">
        <v>399</v>
      </c>
      <c r="F34" t="s">
        <v>401</v>
      </c>
    </row>
    <row r="35" spans="5:6" x14ac:dyDescent="0.25">
      <c r="E35" t="s">
        <v>400</v>
      </c>
      <c r="F35" t="s">
        <v>402</v>
      </c>
    </row>
  </sheetData>
  <sheetProtection sheet="1" selectLockedCells="1"/>
  <dataValidations count="2">
    <dataValidation type="list" allowBlank="1" showInputMessage="1" showErrorMessage="1" sqref="B6" xr:uid="{5103F0B0-5A7D-4213-9279-0C438FB60721}">
      <formula1>$E$23:$E$30</formula1>
    </dataValidation>
    <dataValidation type="list" allowBlank="1" showInputMessage="1" showErrorMessage="1" sqref="B7" xr:uid="{BFF87161-9E78-439F-9B63-F620B9F8A837}">
      <formula1>$E$34:$E$35</formula1>
    </dataValidation>
  </dataValidation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I20"/>
  <sheetViews>
    <sheetView tabSelected="1" zoomScaleNormal="100" workbookViewId="0">
      <selection activeCell="A3" sqref="A3"/>
    </sheetView>
  </sheetViews>
  <sheetFormatPr defaultColWidth="8.625" defaultRowHeight="15.75" x14ac:dyDescent="0.25"/>
  <cols>
    <col min="1" max="1" width="28.875" customWidth="1"/>
    <col min="2" max="2" width="20" customWidth="1"/>
    <col min="3" max="3" width="19.125" customWidth="1"/>
    <col min="4" max="13" width="16.125" customWidth="1"/>
    <col min="14" max="14" width="11" customWidth="1"/>
    <col min="15" max="20" width="16.125" customWidth="1"/>
    <col min="21" max="21" width="11" customWidth="1"/>
  </cols>
  <sheetData>
    <row r="1" spans="1:9" ht="46.5" x14ac:dyDescent="0.7">
      <c r="A1" s="36" t="s">
        <v>341</v>
      </c>
      <c r="B1" s="37"/>
      <c r="C1" s="37"/>
      <c r="D1" s="37"/>
      <c r="E1" s="37"/>
      <c r="F1" s="37"/>
      <c r="G1" s="37"/>
      <c r="H1" s="37"/>
      <c r="I1" s="37"/>
    </row>
    <row r="2" spans="1:9" ht="31.5" x14ac:dyDescent="0.5">
      <c r="A2" s="38" t="s">
        <v>348</v>
      </c>
      <c r="B2" s="37"/>
      <c r="C2" s="37"/>
      <c r="D2" s="37"/>
      <c r="E2" s="37"/>
      <c r="F2" s="37"/>
      <c r="G2" s="37"/>
      <c r="H2" s="37"/>
      <c r="I2" s="37"/>
    </row>
    <row r="3" spans="1:9" ht="31.5" x14ac:dyDescent="0.5">
      <c r="A3" s="38"/>
      <c r="B3" s="37"/>
      <c r="C3" s="37"/>
      <c r="D3" s="37"/>
      <c r="E3" s="37"/>
      <c r="F3" s="37"/>
      <c r="G3" s="37"/>
      <c r="H3" s="37"/>
      <c r="I3" s="37"/>
    </row>
    <row r="4" spans="1:9" ht="31.5" x14ac:dyDescent="0.5">
      <c r="A4" s="39" t="s">
        <v>342</v>
      </c>
      <c r="B4" s="37"/>
      <c r="C4" s="37"/>
      <c r="D4" s="37"/>
      <c r="E4" s="37"/>
      <c r="F4" s="37"/>
      <c r="G4" s="37"/>
      <c r="H4" s="37"/>
      <c r="I4" s="37"/>
    </row>
    <row r="5" spans="1:9" ht="31.5" x14ac:dyDescent="0.5">
      <c r="A5" s="37" t="s">
        <v>343</v>
      </c>
      <c r="B5" s="37"/>
      <c r="C5" s="37"/>
      <c r="D5" s="37"/>
      <c r="E5" s="37"/>
      <c r="F5" s="37"/>
      <c r="G5" s="37"/>
      <c r="H5" s="37"/>
      <c r="I5" s="37"/>
    </row>
    <row r="6" spans="1:9" ht="31.5" x14ac:dyDescent="0.5">
      <c r="A6" s="40" t="s">
        <v>277</v>
      </c>
      <c r="B6" s="38" t="s">
        <v>344</v>
      </c>
      <c r="C6" s="37"/>
      <c r="D6" s="37"/>
      <c r="E6" s="37"/>
      <c r="F6" s="37"/>
      <c r="G6" s="37"/>
      <c r="H6" s="37"/>
      <c r="I6" s="37"/>
    </row>
    <row r="7" spans="1:9" ht="31.5" x14ac:dyDescent="0.5">
      <c r="A7" s="40" t="s">
        <v>278</v>
      </c>
      <c r="B7" s="38" t="s">
        <v>279</v>
      </c>
      <c r="C7" s="37"/>
      <c r="D7" s="37"/>
      <c r="E7" s="37"/>
      <c r="F7" s="37"/>
      <c r="G7" s="37"/>
      <c r="H7" s="37"/>
      <c r="I7" s="37"/>
    </row>
    <row r="8" spans="1:9" ht="31.5" x14ac:dyDescent="0.5">
      <c r="A8" s="41" t="s">
        <v>280</v>
      </c>
      <c r="B8" s="38" t="s">
        <v>345</v>
      </c>
      <c r="C8" s="37"/>
      <c r="D8" s="37"/>
      <c r="E8" s="37"/>
      <c r="F8" s="37"/>
      <c r="G8" s="37"/>
      <c r="H8" s="37"/>
      <c r="I8" s="37"/>
    </row>
    <row r="9" spans="1:9" ht="31.5" x14ac:dyDescent="0.5">
      <c r="A9" s="42" t="s">
        <v>281</v>
      </c>
      <c r="B9" s="38" t="s">
        <v>352</v>
      </c>
      <c r="C9" s="37"/>
      <c r="D9" s="37"/>
      <c r="E9" s="37"/>
      <c r="F9" s="37"/>
      <c r="G9" s="37"/>
      <c r="H9" s="37"/>
      <c r="I9" s="37"/>
    </row>
    <row r="10" spans="1:9" ht="31.5" x14ac:dyDescent="0.5">
      <c r="A10" s="42" t="s">
        <v>282</v>
      </c>
      <c r="B10" s="38" t="s">
        <v>351</v>
      </c>
      <c r="C10" s="37"/>
      <c r="D10" s="37"/>
      <c r="E10" s="37"/>
      <c r="F10" s="37"/>
      <c r="G10" s="37"/>
      <c r="H10" s="37"/>
      <c r="I10" s="37"/>
    </row>
    <row r="11" spans="1:9" ht="31.5" x14ac:dyDescent="0.5">
      <c r="B11" s="38"/>
      <c r="C11" s="37"/>
      <c r="D11" s="37"/>
      <c r="E11" s="37"/>
      <c r="F11" s="37"/>
      <c r="G11" s="37"/>
      <c r="H11" s="37"/>
      <c r="I11" s="37"/>
    </row>
    <row r="12" spans="1:9" ht="31.5" x14ac:dyDescent="0.5">
      <c r="B12" s="37"/>
      <c r="C12" s="37"/>
      <c r="D12" s="37"/>
      <c r="E12" s="37"/>
      <c r="F12" s="37"/>
      <c r="G12" s="37"/>
      <c r="H12" s="37"/>
      <c r="I12" s="37"/>
    </row>
    <row r="13" spans="1:9" ht="31.5" x14ac:dyDescent="0.5">
      <c r="A13" s="43" t="s">
        <v>347</v>
      </c>
      <c r="B13" s="37"/>
      <c r="C13" s="37"/>
      <c r="D13" s="37"/>
      <c r="E13" s="37"/>
      <c r="F13" s="37"/>
      <c r="G13" s="37"/>
      <c r="H13" s="37"/>
      <c r="I13" s="37"/>
    </row>
    <row r="14" spans="1:9" ht="31.5" x14ac:dyDescent="0.5">
      <c r="A14" s="37" t="s">
        <v>349</v>
      </c>
      <c r="B14" s="37"/>
      <c r="C14" s="37"/>
      <c r="D14" s="37"/>
      <c r="E14" s="37"/>
      <c r="F14" s="37"/>
      <c r="G14" s="37"/>
      <c r="H14" s="37"/>
      <c r="I14" s="37"/>
    </row>
    <row r="15" spans="1:9" ht="31.5" x14ac:dyDescent="0.5">
      <c r="A15" s="38" t="s">
        <v>355</v>
      </c>
      <c r="B15" s="37"/>
      <c r="C15" s="37"/>
      <c r="D15" s="37"/>
      <c r="E15" s="37"/>
      <c r="F15" s="37"/>
      <c r="G15" s="37"/>
      <c r="H15" s="37"/>
      <c r="I15" s="37"/>
    </row>
    <row r="16" spans="1:9" ht="31.5" x14ac:dyDescent="0.5">
      <c r="A16" s="38" t="s">
        <v>354</v>
      </c>
      <c r="B16" s="37"/>
      <c r="C16" s="37"/>
      <c r="D16" s="37"/>
      <c r="E16" s="37"/>
      <c r="F16" s="37"/>
      <c r="G16" s="37"/>
      <c r="H16" s="37"/>
      <c r="I16" s="37"/>
    </row>
    <row r="17" spans="1:9" ht="31.5" x14ac:dyDescent="0.5">
      <c r="A17" s="38"/>
      <c r="B17" s="37"/>
      <c r="C17" s="37"/>
      <c r="D17" s="37"/>
      <c r="E17" s="37"/>
      <c r="F17" s="37"/>
      <c r="G17" s="37"/>
      <c r="H17" s="37"/>
      <c r="I17" s="37"/>
    </row>
    <row r="18" spans="1:9" ht="31.5" x14ac:dyDescent="0.5">
      <c r="A18" s="39" t="s">
        <v>353</v>
      </c>
      <c r="B18" s="37"/>
      <c r="C18" s="37"/>
      <c r="D18" s="37"/>
      <c r="E18" s="37"/>
      <c r="F18" s="37"/>
      <c r="G18" s="37"/>
      <c r="H18" s="37"/>
      <c r="I18" s="37"/>
    </row>
    <row r="19" spans="1:9" ht="31.5" x14ac:dyDescent="0.5">
      <c r="A19" s="38" t="s">
        <v>346</v>
      </c>
    </row>
    <row r="20" spans="1:9" ht="31.5" x14ac:dyDescent="0.5">
      <c r="A20" s="37" t="s">
        <v>350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A1:X2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9.125" customWidth="1"/>
    <col min="2" max="2" width="11.375" customWidth="1"/>
    <col min="3" max="7" width="12.125" customWidth="1"/>
    <col min="9" max="9" width="11.75" customWidth="1"/>
    <col min="10" max="10" width="12.625" customWidth="1"/>
    <col min="11" max="11" width="16.25" customWidth="1"/>
  </cols>
  <sheetData>
    <row r="1" spans="1:24" s="15" customFormat="1" ht="47.25" x14ac:dyDescent="0.25">
      <c r="A1" s="15" t="s">
        <v>306</v>
      </c>
      <c r="B1" s="15" t="s">
        <v>307</v>
      </c>
      <c r="C1" s="15" t="s">
        <v>308</v>
      </c>
      <c r="D1" s="15" t="s">
        <v>309</v>
      </c>
      <c r="E1" s="15" t="s">
        <v>310</v>
      </c>
      <c r="F1" s="15" t="s">
        <v>311</v>
      </c>
      <c r="G1" s="15" t="s">
        <v>312</v>
      </c>
      <c r="H1" s="15" t="s">
        <v>313</v>
      </c>
      <c r="I1" s="15" t="s">
        <v>314</v>
      </c>
      <c r="J1" s="15" t="s">
        <v>315</v>
      </c>
      <c r="K1" s="15" t="s">
        <v>316</v>
      </c>
      <c r="L1" s="15" t="s">
        <v>317</v>
      </c>
      <c r="M1" s="15" t="s">
        <v>318</v>
      </c>
      <c r="N1" s="15" t="s">
        <v>392</v>
      </c>
      <c r="O1" s="15" t="s">
        <v>319</v>
      </c>
      <c r="P1" s="15" t="s">
        <v>320</v>
      </c>
      <c r="Q1" s="15" t="s">
        <v>321</v>
      </c>
      <c r="R1" s="15" t="s">
        <v>322</v>
      </c>
      <c r="S1" s="15" t="s">
        <v>323</v>
      </c>
      <c r="T1" s="15" t="s">
        <v>324</v>
      </c>
      <c r="U1" s="15" t="s">
        <v>325</v>
      </c>
      <c r="V1" s="15" t="s">
        <v>326</v>
      </c>
      <c r="W1" s="15" t="s">
        <v>327</v>
      </c>
      <c r="X1" s="15" t="s">
        <v>328</v>
      </c>
    </row>
    <row r="2" spans="1:24" x14ac:dyDescent="0.25">
      <c r="A2" t="str">
        <f>IF(LEN(exp_id)=0,"",exp_id)</f>
        <v/>
      </c>
      <c r="B2" t="str">
        <f>IF(LEN(exp_date)=0,"",exp_date)</f>
        <v/>
      </c>
      <c r="C2" t="str">
        <f>IF(LEN(exp_user)=0,"",exp_user)</f>
        <v/>
      </c>
      <c r="D2" t="str">
        <f>IF(LEN(exp_type)=0,"",exp_type)</f>
        <v>seqlib</v>
      </c>
      <c r="E2">
        <f>IF(LEN(exp_version)=0,"",exp_version)</f>
        <v>7</v>
      </c>
      <c r="F2" t="str">
        <f>IF(LEN(exp_notes)=0,"",exp_notes)</f>
        <v/>
      </c>
      <c r="G2" t="str">
        <f>IF(LEN(exp_summary)=0,"",exp_summary)</f>
        <v/>
      </c>
      <c r="H2" t="str">
        <f>IF(LEN(exp_rxns)=0,"",exp_rxns)</f>
        <v/>
      </c>
      <c r="I2" t="str">
        <f>IF(LEN(endrepair_targetmass)=0,"",endrepair_targetmass)</f>
        <v/>
      </c>
      <c r="J2">
        <f>IF(LEN(endrepair_maxvol)=0,"",endrepair_maxvol)</f>
        <v>10</v>
      </c>
      <c r="K2" t="str">
        <f>IF(DNAconc_pooled=0,"",DNAconc_pooled)</f>
        <v/>
      </c>
      <c r="L2" t="str">
        <f>IF(adaptlig_targetmass=0,"",adaptlig_targetmass)</f>
        <v/>
      </c>
      <c r="M2">
        <f>IF(adaptlig_dna_maxvol=0,"",adaptlig_dna_maxvol)</f>
        <v>30</v>
      </c>
      <c r="N2" t="str">
        <f>IF(LEN(library_washbuffer)&gt;0,library_washbuffer,"")</f>
        <v/>
      </c>
      <c r="O2" t="str">
        <f>IF(DNAconc_library=0,"",DNAconc_library)</f>
        <v/>
      </c>
      <c r="P2" t="str">
        <f>IF(LEN(seq_platform)=0,"",seq_platform)</f>
        <v/>
      </c>
      <c r="Q2" t="str">
        <f>IF(LEN(flowcell_targetmass)=0,"",flowcell_targetmass)</f>
        <v/>
      </c>
      <c r="R2">
        <f>IF(LEN(flowcell_maxvol)=0,"",flowcell_maxvol)</f>
        <v>12</v>
      </c>
      <c r="S2" t="str">
        <f>IF(LEN(flowcell_id)=0,"",flowcell_id)</f>
        <v/>
      </c>
      <c r="T2" t="str">
        <f>IF(LEN(flowcell_chemisty)=0,"",flowcell_chemisty)</f>
        <v/>
      </c>
      <c r="U2" t="str">
        <f>IF(LEN(flowcell_status)=0,"",flowcell_status)</f>
        <v/>
      </c>
      <c r="V2" t="str">
        <f>IF(LEN(flowcell_checkpores)=0,"",flowcell_checkpores)</f>
        <v/>
      </c>
      <c r="W2" t="str">
        <f>IF(LEN(flowcell_runduration)=0,"",flowcell_runduration)</f>
        <v/>
      </c>
      <c r="X2" t="str">
        <f>IF(LEN(flowcell_usage_hrs)=0,"",flowcell_usage_hrs)</f>
        <v/>
      </c>
    </row>
  </sheetData>
  <sheetProtection algorithmName="SHA-512" hashValue="f+CiPm/lDiyY2Y3lSIHFJr9Je+8Vt4n+OsJTN2Wl3asRgP+IFqe8A3S/x7iWFyFqcxIGC53NSpvtDpJqOv3EbA==" saltValue="ONepo8n7V8Z1PNf4hqTJMA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A1:H97"/>
  <sheetViews>
    <sheetView zoomScaleNormal="100" workbookViewId="0">
      <selection activeCell="F39" sqref="F39"/>
    </sheetView>
  </sheetViews>
  <sheetFormatPr defaultColWidth="8.625" defaultRowHeight="15.75" x14ac:dyDescent="0.25"/>
  <cols>
    <col min="1" max="1" width="11.25" customWidth="1"/>
    <col min="2" max="3" width="13.75" customWidth="1"/>
    <col min="4" max="4" width="13.125" customWidth="1"/>
    <col min="5" max="6" width="11.25" customWidth="1"/>
    <col min="7" max="7" width="10.75" customWidth="1"/>
    <col min="8" max="8" width="28.125" customWidth="1"/>
  </cols>
  <sheetData>
    <row r="1" spans="1:8" x14ac:dyDescent="0.25">
      <c r="A1" t="s">
        <v>329</v>
      </c>
      <c r="B1" t="s">
        <v>330</v>
      </c>
      <c r="C1" t="s">
        <v>306</v>
      </c>
      <c r="D1" t="s">
        <v>331</v>
      </c>
      <c r="E1" t="s">
        <v>332</v>
      </c>
      <c r="F1" t="s">
        <v>333</v>
      </c>
      <c r="G1" t="s">
        <v>334</v>
      </c>
      <c r="H1" t="s">
        <v>335</v>
      </c>
    </row>
    <row r="2" spans="1:8" x14ac:dyDescent="0.25">
      <c r="A2" t="str">
        <f>IF(LEN(Library!D3)=0,"",Library!D3)</f>
        <v/>
      </c>
      <c r="B2" t="str">
        <f>IF(LEN(Library!E3)=0,"",Library!E3)</f>
        <v/>
      </c>
      <c r="C2" t="str">
        <f>IF(LEN(Library!F3)=0,"",exp_id)</f>
        <v/>
      </c>
      <c r="D2" t="str">
        <f>IF(LEN(Library!F3)=0,"",Library!F3)</f>
        <v/>
      </c>
      <c r="E2" t="str">
        <f>IF(LEN(Library!G3)=0,"",Library!G3)</f>
        <v/>
      </c>
      <c r="F2" t="str">
        <f>IF(LEN(Library!AE3)=0,"",Library!AE3)</f>
        <v/>
      </c>
      <c r="G2" t="str">
        <f>IF(LEN(Library!F3)=0,"",CONCATENATE("barcode",Library!K3))</f>
        <v/>
      </c>
      <c r="H2" t="str">
        <f>IF(LEN(Library!AB3)=0,"",IF(Library!AC3&gt;0,Library!AC3,Library!AB3))</f>
        <v/>
      </c>
    </row>
    <row r="3" spans="1:8" x14ac:dyDescent="0.25">
      <c r="A3" t="str">
        <f>IF(LEN(Library!D4)=0,"",Library!D4)</f>
        <v/>
      </c>
      <c r="B3" t="str">
        <f>IF(LEN(Library!E4)=0,"",Library!E4)</f>
        <v/>
      </c>
      <c r="C3" t="str">
        <f>IF(LEN(Library!F4)=0,"",exp_id)</f>
        <v/>
      </c>
      <c r="D3" t="str">
        <f>IF(LEN(Library!F4)=0,"",Library!F4)</f>
        <v/>
      </c>
      <c r="E3" t="str">
        <f>IF(LEN(Library!G4)=0,"",Library!G4)</f>
        <v/>
      </c>
      <c r="F3" t="str">
        <f>IF(LEN(Library!AE4)=0,"",Library!AE4)</f>
        <v/>
      </c>
      <c r="G3" t="str">
        <f>IF(LEN(Library!F4)=0,"",CONCATENATE("barcode",Library!K4))</f>
        <v/>
      </c>
      <c r="H3" t="str">
        <f>IF(LEN(Library!AB4)=0,"",IF(Library!AC4&gt;0,Library!AC4,Library!AB4))</f>
        <v/>
      </c>
    </row>
    <row r="4" spans="1:8" x14ac:dyDescent="0.25">
      <c r="A4" t="str">
        <f>IF(LEN(Library!D5)=0,"",Library!D5)</f>
        <v/>
      </c>
      <c r="B4" t="str">
        <f>IF(LEN(Library!E5)=0,"",Library!E5)</f>
        <v/>
      </c>
      <c r="C4" t="str">
        <f>IF(LEN(Library!F5)=0,"",exp_id)</f>
        <v/>
      </c>
      <c r="D4" t="str">
        <f>IF(LEN(Library!F5)=0,"",Library!F5)</f>
        <v/>
      </c>
      <c r="E4" t="str">
        <f>IF(LEN(Library!G5)=0,"",Library!G5)</f>
        <v/>
      </c>
      <c r="F4" t="str">
        <f>IF(LEN(Library!AE5)=0,"",Library!AE5)</f>
        <v/>
      </c>
      <c r="G4" t="str">
        <f>IF(LEN(Library!F5)=0,"",CONCATENATE("barcode",Library!K5))</f>
        <v/>
      </c>
      <c r="H4" t="str">
        <f>IF(LEN(Library!AB5)=0,"",IF(Library!AC5&gt;0,Library!AC5,Library!AB5))</f>
        <v/>
      </c>
    </row>
    <row r="5" spans="1:8" x14ac:dyDescent="0.25">
      <c r="A5" t="str">
        <f>IF(LEN(Library!D6)=0,"",Library!D6)</f>
        <v/>
      </c>
      <c r="B5" t="str">
        <f>IF(LEN(Library!E6)=0,"",Library!E6)</f>
        <v/>
      </c>
      <c r="C5" t="str">
        <f>IF(LEN(Library!F6)=0,"",exp_id)</f>
        <v/>
      </c>
      <c r="D5" t="str">
        <f>IF(LEN(Library!F6)=0,"",Library!F6)</f>
        <v/>
      </c>
      <c r="E5" t="str">
        <f>IF(LEN(Library!G6)=0,"",Library!G6)</f>
        <v/>
      </c>
      <c r="F5" t="str">
        <f>IF(LEN(Library!AE6)=0,"",Library!AE6)</f>
        <v/>
      </c>
      <c r="G5" t="str">
        <f>IF(LEN(Library!F6)=0,"",CONCATENATE("barcode",Library!K6))</f>
        <v/>
      </c>
      <c r="H5" t="str">
        <f>IF(LEN(Library!AB6)=0,"",IF(Library!AC6&gt;0,Library!AC6,Library!AB6))</f>
        <v/>
      </c>
    </row>
    <row r="6" spans="1:8" x14ac:dyDescent="0.25">
      <c r="A6" t="str">
        <f>IF(LEN(Library!D7)=0,"",Library!D7)</f>
        <v/>
      </c>
      <c r="B6" t="str">
        <f>IF(LEN(Library!E7)=0,"",Library!E7)</f>
        <v/>
      </c>
      <c r="C6" t="str">
        <f>IF(LEN(Library!F7)=0,"",exp_id)</f>
        <v/>
      </c>
      <c r="D6" t="str">
        <f>IF(LEN(Library!F7)=0,"",Library!F7)</f>
        <v/>
      </c>
      <c r="E6" t="str">
        <f>IF(LEN(Library!G7)=0,"",Library!G7)</f>
        <v/>
      </c>
      <c r="F6" t="str">
        <f>IF(LEN(Library!AE7)=0,"",Library!AE7)</f>
        <v/>
      </c>
      <c r="G6" t="str">
        <f>IF(LEN(Library!F7)=0,"",CONCATENATE("barcode",Library!K7))</f>
        <v/>
      </c>
      <c r="H6" t="str">
        <f>IF(LEN(Library!AB7)=0,"",IF(Library!AC7&gt;0,Library!AC7,Library!AB7))</f>
        <v/>
      </c>
    </row>
    <row r="7" spans="1:8" x14ac:dyDescent="0.25">
      <c r="A7" t="str">
        <f>IF(LEN(Library!D8)=0,"",Library!D8)</f>
        <v/>
      </c>
      <c r="B7" t="str">
        <f>IF(LEN(Library!E8)=0,"",Library!E8)</f>
        <v/>
      </c>
      <c r="C7" t="str">
        <f>IF(LEN(Library!F8)=0,"",exp_id)</f>
        <v/>
      </c>
      <c r="D7" t="str">
        <f>IF(LEN(Library!F8)=0,"",Library!F8)</f>
        <v/>
      </c>
      <c r="E7" t="str">
        <f>IF(LEN(Library!G8)=0,"",Library!G8)</f>
        <v/>
      </c>
      <c r="F7" t="str">
        <f>IF(LEN(Library!AE8)=0,"",Library!AE8)</f>
        <v/>
      </c>
      <c r="G7" t="str">
        <f>IF(LEN(Library!F8)=0,"",CONCATENATE("barcode",Library!K8))</f>
        <v/>
      </c>
      <c r="H7" t="str">
        <f>IF(LEN(Library!AB8)=0,"",IF(Library!AC8&gt;0,Library!AC8,Library!AB8))</f>
        <v/>
      </c>
    </row>
    <row r="8" spans="1:8" x14ac:dyDescent="0.25">
      <c r="A8" t="str">
        <f>IF(LEN(Library!D9)=0,"",Library!D9)</f>
        <v/>
      </c>
      <c r="B8" t="str">
        <f>IF(LEN(Library!E9)=0,"",Library!E9)</f>
        <v/>
      </c>
      <c r="C8" t="str">
        <f>IF(LEN(Library!F9)=0,"",exp_id)</f>
        <v/>
      </c>
      <c r="D8" t="str">
        <f>IF(LEN(Library!F9)=0,"",Library!F9)</f>
        <v/>
      </c>
      <c r="E8" t="str">
        <f>IF(LEN(Library!G9)=0,"",Library!G9)</f>
        <v/>
      </c>
      <c r="F8" t="str">
        <f>IF(LEN(Library!AE9)=0,"",Library!AE9)</f>
        <v/>
      </c>
      <c r="G8" t="str">
        <f>IF(LEN(Library!F9)=0,"",CONCATENATE("barcode",Library!K9))</f>
        <v/>
      </c>
      <c r="H8" t="str">
        <f>IF(LEN(Library!AB9)=0,"",IF(Library!AC9&gt;0,Library!AC9,Library!AB9))</f>
        <v/>
      </c>
    </row>
    <row r="9" spans="1:8" x14ac:dyDescent="0.25">
      <c r="A9" t="str">
        <f>IF(LEN(Library!D10)=0,"",Library!D10)</f>
        <v/>
      </c>
      <c r="B9" t="str">
        <f>IF(LEN(Library!E10)=0,"",Library!E10)</f>
        <v/>
      </c>
      <c r="C9" t="str">
        <f>IF(LEN(Library!F10)=0,"",exp_id)</f>
        <v/>
      </c>
      <c r="D9" t="str">
        <f>IF(LEN(Library!F10)=0,"",Library!F10)</f>
        <v/>
      </c>
      <c r="E9" t="str">
        <f>IF(LEN(Library!G10)=0,"",Library!G10)</f>
        <v/>
      </c>
      <c r="F9" t="str">
        <f>IF(LEN(Library!AE10)=0,"",Library!AE10)</f>
        <v/>
      </c>
      <c r="G9" t="str">
        <f>IF(LEN(Library!F10)=0,"",CONCATENATE("barcode",Library!K10))</f>
        <v/>
      </c>
      <c r="H9" t="str">
        <f>IF(LEN(Library!AB10)=0,"",IF(Library!AC10&gt;0,Library!AC10,Library!AB10))</f>
        <v/>
      </c>
    </row>
    <row r="10" spans="1:8" x14ac:dyDescent="0.25">
      <c r="A10" t="str">
        <f>IF(LEN(Library!D11)=0,"",Library!D11)</f>
        <v/>
      </c>
      <c r="B10" t="str">
        <f>IF(LEN(Library!E11)=0,"",Library!E11)</f>
        <v/>
      </c>
      <c r="C10" t="str">
        <f>IF(LEN(Library!F11)=0,"",exp_id)</f>
        <v/>
      </c>
      <c r="D10" t="str">
        <f>IF(LEN(Library!F11)=0,"",Library!F11)</f>
        <v/>
      </c>
      <c r="E10" t="str">
        <f>IF(LEN(Library!G11)=0,"",Library!G11)</f>
        <v/>
      </c>
      <c r="F10" t="str">
        <f>IF(LEN(Library!AE11)=0,"",Library!AE11)</f>
        <v/>
      </c>
      <c r="G10" t="str">
        <f>IF(LEN(Library!F11)=0,"",CONCATENATE("barcode",Library!K11))</f>
        <v/>
      </c>
      <c r="H10" t="str">
        <f>IF(LEN(Library!AB11)=0,"",IF(Library!AC11&gt;0,Library!AC11,Library!AB11))</f>
        <v/>
      </c>
    </row>
    <row r="11" spans="1:8" x14ac:dyDescent="0.25">
      <c r="A11" t="str">
        <f>IF(LEN(Library!D12)=0,"",Library!D12)</f>
        <v/>
      </c>
      <c r="B11" t="str">
        <f>IF(LEN(Library!E12)=0,"",Library!E12)</f>
        <v/>
      </c>
      <c r="C11" t="str">
        <f>IF(LEN(Library!F12)=0,"",exp_id)</f>
        <v/>
      </c>
      <c r="D11" t="str">
        <f>IF(LEN(Library!F12)=0,"",Library!F12)</f>
        <v/>
      </c>
      <c r="E11" t="str">
        <f>IF(LEN(Library!G12)=0,"",Library!G12)</f>
        <v/>
      </c>
      <c r="F11" t="str">
        <f>IF(LEN(Library!AE12)=0,"",Library!AE12)</f>
        <v/>
      </c>
      <c r="G11" t="str">
        <f>IF(LEN(Library!F12)=0,"",CONCATENATE("barcode",Library!K12))</f>
        <v/>
      </c>
      <c r="H11" t="str">
        <f>IF(LEN(Library!AB12)=0,"",IF(Library!AC12&gt;0,Library!AC12,Library!AB12))</f>
        <v/>
      </c>
    </row>
    <row r="12" spans="1:8" x14ac:dyDescent="0.25">
      <c r="A12" t="str">
        <f>IF(LEN(Library!D13)=0,"",Library!D13)</f>
        <v/>
      </c>
      <c r="B12" t="str">
        <f>IF(LEN(Library!E13)=0,"",Library!E13)</f>
        <v/>
      </c>
      <c r="C12" t="str">
        <f>IF(LEN(Library!F13)=0,"",exp_id)</f>
        <v/>
      </c>
      <c r="D12" t="str">
        <f>IF(LEN(Library!F13)=0,"",Library!F13)</f>
        <v/>
      </c>
      <c r="E12" t="str">
        <f>IF(LEN(Library!G13)=0,"",Library!G13)</f>
        <v/>
      </c>
      <c r="F12" t="str">
        <f>IF(LEN(Library!AE13)=0,"",Library!AE13)</f>
        <v/>
      </c>
      <c r="G12" t="str">
        <f>IF(LEN(Library!F13)=0,"",CONCATENATE("barcode",Library!K13))</f>
        <v/>
      </c>
      <c r="H12" t="str">
        <f>IF(LEN(Library!AB13)=0,"",IF(Library!AC13&gt;0,Library!AC13,Library!AB13))</f>
        <v/>
      </c>
    </row>
    <row r="13" spans="1:8" x14ac:dyDescent="0.25">
      <c r="A13" t="str">
        <f>IF(LEN(Library!D14)=0,"",Library!D14)</f>
        <v/>
      </c>
      <c r="B13" t="str">
        <f>IF(LEN(Library!E14)=0,"",Library!E14)</f>
        <v/>
      </c>
      <c r="C13" t="str">
        <f>IF(LEN(Library!F14)=0,"",exp_id)</f>
        <v/>
      </c>
      <c r="D13" t="str">
        <f>IF(LEN(Library!F14)=0,"",Library!F14)</f>
        <v/>
      </c>
      <c r="E13" t="str">
        <f>IF(LEN(Library!G14)=0,"",Library!G14)</f>
        <v/>
      </c>
      <c r="F13" t="str">
        <f>IF(LEN(Library!AE14)=0,"",Library!AE14)</f>
        <v/>
      </c>
      <c r="G13" t="str">
        <f>IF(LEN(Library!F14)=0,"",CONCATENATE("barcode",Library!K14))</f>
        <v/>
      </c>
      <c r="H13" t="str">
        <f>IF(LEN(Library!AB14)=0,"",IF(Library!AC14&gt;0,Library!AC14,Library!AB14))</f>
        <v/>
      </c>
    </row>
    <row r="14" spans="1:8" x14ac:dyDescent="0.25">
      <c r="A14" t="str">
        <f>IF(LEN(Library!D15)=0,"",Library!D15)</f>
        <v/>
      </c>
      <c r="B14" t="str">
        <f>IF(LEN(Library!E15)=0,"",Library!E15)</f>
        <v/>
      </c>
      <c r="C14" t="str">
        <f>IF(LEN(Library!F15)=0,"",exp_id)</f>
        <v/>
      </c>
      <c r="D14" t="str">
        <f>IF(LEN(Library!F15)=0,"",Library!F15)</f>
        <v/>
      </c>
      <c r="E14" t="str">
        <f>IF(LEN(Library!G15)=0,"",Library!G15)</f>
        <v/>
      </c>
      <c r="F14" t="str">
        <f>IF(LEN(Library!AE15)=0,"",Library!AE15)</f>
        <v/>
      </c>
      <c r="G14" t="str">
        <f>IF(LEN(Library!F15)=0,"",CONCATENATE("barcode",Library!K15))</f>
        <v/>
      </c>
      <c r="H14" t="str">
        <f>IF(LEN(Library!AB15)=0,"",IF(Library!AC15&gt;0,Library!AC15,Library!AB15))</f>
        <v/>
      </c>
    </row>
    <row r="15" spans="1:8" x14ac:dyDescent="0.25">
      <c r="A15" t="str">
        <f>IF(LEN(Library!D16)=0,"",Library!D16)</f>
        <v/>
      </c>
      <c r="B15" t="str">
        <f>IF(LEN(Library!E16)=0,"",Library!E16)</f>
        <v/>
      </c>
      <c r="C15" t="str">
        <f>IF(LEN(Library!F16)=0,"",exp_id)</f>
        <v/>
      </c>
      <c r="D15" t="str">
        <f>IF(LEN(Library!F16)=0,"",Library!F16)</f>
        <v/>
      </c>
      <c r="E15" t="str">
        <f>IF(LEN(Library!G16)=0,"",Library!G16)</f>
        <v/>
      </c>
      <c r="F15" t="str">
        <f>IF(LEN(Library!AE16)=0,"",Library!AE16)</f>
        <v/>
      </c>
      <c r="G15" t="str">
        <f>IF(LEN(Library!F16)=0,"",CONCATENATE("barcode",Library!K16))</f>
        <v/>
      </c>
      <c r="H15" t="str">
        <f>IF(LEN(Library!AB16)=0,"",IF(Library!AC16&gt;0,Library!AC16,Library!AB16))</f>
        <v/>
      </c>
    </row>
    <row r="16" spans="1:8" x14ac:dyDescent="0.25">
      <c r="A16" t="str">
        <f>IF(LEN(Library!D17)=0,"",Library!D17)</f>
        <v/>
      </c>
      <c r="B16" t="str">
        <f>IF(LEN(Library!E17)=0,"",Library!E17)</f>
        <v/>
      </c>
      <c r="C16" t="str">
        <f>IF(LEN(Library!F17)=0,"",exp_id)</f>
        <v/>
      </c>
      <c r="D16" t="str">
        <f>IF(LEN(Library!F17)=0,"",Library!F17)</f>
        <v/>
      </c>
      <c r="E16" t="str">
        <f>IF(LEN(Library!G17)=0,"",Library!G17)</f>
        <v/>
      </c>
      <c r="F16" t="str">
        <f>IF(LEN(Library!AE17)=0,"",Library!AE17)</f>
        <v/>
      </c>
      <c r="G16" t="str">
        <f>IF(LEN(Library!F17)=0,"",CONCATENATE("barcode",Library!K17))</f>
        <v/>
      </c>
      <c r="H16" t="str">
        <f>IF(LEN(Library!AB17)=0,"",IF(Library!AC17&gt;0,Library!AC17,Library!AB17))</f>
        <v/>
      </c>
    </row>
    <row r="17" spans="1:8" x14ac:dyDescent="0.25">
      <c r="A17" t="str">
        <f>IF(LEN(Library!D18)=0,"",Library!D18)</f>
        <v/>
      </c>
      <c r="B17" t="str">
        <f>IF(LEN(Library!E18)=0,"",Library!E18)</f>
        <v/>
      </c>
      <c r="C17" t="str">
        <f>IF(LEN(Library!F18)=0,"",exp_id)</f>
        <v/>
      </c>
      <c r="D17" t="str">
        <f>IF(LEN(Library!F18)=0,"",Library!F18)</f>
        <v/>
      </c>
      <c r="E17" t="str">
        <f>IF(LEN(Library!G18)=0,"",Library!G18)</f>
        <v/>
      </c>
      <c r="F17" t="str">
        <f>IF(LEN(Library!AE18)=0,"",Library!AE18)</f>
        <v/>
      </c>
      <c r="G17" t="str">
        <f>IF(LEN(Library!F18)=0,"",CONCATENATE("barcode",Library!K18))</f>
        <v/>
      </c>
      <c r="H17" t="str">
        <f>IF(LEN(Library!AB18)=0,"",IF(Library!AC18&gt;0,Library!AC18,Library!AB18))</f>
        <v/>
      </c>
    </row>
    <row r="18" spans="1:8" x14ac:dyDescent="0.25">
      <c r="A18" t="str">
        <f>IF(LEN(Library!D19)=0,"",Library!D19)</f>
        <v/>
      </c>
      <c r="B18" t="str">
        <f>IF(LEN(Library!E19)=0,"",Library!E19)</f>
        <v/>
      </c>
      <c r="C18" t="str">
        <f>IF(LEN(Library!F19)=0,"",exp_id)</f>
        <v/>
      </c>
      <c r="D18" t="str">
        <f>IF(LEN(Library!F19)=0,"",Library!F19)</f>
        <v/>
      </c>
      <c r="E18" t="str">
        <f>IF(LEN(Library!G19)=0,"",Library!G19)</f>
        <v/>
      </c>
      <c r="F18" t="str">
        <f>IF(LEN(Library!AE19)=0,"",Library!AE19)</f>
        <v/>
      </c>
      <c r="G18" t="str">
        <f>IF(LEN(Library!F19)=0,"",CONCATENATE("barcode",Library!K19))</f>
        <v/>
      </c>
      <c r="H18" t="str">
        <f>IF(LEN(Library!AB19)=0,"",IF(Library!AC19&gt;0,Library!AC19,Library!AB19))</f>
        <v/>
      </c>
    </row>
    <row r="19" spans="1:8" x14ac:dyDescent="0.25">
      <c r="A19" t="str">
        <f>IF(LEN(Library!D20)=0,"",Library!D20)</f>
        <v/>
      </c>
      <c r="B19" t="str">
        <f>IF(LEN(Library!E20)=0,"",Library!E20)</f>
        <v/>
      </c>
      <c r="C19" t="str">
        <f>IF(LEN(Library!F20)=0,"",exp_id)</f>
        <v/>
      </c>
      <c r="D19" t="str">
        <f>IF(LEN(Library!F20)=0,"",Library!F20)</f>
        <v/>
      </c>
      <c r="E19" t="str">
        <f>IF(LEN(Library!G20)=0,"",Library!G20)</f>
        <v/>
      </c>
      <c r="F19" t="str">
        <f>IF(LEN(Library!AE20)=0,"",Library!AE20)</f>
        <v/>
      </c>
      <c r="G19" t="str">
        <f>IF(LEN(Library!F20)=0,"",CONCATENATE("barcode",Library!K20))</f>
        <v/>
      </c>
      <c r="H19" t="str">
        <f>IF(LEN(Library!AB20)=0,"",IF(Library!AC20&gt;0,Library!AC20,Library!AB20))</f>
        <v/>
      </c>
    </row>
    <row r="20" spans="1:8" x14ac:dyDescent="0.25">
      <c r="A20" t="str">
        <f>IF(LEN(Library!D21)=0,"",Library!D21)</f>
        <v/>
      </c>
      <c r="B20" t="str">
        <f>IF(LEN(Library!E21)=0,"",Library!E21)</f>
        <v/>
      </c>
      <c r="C20" t="str">
        <f>IF(LEN(Library!F21)=0,"",exp_id)</f>
        <v/>
      </c>
      <c r="D20" t="str">
        <f>IF(LEN(Library!F21)=0,"",Library!F21)</f>
        <v/>
      </c>
      <c r="E20" t="str">
        <f>IF(LEN(Library!G21)=0,"",Library!G21)</f>
        <v/>
      </c>
      <c r="F20" t="str">
        <f>IF(LEN(Library!AE21)=0,"",Library!AE21)</f>
        <v/>
      </c>
      <c r="G20" t="str">
        <f>IF(LEN(Library!F21)=0,"",CONCATENATE("barcode",Library!K21))</f>
        <v/>
      </c>
      <c r="H20" t="str">
        <f>IF(LEN(Library!AB21)=0,"",IF(Library!AC21&gt;0,Library!AC21,Library!AB21))</f>
        <v/>
      </c>
    </row>
    <row r="21" spans="1:8" x14ac:dyDescent="0.25">
      <c r="A21" t="str">
        <f>IF(LEN(Library!D22)=0,"",Library!D22)</f>
        <v/>
      </c>
      <c r="B21" t="str">
        <f>IF(LEN(Library!E22)=0,"",Library!E22)</f>
        <v/>
      </c>
      <c r="C21" t="str">
        <f>IF(LEN(Library!F22)=0,"",exp_id)</f>
        <v/>
      </c>
      <c r="D21" t="str">
        <f>IF(LEN(Library!F22)=0,"",Library!F22)</f>
        <v/>
      </c>
      <c r="E21" t="str">
        <f>IF(LEN(Library!G22)=0,"",Library!G22)</f>
        <v/>
      </c>
      <c r="F21" t="str">
        <f>IF(LEN(Library!AE22)=0,"",Library!AE22)</f>
        <v/>
      </c>
      <c r="G21" t="str">
        <f>IF(LEN(Library!F22)=0,"",CONCATENATE("barcode",Library!K22))</f>
        <v/>
      </c>
      <c r="H21" t="str">
        <f>IF(LEN(Library!AB22)=0,"",IF(Library!AC22&gt;0,Library!AC22,Library!AB22))</f>
        <v/>
      </c>
    </row>
    <row r="22" spans="1:8" x14ac:dyDescent="0.25">
      <c r="A22" t="str">
        <f>IF(LEN(Library!D23)=0,"",Library!D23)</f>
        <v/>
      </c>
      <c r="B22" t="str">
        <f>IF(LEN(Library!E23)=0,"",Library!E23)</f>
        <v/>
      </c>
      <c r="C22" t="str">
        <f>IF(LEN(Library!F23)=0,"",exp_id)</f>
        <v/>
      </c>
      <c r="D22" t="str">
        <f>IF(LEN(Library!F23)=0,"",Library!F23)</f>
        <v/>
      </c>
      <c r="E22" t="str">
        <f>IF(LEN(Library!G23)=0,"",Library!G23)</f>
        <v/>
      </c>
      <c r="F22" t="str">
        <f>IF(LEN(Library!AE23)=0,"",Library!AE23)</f>
        <v/>
      </c>
      <c r="G22" t="str">
        <f>IF(LEN(Library!F23)=0,"",CONCATENATE("barcode",Library!K23))</f>
        <v/>
      </c>
      <c r="H22" t="str">
        <f>IF(LEN(Library!AB23)=0,"",IF(Library!AC23&gt;0,Library!AC23,Library!AB23))</f>
        <v/>
      </c>
    </row>
    <row r="23" spans="1:8" x14ac:dyDescent="0.25">
      <c r="A23" t="str">
        <f>IF(LEN(Library!D24)=0,"",Library!D24)</f>
        <v/>
      </c>
      <c r="B23" t="str">
        <f>IF(LEN(Library!E24)=0,"",Library!E24)</f>
        <v/>
      </c>
      <c r="C23" t="str">
        <f>IF(LEN(Library!F24)=0,"",exp_id)</f>
        <v/>
      </c>
      <c r="D23" t="str">
        <f>IF(LEN(Library!F24)=0,"",Library!F24)</f>
        <v/>
      </c>
      <c r="E23" t="str">
        <f>IF(LEN(Library!G24)=0,"",Library!G24)</f>
        <v/>
      </c>
      <c r="F23" t="str">
        <f>IF(LEN(Library!AE24)=0,"",Library!AE24)</f>
        <v/>
      </c>
      <c r="G23" t="str">
        <f>IF(LEN(Library!F24)=0,"",CONCATENATE("barcode",Library!K24))</f>
        <v/>
      </c>
      <c r="H23" t="str">
        <f>IF(LEN(Library!AB24)=0,"",IF(Library!AC24&gt;0,Library!AC24,Library!AB24))</f>
        <v/>
      </c>
    </row>
    <row r="24" spans="1:8" x14ac:dyDescent="0.25">
      <c r="A24" t="str">
        <f>IF(LEN(Library!D25)=0,"",Library!D25)</f>
        <v/>
      </c>
      <c r="B24" t="str">
        <f>IF(LEN(Library!E25)=0,"",Library!E25)</f>
        <v/>
      </c>
      <c r="C24" t="str">
        <f>IF(LEN(Library!F25)=0,"",exp_id)</f>
        <v/>
      </c>
      <c r="D24" t="str">
        <f>IF(LEN(Library!F25)=0,"",Library!F25)</f>
        <v/>
      </c>
      <c r="E24" t="str">
        <f>IF(LEN(Library!G25)=0,"",Library!G25)</f>
        <v/>
      </c>
      <c r="F24" t="str">
        <f>IF(LEN(Library!AE25)=0,"",Library!AE25)</f>
        <v/>
      </c>
      <c r="G24" t="str">
        <f>IF(LEN(Library!F25)=0,"",CONCATENATE("barcode",Library!K25))</f>
        <v/>
      </c>
      <c r="H24" t="str">
        <f>IF(LEN(Library!AB25)=0,"",IF(Library!AC25&gt;0,Library!AC25,Library!AB25))</f>
        <v/>
      </c>
    </row>
    <row r="25" spans="1:8" x14ac:dyDescent="0.25">
      <c r="A25" t="str">
        <f>IF(LEN(Library!D26)=0,"",Library!D26)</f>
        <v/>
      </c>
      <c r="B25" t="str">
        <f>IF(LEN(Library!E26)=0,"",Library!E26)</f>
        <v/>
      </c>
      <c r="C25" t="str">
        <f>IF(LEN(Library!F26)=0,"",exp_id)</f>
        <v/>
      </c>
      <c r="D25" t="str">
        <f>IF(LEN(Library!F26)=0,"",Library!F26)</f>
        <v/>
      </c>
      <c r="E25" t="str">
        <f>IF(LEN(Library!G26)=0,"",Library!G26)</f>
        <v/>
      </c>
      <c r="F25" t="str">
        <f>IF(LEN(Library!AE26)=0,"",Library!AE26)</f>
        <v/>
      </c>
      <c r="G25" t="str">
        <f>IF(LEN(Library!F26)=0,"",CONCATENATE("barcode",Library!K26))</f>
        <v/>
      </c>
      <c r="H25" t="str">
        <f>IF(LEN(Library!AB26)=0,"",IF(Library!AC26&gt;0,Library!AC26,Library!AB26))</f>
        <v/>
      </c>
    </row>
    <row r="26" spans="1:8" x14ac:dyDescent="0.25">
      <c r="A26" t="str">
        <f>IF(LEN(Library!D27)=0,"",Library!D27)</f>
        <v/>
      </c>
      <c r="B26" t="str">
        <f>IF(LEN(Library!E27)=0,"",Library!E27)</f>
        <v/>
      </c>
      <c r="C26" t="str">
        <f>IF(LEN(Library!F27)=0,"",exp_id)</f>
        <v/>
      </c>
      <c r="D26" t="str">
        <f>IF(LEN(Library!F27)=0,"",Library!F27)</f>
        <v/>
      </c>
      <c r="E26" t="str">
        <f>IF(LEN(Library!G27)=0,"",Library!G27)</f>
        <v/>
      </c>
      <c r="F26" t="str">
        <f>IF(LEN(Library!AE27)=0,"",Library!AE27)</f>
        <v/>
      </c>
      <c r="G26" t="str">
        <f>IF(LEN(Library!F27)=0,"",CONCATENATE("barcode",Library!K27))</f>
        <v/>
      </c>
      <c r="H26" t="str">
        <f>IF(LEN(Library!AB27)=0,"",IF(Library!AC27&gt;0,Library!AC27,Library!AB27))</f>
        <v/>
      </c>
    </row>
    <row r="27" spans="1:8" x14ac:dyDescent="0.25">
      <c r="A27" t="str">
        <f>IF(LEN(Library!D28)=0,"",Library!D28)</f>
        <v/>
      </c>
      <c r="B27" t="str">
        <f>IF(LEN(Library!E28)=0,"",Library!E28)</f>
        <v/>
      </c>
      <c r="C27" t="str">
        <f>IF(LEN(Library!F28)=0,"",exp_id)</f>
        <v/>
      </c>
      <c r="D27" t="str">
        <f>IF(LEN(Library!F28)=0,"",Library!F28)</f>
        <v/>
      </c>
      <c r="E27" t="str">
        <f>IF(LEN(Library!G28)=0,"",Library!G28)</f>
        <v/>
      </c>
      <c r="F27" t="str">
        <f>IF(LEN(Library!AE28)=0,"",Library!AE28)</f>
        <v/>
      </c>
      <c r="G27" t="str">
        <f>IF(LEN(Library!F28)=0,"",CONCATENATE("barcode",Library!K28))</f>
        <v/>
      </c>
      <c r="H27" t="str">
        <f>IF(LEN(Library!AB28)=0,"",IF(Library!AC28&gt;0,Library!AC28,Library!AB28))</f>
        <v/>
      </c>
    </row>
    <row r="28" spans="1:8" x14ac:dyDescent="0.25">
      <c r="A28" t="str">
        <f>IF(LEN(Library!D29)=0,"",Library!D29)</f>
        <v/>
      </c>
      <c r="B28" t="str">
        <f>IF(LEN(Library!E29)=0,"",Library!E29)</f>
        <v/>
      </c>
      <c r="C28" t="str">
        <f>IF(LEN(Library!F29)=0,"",exp_id)</f>
        <v/>
      </c>
      <c r="D28" t="str">
        <f>IF(LEN(Library!F29)=0,"",Library!F29)</f>
        <v/>
      </c>
      <c r="E28" t="str">
        <f>IF(LEN(Library!G29)=0,"",Library!G29)</f>
        <v/>
      </c>
      <c r="F28" t="str">
        <f>IF(LEN(Library!AE29)=0,"",Library!AE29)</f>
        <v/>
      </c>
      <c r="G28" t="str">
        <f>IF(LEN(Library!F29)=0,"",CONCATENATE("barcode",Library!K29))</f>
        <v/>
      </c>
      <c r="H28" t="str">
        <f>IF(LEN(Library!AB29)=0,"",IF(Library!AC29&gt;0,Library!AC29,Library!AB29))</f>
        <v/>
      </c>
    </row>
    <row r="29" spans="1:8" x14ac:dyDescent="0.25">
      <c r="A29" t="str">
        <f>IF(LEN(Library!D30)=0,"",Library!D30)</f>
        <v/>
      </c>
      <c r="B29" t="str">
        <f>IF(LEN(Library!E30)=0,"",Library!E30)</f>
        <v/>
      </c>
      <c r="C29" t="str">
        <f>IF(LEN(Library!F30)=0,"",exp_id)</f>
        <v/>
      </c>
      <c r="D29" t="str">
        <f>IF(LEN(Library!F30)=0,"",Library!F30)</f>
        <v/>
      </c>
      <c r="E29" t="str">
        <f>IF(LEN(Library!G30)=0,"",Library!G30)</f>
        <v/>
      </c>
      <c r="G29" t="str">
        <f>IF(LEN(Library!F30)=0,"",CONCATENATE("barcode",Library!K30))</f>
        <v/>
      </c>
      <c r="H29" t="str">
        <f>IF(LEN(Library!AB30)=0,"",IF(Library!AC30&gt;0,Library!AC30,Library!AB30))</f>
        <v/>
      </c>
    </row>
    <row r="30" spans="1:8" x14ac:dyDescent="0.25">
      <c r="A30" t="str">
        <f>IF(LEN(Library!D31)=0,"",Library!D31)</f>
        <v/>
      </c>
      <c r="B30" t="str">
        <f>IF(LEN(Library!E31)=0,"",Library!E31)</f>
        <v/>
      </c>
      <c r="C30" t="str">
        <f>IF(LEN(Library!F31)=0,"",exp_id)</f>
        <v/>
      </c>
      <c r="D30" t="str">
        <f>IF(LEN(Library!F31)=0,"",Library!F31)</f>
        <v/>
      </c>
      <c r="E30" t="str">
        <f>IF(LEN(Library!G31)=0,"",Library!G31)</f>
        <v/>
      </c>
      <c r="F30" t="str">
        <f>IF(LEN(Library!AE31)=0,"",Library!AE31)</f>
        <v/>
      </c>
      <c r="G30" t="str">
        <f>IF(LEN(Library!F31)=0,"",CONCATENATE("barcode",Library!K31))</f>
        <v/>
      </c>
      <c r="H30" t="str">
        <f>IF(LEN(Library!AB31)=0,"",IF(Library!AC31&gt;0,Library!AC31,Library!AB31))</f>
        <v/>
      </c>
    </row>
    <row r="31" spans="1:8" x14ac:dyDescent="0.25">
      <c r="A31" t="str">
        <f>IF(LEN(Library!D32)=0,"",Library!D32)</f>
        <v/>
      </c>
      <c r="B31" t="str">
        <f>IF(LEN(Library!E32)=0,"",Library!E32)</f>
        <v/>
      </c>
      <c r="C31" t="str">
        <f>IF(LEN(Library!F32)=0,"",exp_id)</f>
        <v/>
      </c>
      <c r="D31" t="str">
        <f>IF(LEN(Library!F32)=0,"",Library!F32)</f>
        <v/>
      </c>
      <c r="E31" t="str">
        <f>IF(LEN(Library!G32)=0,"",Library!G32)</f>
        <v/>
      </c>
      <c r="F31" t="str">
        <f>IF(LEN(Library!AE32)=0,"",Library!AE32)</f>
        <v/>
      </c>
      <c r="G31" t="str">
        <f>IF(LEN(Library!F32)=0,"",CONCATENATE("barcode",Library!K32))</f>
        <v/>
      </c>
      <c r="H31" t="str">
        <f>IF(LEN(Library!AB32)=0,"",IF(Library!AC32&gt;0,Library!AC32,Library!AB32))</f>
        <v/>
      </c>
    </row>
    <row r="32" spans="1:8" x14ac:dyDescent="0.25">
      <c r="A32" t="str">
        <f>IF(LEN(Library!D33)=0,"",Library!D33)</f>
        <v/>
      </c>
      <c r="B32" t="str">
        <f>IF(LEN(Library!E33)=0,"",Library!E33)</f>
        <v/>
      </c>
      <c r="C32" t="str">
        <f>IF(LEN(Library!F33)=0,"",exp_id)</f>
        <v/>
      </c>
      <c r="D32" t="str">
        <f>IF(LEN(Library!F33)=0,"",Library!F33)</f>
        <v/>
      </c>
      <c r="E32" t="str">
        <f>IF(LEN(Library!G33)=0,"",Library!G33)</f>
        <v/>
      </c>
      <c r="F32" t="str">
        <f>IF(LEN(Library!AE33)=0,"",Library!AE33)</f>
        <v/>
      </c>
      <c r="G32" t="str">
        <f>IF(LEN(Library!F33)=0,"",CONCATENATE("barcode",Library!K33))</f>
        <v/>
      </c>
      <c r="H32" t="str">
        <f>IF(LEN(Library!AB33)=0,"",IF(Library!AC33&gt;0,Library!AC33,Library!AB33))</f>
        <v/>
      </c>
    </row>
    <row r="33" spans="1:8" x14ac:dyDescent="0.25">
      <c r="A33" t="str">
        <f>IF(LEN(Library!D34)=0,"",Library!D34)</f>
        <v/>
      </c>
      <c r="B33" t="str">
        <f>IF(LEN(Library!E34)=0,"",Library!E34)</f>
        <v/>
      </c>
      <c r="C33" t="str">
        <f>IF(LEN(Library!F34)=0,"",exp_id)</f>
        <v/>
      </c>
      <c r="D33" t="str">
        <f>IF(LEN(Library!F34)=0,"",Library!F34)</f>
        <v/>
      </c>
      <c r="E33" t="str">
        <f>IF(LEN(Library!G34)=0,"",Library!G34)</f>
        <v/>
      </c>
      <c r="F33" t="str">
        <f>IF(LEN(Library!AE34)=0,"",Library!AE34)</f>
        <v/>
      </c>
      <c r="G33" t="str">
        <f>IF(LEN(Library!F34)=0,"",CONCATENATE("barcode",Library!K34))</f>
        <v/>
      </c>
      <c r="H33" t="str">
        <f>IF(LEN(Library!AB34)=0,"",IF(Library!AC34&gt;0,Library!AC34,Library!AB34))</f>
        <v/>
      </c>
    </row>
    <row r="34" spans="1:8" x14ac:dyDescent="0.25">
      <c r="A34" t="str">
        <f>IF(LEN(Library!D35)=0,"",Library!D35)</f>
        <v/>
      </c>
      <c r="B34" t="str">
        <f>IF(LEN(Library!E35)=0,"",Library!E35)</f>
        <v/>
      </c>
      <c r="C34" t="str">
        <f>IF(LEN(Library!F35)=0,"",exp_id)</f>
        <v/>
      </c>
      <c r="D34" t="str">
        <f>IF(LEN(Library!F35)=0,"",Library!F35)</f>
        <v/>
      </c>
      <c r="E34" t="str">
        <f>IF(LEN(Library!G35)=0,"",Library!G35)</f>
        <v/>
      </c>
      <c r="F34" t="str">
        <f>IF(LEN(Library!AE35)=0,"",Library!AE35)</f>
        <v/>
      </c>
      <c r="G34" t="str">
        <f>IF(LEN(Library!F35)=0,"",CONCATENATE("barcode",Library!K35))</f>
        <v/>
      </c>
      <c r="H34" t="str">
        <f>IF(LEN(Library!AB35)=0,"",IF(Library!AC35&gt;0,Library!AC35,Library!AB35))</f>
        <v/>
      </c>
    </row>
    <row r="35" spans="1:8" x14ac:dyDescent="0.25">
      <c r="A35" t="str">
        <f>IF(LEN(Library!D36)=0,"",Library!D36)</f>
        <v/>
      </c>
      <c r="B35" t="str">
        <f>IF(LEN(Library!E36)=0,"",Library!E36)</f>
        <v/>
      </c>
      <c r="C35" t="str">
        <f>IF(LEN(Library!F36)=0,"",exp_id)</f>
        <v/>
      </c>
      <c r="D35" t="str">
        <f>IF(LEN(Library!F36)=0,"",Library!F36)</f>
        <v/>
      </c>
      <c r="E35" t="str">
        <f>IF(LEN(Library!G36)=0,"",Library!G36)</f>
        <v/>
      </c>
      <c r="F35" t="str">
        <f>IF(LEN(Library!AE36)=0,"",Library!AE36)</f>
        <v/>
      </c>
      <c r="G35" t="str">
        <f>IF(LEN(Library!F36)=0,"",CONCATENATE("barcode",Library!K36))</f>
        <v/>
      </c>
      <c r="H35" t="str">
        <f>IF(LEN(Library!AB36)=0,"",IF(Library!AC36&gt;0,Library!AC36,Library!AB36))</f>
        <v/>
      </c>
    </row>
    <row r="36" spans="1:8" x14ac:dyDescent="0.25">
      <c r="A36" t="str">
        <f>IF(LEN(Library!D37)=0,"",Library!D37)</f>
        <v/>
      </c>
      <c r="B36" t="str">
        <f>IF(LEN(Library!E37)=0,"",Library!E37)</f>
        <v/>
      </c>
      <c r="C36" t="str">
        <f>IF(LEN(Library!F37)=0,"",exp_id)</f>
        <v/>
      </c>
      <c r="D36" t="str">
        <f>IF(LEN(Library!F37)=0,"",Library!F37)</f>
        <v/>
      </c>
      <c r="E36" t="str">
        <f>IF(LEN(Library!G37)=0,"",Library!G37)</f>
        <v/>
      </c>
      <c r="F36" t="str">
        <f>IF(LEN(Library!AE37)=0,"",Library!AE37)</f>
        <v/>
      </c>
      <c r="G36" t="str">
        <f>IF(LEN(Library!F37)=0,"",CONCATENATE("barcode",Library!K37))</f>
        <v/>
      </c>
      <c r="H36" t="str">
        <f>IF(LEN(Library!AB37)=0,"",IF(Library!AC37&gt;0,Library!AC37,Library!AB37))</f>
        <v/>
      </c>
    </row>
    <row r="37" spans="1:8" x14ac:dyDescent="0.25">
      <c r="A37" t="str">
        <f>IF(LEN(Library!D38)=0,"",Library!D38)</f>
        <v/>
      </c>
      <c r="B37" t="str">
        <f>IF(LEN(Library!E38)=0,"",Library!E38)</f>
        <v/>
      </c>
      <c r="C37" t="str">
        <f>IF(LEN(Library!F38)=0,"",exp_id)</f>
        <v/>
      </c>
      <c r="D37" t="str">
        <f>IF(LEN(Library!F38)=0,"",Library!F38)</f>
        <v/>
      </c>
      <c r="E37" t="str">
        <f>IF(LEN(Library!G38)=0,"",Library!G38)</f>
        <v/>
      </c>
      <c r="F37" t="str">
        <f>IF(LEN(Library!AE38)=0,"",Library!AE38)</f>
        <v/>
      </c>
      <c r="G37" t="str">
        <f>IF(LEN(Library!F38)=0,"",CONCATENATE("barcode",Library!K38))</f>
        <v/>
      </c>
      <c r="H37" t="str">
        <f>IF(LEN(Library!AB38)=0,"",IF(Library!AC38&gt;0,Library!AC38,Library!AB38))</f>
        <v/>
      </c>
    </row>
    <row r="38" spans="1:8" x14ac:dyDescent="0.25">
      <c r="A38" t="str">
        <f>IF(LEN(Library!D39)=0,"",Library!D39)</f>
        <v/>
      </c>
      <c r="B38" t="str">
        <f>IF(LEN(Library!E39)=0,"",Library!E39)</f>
        <v/>
      </c>
      <c r="C38" t="str">
        <f>IF(LEN(Library!F39)=0,"",exp_id)</f>
        <v/>
      </c>
      <c r="D38" t="str">
        <f>IF(LEN(Library!F39)=0,"",Library!F39)</f>
        <v/>
      </c>
      <c r="E38" t="str">
        <f>IF(LEN(Library!G39)=0,"",Library!G39)</f>
        <v/>
      </c>
      <c r="F38" t="str">
        <f>IF(LEN(Library!AE39)=0,"",Library!AE39)</f>
        <v/>
      </c>
      <c r="G38" t="str">
        <f>IF(LEN(Library!F39)=0,"",CONCATENATE("barcode",Library!K39))</f>
        <v/>
      </c>
      <c r="H38" t="str">
        <f>IF(LEN(Library!AB39)=0,"",IF(Library!AC39&gt;0,Library!AC39,Library!AB39))</f>
        <v/>
      </c>
    </row>
    <row r="39" spans="1:8" x14ac:dyDescent="0.25">
      <c r="A39" t="str">
        <f>IF(LEN(Library!D40)=0,"",Library!D40)</f>
        <v/>
      </c>
      <c r="B39" t="str">
        <f>IF(LEN(Library!E40)=0,"",Library!E40)</f>
        <v/>
      </c>
      <c r="C39" t="str">
        <f>IF(LEN(Library!F40)=0,"",exp_id)</f>
        <v/>
      </c>
      <c r="D39" t="str">
        <f>IF(LEN(Library!F40)=0,"",Library!F40)</f>
        <v/>
      </c>
      <c r="E39" t="str">
        <f>IF(LEN(Library!G40)=0,"",Library!G40)</f>
        <v/>
      </c>
      <c r="F39" t="str">
        <f>IF(LEN(Library!AE40)=0,"",Library!AE40)</f>
        <v/>
      </c>
      <c r="G39" t="str">
        <f>IF(LEN(Library!F40)=0,"",CONCATENATE("barcode",Library!K40))</f>
        <v/>
      </c>
      <c r="H39" t="str">
        <f>IF(LEN(Library!AB40)=0,"",IF(Library!AC40&gt;0,Library!AC40,Library!AB40))</f>
        <v/>
      </c>
    </row>
    <row r="40" spans="1:8" x14ac:dyDescent="0.25">
      <c r="A40" t="str">
        <f>IF(LEN(Library!D41)=0,"",Library!D41)</f>
        <v/>
      </c>
      <c r="B40" t="str">
        <f>IF(LEN(Library!E41)=0,"",Library!E41)</f>
        <v/>
      </c>
      <c r="C40" t="str">
        <f>IF(LEN(Library!F41)=0,"",exp_id)</f>
        <v/>
      </c>
      <c r="D40" t="str">
        <f>IF(LEN(Library!F41)=0,"",Library!F41)</f>
        <v/>
      </c>
      <c r="E40" t="str">
        <f>IF(LEN(Library!G41)=0,"",Library!G41)</f>
        <v/>
      </c>
      <c r="F40" t="str">
        <f>IF(LEN(Library!AE41)=0,"",Library!AE41)</f>
        <v/>
      </c>
      <c r="G40" t="str">
        <f>IF(LEN(Library!F41)=0,"",CONCATENATE("barcode",Library!K41))</f>
        <v/>
      </c>
      <c r="H40" t="str">
        <f>IF(LEN(Library!AB41)=0,"",IF(Library!AC41&gt;0,Library!AC41,Library!AB41))</f>
        <v/>
      </c>
    </row>
    <row r="41" spans="1:8" x14ac:dyDescent="0.25">
      <c r="A41" t="str">
        <f>IF(LEN(Library!D42)=0,"",Library!D42)</f>
        <v/>
      </c>
      <c r="B41" t="str">
        <f>IF(LEN(Library!E42)=0,"",Library!E42)</f>
        <v/>
      </c>
      <c r="C41" t="str">
        <f>IF(LEN(Library!F42)=0,"",exp_id)</f>
        <v/>
      </c>
      <c r="D41" t="str">
        <f>IF(LEN(Library!F42)=0,"",Library!F42)</f>
        <v/>
      </c>
      <c r="E41" t="str">
        <f>IF(LEN(Library!G42)=0,"",Library!G42)</f>
        <v/>
      </c>
      <c r="F41" t="str">
        <f>IF(LEN(Library!AE42)=0,"",Library!AE42)</f>
        <v/>
      </c>
      <c r="G41" t="str">
        <f>IF(LEN(Library!F42)=0,"",CONCATENATE("barcode",Library!K42))</f>
        <v/>
      </c>
      <c r="H41" t="str">
        <f>IF(LEN(Library!AB42)=0,"",IF(Library!AC42&gt;0,Library!AC42,Library!AB42))</f>
        <v/>
      </c>
    </row>
    <row r="42" spans="1:8" x14ac:dyDescent="0.25">
      <c r="A42" t="str">
        <f>IF(LEN(Library!D43)=0,"",Library!D43)</f>
        <v/>
      </c>
      <c r="B42" t="str">
        <f>IF(LEN(Library!E43)=0,"",Library!E43)</f>
        <v/>
      </c>
      <c r="C42" t="str">
        <f>IF(LEN(Library!F43)=0,"",exp_id)</f>
        <v/>
      </c>
      <c r="D42" t="str">
        <f>IF(LEN(Library!F43)=0,"",Library!F43)</f>
        <v/>
      </c>
      <c r="E42" t="str">
        <f>IF(LEN(Library!G43)=0,"",Library!G43)</f>
        <v/>
      </c>
      <c r="F42" t="str">
        <f>IF(LEN(Library!AE43)=0,"",Library!AE43)</f>
        <v/>
      </c>
      <c r="G42" t="str">
        <f>IF(LEN(Library!F43)=0,"",CONCATENATE("barcode",Library!K43))</f>
        <v/>
      </c>
      <c r="H42" t="str">
        <f>IF(LEN(Library!AB43)=0,"",IF(Library!AC43&gt;0,Library!AC43,Library!AB43))</f>
        <v/>
      </c>
    </row>
    <row r="43" spans="1:8" x14ac:dyDescent="0.25">
      <c r="A43" t="str">
        <f>IF(LEN(Library!D44)=0,"",Library!D44)</f>
        <v/>
      </c>
      <c r="B43" t="str">
        <f>IF(LEN(Library!E44)=0,"",Library!E44)</f>
        <v/>
      </c>
      <c r="C43" t="str">
        <f>IF(LEN(Library!F44)=0,"",exp_id)</f>
        <v/>
      </c>
      <c r="D43" t="str">
        <f>IF(LEN(Library!F44)=0,"",Library!F44)</f>
        <v/>
      </c>
      <c r="E43" t="str">
        <f>IF(LEN(Library!G44)=0,"",Library!G44)</f>
        <v/>
      </c>
      <c r="F43" t="str">
        <f>IF(LEN(Library!AE44)=0,"",Library!AE44)</f>
        <v/>
      </c>
      <c r="G43" t="str">
        <f>IF(LEN(Library!F44)=0,"",CONCATENATE("barcode",Library!K44))</f>
        <v/>
      </c>
      <c r="H43" t="str">
        <f>IF(LEN(Library!AB44)=0,"",IF(Library!AC44&gt;0,Library!AC44,Library!AB44))</f>
        <v/>
      </c>
    </row>
    <row r="44" spans="1:8" x14ac:dyDescent="0.25">
      <c r="A44" t="str">
        <f>IF(LEN(Library!D45)=0,"",Library!D45)</f>
        <v/>
      </c>
      <c r="B44" t="str">
        <f>IF(LEN(Library!E45)=0,"",Library!E45)</f>
        <v/>
      </c>
      <c r="C44" t="str">
        <f>IF(LEN(Library!F45)=0,"",exp_id)</f>
        <v/>
      </c>
      <c r="D44" t="str">
        <f>IF(LEN(Library!F45)=0,"",Library!F45)</f>
        <v/>
      </c>
      <c r="E44" t="str">
        <f>IF(LEN(Library!G45)=0,"",Library!G45)</f>
        <v/>
      </c>
      <c r="F44" t="str">
        <f>IF(LEN(Library!AE45)=0,"",Library!AE45)</f>
        <v/>
      </c>
      <c r="G44" t="str">
        <f>IF(LEN(Library!F45)=0,"",CONCATENATE("barcode",Library!K45))</f>
        <v/>
      </c>
      <c r="H44" t="str">
        <f>IF(LEN(Library!AB45)=0,"",IF(Library!AC45&gt;0,Library!AC45,Library!AB45))</f>
        <v/>
      </c>
    </row>
    <row r="45" spans="1:8" x14ac:dyDescent="0.25">
      <c r="A45" t="str">
        <f>IF(LEN(Library!D46)=0,"",Library!D46)</f>
        <v/>
      </c>
      <c r="B45" t="str">
        <f>IF(LEN(Library!E46)=0,"",Library!E46)</f>
        <v/>
      </c>
      <c r="C45" t="str">
        <f>IF(LEN(Library!F46)=0,"",exp_id)</f>
        <v/>
      </c>
      <c r="D45" t="str">
        <f>IF(LEN(Library!F46)=0,"",Library!F46)</f>
        <v/>
      </c>
      <c r="E45" t="str">
        <f>IF(LEN(Library!G46)=0,"",Library!G46)</f>
        <v/>
      </c>
      <c r="F45" t="str">
        <f>IF(LEN(Library!AE46)=0,"",Library!AE46)</f>
        <v/>
      </c>
      <c r="G45" t="str">
        <f>IF(LEN(Library!F46)=0,"",CONCATENATE("barcode",Library!K46))</f>
        <v/>
      </c>
      <c r="H45" t="str">
        <f>IF(LEN(Library!AB46)=0,"",IF(Library!AC46&gt;0,Library!AC46,Library!AB46))</f>
        <v/>
      </c>
    </row>
    <row r="46" spans="1:8" x14ac:dyDescent="0.25">
      <c r="A46" t="str">
        <f>IF(LEN(Library!D47)=0,"",Library!D47)</f>
        <v/>
      </c>
      <c r="B46" t="str">
        <f>IF(LEN(Library!E47)=0,"",Library!E47)</f>
        <v/>
      </c>
      <c r="C46" t="str">
        <f>IF(LEN(Library!F47)=0,"",exp_id)</f>
        <v/>
      </c>
      <c r="D46" t="str">
        <f>IF(LEN(Library!F47)=0,"",Library!F47)</f>
        <v/>
      </c>
      <c r="E46" t="str">
        <f>IF(LEN(Library!G47)=0,"",Library!G47)</f>
        <v/>
      </c>
      <c r="F46" t="str">
        <f>IF(LEN(Library!AE47)=0,"",Library!AE47)</f>
        <v/>
      </c>
      <c r="G46" t="str">
        <f>IF(LEN(Library!F47)=0,"",CONCATENATE("barcode",Library!K47))</f>
        <v/>
      </c>
      <c r="H46" t="str">
        <f>IF(LEN(Library!AB47)=0,"",IF(Library!AC47&gt;0,Library!AC47,Library!AB47))</f>
        <v/>
      </c>
    </row>
    <row r="47" spans="1:8" x14ac:dyDescent="0.25">
      <c r="A47" t="str">
        <f>IF(LEN(Library!D48)=0,"",Library!D48)</f>
        <v/>
      </c>
      <c r="B47" t="str">
        <f>IF(LEN(Library!E48)=0,"",Library!E48)</f>
        <v/>
      </c>
      <c r="C47" t="str">
        <f>IF(LEN(Library!F48)=0,"",exp_id)</f>
        <v/>
      </c>
      <c r="D47" t="str">
        <f>IF(LEN(Library!F48)=0,"",Library!F48)</f>
        <v/>
      </c>
      <c r="E47" t="str">
        <f>IF(LEN(Library!G48)=0,"",Library!G48)</f>
        <v/>
      </c>
      <c r="F47" t="str">
        <f>IF(LEN(Library!AE48)=0,"",Library!AE48)</f>
        <v/>
      </c>
      <c r="G47" t="str">
        <f>IF(LEN(Library!F48)=0,"",CONCATENATE("barcode",Library!K48))</f>
        <v/>
      </c>
      <c r="H47" t="str">
        <f>IF(LEN(Library!AB48)=0,"",IF(Library!AC48&gt;0,Library!AC48,Library!AB48))</f>
        <v/>
      </c>
    </row>
    <row r="48" spans="1:8" x14ac:dyDescent="0.25">
      <c r="A48" t="str">
        <f>IF(LEN(Library!D49)=0,"",Library!D49)</f>
        <v/>
      </c>
      <c r="B48" t="str">
        <f>IF(LEN(Library!E49)=0,"",Library!E49)</f>
        <v/>
      </c>
      <c r="C48" t="str">
        <f>IF(LEN(Library!F49)=0,"",exp_id)</f>
        <v/>
      </c>
      <c r="D48" t="str">
        <f>IF(LEN(Library!F49)=0,"",Library!F49)</f>
        <v/>
      </c>
      <c r="E48" t="str">
        <f>IF(LEN(Library!G49)=0,"",Library!G49)</f>
        <v/>
      </c>
      <c r="F48" t="str">
        <f>IF(LEN(Library!AE49)=0,"",Library!AE49)</f>
        <v/>
      </c>
      <c r="G48" t="str">
        <f>IF(LEN(Library!F49)=0,"",CONCATENATE("barcode",Library!K49))</f>
        <v/>
      </c>
      <c r="H48" t="str">
        <f>IF(LEN(Library!AB49)=0,"",IF(Library!AC49&gt;0,Library!AC49,Library!AB49))</f>
        <v/>
      </c>
    </row>
    <row r="49" spans="1:8" x14ac:dyDescent="0.25">
      <c r="A49" t="str">
        <f>IF(LEN(Library!D50)=0,"",Library!D50)</f>
        <v/>
      </c>
      <c r="B49" t="str">
        <f>IF(LEN(Library!E50)=0,"",Library!E50)</f>
        <v/>
      </c>
      <c r="C49" t="str">
        <f>IF(LEN(Library!F50)=0,"",exp_id)</f>
        <v/>
      </c>
      <c r="D49" t="str">
        <f>IF(LEN(Library!F50)=0,"",Library!F50)</f>
        <v/>
      </c>
      <c r="E49" t="str">
        <f>IF(LEN(Library!G50)=0,"",Library!G50)</f>
        <v/>
      </c>
      <c r="F49" t="str">
        <f>IF(LEN(Library!AE50)=0,"",Library!AE50)</f>
        <v/>
      </c>
      <c r="G49" t="str">
        <f>IF(LEN(Library!F50)=0,"",CONCATENATE("barcode",Library!K50))</f>
        <v/>
      </c>
      <c r="H49" t="str">
        <f>IF(LEN(Library!AB50)=0,"",IF(Library!AC50&gt;0,Library!AC50,Library!AB50))</f>
        <v/>
      </c>
    </row>
    <row r="50" spans="1:8" x14ac:dyDescent="0.25">
      <c r="A50" t="str">
        <f>IF(LEN(Library!D51)=0,"",Library!D51)</f>
        <v/>
      </c>
      <c r="B50" t="str">
        <f>IF(LEN(Library!E51)=0,"",Library!E51)</f>
        <v/>
      </c>
      <c r="C50" t="str">
        <f>IF(LEN(Library!F51)=0,"",exp_id)</f>
        <v/>
      </c>
      <c r="D50" t="str">
        <f>IF(LEN(Library!F51)=0,"",Library!F51)</f>
        <v/>
      </c>
      <c r="E50" t="str">
        <f>IF(LEN(Library!G51)=0,"",Library!G51)</f>
        <v/>
      </c>
      <c r="F50" t="str">
        <f>IF(LEN(Library!AE51)=0,"",Library!AE51)</f>
        <v/>
      </c>
      <c r="G50" t="str">
        <f>IF(LEN(Library!F51)=0,"",CONCATENATE("barcode",Library!K51))</f>
        <v/>
      </c>
      <c r="H50" t="str">
        <f>IF(LEN(Library!AB51)=0,"",IF(Library!AC51&gt;0,Library!AC51,Library!AB51))</f>
        <v/>
      </c>
    </row>
    <row r="51" spans="1:8" x14ac:dyDescent="0.25">
      <c r="A51" t="str">
        <f>IF(LEN(Library!D52)=0,"",Library!D52)</f>
        <v/>
      </c>
      <c r="B51" t="str">
        <f>IF(LEN(Library!E52)=0,"",Library!E52)</f>
        <v/>
      </c>
      <c r="C51" t="str">
        <f>IF(LEN(Library!F52)=0,"",exp_id)</f>
        <v/>
      </c>
      <c r="D51" t="str">
        <f>IF(LEN(Library!F52)=0,"",Library!F52)</f>
        <v/>
      </c>
      <c r="E51" t="str">
        <f>IF(LEN(Library!G52)=0,"",Library!G52)</f>
        <v/>
      </c>
      <c r="F51" t="str">
        <f>IF(LEN(Library!AE52)=0,"",Library!AE52)</f>
        <v/>
      </c>
      <c r="G51" t="str">
        <f>IF(LEN(Library!F52)=0,"",CONCATENATE("barcode",Library!K52))</f>
        <v/>
      </c>
      <c r="H51" t="str">
        <f>IF(LEN(Library!AB52)=0,"",IF(Library!AC52&gt;0,Library!AC52,Library!AB52))</f>
        <v/>
      </c>
    </row>
    <row r="52" spans="1:8" x14ac:dyDescent="0.25">
      <c r="A52" t="str">
        <f>IF(LEN(Library!D53)=0,"",Library!D53)</f>
        <v/>
      </c>
      <c r="B52" t="str">
        <f>IF(LEN(Library!E53)=0,"",Library!E53)</f>
        <v/>
      </c>
      <c r="C52" t="str">
        <f>IF(LEN(Library!F53)=0,"",exp_id)</f>
        <v/>
      </c>
      <c r="D52" t="str">
        <f>IF(LEN(Library!F53)=0,"",Library!F53)</f>
        <v/>
      </c>
      <c r="E52" t="str">
        <f>IF(LEN(Library!G53)=0,"",Library!G53)</f>
        <v/>
      </c>
      <c r="F52" t="str">
        <f>IF(LEN(Library!AE53)=0,"",Library!AE53)</f>
        <v/>
      </c>
      <c r="G52" t="str">
        <f>IF(LEN(Library!F53)=0,"",CONCATENATE("barcode",Library!K53))</f>
        <v/>
      </c>
      <c r="H52" t="str">
        <f>IF(LEN(Library!AB53)=0,"",IF(Library!AC53&gt;0,Library!AC53,Library!AB53))</f>
        <v/>
      </c>
    </row>
    <row r="53" spans="1:8" x14ac:dyDescent="0.25">
      <c r="A53" t="str">
        <f>IF(LEN(Library!D54)=0,"",Library!D54)</f>
        <v/>
      </c>
      <c r="B53" t="str">
        <f>IF(LEN(Library!E54)=0,"",Library!E54)</f>
        <v/>
      </c>
      <c r="C53" t="str">
        <f>IF(LEN(Library!F54)=0,"",exp_id)</f>
        <v/>
      </c>
      <c r="D53" t="str">
        <f>IF(LEN(Library!F54)=0,"",Library!F54)</f>
        <v/>
      </c>
      <c r="E53" t="str">
        <f>IF(LEN(Library!G54)=0,"",Library!G54)</f>
        <v/>
      </c>
      <c r="F53" t="str">
        <f>IF(LEN(Library!AE54)=0,"",Library!AE54)</f>
        <v/>
      </c>
      <c r="G53" t="str">
        <f>IF(LEN(Library!F54)=0,"",CONCATENATE("barcode",Library!K54))</f>
        <v/>
      </c>
      <c r="H53" t="str">
        <f>IF(LEN(Library!AB54)=0,"",IF(Library!AC54&gt;0,Library!AC54,Library!AB54))</f>
        <v/>
      </c>
    </row>
    <row r="54" spans="1:8" x14ac:dyDescent="0.25">
      <c r="A54" t="str">
        <f>IF(LEN(Library!D55)=0,"",Library!D55)</f>
        <v/>
      </c>
      <c r="B54" t="str">
        <f>IF(LEN(Library!E55)=0,"",Library!E55)</f>
        <v/>
      </c>
      <c r="C54" t="str">
        <f>IF(LEN(Library!F55)=0,"",exp_id)</f>
        <v/>
      </c>
      <c r="D54" t="str">
        <f>IF(LEN(Library!F55)=0,"",Library!F55)</f>
        <v/>
      </c>
      <c r="E54" t="str">
        <f>IF(LEN(Library!G55)=0,"",Library!G55)</f>
        <v/>
      </c>
      <c r="F54" t="str">
        <f>IF(LEN(Library!AE55)=0,"",Library!AE55)</f>
        <v/>
      </c>
      <c r="G54" t="str">
        <f>IF(LEN(Library!F55)=0,"",CONCATENATE("barcode",Library!K55))</f>
        <v/>
      </c>
      <c r="H54" t="str">
        <f>IF(LEN(Library!AB55)=0,"",IF(Library!AC55&gt;0,Library!AC55,Library!AB55))</f>
        <v/>
      </c>
    </row>
    <row r="55" spans="1:8" x14ac:dyDescent="0.25">
      <c r="A55" t="str">
        <f>IF(LEN(Library!D56)=0,"",Library!D56)</f>
        <v/>
      </c>
      <c r="B55" t="str">
        <f>IF(LEN(Library!E56)=0,"",Library!E56)</f>
        <v/>
      </c>
      <c r="C55" t="str">
        <f>IF(LEN(Library!F56)=0,"",exp_id)</f>
        <v/>
      </c>
      <c r="D55" t="str">
        <f>IF(LEN(Library!F56)=0,"",Library!F56)</f>
        <v/>
      </c>
      <c r="E55" t="str">
        <f>IF(LEN(Library!G56)=0,"",Library!G56)</f>
        <v/>
      </c>
      <c r="F55" t="str">
        <f>IF(LEN(Library!AE56)=0,"",Library!AE56)</f>
        <v/>
      </c>
      <c r="G55" t="str">
        <f>IF(LEN(Library!F56)=0,"",CONCATENATE("barcode",Library!K56))</f>
        <v/>
      </c>
      <c r="H55" t="str">
        <f>IF(LEN(Library!AB56)=0,"",IF(Library!AC56&gt;0,Library!AC56,Library!AB56))</f>
        <v/>
      </c>
    </row>
    <row r="56" spans="1:8" x14ac:dyDescent="0.25">
      <c r="A56" t="str">
        <f>IF(LEN(Library!D57)=0,"",Library!D57)</f>
        <v/>
      </c>
      <c r="B56" t="str">
        <f>IF(LEN(Library!E57)=0,"",Library!E57)</f>
        <v/>
      </c>
      <c r="C56" t="str">
        <f>IF(LEN(Library!F57)=0,"",exp_id)</f>
        <v/>
      </c>
      <c r="D56" t="str">
        <f>IF(LEN(Library!F57)=0,"",Library!F57)</f>
        <v/>
      </c>
      <c r="E56" t="str">
        <f>IF(LEN(Library!G57)=0,"",Library!G57)</f>
        <v/>
      </c>
      <c r="F56" t="str">
        <f>IF(LEN(Library!AE57)=0,"",Library!AE57)</f>
        <v/>
      </c>
      <c r="G56" t="str">
        <f>IF(LEN(Library!F57)=0,"",CONCATENATE("barcode",Library!K57))</f>
        <v/>
      </c>
      <c r="H56" t="str">
        <f>IF(LEN(Library!AB57)=0,"",IF(Library!AC57&gt;0,Library!AC57,Library!AB57))</f>
        <v/>
      </c>
    </row>
    <row r="57" spans="1:8" x14ac:dyDescent="0.25">
      <c r="A57" t="str">
        <f>IF(LEN(Library!D58)=0,"",Library!D58)</f>
        <v/>
      </c>
      <c r="B57" t="str">
        <f>IF(LEN(Library!E58)=0,"",Library!E58)</f>
        <v/>
      </c>
      <c r="C57" t="str">
        <f>IF(LEN(Library!F58)=0,"",exp_id)</f>
        <v/>
      </c>
      <c r="D57" t="str">
        <f>IF(LEN(Library!F58)=0,"",Library!F58)</f>
        <v/>
      </c>
      <c r="E57" t="str">
        <f>IF(LEN(Library!G58)=0,"",Library!G58)</f>
        <v/>
      </c>
      <c r="F57" t="str">
        <f>IF(LEN(Library!AE58)=0,"",Library!AE58)</f>
        <v/>
      </c>
      <c r="G57" t="str">
        <f>IF(LEN(Library!F58)=0,"",CONCATENATE("barcode",Library!K58))</f>
        <v/>
      </c>
      <c r="H57" t="str">
        <f>IF(LEN(Library!AB58)=0,"",IF(Library!AC58&gt;0,Library!AC58,Library!AB58))</f>
        <v/>
      </c>
    </row>
    <row r="58" spans="1:8" x14ac:dyDescent="0.25">
      <c r="A58" t="str">
        <f>IF(LEN(Library!D59)=0,"",Library!D59)</f>
        <v/>
      </c>
      <c r="B58" t="str">
        <f>IF(LEN(Library!E59)=0,"",Library!E59)</f>
        <v/>
      </c>
      <c r="C58" t="str">
        <f>IF(LEN(Library!F59)=0,"",exp_id)</f>
        <v/>
      </c>
      <c r="D58" t="str">
        <f>IF(LEN(Library!F59)=0,"",Library!F59)</f>
        <v/>
      </c>
      <c r="E58" t="str">
        <f>IF(LEN(Library!G59)=0,"",Library!G59)</f>
        <v/>
      </c>
      <c r="F58" t="str">
        <f>IF(LEN(Library!AE59)=0,"",Library!AE59)</f>
        <v/>
      </c>
      <c r="G58" t="str">
        <f>IF(LEN(Library!F59)=0,"",CONCATENATE("barcode",Library!K59))</f>
        <v/>
      </c>
      <c r="H58" t="str">
        <f>IF(LEN(Library!AB59)=0,"",IF(Library!AC59&gt;0,Library!AC59,Library!AB59))</f>
        <v/>
      </c>
    </row>
    <row r="59" spans="1:8" x14ac:dyDescent="0.25">
      <c r="A59" t="str">
        <f>IF(LEN(Library!D60)=0,"",Library!D60)</f>
        <v/>
      </c>
      <c r="B59" t="str">
        <f>IF(LEN(Library!E60)=0,"",Library!E60)</f>
        <v/>
      </c>
      <c r="C59" t="str">
        <f>IF(LEN(Library!F60)=0,"",exp_id)</f>
        <v/>
      </c>
      <c r="D59" t="str">
        <f>IF(LEN(Library!F60)=0,"",Library!F60)</f>
        <v/>
      </c>
      <c r="E59" t="str">
        <f>IF(LEN(Library!G60)=0,"",Library!G60)</f>
        <v/>
      </c>
      <c r="F59" t="str">
        <f>IF(LEN(Library!AE60)=0,"",Library!AE60)</f>
        <v/>
      </c>
      <c r="G59" t="str">
        <f>IF(LEN(Library!F60)=0,"",CONCATENATE("barcode",Library!K60))</f>
        <v/>
      </c>
      <c r="H59" t="str">
        <f>IF(LEN(Library!AB60)=0,"",IF(Library!AC60&gt;0,Library!AC60,Library!AB60))</f>
        <v/>
      </c>
    </row>
    <row r="60" spans="1:8" x14ac:dyDescent="0.25">
      <c r="A60" t="str">
        <f>IF(LEN(Library!D61)=0,"",Library!D61)</f>
        <v/>
      </c>
      <c r="B60" t="str">
        <f>IF(LEN(Library!E61)=0,"",Library!E61)</f>
        <v/>
      </c>
      <c r="C60" t="str">
        <f>IF(LEN(Library!F61)=0,"",exp_id)</f>
        <v/>
      </c>
      <c r="D60" t="str">
        <f>IF(LEN(Library!F61)=0,"",Library!F61)</f>
        <v/>
      </c>
      <c r="E60" t="str">
        <f>IF(LEN(Library!G61)=0,"",Library!G61)</f>
        <v/>
      </c>
      <c r="F60" t="str">
        <f>IF(LEN(Library!AE61)=0,"",Library!AE61)</f>
        <v/>
      </c>
      <c r="G60" t="str">
        <f>IF(LEN(Library!F61)=0,"",CONCATENATE("barcode",Library!K61))</f>
        <v/>
      </c>
      <c r="H60" t="str">
        <f>IF(LEN(Library!AB61)=0,"",IF(Library!AC61&gt;0,Library!AC61,Library!AB61))</f>
        <v/>
      </c>
    </row>
    <row r="61" spans="1:8" x14ac:dyDescent="0.25">
      <c r="A61" t="str">
        <f>IF(LEN(Library!D62)=0,"",Library!D62)</f>
        <v/>
      </c>
      <c r="B61" t="str">
        <f>IF(LEN(Library!E62)=0,"",Library!E62)</f>
        <v/>
      </c>
      <c r="C61" t="str">
        <f>IF(LEN(Library!F62)=0,"",exp_id)</f>
        <v/>
      </c>
      <c r="D61" t="str">
        <f>IF(LEN(Library!F62)=0,"",Library!F62)</f>
        <v/>
      </c>
      <c r="E61" t="str">
        <f>IF(LEN(Library!G62)=0,"",Library!G62)</f>
        <v/>
      </c>
      <c r="F61" t="str">
        <f>IF(LEN(Library!AE62)=0,"",Library!AE62)</f>
        <v/>
      </c>
      <c r="G61" t="str">
        <f>IF(LEN(Library!F62)=0,"",CONCATENATE("barcode",Library!K62))</f>
        <v/>
      </c>
      <c r="H61" t="str">
        <f>IF(LEN(Library!AB62)=0,"",IF(Library!AC62&gt;0,Library!AC62,Library!AB62))</f>
        <v/>
      </c>
    </row>
    <row r="62" spans="1:8" x14ac:dyDescent="0.25">
      <c r="A62" t="str">
        <f>IF(LEN(Library!D63)=0,"",Library!D63)</f>
        <v/>
      </c>
      <c r="B62" t="str">
        <f>IF(LEN(Library!E63)=0,"",Library!E63)</f>
        <v/>
      </c>
      <c r="C62" t="str">
        <f>IF(LEN(Library!F63)=0,"",exp_id)</f>
        <v/>
      </c>
      <c r="D62" t="str">
        <f>IF(LEN(Library!F63)=0,"",Library!F63)</f>
        <v/>
      </c>
      <c r="E62" t="str">
        <f>IF(LEN(Library!G63)=0,"",Library!G63)</f>
        <v/>
      </c>
      <c r="F62" t="str">
        <f>IF(LEN(Library!AE63)=0,"",Library!AE63)</f>
        <v/>
      </c>
      <c r="G62" t="str">
        <f>IF(LEN(Library!F63)=0,"",CONCATENATE("barcode",Library!K63))</f>
        <v/>
      </c>
      <c r="H62" t="str">
        <f>IF(LEN(Library!AB63)=0,"",IF(Library!AC63&gt;0,Library!AC63,Library!AB63))</f>
        <v/>
      </c>
    </row>
    <row r="63" spans="1:8" x14ac:dyDescent="0.25">
      <c r="A63" t="str">
        <f>IF(LEN(Library!D64)=0,"",Library!D64)</f>
        <v/>
      </c>
      <c r="B63" t="str">
        <f>IF(LEN(Library!E64)=0,"",Library!E64)</f>
        <v/>
      </c>
      <c r="C63" t="str">
        <f>IF(LEN(Library!F64)=0,"",exp_id)</f>
        <v/>
      </c>
      <c r="D63" t="str">
        <f>IF(LEN(Library!F64)=0,"",Library!F64)</f>
        <v/>
      </c>
      <c r="E63" t="str">
        <f>IF(LEN(Library!G64)=0,"",Library!G64)</f>
        <v/>
      </c>
      <c r="F63" t="str">
        <f>IF(LEN(Library!AE64)=0,"",Library!AE64)</f>
        <v/>
      </c>
      <c r="G63" t="str">
        <f>IF(LEN(Library!F64)=0,"",CONCATENATE("barcode",Library!K64))</f>
        <v/>
      </c>
      <c r="H63" t="str">
        <f>IF(LEN(Library!AB64)=0,"",IF(Library!AC64&gt;0,Library!AC64,Library!AB64))</f>
        <v/>
      </c>
    </row>
    <row r="64" spans="1:8" x14ac:dyDescent="0.25">
      <c r="A64" t="str">
        <f>IF(LEN(Library!D65)=0,"",Library!D65)</f>
        <v/>
      </c>
      <c r="B64" t="str">
        <f>IF(LEN(Library!E65)=0,"",Library!E65)</f>
        <v/>
      </c>
      <c r="C64" t="str">
        <f>IF(LEN(Library!F65)=0,"",exp_id)</f>
        <v/>
      </c>
      <c r="D64" t="str">
        <f>IF(LEN(Library!F65)=0,"",Library!F65)</f>
        <v/>
      </c>
      <c r="E64" t="str">
        <f>IF(LEN(Library!G65)=0,"",Library!G65)</f>
        <v/>
      </c>
      <c r="F64" t="str">
        <f>IF(LEN(Library!AE65)=0,"",Library!AE65)</f>
        <v/>
      </c>
      <c r="G64" t="str">
        <f>IF(LEN(Library!F65)=0,"",CONCATENATE("barcode",Library!K65))</f>
        <v/>
      </c>
      <c r="H64" t="str">
        <f>IF(LEN(Library!AB65)=0,"",IF(Library!AC65&gt;0,Library!AC65,Library!AB65))</f>
        <v/>
      </c>
    </row>
    <row r="65" spans="1:8" x14ac:dyDescent="0.25">
      <c r="A65" t="str">
        <f>IF(LEN(Library!D66)=0,"",Library!D66)</f>
        <v/>
      </c>
      <c r="B65" t="str">
        <f>IF(LEN(Library!E66)=0,"",Library!E66)</f>
        <v/>
      </c>
      <c r="C65" t="str">
        <f>IF(LEN(Library!F66)=0,"",exp_id)</f>
        <v/>
      </c>
      <c r="D65" t="str">
        <f>IF(LEN(Library!F66)=0,"",Library!F66)</f>
        <v/>
      </c>
      <c r="E65" t="str">
        <f>IF(LEN(Library!G66)=0,"",Library!G66)</f>
        <v/>
      </c>
      <c r="F65" t="str">
        <f>IF(LEN(Library!AE66)=0,"",Library!AE66)</f>
        <v/>
      </c>
      <c r="G65" t="str">
        <f>IF(LEN(Library!F66)=0,"",CONCATENATE("barcode",Library!K66))</f>
        <v/>
      </c>
      <c r="H65" t="str">
        <f>IF(LEN(Library!AB66)=0,"",IF(Library!AC66&gt;0,Library!AC66,Library!AB66))</f>
        <v/>
      </c>
    </row>
    <row r="66" spans="1:8" x14ac:dyDescent="0.25">
      <c r="A66" t="str">
        <f>IF(LEN(Library!D67)=0,"",Library!D67)</f>
        <v/>
      </c>
      <c r="B66" t="str">
        <f>IF(LEN(Library!E67)=0,"",Library!E67)</f>
        <v/>
      </c>
      <c r="C66" t="str">
        <f>IF(LEN(Library!F67)=0,"",exp_id)</f>
        <v/>
      </c>
      <c r="D66" t="str">
        <f>IF(LEN(Library!F67)=0,"",Library!F67)</f>
        <v/>
      </c>
      <c r="E66" t="str">
        <f>IF(LEN(Library!G67)=0,"",Library!G67)</f>
        <v/>
      </c>
      <c r="F66" t="str">
        <f>IF(LEN(Library!AE67)=0,"",Library!AE67)</f>
        <v/>
      </c>
      <c r="G66" t="str">
        <f>IF(LEN(Library!F67)=0,"",CONCATENATE("barcode",Library!K67))</f>
        <v/>
      </c>
      <c r="H66" t="str">
        <f>IF(LEN(Library!AB67)=0,"",IF(Library!AC67&gt;0,Library!AC67,Library!AB67))</f>
        <v/>
      </c>
    </row>
    <row r="67" spans="1:8" x14ac:dyDescent="0.25">
      <c r="A67" t="str">
        <f>IF(LEN(Library!D68)=0,"",Library!D68)</f>
        <v/>
      </c>
      <c r="B67" t="str">
        <f>IF(LEN(Library!E68)=0,"",Library!E68)</f>
        <v/>
      </c>
      <c r="C67" t="str">
        <f>IF(LEN(Library!F68)=0,"",exp_id)</f>
        <v/>
      </c>
      <c r="D67" t="str">
        <f>IF(LEN(Library!F68)=0,"",Library!F68)</f>
        <v/>
      </c>
      <c r="E67" t="str">
        <f>IF(LEN(Library!G68)=0,"",Library!G68)</f>
        <v/>
      </c>
      <c r="F67" t="str">
        <f>IF(LEN(Library!AE68)=0,"",Library!AE68)</f>
        <v/>
      </c>
      <c r="G67" t="str">
        <f>IF(LEN(Library!F68)=0,"",CONCATENATE("barcode",Library!K68))</f>
        <v/>
      </c>
      <c r="H67" t="str">
        <f>IF(LEN(Library!AB68)=0,"",IF(Library!AC68&gt;0,Library!AC68,Library!AB68))</f>
        <v/>
      </c>
    </row>
    <row r="68" spans="1:8" x14ac:dyDescent="0.25">
      <c r="A68" t="str">
        <f>IF(LEN(Library!D69)=0,"",Library!D69)</f>
        <v/>
      </c>
      <c r="B68" t="str">
        <f>IF(LEN(Library!E69)=0,"",Library!E69)</f>
        <v/>
      </c>
      <c r="C68" t="str">
        <f>IF(LEN(Library!F69)=0,"",exp_id)</f>
        <v/>
      </c>
      <c r="D68" t="str">
        <f>IF(LEN(Library!F69)=0,"",Library!F69)</f>
        <v/>
      </c>
      <c r="E68" t="str">
        <f>IF(LEN(Library!G69)=0,"",Library!G69)</f>
        <v/>
      </c>
      <c r="F68" t="str">
        <f>IF(LEN(Library!AE69)=0,"",Library!AE69)</f>
        <v/>
      </c>
      <c r="G68" t="str">
        <f>IF(LEN(Library!F69)=0,"",CONCATENATE("barcode",Library!K69))</f>
        <v/>
      </c>
      <c r="H68" t="str">
        <f>IF(LEN(Library!AB69)=0,"",IF(Library!AC69&gt;0,Library!AC69,Library!AB69))</f>
        <v/>
      </c>
    </row>
    <row r="69" spans="1:8" x14ac:dyDescent="0.25">
      <c r="A69" t="str">
        <f>IF(LEN(Library!D70)=0,"",Library!D70)</f>
        <v/>
      </c>
      <c r="B69" t="str">
        <f>IF(LEN(Library!E70)=0,"",Library!E70)</f>
        <v/>
      </c>
      <c r="C69" t="str">
        <f>IF(LEN(Library!F70)=0,"",exp_id)</f>
        <v/>
      </c>
      <c r="D69" t="str">
        <f>IF(LEN(Library!F70)=0,"",Library!F70)</f>
        <v/>
      </c>
      <c r="E69" t="str">
        <f>IF(LEN(Library!G70)=0,"",Library!G70)</f>
        <v/>
      </c>
      <c r="F69" t="str">
        <f>IF(LEN(Library!AE70)=0,"",Library!AE70)</f>
        <v/>
      </c>
      <c r="G69" t="str">
        <f>IF(LEN(Library!F70)=0,"",CONCATENATE("barcode",Library!K70))</f>
        <v/>
      </c>
      <c r="H69" t="str">
        <f>IF(LEN(Library!AB70)=0,"",IF(Library!AC70&gt;0,Library!AC70,Library!AB70))</f>
        <v/>
      </c>
    </row>
    <row r="70" spans="1:8" x14ac:dyDescent="0.25">
      <c r="A70" t="str">
        <f>IF(LEN(Library!D71)=0,"",Library!D71)</f>
        <v/>
      </c>
      <c r="B70" t="str">
        <f>IF(LEN(Library!E71)=0,"",Library!E71)</f>
        <v/>
      </c>
      <c r="C70" t="str">
        <f>IF(LEN(Library!F71)=0,"",exp_id)</f>
        <v/>
      </c>
      <c r="D70" t="str">
        <f>IF(LEN(Library!F71)=0,"",Library!F71)</f>
        <v/>
      </c>
      <c r="E70" t="str">
        <f>IF(LEN(Library!G71)=0,"",Library!G71)</f>
        <v/>
      </c>
      <c r="F70" t="str">
        <f>IF(LEN(Library!AE71)=0,"",Library!AE71)</f>
        <v/>
      </c>
      <c r="G70" t="str">
        <f>IF(LEN(Library!F71)=0,"",CONCATENATE("barcode",Library!K71))</f>
        <v/>
      </c>
      <c r="H70" t="str">
        <f>IF(LEN(Library!AB71)=0,"",IF(Library!AC71&gt;0,Library!AC71,Library!AB71))</f>
        <v/>
      </c>
    </row>
    <row r="71" spans="1:8" x14ac:dyDescent="0.25">
      <c r="A71" t="str">
        <f>IF(LEN(Library!D72)=0,"",Library!D72)</f>
        <v/>
      </c>
      <c r="B71" t="str">
        <f>IF(LEN(Library!E72)=0,"",Library!E72)</f>
        <v/>
      </c>
      <c r="C71" t="str">
        <f>IF(LEN(Library!F72)=0,"",exp_id)</f>
        <v/>
      </c>
      <c r="D71" t="str">
        <f>IF(LEN(Library!F72)=0,"",Library!F72)</f>
        <v/>
      </c>
      <c r="E71" t="str">
        <f>IF(LEN(Library!G72)=0,"",Library!G72)</f>
        <v/>
      </c>
      <c r="F71" t="str">
        <f>IF(LEN(Library!AE72)=0,"",Library!AE72)</f>
        <v/>
      </c>
      <c r="G71" t="str">
        <f>IF(LEN(Library!F72)=0,"",CONCATENATE("barcode",Library!K72))</f>
        <v/>
      </c>
      <c r="H71" t="str">
        <f>IF(LEN(Library!AB72)=0,"",IF(Library!AC72&gt;0,Library!AC72,Library!AB72))</f>
        <v/>
      </c>
    </row>
    <row r="72" spans="1:8" x14ac:dyDescent="0.25">
      <c r="A72" t="str">
        <f>IF(LEN(Library!D73)=0,"",Library!D73)</f>
        <v/>
      </c>
      <c r="B72" t="str">
        <f>IF(LEN(Library!E73)=0,"",Library!E73)</f>
        <v/>
      </c>
      <c r="C72" t="str">
        <f>IF(LEN(Library!F73)=0,"",exp_id)</f>
        <v/>
      </c>
      <c r="D72" t="str">
        <f>IF(LEN(Library!F73)=0,"",Library!F73)</f>
        <v/>
      </c>
      <c r="E72" t="str">
        <f>IF(LEN(Library!G73)=0,"",Library!G73)</f>
        <v/>
      </c>
      <c r="F72" t="str">
        <f>IF(LEN(Library!AE73)=0,"",Library!AE73)</f>
        <v/>
      </c>
      <c r="G72" t="str">
        <f>IF(LEN(Library!F73)=0,"",CONCATENATE("barcode",Library!K73))</f>
        <v/>
      </c>
      <c r="H72" t="str">
        <f>IF(LEN(Library!AB73)=0,"",IF(Library!AC73&gt;0,Library!AC73,Library!AB73))</f>
        <v/>
      </c>
    </row>
    <row r="73" spans="1:8" x14ac:dyDescent="0.25">
      <c r="A73" t="str">
        <f>IF(LEN(Library!D74)=0,"",Library!D74)</f>
        <v/>
      </c>
      <c r="B73" t="str">
        <f>IF(LEN(Library!E74)=0,"",Library!E74)</f>
        <v/>
      </c>
      <c r="C73" t="str">
        <f>IF(LEN(Library!F74)=0,"",exp_id)</f>
        <v/>
      </c>
      <c r="D73" t="str">
        <f>IF(LEN(Library!F74)=0,"",Library!F74)</f>
        <v/>
      </c>
      <c r="E73" t="str">
        <f>IF(LEN(Library!G74)=0,"",Library!G74)</f>
        <v/>
      </c>
      <c r="F73" t="str">
        <f>IF(LEN(Library!AE74)=0,"",Library!AE74)</f>
        <v/>
      </c>
      <c r="G73" t="str">
        <f>IF(LEN(Library!F74)=0,"",CONCATENATE("barcode",Library!K74))</f>
        <v/>
      </c>
      <c r="H73" t="str">
        <f>IF(LEN(Library!AB74)=0,"",IF(Library!AC74&gt;0,Library!AC74,Library!AB74))</f>
        <v/>
      </c>
    </row>
    <row r="74" spans="1:8" x14ac:dyDescent="0.25">
      <c r="A74" t="str">
        <f>IF(LEN(Library!D75)=0,"",Library!D75)</f>
        <v/>
      </c>
      <c r="B74" t="str">
        <f>IF(LEN(Library!E75)=0,"",Library!E75)</f>
        <v/>
      </c>
      <c r="C74" t="str">
        <f>IF(LEN(Library!F75)=0,"",exp_id)</f>
        <v/>
      </c>
      <c r="D74" t="str">
        <f>IF(LEN(Library!F75)=0,"",Library!F75)</f>
        <v/>
      </c>
      <c r="E74" t="str">
        <f>IF(LEN(Library!G75)=0,"",Library!G75)</f>
        <v/>
      </c>
      <c r="F74" t="str">
        <f>IF(LEN(Library!AE75)=0,"",Library!AE75)</f>
        <v/>
      </c>
      <c r="G74" t="str">
        <f>IF(LEN(Library!F75)=0,"",CONCATENATE("barcode",Library!K75))</f>
        <v/>
      </c>
      <c r="H74" t="str">
        <f>IF(LEN(Library!AB75)=0,"",IF(Library!AC75&gt;0,Library!AC75,Library!AB75))</f>
        <v/>
      </c>
    </row>
    <row r="75" spans="1:8" x14ac:dyDescent="0.25">
      <c r="A75" t="str">
        <f>IF(LEN(Library!D76)=0,"",Library!D76)</f>
        <v/>
      </c>
      <c r="B75" t="str">
        <f>IF(LEN(Library!E76)=0,"",Library!E76)</f>
        <v/>
      </c>
      <c r="C75" t="str">
        <f>IF(LEN(Library!F76)=0,"",exp_id)</f>
        <v/>
      </c>
      <c r="D75" t="str">
        <f>IF(LEN(Library!F76)=0,"",Library!F76)</f>
        <v/>
      </c>
      <c r="E75" t="str">
        <f>IF(LEN(Library!G76)=0,"",Library!G76)</f>
        <v/>
      </c>
      <c r="F75" t="str">
        <f>IF(LEN(Library!AE76)=0,"",Library!AE76)</f>
        <v/>
      </c>
      <c r="G75" t="str">
        <f>IF(LEN(Library!F76)=0,"",CONCATENATE("barcode",Library!K76))</f>
        <v/>
      </c>
      <c r="H75" t="str">
        <f>IF(LEN(Library!AB76)=0,"",IF(Library!AC76&gt;0,Library!AC76,Library!AB76))</f>
        <v/>
      </c>
    </row>
    <row r="76" spans="1:8" x14ac:dyDescent="0.25">
      <c r="A76" t="str">
        <f>IF(LEN(Library!D77)=0,"",Library!D77)</f>
        <v/>
      </c>
      <c r="B76" t="str">
        <f>IF(LEN(Library!E77)=0,"",Library!E77)</f>
        <v/>
      </c>
      <c r="C76" t="str">
        <f>IF(LEN(Library!F77)=0,"",exp_id)</f>
        <v/>
      </c>
      <c r="D76" t="str">
        <f>IF(LEN(Library!F77)=0,"",Library!F77)</f>
        <v/>
      </c>
      <c r="E76" t="str">
        <f>IF(LEN(Library!G77)=0,"",Library!G77)</f>
        <v/>
      </c>
      <c r="F76" t="str">
        <f>IF(LEN(Library!AE77)=0,"",Library!AE77)</f>
        <v/>
      </c>
      <c r="G76" t="str">
        <f>IF(LEN(Library!F77)=0,"",CONCATENATE("barcode",Library!K77))</f>
        <v/>
      </c>
      <c r="H76" t="str">
        <f>IF(LEN(Library!AB77)=0,"",IF(Library!AC77&gt;0,Library!AC77,Library!AB77))</f>
        <v/>
      </c>
    </row>
    <row r="77" spans="1:8" x14ac:dyDescent="0.25">
      <c r="A77" t="str">
        <f>IF(LEN(Library!D78)=0,"",Library!D78)</f>
        <v/>
      </c>
      <c r="B77" t="str">
        <f>IF(LEN(Library!E78)=0,"",Library!E78)</f>
        <v/>
      </c>
      <c r="C77" t="str">
        <f>IF(LEN(Library!F78)=0,"",exp_id)</f>
        <v/>
      </c>
      <c r="D77" t="str">
        <f>IF(LEN(Library!F78)=0,"",Library!F78)</f>
        <v/>
      </c>
      <c r="E77" t="str">
        <f>IF(LEN(Library!G78)=0,"",Library!G78)</f>
        <v/>
      </c>
      <c r="F77" t="str">
        <f>IF(LEN(Library!AE78)=0,"",Library!AE78)</f>
        <v/>
      </c>
      <c r="G77" t="str">
        <f>IF(LEN(Library!F78)=0,"",CONCATENATE("barcode",Library!K78))</f>
        <v/>
      </c>
      <c r="H77" t="str">
        <f>IF(LEN(Library!AB78)=0,"",IF(Library!AC78&gt;0,Library!AC78,Library!AB78))</f>
        <v/>
      </c>
    </row>
    <row r="78" spans="1:8" x14ac:dyDescent="0.25">
      <c r="A78" t="str">
        <f>IF(LEN(Library!D79)=0,"",Library!D79)</f>
        <v/>
      </c>
      <c r="B78" t="str">
        <f>IF(LEN(Library!E79)=0,"",Library!E79)</f>
        <v/>
      </c>
      <c r="C78" t="str">
        <f>IF(LEN(Library!F79)=0,"",exp_id)</f>
        <v/>
      </c>
      <c r="D78" t="str">
        <f>IF(LEN(Library!F79)=0,"",Library!F79)</f>
        <v/>
      </c>
      <c r="E78" t="str">
        <f>IF(LEN(Library!G79)=0,"",Library!G79)</f>
        <v/>
      </c>
      <c r="F78" t="str">
        <f>IF(LEN(Library!AE79)=0,"",Library!AE79)</f>
        <v/>
      </c>
      <c r="G78" t="str">
        <f>IF(LEN(Library!F79)=0,"",CONCATENATE("barcode",Library!K79))</f>
        <v/>
      </c>
      <c r="H78" t="str">
        <f>IF(LEN(Library!AB79)=0,"",IF(Library!AC79&gt;0,Library!AC79,Library!AB79))</f>
        <v/>
      </c>
    </row>
    <row r="79" spans="1:8" x14ac:dyDescent="0.25">
      <c r="A79" t="str">
        <f>IF(LEN(Library!D80)=0,"",Library!D80)</f>
        <v/>
      </c>
      <c r="B79" t="str">
        <f>IF(LEN(Library!E80)=0,"",Library!E80)</f>
        <v/>
      </c>
      <c r="C79" t="str">
        <f>IF(LEN(Library!F80)=0,"",exp_id)</f>
        <v/>
      </c>
      <c r="D79" t="str">
        <f>IF(LEN(Library!F80)=0,"",Library!F80)</f>
        <v/>
      </c>
      <c r="E79" t="str">
        <f>IF(LEN(Library!G80)=0,"",Library!G80)</f>
        <v/>
      </c>
      <c r="F79" t="str">
        <f>IF(LEN(Library!AE80)=0,"",Library!AE80)</f>
        <v/>
      </c>
      <c r="G79" t="str">
        <f>IF(LEN(Library!F80)=0,"",CONCATENATE("barcode",Library!K80))</f>
        <v/>
      </c>
      <c r="H79" t="str">
        <f>IF(LEN(Library!AB80)=0,"",IF(Library!AC80&gt;0,Library!AC80,Library!AB80))</f>
        <v/>
      </c>
    </row>
    <row r="80" spans="1:8" x14ac:dyDescent="0.25">
      <c r="A80" t="str">
        <f>IF(LEN(Library!D81)=0,"",Library!D81)</f>
        <v/>
      </c>
      <c r="B80" t="str">
        <f>IF(LEN(Library!E81)=0,"",Library!E81)</f>
        <v/>
      </c>
      <c r="C80" t="str">
        <f>IF(LEN(Library!F81)=0,"",exp_id)</f>
        <v/>
      </c>
      <c r="D80" t="str">
        <f>IF(LEN(Library!F81)=0,"",Library!F81)</f>
        <v/>
      </c>
      <c r="E80" t="str">
        <f>IF(LEN(Library!G81)=0,"",Library!G81)</f>
        <v/>
      </c>
      <c r="F80" t="str">
        <f>IF(LEN(Library!AE81)=0,"",Library!AE81)</f>
        <v/>
      </c>
      <c r="G80" t="str">
        <f>IF(LEN(Library!F81)=0,"",CONCATENATE("barcode",Library!K81))</f>
        <v/>
      </c>
      <c r="H80" t="str">
        <f>IF(LEN(Library!AB81)=0,"",IF(Library!AC81&gt;0,Library!AC81,Library!AB81))</f>
        <v/>
      </c>
    </row>
    <row r="81" spans="1:8" x14ac:dyDescent="0.25">
      <c r="A81" t="str">
        <f>IF(LEN(Library!D82)=0,"",Library!D82)</f>
        <v/>
      </c>
      <c r="B81" t="str">
        <f>IF(LEN(Library!E82)=0,"",Library!E82)</f>
        <v/>
      </c>
      <c r="C81" t="str">
        <f>IF(LEN(Library!F82)=0,"",exp_id)</f>
        <v/>
      </c>
      <c r="D81" t="str">
        <f>IF(LEN(Library!F82)=0,"",Library!F82)</f>
        <v/>
      </c>
      <c r="E81" t="str">
        <f>IF(LEN(Library!G82)=0,"",Library!G82)</f>
        <v/>
      </c>
      <c r="F81" t="str">
        <f>IF(LEN(Library!AE82)=0,"",Library!AE82)</f>
        <v/>
      </c>
      <c r="G81" t="str">
        <f>IF(LEN(Library!F82)=0,"",CONCATENATE("barcode",Library!K82))</f>
        <v/>
      </c>
      <c r="H81" t="str">
        <f>IF(LEN(Library!AB82)=0,"",IF(Library!AC82&gt;0,Library!AC82,Library!AB82))</f>
        <v/>
      </c>
    </row>
    <row r="82" spans="1:8" x14ac:dyDescent="0.25">
      <c r="A82" t="str">
        <f>IF(LEN(Library!D83)=0,"",Library!D83)</f>
        <v/>
      </c>
      <c r="B82" t="str">
        <f>IF(LEN(Library!E83)=0,"",Library!E83)</f>
        <v/>
      </c>
      <c r="C82" t="str">
        <f>IF(LEN(Library!F83)=0,"",exp_id)</f>
        <v/>
      </c>
      <c r="D82" t="str">
        <f>IF(LEN(Library!F83)=0,"",Library!F83)</f>
        <v/>
      </c>
      <c r="E82" t="str">
        <f>IF(LEN(Library!G83)=0,"",Library!G83)</f>
        <v/>
      </c>
      <c r="F82" t="str">
        <f>IF(LEN(Library!AE83)=0,"",Library!AE83)</f>
        <v/>
      </c>
      <c r="G82" t="str">
        <f>IF(LEN(Library!F83)=0,"",CONCATENATE("barcode",Library!K83))</f>
        <v/>
      </c>
      <c r="H82" t="str">
        <f>IF(LEN(Library!AB83)=0,"",IF(Library!AC83&gt;0,Library!AC83,Library!AB83))</f>
        <v/>
      </c>
    </row>
    <row r="83" spans="1:8" x14ac:dyDescent="0.25">
      <c r="A83" t="str">
        <f>IF(LEN(Library!D84)=0,"",Library!D84)</f>
        <v/>
      </c>
      <c r="B83" t="str">
        <f>IF(LEN(Library!E84)=0,"",Library!E84)</f>
        <v/>
      </c>
      <c r="C83" t="str">
        <f>IF(LEN(Library!F84)=0,"",exp_id)</f>
        <v/>
      </c>
      <c r="D83" t="str">
        <f>IF(LEN(Library!F84)=0,"",Library!F84)</f>
        <v/>
      </c>
      <c r="E83" t="str">
        <f>IF(LEN(Library!G84)=0,"",Library!G84)</f>
        <v/>
      </c>
      <c r="F83" t="str">
        <f>IF(LEN(Library!AE84)=0,"",Library!AE84)</f>
        <v/>
      </c>
      <c r="G83" t="str">
        <f>IF(LEN(Library!F84)=0,"",CONCATENATE("barcode",Library!K84))</f>
        <v/>
      </c>
      <c r="H83" t="str">
        <f>IF(LEN(Library!AB84)=0,"",IF(Library!AC84&gt;0,Library!AC84,Library!AB84))</f>
        <v/>
      </c>
    </row>
    <row r="84" spans="1:8" x14ac:dyDescent="0.25">
      <c r="A84" t="str">
        <f>IF(LEN(Library!D85)=0,"",Library!D85)</f>
        <v/>
      </c>
      <c r="B84" t="str">
        <f>IF(LEN(Library!E85)=0,"",Library!E85)</f>
        <v/>
      </c>
      <c r="C84" t="str">
        <f>IF(LEN(Library!F85)=0,"",exp_id)</f>
        <v/>
      </c>
      <c r="D84" t="str">
        <f>IF(LEN(Library!F85)=0,"",Library!F85)</f>
        <v/>
      </c>
      <c r="E84" t="str">
        <f>IF(LEN(Library!G85)=0,"",Library!G85)</f>
        <v/>
      </c>
      <c r="F84" t="str">
        <f>IF(LEN(Library!AE85)=0,"",Library!AE85)</f>
        <v/>
      </c>
      <c r="G84" t="str">
        <f>IF(LEN(Library!F85)=0,"",CONCATENATE("barcode",Library!K85))</f>
        <v/>
      </c>
      <c r="H84" t="str">
        <f>IF(LEN(Library!AB85)=0,"",IF(Library!AC85&gt;0,Library!AC85,Library!AB85))</f>
        <v/>
      </c>
    </row>
    <row r="85" spans="1:8" x14ac:dyDescent="0.25">
      <c r="A85" t="str">
        <f>IF(LEN(Library!D86)=0,"",Library!D86)</f>
        <v/>
      </c>
      <c r="B85" t="str">
        <f>IF(LEN(Library!E86)=0,"",Library!E86)</f>
        <v/>
      </c>
      <c r="C85" t="str">
        <f>IF(LEN(Library!F86)=0,"",exp_id)</f>
        <v/>
      </c>
      <c r="D85" t="str">
        <f>IF(LEN(Library!F86)=0,"",Library!F86)</f>
        <v/>
      </c>
      <c r="E85" t="str">
        <f>IF(LEN(Library!G86)=0,"",Library!G86)</f>
        <v/>
      </c>
      <c r="F85" t="str">
        <f>IF(LEN(Library!AE86)=0,"",Library!AE86)</f>
        <v/>
      </c>
      <c r="G85" t="str">
        <f>IF(LEN(Library!F86)=0,"",CONCATENATE("barcode",Library!K86))</f>
        <v/>
      </c>
      <c r="H85" t="str">
        <f>IF(LEN(Library!AB86)=0,"",IF(Library!AC86&gt;0,Library!AC86,Library!AB86))</f>
        <v/>
      </c>
    </row>
    <row r="86" spans="1:8" x14ac:dyDescent="0.25">
      <c r="A86" t="str">
        <f>IF(LEN(Library!D87)=0,"",Library!D87)</f>
        <v/>
      </c>
      <c r="B86" t="str">
        <f>IF(LEN(Library!E87)=0,"",Library!E87)</f>
        <v/>
      </c>
      <c r="C86" t="str">
        <f>IF(LEN(Library!F87)=0,"",exp_id)</f>
        <v/>
      </c>
      <c r="D86" t="str">
        <f>IF(LEN(Library!F87)=0,"",Library!F87)</f>
        <v/>
      </c>
      <c r="E86" t="str">
        <f>IF(LEN(Library!G87)=0,"",Library!G87)</f>
        <v/>
      </c>
      <c r="F86" t="str">
        <f>IF(LEN(Library!AE87)=0,"",Library!AE87)</f>
        <v/>
      </c>
      <c r="G86" t="str">
        <f>IF(LEN(Library!F87)=0,"",CONCATENATE("barcode",Library!K87))</f>
        <v/>
      </c>
      <c r="H86" t="str">
        <f>IF(LEN(Library!AB87)=0,"",IF(Library!AC87&gt;0,Library!AC87,Library!AB87))</f>
        <v/>
      </c>
    </row>
    <row r="87" spans="1:8" x14ac:dyDescent="0.25">
      <c r="A87" t="str">
        <f>IF(LEN(Library!D88)=0,"",Library!D88)</f>
        <v/>
      </c>
      <c r="B87" t="str">
        <f>IF(LEN(Library!E88)=0,"",Library!E88)</f>
        <v/>
      </c>
      <c r="C87" t="str">
        <f>IF(LEN(Library!F88)=0,"",exp_id)</f>
        <v/>
      </c>
      <c r="D87" t="str">
        <f>IF(LEN(Library!F88)=0,"",Library!F88)</f>
        <v/>
      </c>
      <c r="E87" t="str">
        <f>IF(LEN(Library!G88)=0,"",Library!G88)</f>
        <v/>
      </c>
      <c r="F87" t="str">
        <f>IF(LEN(Library!AE88)=0,"",Library!AE88)</f>
        <v/>
      </c>
      <c r="G87" t="str">
        <f>IF(LEN(Library!F88)=0,"",CONCATENATE("barcode",Library!K88))</f>
        <v/>
      </c>
      <c r="H87" t="str">
        <f>IF(LEN(Library!AB88)=0,"",IF(Library!AC88&gt;0,Library!AC88,Library!AB88))</f>
        <v/>
      </c>
    </row>
    <row r="88" spans="1:8" x14ac:dyDescent="0.25">
      <c r="A88" t="str">
        <f>IF(LEN(Library!D89)=0,"",Library!D89)</f>
        <v/>
      </c>
      <c r="B88" t="str">
        <f>IF(LEN(Library!E89)=0,"",Library!E89)</f>
        <v/>
      </c>
      <c r="C88" t="str">
        <f>IF(LEN(Library!F89)=0,"",exp_id)</f>
        <v/>
      </c>
      <c r="D88" t="str">
        <f>IF(LEN(Library!F89)=0,"",Library!F89)</f>
        <v/>
      </c>
      <c r="E88" t="str">
        <f>IF(LEN(Library!G89)=0,"",Library!G89)</f>
        <v/>
      </c>
      <c r="F88" t="str">
        <f>IF(LEN(Library!AE89)=0,"",Library!AE89)</f>
        <v/>
      </c>
      <c r="G88" t="str">
        <f>IF(LEN(Library!F89)=0,"",CONCATENATE("barcode",Library!K89))</f>
        <v/>
      </c>
      <c r="H88" t="str">
        <f>IF(LEN(Library!AB89)=0,"",IF(Library!AC89&gt;0,Library!AC89,Library!AB89))</f>
        <v/>
      </c>
    </row>
    <row r="89" spans="1:8" x14ac:dyDescent="0.25">
      <c r="A89" t="str">
        <f>IF(LEN(Library!D90)=0,"",Library!D90)</f>
        <v/>
      </c>
      <c r="B89" t="str">
        <f>IF(LEN(Library!E90)=0,"",Library!E90)</f>
        <v/>
      </c>
      <c r="C89" t="str">
        <f>IF(LEN(Library!F90)=0,"",exp_id)</f>
        <v/>
      </c>
      <c r="D89" t="str">
        <f>IF(LEN(Library!F90)=0,"",Library!F90)</f>
        <v/>
      </c>
      <c r="E89" t="str">
        <f>IF(LEN(Library!G90)=0,"",Library!G90)</f>
        <v/>
      </c>
      <c r="F89" t="str">
        <f>IF(LEN(Library!AE90)=0,"",Library!AE90)</f>
        <v/>
      </c>
      <c r="G89" t="str">
        <f>IF(LEN(Library!F90)=0,"",CONCATENATE("barcode",Library!K90))</f>
        <v/>
      </c>
      <c r="H89" t="str">
        <f>IF(LEN(Library!AB90)=0,"",IF(Library!AC90&gt;0,Library!AC90,Library!AB90))</f>
        <v/>
      </c>
    </row>
    <row r="90" spans="1:8" x14ac:dyDescent="0.25">
      <c r="A90" t="str">
        <f>IF(LEN(Library!D91)=0,"",Library!D91)</f>
        <v/>
      </c>
      <c r="B90" t="str">
        <f>IF(LEN(Library!E91)=0,"",Library!E91)</f>
        <v/>
      </c>
      <c r="C90" t="str">
        <f>IF(LEN(Library!F91)=0,"",exp_id)</f>
        <v/>
      </c>
      <c r="D90" t="str">
        <f>IF(LEN(Library!F91)=0,"",Library!F91)</f>
        <v/>
      </c>
      <c r="E90" t="str">
        <f>IF(LEN(Library!G91)=0,"",Library!G91)</f>
        <v/>
      </c>
      <c r="F90" t="str">
        <f>IF(LEN(Library!AE91)=0,"",Library!AE91)</f>
        <v/>
      </c>
      <c r="G90" t="str">
        <f>IF(LEN(Library!F91)=0,"",CONCATENATE("barcode",Library!K91))</f>
        <v/>
      </c>
      <c r="H90" t="str">
        <f>IF(LEN(Library!AB91)=0,"",IF(Library!AC91&gt;0,Library!AC91,Library!AB91))</f>
        <v/>
      </c>
    </row>
    <row r="91" spans="1:8" x14ac:dyDescent="0.25">
      <c r="A91" t="str">
        <f>IF(LEN(Library!D92)=0,"",Library!D92)</f>
        <v/>
      </c>
      <c r="B91" t="str">
        <f>IF(LEN(Library!E92)=0,"",Library!E92)</f>
        <v/>
      </c>
      <c r="C91" t="str">
        <f>IF(LEN(Library!F92)=0,"",exp_id)</f>
        <v/>
      </c>
      <c r="D91" t="str">
        <f>IF(LEN(Library!F92)=0,"",Library!F92)</f>
        <v/>
      </c>
      <c r="E91" t="str">
        <f>IF(LEN(Library!G92)=0,"",Library!G92)</f>
        <v/>
      </c>
      <c r="F91" t="str">
        <f>IF(LEN(Library!AE92)=0,"",Library!AE92)</f>
        <v/>
      </c>
      <c r="G91" t="str">
        <f>IF(LEN(Library!F92)=0,"",CONCATENATE("barcode",Library!K92))</f>
        <v/>
      </c>
      <c r="H91" t="str">
        <f>IF(LEN(Library!AB92)=0,"",IF(Library!AC92&gt;0,Library!AC92,Library!AB92))</f>
        <v/>
      </c>
    </row>
    <row r="92" spans="1:8" x14ac:dyDescent="0.25">
      <c r="A92" t="str">
        <f>IF(LEN(Library!D93)=0,"",Library!D93)</f>
        <v/>
      </c>
      <c r="B92" t="str">
        <f>IF(LEN(Library!E93)=0,"",Library!E93)</f>
        <v/>
      </c>
      <c r="C92" t="str">
        <f>IF(LEN(Library!F93)=0,"",exp_id)</f>
        <v/>
      </c>
      <c r="D92" t="str">
        <f>IF(LEN(Library!F93)=0,"",Library!F93)</f>
        <v/>
      </c>
      <c r="E92" t="str">
        <f>IF(LEN(Library!G93)=0,"",Library!G93)</f>
        <v/>
      </c>
      <c r="F92" t="str">
        <f>IF(LEN(Library!AE93)=0,"",Library!AE93)</f>
        <v/>
      </c>
      <c r="G92" t="str">
        <f>IF(LEN(Library!F93)=0,"",CONCATENATE("barcode",Library!K93))</f>
        <v/>
      </c>
      <c r="H92" t="str">
        <f>IF(LEN(Library!AB93)=0,"",IF(Library!AC93&gt;0,Library!AC93,Library!AB93))</f>
        <v/>
      </c>
    </row>
    <row r="93" spans="1:8" x14ac:dyDescent="0.25">
      <c r="A93" t="str">
        <f>IF(LEN(Library!D94)=0,"",Library!D94)</f>
        <v/>
      </c>
      <c r="B93" t="str">
        <f>IF(LEN(Library!E94)=0,"",Library!E94)</f>
        <v/>
      </c>
      <c r="C93" t="str">
        <f>IF(LEN(Library!F94)=0,"",exp_id)</f>
        <v/>
      </c>
      <c r="D93" t="str">
        <f>IF(LEN(Library!F94)=0,"",Library!F94)</f>
        <v/>
      </c>
      <c r="E93" t="str">
        <f>IF(LEN(Library!G94)=0,"",Library!G94)</f>
        <v/>
      </c>
      <c r="F93" t="str">
        <f>IF(LEN(Library!AE94)=0,"",Library!AE94)</f>
        <v/>
      </c>
      <c r="G93" t="str">
        <f>IF(LEN(Library!F94)=0,"",CONCATENATE("barcode",Library!K94))</f>
        <v/>
      </c>
      <c r="H93" t="str">
        <f>IF(LEN(Library!AB94)=0,"",IF(Library!AC94&gt;0,Library!AC94,Library!AB94))</f>
        <v/>
      </c>
    </row>
    <row r="94" spans="1:8" x14ac:dyDescent="0.25">
      <c r="A94" t="str">
        <f>IF(LEN(Library!D95)=0,"",Library!D95)</f>
        <v/>
      </c>
      <c r="B94" t="str">
        <f>IF(LEN(Library!E95)=0,"",Library!E95)</f>
        <v/>
      </c>
      <c r="C94" t="str">
        <f>IF(LEN(Library!F95)=0,"",exp_id)</f>
        <v/>
      </c>
      <c r="D94" t="str">
        <f>IF(LEN(Library!F95)=0,"",Library!F95)</f>
        <v/>
      </c>
      <c r="E94" t="str">
        <f>IF(LEN(Library!G95)=0,"",Library!G95)</f>
        <v/>
      </c>
      <c r="F94" t="str">
        <f>IF(LEN(Library!AE95)=0,"",Library!AE95)</f>
        <v/>
      </c>
      <c r="G94" t="str">
        <f>IF(LEN(Library!F95)=0,"",CONCATENATE("barcode",Library!K95))</f>
        <v/>
      </c>
      <c r="H94" t="str">
        <f>IF(LEN(Library!AB95)=0,"",IF(Library!AC95&gt;0,Library!AC95,Library!AB95))</f>
        <v/>
      </c>
    </row>
    <row r="95" spans="1:8" x14ac:dyDescent="0.25">
      <c r="A95" t="str">
        <f>IF(LEN(Library!D96)=0,"",Library!D96)</f>
        <v/>
      </c>
      <c r="B95" t="str">
        <f>IF(LEN(Library!E96)=0,"",Library!E96)</f>
        <v/>
      </c>
      <c r="C95" t="str">
        <f>IF(LEN(Library!F96)=0,"",exp_id)</f>
        <v/>
      </c>
      <c r="D95" t="str">
        <f>IF(LEN(Library!F96)=0,"",Library!F96)</f>
        <v/>
      </c>
      <c r="E95" t="str">
        <f>IF(LEN(Library!G96)=0,"",Library!G96)</f>
        <v/>
      </c>
      <c r="F95" t="str">
        <f>IF(LEN(Library!AE96)=0,"",Library!AE96)</f>
        <v/>
      </c>
      <c r="G95" t="str">
        <f>IF(LEN(Library!F96)=0,"",CONCATENATE("barcode",Library!K96))</f>
        <v/>
      </c>
      <c r="H95" t="str">
        <f>IF(LEN(Library!AB96)=0,"",IF(Library!AC96&gt;0,Library!AC96,Library!AB96))</f>
        <v/>
      </c>
    </row>
    <row r="96" spans="1:8" x14ac:dyDescent="0.25">
      <c r="A96" t="str">
        <f>IF(LEN(Library!D97)=0,"",Library!D97)</f>
        <v/>
      </c>
      <c r="B96" t="str">
        <f>IF(LEN(Library!E97)=0,"",Library!E97)</f>
        <v/>
      </c>
      <c r="C96" t="str">
        <f>IF(LEN(Library!F97)=0,"",exp_id)</f>
        <v/>
      </c>
      <c r="D96" t="str">
        <f>IF(LEN(Library!F97)=0,"",Library!F97)</f>
        <v/>
      </c>
      <c r="E96" t="str">
        <f>IF(LEN(Library!G97)=0,"",Library!G97)</f>
        <v/>
      </c>
      <c r="F96" t="str">
        <f>IF(LEN(Library!AE97)=0,"",Library!AE97)</f>
        <v/>
      </c>
      <c r="G96" t="str">
        <f>IF(LEN(Library!F97)=0,"",CONCATENATE("barcode",Library!K97))</f>
        <v/>
      </c>
      <c r="H96" t="str">
        <f>IF(LEN(Library!AB97)=0,"",IF(Library!AC97&gt;0,Library!AC97,Library!AB97))</f>
        <v/>
      </c>
    </row>
    <row r="97" spans="1:8" x14ac:dyDescent="0.25">
      <c r="A97" t="str">
        <f>IF(LEN(Library!D98)=0,"",Library!D98)</f>
        <v/>
      </c>
      <c r="B97" t="str">
        <f>IF(LEN(Library!E98)=0,"",Library!E98)</f>
        <v/>
      </c>
      <c r="C97" t="str">
        <f>IF(LEN(Library!F98)=0,"",exp_id)</f>
        <v/>
      </c>
      <c r="D97" t="str">
        <f>IF(LEN(Library!F98)=0,"",Library!F98)</f>
        <v/>
      </c>
      <c r="E97" t="str">
        <f>IF(LEN(Library!G98)=0,"",Library!G98)</f>
        <v/>
      </c>
      <c r="F97" t="str">
        <f>IF(LEN(Library!AE98)=0,"",Library!AE98)</f>
        <v/>
      </c>
      <c r="G97" t="str">
        <f>IF(LEN(Library!F98)=0,"",CONCATENATE("barcode",Library!K98))</f>
        <v/>
      </c>
      <c r="H97" t="str">
        <f>IF(LEN(Library!AB98)=0,"",IF(Library!AC98&gt;0,Library!AC98,Library!AB98))</f>
        <v/>
      </c>
    </row>
  </sheetData>
  <sheetProtection algorithmName="SHA-512" hashValue="7TmDik/YyUPdGEiQYG5r0Hw7DbyzXcsvCrnzq/edgLxcqVXDUqJTtyKamkNw0mChaukAJP+gGnitozjXdm34jg==" saltValue="ZVIgiGUcIsMkIR/JSWv1gQ==" spinCount="100000" sheet="1" objects="1" scenarios="1"/>
  <pageMargins left="0.7" right="0.7" top="0.75" bottom="0.75" header="0.511811023622047" footer="0.511811023622047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27</vt:i4>
      </vt:variant>
    </vt:vector>
  </HeadingPairs>
  <TitlesOfParts>
    <vt:vector size="33" baseType="lpstr">
      <vt:lpstr>Assay</vt:lpstr>
      <vt:lpstr>Library</vt:lpstr>
      <vt:lpstr>reference</vt:lpstr>
      <vt:lpstr>Instructions</vt:lpstr>
      <vt:lpstr>expt_metadata</vt:lpstr>
      <vt:lpstr>rxn_metadata</vt:lpstr>
      <vt:lpstr>adaptlig_dna_maxvol</vt:lpstr>
      <vt:lpstr>adaptlig_rxn_vol</vt:lpstr>
      <vt:lpstr>adaptlig_targetmass</vt:lpstr>
      <vt:lpstr>DNAconc_library</vt:lpstr>
      <vt:lpstr>DNAconc_pooled</vt:lpstr>
      <vt:lpstr>endrepair_maxvol</vt:lpstr>
      <vt:lpstr>endrepair_targetmass</vt:lpstr>
      <vt:lpstr>exp_date</vt:lpstr>
      <vt:lpstr>exp_id</vt:lpstr>
      <vt:lpstr>exp_notes</vt:lpstr>
      <vt:lpstr>exp_rxns</vt:lpstr>
      <vt:lpstr>exp_summary</vt:lpstr>
      <vt:lpstr>exp_type</vt:lpstr>
      <vt:lpstr>exp_user</vt:lpstr>
      <vt:lpstr>exp_version</vt:lpstr>
      <vt:lpstr>flowcell_checkpores</vt:lpstr>
      <vt:lpstr>flowcell_chemisty</vt:lpstr>
      <vt:lpstr>flowcell_id</vt:lpstr>
      <vt:lpstr>flowcell_maxvol</vt:lpstr>
      <vt:lpstr>flowcell_runduration</vt:lpstr>
      <vt:lpstr>flowcell_status</vt:lpstr>
      <vt:lpstr>flowcell_targetmass</vt:lpstr>
      <vt:lpstr>flowcell_usage_hrs</vt:lpstr>
      <vt:lpstr>library_washbuffer</vt:lpstr>
      <vt:lpstr>missing_qc_resolution</vt:lpstr>
      <vt:lpstr>seq_platform</vt:lpstr>
      <vt:lpstr>vol_calc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Dan Bridges</cp:lastModifiedBy>
  <cp:revision>2</cp:revision>
  <cp:lastPrinted>2024-09-02T17:42:50Z</cp:lastPrinted>
  <dcterms:created xsi:type="dcterms:W3CDTF">2022-03-21T12:22:51Z</dcterms:created>
  <dcterms:modified xsi:type="dcterms:W3CDTF">2024-09-11T07:50:42Z</dcterms:modified>
  <dc:language>en-GB</dc:language>
</cp:coreProperties>
</file>