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oxuser\Desktop\templates_testing\"/>
    </mc:Choice>
  </mc:AlternateContent>
  <xr:revisionPtr revIDLastSave="0" documentId="13_ncr:1_{88BB3218-22BD-4F8C-B405-32980514AD27}" xr6:coauthVersionLast="47" xr6:coauthVersionMax="47" xr10:uidLastSave="{00000000-0000-0000-0000-000000000000}"/>
  <bookViews>
    <workbookView xWindow="-108" yWindow="-108" windowWidth="46284" windowHeight="23172" tabRatio="500" activeTab="1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dna_maxvol">Reference!$B$18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Reference!$B$17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Reference!$B$26</definedName>
    <definedName name="exp_user">Assay!$C$3</definedName>
    <definedName name="exp_version">Reference!$B$28</definedName>
    <definedName name="flowcell_checkpores">Assay!$C$72</definedName>
    <definedName name="flowcell_chemisty">Assay!$C$71</definedName>
    <definedName name="flowcell_id">Assay!$C$68</definedName>
    <definedName name="flowcell_maxvol">Reference!$B$19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nimum_final_pooled_DNA_conc">Reference!$B$20</definedName>
    <definedName name="missing_qc_resolution">Reference!$B$23</definedName>
    <definedName name="Post_PCR_target_DNA_conc">Reference!$B$21</definedName>
    <definedName name="seq_platform">Assay!$C$67</definedName>
    <definedName name="vol_calc">Reference!$B$22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4" l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Z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18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X2" i="5"/>
  <c r="G56" i="1"/>
  <c r="O2" i="5" s="1"/>
  <c r="D39" i="1"/>
  <c r="K2" i="5" s="1"/>
  <c r="F29" i="1"/>
  <c r="F28" i="1"/>
  <c r="D23" i="1"/>
  <c r="D30" i="1" s="1"/>
  <c r="A39" i="1" s="1"/>
  <c r="F22" i="1"/>
  <c r="F21" i="1"/>
  <c r="N7" i="2" l="1"/>
  <c r="Z7" i="2"/>
  <c r="AA7" i="2"/>
  <c r="AB7" i="2" s="1"/>
  <c r="Z9" i="2"/>
  <c r="N9" i="2"/>
  <c r="AA9" i="2"/>
  <c r="AB9" i="2" s="1"/>
  <c r="N10" i="2"/>
  <c r="Z10" i="2"/>
  <c r="AA10" i="2"/>
  <c r="AB10" i="2" s="1"/>
  <c r="N14" i="2"/>
  <c r="AA14" i="2"/>
  <c r="AB14" i="2" s="1"/>
  <c r="Z14" i="2"/>
  <c r="N15" i="2"/>
  <c r="Z15" i="2"/>
  <c r="AA15" i="2"/>
  <c r="AB15" i="2" s="1"/>
  <c r="N16" i="2"/>
  <c r="Z16" i="2"/>
  <c r="AA16" i="2"/>
  <c r="AB16" i="2" s="1"/>
  <c r="Z17" i="2"/>
  <c r="N17" i="2"/>
  <c r="AA17" i="2"/>
  <c r="AB17" i="2" s="1"/>
  <c r="Z18" i="2"/>
  <c r="AA18" i="2"/>
  <c r="AB18" i="2" s="1"/>
  <c r="N18" i="2"/>
  <c r="N19" i="2"/>
  <c r="O19" i="2" s="1"/>
  <c r="Z19" i="2"/>
  <c r="AA19" i="2"/>
  <c r="AB19" i="2" s="1"/>
  <c r="Z20" i="2"/>
  <c r="N20" i="2"/>
  <c r="AA20" i="2"/>
  <c r="AB20" i="2" s="1"/>
  <c r="N21" i="2"/>
  <c r="AA21" i="2"/>
  <c r="AB21" i="2" s="1"/>
  <c r="Z21" i="2"/>
  <c r="Z22" i="2"/>
  <c r="N22" i="2"/>
  <c r="O26" i="2" s="1"/>
  <c r="AA22" i="2"/>
  <c r="AB22" i="2" s="1"/>
  <c r="N23" i="2"/>
  <c r="O22" i="2" s="1"/>
  <c r="Z23" i="2"/>
  <c r="AA23" i="2"/>
  <c r="AB23" i="2" s="1"/>
  <c r="N24" i="2"/>
  <c r="AA24" i="2"/>
  <c r="AB24" i="2" s="1"/>
  <c r="Z24" i="2"/>
  <c r="N25" i="2"/>
  <c r="O23" i="2" s="1"/>
  <c r="AA25" i="2"/>
  <c r="AB25" i="2" s="1"/>
  <c r="Q25" i="2"/>
  <c r="U25" i="2" s="1"/>
  <c r="Z25" i="2"/>
  <c r="P25" i="2"/>
  <c r="T25" i="2" s="1"/>
  <c r="Y25" i="2" s="1"/>
  <c r="AC25" i="2" s="1"/>
  <c r="AE25" i="2" s="1"/>
  <c r="Z26" i="2"/>
  <c r="N26" i="2"/>
  <c r="Q26" i="2"/>
  <c r="U26" i="2" s="1"/>
  <c r="AA26" i="2"/>
  <c r="AB26" i="2" s="1"/>
  <c r="Z27" i="2"/>
  <c r="AA27" i="2"/>
  <c r="AB27" i="2" s="1"/>
  <c r="N27" i="2"/>
  <c r="Z28" i="2"/>
  <c r="N28" i="2"/>
  <c r="AA28" i="2"/>
  <c r="AB28" i="2" s="1"/>
  <c r="Z29" i="2"/>
  <c r="N29" i="2"/>
  <c r="AA29" i="2"/>
  <c r="AB29" i="2" s="1"/>
  <c r="Z31" i="2"/>
  <c r="AA31" i="2"/>
  <c r="AB31" i="2" s="1"/>
  <c r="N31" i="2"/>
  <c r="N32" i="2"/>
  <c r="Z32" i="2"/>
  <c r="AA32" i="2"/>
  <c r="AB32" i="2" s="1"/>
  <c r="N33" i="2"/>
  <c r="Z33" i="2"/>
  <c r="AA33" i="2"/>
  <c r="AB33" i="2" s="1"/>
  <c r="N34" i="2"/>
  <c r="Z34" i="2"/>
  <c r="AA34" i="2"/>
  <c r="AB34" i="2" s="1"/>
  <c r="T35" i="2"/>
  <c r="Y35" i="2" s="1"/>
  <c r="AC35" i="2" s="1"/>
  <c r="AE35" i="2" s="1"/>
  <c r="Z35" i="2"/>
  <c r="P35" i="2"/>
  <c r="N35" i="2"/>
  <c r="Q35" i="2"/>
  <c r="U35" i="2" s="1"/>
  <c r="AA35" i="2"/>
  <c r="AB35" i="2" s="1"/>
  <c r="Z36" i="2"/>
  <c r="AA36" i="2"/>
  <c r="AB36" i="2" s="1"/>
  <c r="P36" i="2"/>
  <c r="T36" i="2" s="1"/>
  <c r="Y36" i="2" s="1"/>
  <c r="AC36" i="2" s="1"/>
  <c r="O36" i="2"/>
  <c r="AE36" i="2"/>
  <c r="N36" i="2"/>
  <c r="O35" i="2" s="1"/>
  <c r="N30" i="2"/>
  <c r="AA30" i="2"/>
  <c r="AB30" i="2" s="1"/>
  <c r="O30" i="2"/>
  <c r="Z30" i="2"/>
  <c r="P30" i="2"/>
  <c r="T30" i="2" s="1"/>
  <c r="Y30" i="2" s="1"/>
  <c r="AC30" i="2" s="1"/>
  <c r="AE30" i="2" s="1"/>
  <c r="Q30" i="2"/>
  <c r="U30" i="2" s="1"/>
  <c r="Z12" i="2"/>
  <c r="Z11" i="2"/>
  <c r="Z3" i="2"/>
  <c r="Z5" i="2"/>
  <c r="Z8" i="2"/>
  <c r="N8" i="2"/>
  <c r="AA8" i="2"/>
  <c r="AA3" i="2"/>
  <c r="N3" i="2"/>
  <c r="AA5" i="2"/>
  <c r="N5" i="2"/>
  <c r="O13" i="2"/>
  <c r="N13" i="2"/>
  <c r="N11" i="2"/>
  <c r="AA11" i="2"/>
  <c r="W4" i="2"/>
  <c r="P4" i="2"/>
  <c r="T4" i="2" s="1"/>
  <c r="Y4" i="2" s="1"/>
  <c r="N4" i="2"/>
  <c r="AA12" i="2"/>
  <c r="N12" i="2"/>
  <c r="D61" i="1"/>
  <c r="D62" i="1" s="1"/>
  <c r="D44" i="1"/>
  <c r="D45" i="1" s="1"/>
  <c r="D49" i="1" s="1"/>
  <c r="Q14" i="2" l="1"/>
  <c r="U14" i="2" s="1"/>
  <c r="O15" i="2"/>
  <c r="P15" i="2"/>
  <c r="T15" i="2" s="1"/>
  <c r="Y15" i="2" s="1"/>
  <c r="AC15" i="2" s="1"/>
  <c r="AE15" i="2" s="1"/>
  <c r="P17" i="2"/>
  <c r="T17" i="2" s="1"/>
  <c r="Y17" i="2" s="1"/>
  <c r="AC17" i="2" s="1"/>
  <c r="AE17" i="2" s="1"/>
  <c r="O18" i="2"/>
  <c r="Q18" i="2"/>
  <c r="U18" i="2" s="1"/>
  <c r="P13" i="2"/>
  <c r="T13" i="2" s="1"/>
  <c r="Y13" i="2" s="1"/>
  <c r="O14" i="2"/>
  <c r="P14" i="2"/>
  <c r="T14" i="2" s="1"/>
  <c r="Y14" i="2" s="1"/>
  <c r="AC14" i="2" s="1"/>
  <c r="AE14" i="2" s="1"/>
  <c r="Q15" i="2"/>
  <c r="U15" i="2" s="1"/>
  <c r="Q16" i="2"/>
  <c r="U16" i="2" s="1"/>
  <c r="P16" i="2"/>
  <c r="T16" i="2" s="1"/>
  <c r="Y16" i="2" s="1"/>
  <c r="AC16" i="2" s="1"/>
  <c r="AE16" i="2" s="1"/>
  <c r="O16" i="2"/>
  <c r="O17" i="2"/>
  <c r="Q17" i="2"/>
  <c r="U17" i="2" s="1"/>
  <c r="P18" i="2"/>
  <c r="T18" i="2" s="1"/>
  <c r="Y18" i="2" s="1"/>
  <c r="AC18" i="2" s="1"/>
  <c r="AE18" i="2" s="1"/>
  <c r="W13" i="2"/>
  <c r="V27" i="2"/>
  <c r="W28" i="2"/>
  <c r="W29" i="2"/>
  <c r="X29" i="2" s="1" a="1"/>
  <c r="X29" i="2" s="1"/>
  <c r="W34" i="2"/>
  <c r="V32" i="2"/>
  <c r="X32" i="2" s="1" a="1"/>
  <c r="X32" i="2" s="1"/>
  <c r="W33" i="2"/>
  <c r="O29" i="2"/>
  <c r="R29" i="2" s="1" a="1"/>
  <c r="R29" i="2" s="1"/>
  <c r="O32" i="2"/>
  <c r="P33" i="2"/>
  <c r="T33" i="2" s="1"/>
  <c r="Y33" i="2" s="1"/>
  <c r="AC33" i="2" s="1"/>
  <c r="AE33" i="2" s="1"/>
  <c r="Q33" i="2"/>
  <c r="U33" i="2" s="1"/>
  <c r="P34" i="2"/>
  <c r="T34" i="2" s="1"/>
  <c r="Y34" i="2" s="1"/>
  <c r="AC34" i="2" s="1"/>
  <c r="AE34" i="2" s="1"/>
  <c r="O27" i="2"/>
  <c r="P28" i="2"/>
  <c r="T28" i="2" s="1"/>
  <c r="Y28" i="2" s="1"/>
  <c r="AC28" i="2" s="1"/>
  <c r="AE28" i="2" s="1"/>
  <c r="P29" i="2"/>
  <c r="T29" i="2" s="1"/>
  <c r="Y29" i="2" s="1"/>
  <c r="AC29" i="2" s="1"/>
  <c r="AE29" i="2" s="1"/>
  <c r="P31" i="2"/>
  <c r="T31" i="2" s="1"/>
  <c r="Y31" i="2" s="1"/>
  <c r="AC31" i="2" s="1"/>
  <c r="AE31" i="2" s="1"/>
  <c r="Q31" i="2"/>
  <c r="U31" i="2" s="1"/>
  <c r="Q32" i="2"/>
  <c r="U32" i="2" s="1"/>
  <c r="P32" i="2"/>
  <c r="T32" i="2" s="1"/>
  <c r="Y32" i="2" s="1"/>
  <c r="AC32" i="2" s="1"/>
  <c r="AE32" i="2" s="1"/>
  <c r="Q34" i="2"/>
  <c r="U34" i="2" s="1"/>
  <c r="Q27" i="2"/>
  <c r="U27" i="2" s="1"/>
  <c r="Q28" i="2"/>
  <c r="U28" i="2" s="1"/>
  <c r="Q29" i="2"/>
  <c r="U29" i="2" s="1"/>
  <c r="O31" i="2"/>
  <c r="O33" i="2"/>
  <c r="O34" i="2"/>
  <c r="R34" i="2" s="1" a="1"/>
  <c r="R34" i="2" s="1"/>
  <c r="V35" i="2"/>
  <c r="P27" i="2"/>
  <c r="T27" i="2" s="1"/>
  <c r="Y27" i="2" s="1"/>
  <c r="AC27" i="2" s="1"/>
  <c r="AE27" i="2" s="1"/>
  <c r="V13" i="2"/>
  <c r="O4" i="2"/>
  <c r="Q13" i="2"/>
  <c r="U13" i="2" s="1"/>
  <c r="W7" i="2"/>
  <c r="W36" i="2"/>
  <c r="V26" i="2"/>
  <c r="W26" i="2"/>
  <c r="V25" i="2"/>
  <c r="X25" i="2" s="1" a="1"/>
  <c r="X25" i="2" s="1"/>
  <c r="O24" i="2"/>
  <c r="P24" i="2"/>
  <c r="T24" i="2" s="1"/>
  <c r="Y24" i="2" s="1"/>
  <c r="AC24" i="2" s="1"/>
  <c r="AE24" i="2" s="1"/>
  <c r="V24" i="2"/>
  <c r="V23" i="2"/>
  <c r="Q22" i="2"/>
  <c r="U22" i="2" s="1"/>
  <c r="Q21" i="2"/>
  <c r="U21" i="2" s="1"/>
  <c r="W21" i="2"/>
  <c r="V21" i="2"/>
  <c r="X21" i="2" s="1" a="1"/>
  <c r="X21" i="2" s="1"/>
  <c r="Q20" i="2"/>
  <c r="U20" i="2" s="1"/>
  <c r="W20" i="2"/>
  <c r="O20" i="2"/>
  <c r="Q19" i="2"/>
  <c r="U19" i="2" s="1"/>
  <c r="W19" i="2"/>
  <c r="W18" i="2"/>
  <c r="V17" i="2"/>
  <c r="W17" i="2"/>
  <c r="W15" i="2"/>
  <c r="W14" i="2"/>
  <c r="P10" i="2"/>
  <c r="T10" i="2" s="1"/>
  <c r="Y10" i="2" s="1"/>
  <c r="AC10" i="2" s="1"/>
  <c r="AE10" i="2" s="1"/>
  <c r="O10" i="2"/>
  <c r="W10" i="2"/>
  <c r="W9" i="2"/>
  <c r="Q9" i="2"/>
  <c r="U9" i="2" s="1"/>
  <c r="O7" i="2"/>
  <c r="Q7" i="2"/>
  <c r="U7" i="2" s="1"/>
  <c r="V7" i="2"/>
  <c r="X7" i="2" s="1" a="1"/>
  <c r="X7" i="2" s="1"/>
  <c r="V4" i="2"/>
  <c r="Q4" i="2"/>
  <c r="U4" i="2" s="1"/>
  <c r="W30" i="2"/>
  <c r="V30" i="2"/>
  <c r="V36" i="2"/>
  <c r="Q36" i="2"/>
  <c r="U36" i="2" s="1"/>
  <c r="W35" i="2"/>
  <c r="V34" i="2"/>
  <c r="V33" i="2"/>
  <c r="W32" i="2"/>
  <c r="W31" i="2"/>
  <c r="V31" i="2"/>
  <c r="X31" i="2" s="1" a="1"/>
  <c r="X31" i="2" s="1"/>
  <c r="V29" i="2"/>
  <c r="V28" i="2"/>
  <c r="O28" i="2"/>
  <c r="W27" i="2"/>
  <c r="P26" i="2"/>
  <c r="T26" i="2" s="1"/>
  <c r="Y26" i="2" s="1"/>
  <c r="AC26" i="2" s="1"/>
  <c r="AE26" i="2" s="1"/>
  <c r="W25" i="2"/>
  <c r="O25" i="2"/>
  <c r="Q24" i="2"/>
  <c r="U24" i="2" s="1"/>
  <c r="W24" i="2"/>
  <c r="W23" i="2"/>
  <c r="P23" i="2"/>
  <c r="T23" i="2" s="1"/>
  <c r="Y23" i="2" s="1"/>
  <c r="AC23" i="2" s="1"/>
  <c r="AE23" i="2" s="1"/>
  <c r="Q23" i="2"/>
  <c r="U23" i="2" s="1"/>
  <c r="P22" i="2"/>
  <c r="T22" i="2" s="1"/>
  <c r="Y22" i="2" s="1"/>
  <c r="AC22" i="2" s="1"/>
  <c r="AE22" i="2" s="1"/>
  <c r="V22" i="2"/>
  <c r="W22" i="2"/>
  <c r="P21" i="2"/>
  <c r="T21" i="2" s="1"/>
  <c r="Y21" i="2" s="1"/>
  <c r="AC21" i="2" s="1"/>
  <c r="AE21" i="2" s="1"/>
  <c r="O21" i="2"/>
  <c r="V20" i="2"/>
  <c r="P20" i="2"/>
  <c r="T20" i="2" s="1"/>
  <c r="Y20" i="2" s="1"/>
  <c r="AC20" i="2" s="1"/>
  <c r="AE20" i="2" s="1"/>
  <c r="V19" i="2"/>
  <c r="X19" i="2" s="1" a="1"/>
  <c r="X19" i="2" s="1"/>
  <c r="P19" i="2"/>
  <c r="T19" i="2" s="1"/>
  <c r="Y19" i="2" s="1"/>
  <c r="AC19" i="2" s="1"/>
  <c r="AE19" i="2" s="1"/>
  <c r="V18" i="2"/>
  <c r="X18" i="2" s="1" a="1"/>
  <c r="X18" i="2" s="1"/>
  <c r="V16" i="2"/>
  <c r="W16" i="2"/>
  <c r="V15" i="2"/>
  <c r="V14" i="2"/>
  <c r="Q10" i="2"/>
  <c r="U10" i="2" s="1"/>
  <c r="V10" i="2"/>
  <c r="P9" i="2"/>
  <c r="T9" i="2" s="1"/>
  <c r="Y9" i="2" s="1"/>
  <c r="AC9" i="2" s="1"/>
  <c r="AE9" i="2" s="1"/>
  <c r="O9" i="2"/>
  <c r="V9" i="2"/>
  <c r="P7" i="2"/>
  <c r="T7" i="2" s="1"/>
  <c r="Y7" i="2" s="1"/>
  <c r="AC7" i="2" s="1"/>
  <c r="AE7" i="2" s="1"/>
  <c r="AB8" i="2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4" i="2" a="1"/>
  <c r="X4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6" i="2" a="1"/>
  <c r="R26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1" i="2" a="1"/>
  <c r="R31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l="1" a="1"/>
  <c r="R24" i="2" s="1"/>
  <c r="R28" i="2" a="1"/>
  <c r="R28" i="2" s="1"/>
  <c r="R18" i="2" a="1"/>
  <c r="R18" i="2" s="1"/>
  <c r="R23" i="2" a="1"/>
  <c r="R23" i="2" s="1"/>
  <c r="R21" i="2" a="1"/>
  <c r="R21" i="2" s="1"/>
  <c r="S18" i="2" a="1"/>
  <c r="S18" i="2" s="1"/>
  <c r="S23" i="2" a="1"/>
  <c r="S23" i="2" s="1"/>
  <c r="S31" i="2" a="1"/>
  <c r="S31" i="2" s="1"/>
  <c r="S33" i="2" a="1"/>
  <c r="S33" i="2" s="1"/>
  <c r="X12" i="2" a="1"/>
  <c r="X12" i="2" s="1"/>
  <c r="AB4" i="2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<sst xmlns="http://schemas.openxmlformats.org/spreadsheetml/2006/main" count="652" uniqueCount="554">
  <si>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</si>
  <si>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</si>
  <si>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</si>
  <si>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</si>
  <si>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</si>
  <si>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</si>
  <si>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</si>
  <si>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</si>
  <si>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</si>
  <si>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</si>
  <si>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</si>
  <si>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</si>
  <si>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</si>
  <si>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</si>
  <si>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</si>
  <si>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</si>
  <si>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</si>
  <si>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</si>
  <si>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</si>
  <si>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</si>
  <si>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</si>
  <si>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</si>
  <si>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</si>
  <si>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</si>
  <si>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</si>
  <si>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</si>
  <si>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</si>
  <si>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</si>
  <si>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</si>
  <si>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</si>
  <si>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</si>
  <si>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</si>
  <si>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</si>
  <si>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</si>
  <si>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</si>
  <si>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</si>
  <si>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</si>
  <si>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</si>
  <si>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</si>
  <si>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</si>
  <si>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</si>
  <si>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</si>
  <si>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</si>
  <si>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</si>
  <si>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</si>
  <si>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</si>
  <si>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</si>
  <si>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</si>
  <si>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</si>
  <si>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</si>
  <si>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</si>
  <si>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</si>
  <si>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</si>
  <si>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</si>
  <si>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</si>
  <si>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</si>
  <si>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</si>
  <si>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</si>
  <si>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</si>
  <si>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</si>
  <si>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</si>
  <si>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</si>
  <si>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</si>
  <si>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</si>
  <si>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</si>
  <si>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</si>
  <si>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</si>
  <si>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</si>
  <si>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</si>
  <si>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</si>
  <si>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</si>
  <si>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</si>
  <si>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</si>
  <si>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</si>
  <si>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</si>
  <si>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</si>
  <si>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</si>
  <si>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</si>
  <si>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</si>
  <si>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</si>
  <si>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</si>
  <si>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</si>
  <si>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</si>
  <si>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</si>
  <si>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</si>
  <si>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</si>
  <si>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</si>
  <si>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</si>
  <si>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</si>
  <si>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</si>
  <si>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</si>
  <si>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</si>
  <si>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</si>
  <si>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</si>
  <si>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</si>
  <si>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</si>
  <si>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</si>
  <si>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</si>
  <si>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</si>
  <si>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</si>
  <si>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</si>
  <si>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</si>
  <si>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</si>
  <si>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</si>
  <si>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</si>
  <si>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</si>
  <si>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</si>
  <si>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</si>
  <si>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</si>
  <si>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</si>
  <si>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</si>
  <si>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</si>
  <si>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</si>
  <si>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</si>
  <si>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</si>
  <si>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</si>
  <si>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</si>
  <si>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</si>
  <si>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</si>
  <si>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</si>
  <si>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</si>
  <si>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</si>
  <si>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</si>
  <si>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</si>
  <si>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</si>
  <si>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</si>
  <si>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</si>
  <si>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</si>
  <si>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</si>
  <si>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</si>
  <si>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</si>
  <si>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</si>
  <si>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</si>
  <si>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</si>
  <si>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</si>
  <si>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</si>
  <si>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</si>
  <si>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</si>
  <si>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</si>
  <si>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</si>
  <si>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</si>
  <si>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</si>
  <si>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</si>
  <si>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</si>
  <si>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</si>
  <si>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</si>
  <si>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</si>
  <si>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</si>
  <si>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</si>
  <si>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</si>
  <si>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</si>
  <si>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</si>
  <si>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</si>
  <si>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</si>
  <si>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</si>
  <si>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</si>
  <si>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</si>
  <si>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</si>
  <si>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</si>
  <si>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</si>
  <si>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</si>
  <si>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</si>
  <si>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</si>
  <si>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</si>
  <si>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</si>
  <si>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</si>
  <si>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</si>
  <si>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</si>
  <si>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</si>
  <si>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</si>
  <si>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</si>
  <si>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</si>
  <si>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</si>
  <si>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</si>
  <si>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</si>
  <si>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</si>
  <si>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</si>
  <si>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</si>
  <si>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</si>
  <si>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</si>
  <si>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</si>
  <si>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</si>
  <si>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</si>
  <si>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</si>
  <si>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</si>
  <si>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</si>
  <si>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</si>
  <si>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</si>
  <si>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</si>
  <si>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</si>
  <si>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</si>
  <si>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</si>
  <si>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</si>
  <si>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</si>
  <si>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</si>
  <si>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</si>
  <si>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</si>
  <si>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</si>
  <si>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</si>
  <si>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</si>
  <si>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</si>
  <si>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</si>
  <si>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</si>
  <si>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</si>
  <si>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</si>
  <si>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</si>
  <si>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</si>
  <si>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</si>
  <si>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</si>
  <si>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</si>
  <si>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</si>
  <si>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</si>
  <si>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</si>
  <si>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</si>
  <si>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</si>
  <si>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</si>
  <si>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</si>
  <si>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</si>
  <si>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</si>
  <si>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</si>
  <si>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</si>
  <si>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</si>
  <si>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</si>
  <si>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</si>
  <si>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</si>
  <si>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</si>
  <si>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</si>
  <si>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</si>
  <si>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</si>
  <si>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</si>
  <si>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</si>
  <si>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</si>
  <si>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</si>
  <si>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</si>
  <si>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</si>
  <si>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</si>
  <si>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</si>
  <si>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</si>
  <si>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</si>
  <si>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</si>
  <si>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</si>
  <si>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</si>
  <si>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</si>
  <si>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</si>
  <si>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</si>
  <si>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</si>
  <si>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</si>
  <si>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</si>
  <si>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</si>
  <si>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</si>
  <si>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</si>
  <si>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</si>
  <si>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</si>
  <si>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</si>
  <si>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</si>
  <si>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</si>
  <si>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</si>
  <si>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</si>
  <si>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</si>
  <si>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</si>
  <si>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</si>
  <si>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</si>
  <si>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</si>
  <si>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</si>
  <si>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</si>
  <si>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</si>
  <si>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</si>
  <si>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</si>
  <si>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</si>
  <si>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</si>
  <si>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</si>
  <si>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</si>
  <si>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</si>
  <si>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</si>
  <si>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</si>
  <si>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</si>
  <si>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</si>
  <si>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</si>
  <si>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</si>
  <si>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</si>
  <si>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</si>
  <si>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</si>
  <si>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</si>
  <si>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</si>
  <si>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</si>
  <si>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</si>
  <si>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</si>
  <si>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</si>
  <si>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</si>
  <si>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</si>
  <si>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</si>
  <si>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</si>
  <si>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</si>
  <si>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</si>
  <si>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</si>
  <si>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</si>
  <si>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</si>
  <si>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</si>
  <si>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</si>
  <si>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</si>
  <si>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</si>
  <si>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</si>
  <si>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</si>
  <si>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</si>
  <si>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</si>
  <si>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</si>
  <si>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</si>
  <si>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</si>
  <si>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</si>
  <si>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</si>
  <si>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</si>
  <si>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</si>
  <si>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</si>
  <si>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</si>
  <si>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</si>
  <si>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</si>
  <si>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</si>
  <si>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</si>
  <si>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</si>
  <si>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</si>
  <si>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</si>
  <si>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</si>
  <si>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</si>
  <si>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</si>
  <si>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</si>
  <si>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</si>
  <si>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</si>
  <si>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</si>
  <si>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</si>
  <si>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</si>
  <si>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</si>
  <si>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</si>
  <si>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</si>
  <si>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</si>
  <si>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</si>
  <si>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</si>
  <si>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</si>
  <si>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</si>
  <si>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</si>
  <si>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</si>
  <si>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</si>
  <si>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</si>
  <si>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</si>
  <si>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</si>
  <si>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</si>
  <si>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</si>
  <si>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</si>
  <si>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</si>
  <si>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</si>
  <si>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</si>
  <si>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</si>
  <si>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</si>
  <si>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</si>
  <si>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</si>
  <si>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</si>
  <si>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</si>
  <si>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</si>
  <si>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</si>
  <si>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</si>
  <si>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</si>
  <si>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</si>
  <si>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</si>
  <si>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</si>
  <si>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</si>
  <si>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</si>
  <si>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</si>
  <si>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</si>
  <si>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</si>
  <si>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</si>
  <si>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</si>
  <si>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</si>
  <si>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</si>
  <si>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</si>
  <si>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</si>
  <si>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</si>
  <si>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</si>
  <si>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</si>
  <si>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</si>
  <si>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</si>
  <si>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</si>
  <si>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</si>
  <si>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</si>
  <si>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</si>
  <si>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</si>
  <si>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</si>
  <si>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</si>
  <si>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</si>
  <si>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</si>
  <si>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</si>
  <si>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</si>
  <si>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</si>
  <si>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</si>
  <si>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</si>
  <si>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</si>
  <si>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</si>
  <si>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</si>
  <si>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</si>
  <si>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</si>
  <si>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</si>
  <si>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</si>
  <si>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</si>
  <si>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</si>
  <si>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</si>
  <si>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</si>
  <si>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</si>
  <si>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</si>
  <si>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Field</t>
  </si>
  <si>
    <t>Positive</t>
  </si>
  <si>
    <t>Negative</t>
  </si>
  <si>
    <t>Minimum final pooled [DNA]</t>
  </si>
  <si>
    <t>ng/ul</t>
  </si>
  <si>
    <t>Post-PCR clean-up target [DNA]</t>
  </si>
  <si>
    <t>sub-type</t>
  </si>
  <si>
    <t>ligation</t>
  </si>
  <si>
    <t>Hidden swga / pcr / seqlib identifiers</t>
  </si>
  <si>
    <t>PCR product (µl) to add for end-repair (calculated)</t>
  </si>
  <si>
    <t>PCR product (µl) added (if different from calculated)</t>
  </si>
  <si>
    <t>Mk1d</t>
  </si>
  <si>
    <t>To prevent inadvertent loss of data, cells are protected from editing. You can only select unlocked cells. Use tab to navigate</t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</si>
  <si>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</si>
  <si>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</si>
  <si>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</si>
  <si>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</si>
  <si>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t>This template is to be used to record library prep and sequencing steps as part of a NOMADS sequencing run.</t>
  </si>
  <si>
    <t>Hidden additional tabs</t>
  </si>
  <si>
    <t>Combined Instructions into Reference sheet</t>
  </si>
  <si>
    <t>John Smith</t>
  </si>
  <si>
    <t>JS</t>
  </si>
  <si>
    <t>Fiona Waiting</t>
  </si>
  <si>
    <t>FW</t>
  </si>
  <si>
    <t>Terence Broad</t>
  </si>
  <si>
    <t>TB</t>
  </si>
  <si>
    <t>NOMADS</t>
  </si>
  <si>
    <t>2024-01-15</t>
  </si>
  <si>
    <t>034</t>
  </si>
  <si>
    <t>BC</t>
  </si>
  <si>
    <t>Nice looking library with clean controls</t>
  </si>
  <si>
    <t>FAO54637</t>
  </si>
  <si>
    <t>MIS1011</t>
  </si>
  <si>
    <t>MJ001</t>
  </si>
  <si>
    <t>SWJS032_A1</t>
  </si>
  <si>
    <t>PCTB142_A1</t>
  </si>
  <si>
    <t>MIS1012</t>
  </si>
  <si>
    <t>MJ002</t>
  </si>
  <si>
    <t>SWJS032_B1</t>
  </si>
  <si>
    <t>PCTB142_B1</t>
  </si>
  <si>
    <t>MIS1013</t>
  </si>
  <si>
    <t>MJ003</t>
  </si>
  <si>
    <t>SWJS032_C1</t>
  </si>
  <si>
    <t>PCTB142_C1</t>
  </si>
  <si>
    <t>MIS1014</t>
  </si>
  <si>
    <t>MJ004</t>
  </si>
  <si>
    <t>SWJS032_D1</t>
  </si>
  <si>
    <t>PCTB142_D1</t>
  </si>
  <si>
    <t>MIS1015</t>
  </si>
  <si>
    <t>MJ005</t>
  </si>
  <si>
    <t>SWJS032_E1</t>
  </si>
  <si>
    <t>PCTB142_E1</t>
  </si>
  <si>
    <t>MIS1017</t>
  </si>
  <si>
    <t>MJ007</t>
  </si>
  <si>
    <t>SWJS032_G1</t>
  </si>
  <si>
    <t>PCTB142_G1</t>
  </si>
  <si>
    <t>MIS1018</t>
  </si>
  <si>
    <t>MJ008</t>
  </si>
  <si>
    <t>SWJS032_H1</t>
  </si>
  <si>
    <t>PCTB142_H1</t>
  </si>
  <si>
    <t>MIS1019</t>
  </si>
  <si>
    <t>MJ009</t>
  </si>
  <si>
    <t>SWJS032_A2</t>
  </si>
  <si>
    <t>PCTB142_A2</t>
  </si>
  <si>
    <t>MIS1020</t>
  </si>
  <si>
    <t>MJ010</t>
  </si>
  <si>
    <t>SWJS032_B2</t>
  </si>
  <si>
    <t>PCTB142_B2</t>
  </si>
  <si>
    <t>3D7</t>
  </si>
  <si>
    <t>3D7_01a</t>
  </si>
  <si>
    <t>SWJS032_C2</t>
  </si>
  <si>
    <t>PCTB142_C2</t>
  </si>
  <si>
    <t>Dd2</t>
  </si>
  <si>
    <t>Dd2_01a</t>
  </si>
  <si>
    <t>SWJS032_D2</t>
  </si>
  <si>
    <t>PCTB142_D2</t>
  </si>
  <si>
    <t>NTC</t>
  </si>
  <si>
    <t>NTC_SWJS032</t>
  </si>
  <si>
    <t>SWJS032_E2</t>
  </si>
  <si>
    <t>PCTB142_E2</t>
  </si>
  <si>
    <t>MIS1022</t>
  </si>
  <si>
    <t>MJ011</t>
  </si>
  <si>
    <t>SWFW094_B1</t>
  </si>
  <si>
    <t>PCTB142_G2</t>
  </si>
  <si>
    <t>MIS1023</t>
  </si>
  <si>
    <t>MJ012</t>
  </si>
  <si>
    <t>SWFW094_C1</t>
  </si>
  <si>
    <t>PCTB142_H2</t>
  </si>
  <si>
    <t>MIS1025</t>
  </si>
  <si>
    <t>MJ014</t>
  </si>
  <si>
    <t>SWFW094_E1</t>
  </si>
  <si>
    <t>PCTB142_A3</t>
  </si>
  <si>
    <t>MIS1026</t>
  </si>
  <si>
    <t>MJ015</t>
  </si>
  <si>
    <t>SWFW094_F1</t>
  </si>
  <si>
    <t>PCTB142_B3</t>
  </si>
  <si>
    <t>MIS1027</t>
  </si>
  <si>
    <t>MJ016</t>
  </si>
  <si>
    <t>SWFW094_G1</t>
  </si>
  <si>
    <t>PCTB142_C3</t>
  </si>
  <si>
    <t>MIS1028</t>
  </si>
  <si>
    <t>MJ017</t>
  </si>
  <si>
    <t>SWFW094_H1</t>
  </si>
  <si>
    <t>PCTB142_D3</t>
  </si>
  <si>
    <t>MIS1029</t>
  </si>
  <si>
    <t>MJ018</t>
  </si>
  <si>
    <t>SWFW094_A2</t>
  </si>
  <si>
    <t>PCTB142_E3</t>
  </si>
  <si>
    <t>SWFW094_C2</t>
  </si>
  <si>
    <t>PCTB142_F3</t>
  </si>
  <si>
    <t>SWFW094_D2</t>
  </si>
  <si>
    <t>PCTB142_G3</t>
  </si>
  <si>
    <t>NTC_SWFW094</t>
  </si>
  <si>
    <t>SWFW094_E2</t>
  </si>
  <si>
    <t>PCTB142_H3</t>
  </si>
  <si>
    <t>NTC_PCTB142</t>
  </si>
  <si>
    <t>NA</t>
  </si>
  <si>
    <t>PCTB142_A4</t>
  </si>
  <si>
    <t>MIS2043</t>
  </si>
  <si>
    <t>MJ101</t>
  </si>
  <si>
    <t>No sWGA</t>
  </si>
  <si>
    <t>PCTB143_A1</t>
  </si>
  <si>
    <t>MIS2044</t>
  </si>
  <si>
    <t>MJ102</t>
  </si>
  <si>
    <t>PCTB143_B1</t>
  </si>
  <si>
    <t>MIS2045</t>
  </si>
  <si>
    <t>MJ103</t>
  </si>
  <si>
    <t>PCTB143_C1</t>
  </si>
  <si>
    <t>MIS2046</t>
  </si>
  <si>
    <t>MJ104</t>
  </si>
  <si>
    <t>PCTB143_D1</t>
  </si>
  <si>
    <t>MIS2048</t>
  </si>
  <si>
    <t>MJ106</t>
  </si>
  <si>
    <t>PCTB143_F1</t>
  </si>
  <si>
    <t>MIS2049</t>
  </si>
  <si>
    <t>MJ107</t>
  </si>
  <si>
    <t>PCTB143_G1</t>
  </si>
  <si>
    <t>MIS2050</t>
  </si>
  <si>
    <t>MJ108</t>
  </si>
  <si>
    <t>PCTB143_H1</t>
  </si>
  <si>
    <t>MIS2051</t>
  </si>
  <si>
    <t>MJ109</t>
  </si>
  <si>
    <t>PCTB143_A2</t>
  </si>
  <si>
    <t>PCTB143_B2</t>
  </si>
  <si>
    <t>PCTB143_C2</t>
  </si>
  <si>
    <t>NTC_PCTB143</t>
  </si>
  <si>
    <t>PCTB143_D2</t>
  </si>
  <si>
    <t>LFB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</si>
</sst>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  <font>
      <sz val="26"/>
      <color rgb="FF000000"/>
      <name val="Calibri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u/>
      <sz val="2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10" fillId="0" borderId="0" applyBorder="0" applyProtection="0"/>
    <xf numFmtId="9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0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6"/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10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1" fillId="0" borderId="0" xfId="0" applyFont="1" applyAlignment="1">
      <alignment horizontal="left" vertical="center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9" fillId="0" borderId="0" xfId="6" applyFont="1"/>
    <xf numFmtId="0" fontId="6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vertical="center"/>
    </xf>
    <xf numFmtId="0" fontId="11" fillId="5" borderId="1" xfId="0" applyFont="1" applyFill="1" applyBorder="1"/>
    <xf numFmtId="0" fontId="0" fillId="11" borderId="1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12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8" fillId="13" borderId="1" xfId="0" applyFont="1" applyFill="1" applyBorder="1"/>
    <xf numFmtId="0" fontId="1" fillId="0" borderId="0" xfId="6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236220</xdr:colOff>
      <xdr:row>6</xdr:row>
      <xdr:rowOff>30480</xdr:rowOff>
    </xdr:from>
    <xdr:to>
      <xdr:col>11</xdr:col>
      <xdr:colOff>176849</xdr:colOff>
      <xdr:row>12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77E20-0DCD-4099-8C0A-74F3701A0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521440" y="272034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58"/>
    <tableColumn id="16" xr3:uid="{D11167BC-CEB0-4BCF-918C-7AFD807B17A9}" name="Column" dataDxfId="57">
      <calculatedColumnFormula>RIGHT(tbl_SeqLib[[#This Row],[Well]],LEN(tbl_SeqLib[[#This Row],[Well]])-1)</calculatedColumnFormula>
    </tableColumn>
    <tableColumn id="2" xr3:uid="{00000000-0010-0000-0000-000002000000}" name="Well" dataDxfId="56"/>
    <tableColumn id="3" xr3:uid="{00000000-0010-0000-0000-000003000000}" name="Sample ID" dataDxfId="55"/>
    <tableColumn id="4" xr3:uid="{00000000-0010-0000-0000-000004000000}" name="Extraction ID" dataDxfId="54"/>
    <tableColumn id="27" xr3:uid="{D655D6C8-1850-4AC0-8484-17625A62737D}" name="Sample Type" dataDxfId="53"/>
    <tableColumn id="5" xr3:uid="{00000000-0010-0000-0000-000005000000}" name="sWGA Identifier" dataDxfId="52"/>
    <tableColumn id="6" xr3:uid="{00000000-0010-0000-0000-000006000000}" name="PCR Identifier" dataDxfId="51"/>
    <tableColumn id="7" xr3:uid="{00000000-0010-0000-0000-000007000000}" name="Qubit PCR [DNA] (ng/µl)" dataDxfId="50"/>
    <tableColumn id="8" xr3:uid="{00000000-0010-0000-0000-000008000000}" name="PCR Dilution Factor" dataDxfId="49"/>
    <tableColumn id="9" xr3:uid="{00000000-0010-0000-0000-000009000000}" name="PCR [DNA] (ng / µl)"/>
    <tableColumn id="10" xr3:uid="{00000000-0010-0000-0000-00000A000000}" name="Barcode#" dataDxfId="48"/>
    <tableColumn id="26" xr3:uid="{F1EFF32A-7BE1-415D-A6C1-EB6298E86B67}" name="entry" dataDxfId="47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46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45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44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43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42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41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40">
      <calculatedColumnFormula>IF(tbl_SeqLib[[#This Row],[entry]]=2,tbl_SeqLib[[#This Row],[Max for col]],"")</calculatedColumnFormula>
    </tableColumn>
    <tableColumn id="34" xr3:uid="{B52F91B1-8FA3-4813-9699-EE87E0A73E1F}" name="1 per col (avg)" dataDxfId="39">
      <calculatedColumnFormula>IF(tbl_SeqLib[[#This Row],[entry]]=2,tbl_SeqLib[[#This Row],[Avg for col]],"")</calculatedColumnFormula>
    </tableColumn>
    <tableColumn id="22" xr3:uid="{3DBE046E-BBA1-40FE-9D15-A56B3030C6C7}" name="Avg per plate" dataDxfId="38">
      <calculatedColumnFormula>IF(tbl_SeqLib[[#This Row],[entry]]=2,AVERAGE(tbl_SeqLib[Exact]),"")</calculatedColumnFormula>
    </tableColumn>
    <tableColumn id="23" xr3:uid="{C00DCD81-1FEF-4ABB-8CC7-499C0C2570E9}" name="Max per plate" dataDxfId="37">
      <calculatedColumnFormula>IF(tbl_SeqLib[[#This Row],[entry]]=2,MAX(tbl_SeqLib[Exact]),"")</calculatedColumnFormula>
    </tableColumn>
    <tableColumn id="24" xr3:uid="{5078A409-FC75-4147-9A85-9D0F799A65C0}" name="2 per plate" dataDxfId="36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35">
      <calculatedColumnFormula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calculatedColumnFormula>
    </tableColumn>
    <tableColumn id="30" xr3:uid="{31A406DE-6554-495B-953B-40F9644FB053}" name="Avg per plate (missing)" dataDxfId="34">
      <calculatedColumnFormula>IF(tbl_SeqLib[[#This Row],[entry]]=1,ROUNDUP(AVERAGE(tbl_SeqLib[Exact]),1),"")</calculatedColumnFormula>
    </tableColumn>
    <tableColumn id="29" xr3:uid="{C102ACE7-217E-4DB5-BABC-91C1DAD8AB2B}" name="Avg per col (missing)" dataDxfId="33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32">
      <calculatedColumnFormula>IF(missing_qc_resolution=Reference!$E$49,tbl_SeqLib[[#This Row],[Avg per col (missing)]],tbl_SeqLib[[#This Row],[Avg per plate (missing)]])</calculatedColumnFormula>
    </tableColumn>
    <tableColumn id="11" xr3:uid="{00000000-0010-0000-0000-00000B000000}" name="PCR product (µl) to add for end-repair (calculated)" dataDxfId="31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uct (µl) added (if different from calculated)" dataDxfId="30"/>
    <tableColumn id="12" xr3:uid="{00000000-0010-0000-0000-00000C000000}" name="NF H20 (µl)" dataDxfId="29">
      <calculatedColumnFormula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calculatedColumnFormula>
    </tableColumn>
    <tableColumn id="13" xr3:uid="{00000000-0010-0000-0000-00000D000000}" name="SeqLib Identifier" dataDxfId="2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4880A-3FC4-49D8-AB8E-FC7B9EE6C3FE}" name="Table4" displayName="Table4" ref="I16:J23" totalsRowShown="0" headerRowDxfId="27" dataDxfId="25" headerRowBorderDxfId="26">
  <autoFilter ref="I16:J23" xr:uid="{41C4880A-3FC4-49D8-AB8E-FC7B9EE6C3FE}"/>
  <tableColumns count="2">
    <tableColumn id="1" xr3:uid="{FB7FC7CE-E4C2-4686-B0D7-A3651194EDB2}" name="User" dataDxfId="24"/>
    <tableColumn id="2" xr3:uid="{3CE9C104-D2AC-4657-8FDB-48B9E6311A16}" name="Initial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6ACD66-3856-456B-B166-47C63A26BF97}" name="Table5" displayName="Table5" ref="L16:L23" totalsRowShown="0" headerRowDxfId="22" dataDxfId="20" headerRowBorderDxfId="21">
  <autoFilter ref="L16:L23" xr:uid="{806ACD66-3856-456B-B166-47C63A26BF97}"/>
  <tableColumns count="1">
    <tableColumn id="1" xr3:uid="{5ACB6C50-F13A-49F4-A20B-05DF77DBE162}" name="Project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opLeftCell="A46" zoomScale="160" zoomScaleNormal="160" workbookViewId="0">
      <selection activeCell="A53" sqref="A53:L53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126" t="s">
        <v>360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ht="15.75" customHeight="1" x14ac:dyDescent="0.3">
      <c r="A2" s="91" t="s">
        <v>0</v>
      </c>
      <c r="B2" s="91"/>
      <c r="C2" s="127" t="s">
        <v>433</v>
      </c>
      <c r="D2" s="127"/>
      <c r="E2" s="127"/>
      <c r="F2" s="127"/>
      <c r="G2" s="110" t="s">
        <v>1</v>
      </c>
      <c r="H2" s="110"/>
      <c r="J2" s="128" t="s">
        <v>2</v>
      </c>
      <c r="K2" s="128"/>
    </row>
    <row r="3" spans="1:12" ht="15.75" customHeight="1" x14ac:dyDescent="0.3">
      <c r="A3" s="91" t="s">
        <v>3</v>
      </c>
      <c r="B3" s="91"/>
      <c r="C3" s="129" t="s">
        <v>426</v>
      </c>
      <c r="D3" s="129"/>
      <c r="E3" s="129"/>
      <c r="F3" s="129"/>
      <c r="G3" s="5" t="s">
        <v>4</v>
      </c>
      <c r="J3" s="130" t="s">
        <v>5</v>
      </c>
      <c r="K3" s="130"/>
    </row>
    <row r="4" spans="1:12" ht="15.75" customHeight="1" x14ac:dyDescent="0.3">
      <c r="A4" s="91" t="s">
        <v>6</v>
      </c>
      <c r="B4" s="91"/>
      <c r="C4" s="127" t="s">
        <v>434</v>
      </c>
      <c r="D4" s="127"/>
      <c r="E4" s="127"/>
      <c r="F4" s="127"/>
      <c r="G4" s="4" t="s">
        <v>7</v>
      </c>
      <c r="J4" s="131" t="s">
        <v>8</v>
      </c>
      <c r="K4" s="131"/>
    </row>
    <row r="5" spans="1:12" ht="15.75" customHeight="1" x14ac:dyDescent="0.3">
      <c r="A5" s="121" t="s">
        <v>9</v>
      </c>
      <c r="B5" s="121"/>
      <c r="C5" s="106" t="str">
        <f>IF(OR(ISBLANK(C3),ISBLANK(C4)),"",CONCATENATE("SL",VLOOKUP(C3,Reference!I17:J23,2,FALSE()),C4))</f>
        <v>SLJS034</v>
      </c>
      <c r="D5" s="106"/>
      <c r="E5" s="106"/>
      <c r="F5" s="106"/>
      <c r="G5" s="5" t="s">
        <v>10</v>
      </c>
      <c r="J5" s="122" t="s">
        <v>11</v>
      </c>
      <c r="K5" s="122"/>
    </row>
    <row r="6" spans="1:12" ht="15.75" customHeight="1" x14ac:dyDescent="0.3">
      <c r="A6" s="121" t="s">
        <v>12</v>
      </c>
      <c r="B6" s="121"/>
      <c r="C6" s="123" t="str">
        <f>IF(OR(ISBLANK(C2),ISBLANK(C3),ISBLANK(C4)),"",CONCATENATE(C2,"_SeqLib_",C5))</f>
        <v>2024-01-15_SeqLib_SLJS034</v>
      </c>
      <c r="D6" s="123"/>
      <c r="E6" s="123"/>
      <c r="F6" s="123"/>
      <c r="G6" s="5"/>
      <c r="J6" s="122"/>
      <c r="K6" s="122"/>
    </row>
    <row r="7" spans="1:12" ht="15.75" customHeight="1" x14ac:dyDescent="0.3">
      <c r="A7" s="124" t="s">
        <v>13</v>
      </c>
      <c r="B7" s="124"/>
      <c r="C7" s="125" t="s">
        <v>432</v>
      </c>
      <c r="D7" s="125"/>
      <c r="E7" s="125"/>
      <c r="F7" s="125"/>
      <c r="G7" s="5" t="s">
        <v>4</v>
      </c>
    </row>
    <row r="8" spans="1:12" ht="15.75" customHeight="1" x14ac:dyDescent="0.3">
      <c r="A8" s="124" t="s">
        <v>14</v>
      </c>
      <c r="B8" s="124"/>
      <c r="C8" s="125" t="s">
        <v>435</v>
      </c>
      <c r="D8" s="125"/>
      <c r="E8" s="125"/>
      <c r="F8" s="125"/>
      <c r="G8" s="5" t="s">
        <v>15</v>
      </c>
    </row>
    <row r="9" spans="1:12" ht="15.75" customHeight="1" x14ac:dyDescent="0.3">
      <c r="A9" s="117" t="s">
        <v>16</v>
      </c>
      <c r="B9" s="117"/>
      <c r="C9" s="118" t="str">
        <f>IF(OR(LEN(C7)=0, LEN(C8)=0),"",CONCATENATE(C7,"_Batch",C8))</f>
        <v>NOMADS_BatchBC</v>
      </c>
      <c r="D9" s="118"/>
      <c r="E9" s="118"/>
      <c r="F9" s="118"/>
      <c r="G9" s="5" t="s">
        <v>17</v>
      </c>
    </row>
    <row r="10" spans="1:12" ht="15.75" customHeight="1" x14ac:dyDescent="0.3">
      <c r="A10" s="117" t="s">
        <v>18</v>
      </c>
      <c r="B10" s="117"/>
      <c r="C10" s="118" t="str">
        <f>IF(OR(LEN(C6)=0,LEN(exp_summary)=0),"",CONCATENATE(C6,"_",exp_summary))</f>
        <v>2024-01-15_SeqLib_SLJS034_NOMADS_BatchBC</v>
      </c>
      <c r="D10" s="118"/>
      <c r="E10" s="118"/>
      <c r="F10" s="118"/>
      <c r="G10" s="118"/>
      <c r="H10" s="118"/>
    </row>
    <row r="11" spans="1:12" ht="15.75" customHeight="1" x14ac:dyDescent="0.3">
      <c r="A11" s="91" t="s">
        <v>19</v>
      </c>
      <c r="B11" s="91"/>
      <c r="C11" s="27">
        <v>34</v>
      </c>
      <c r="D11" s="25"/>
      <c r="E11" s="25"/>
      <c r="F11" s="25"/>
      <c r="G11" s="5"/>
    </row>
    <row r="12" spans="1:12" ht="15.75" customHeight="1" x14ac:dyDescent="0.3">
      <c r="A12" s="91" t="s">
        <v>20</v>
      </c>
      <c r="B12" s="91"/>
      <c r="C12" s="119" t="s">
        <v>436</v>
      </c>
      <c r="D12" s="119"/>
      <c r="E12" s="119"/>
      <c r="F12" s="119"/>
      <c r="G12" s="119"/>
      <c r="H12" s="119"/>
      <c r="I12" s="119"/>
      <c r="J12" s="119"/>
      <c r="K12" s="119"/>
    </row>
    <row r="13" spans="1:12" x14ac:dyDescent="0.3">
      <c r="A13" s="1"/>
      <c r="B13" s="1"/>
      <c r="C13" s="119"/>
      <c r="D13" s="119"/>
      <c r="E13" s="119"/>
      <c r="F13" s="119"/>
      <c r="G13" s="119"/>
      <c r="H13" s="119"/>
      <c r="I13" s="119"/>
      <c r="J13" s="119"/>
      <c r="K13" s="119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20" t="s">
        <v>22</v>
      </c>
      <c r="J15" s="120"/>
      <c r="K15" s="120"/>
    </row>
    <row r="16" spans="1:12" x14ac:dyDescent="0.3">
      <c r="A16" s="9" t="s">
        <v>326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1">
        <v>0.1</v>
      </c>
      <c r="F17" s="6"/>
    </row>
    <row r="18" spans="1:11" s="3" customFormat="1" ht="15.75" customHeight="1" x14ac:dyDescent="0.3">
      <c r="A18" s="101" t="s">
        <v>25</v>
      </c>
      <c r="B18" s="101"/>
      <c r="C18" s="101"/>
      <c r="D18" s="116" t="s">
        <v>26</v>
      </c>
      <c r="E18" s="116"/>
      <c r="F18" s="116" t="str">
        <f>CONCATENATE("MM x",exp_rxns," (µl)")</f>
        <v>MM x34 (µl)</v>
      </c>
      <c r="G18" s="116"/>
      <c r="I18" s="95" t="s">
        <v>27</v>
      </c>
      <c r="J18" s="95"/>
      <c r="K18" s="11" t="s">
        <v>28</v>
      </c>
    </row>
    <row r="19" spans="1:11" s="3" customFormat="1" ht="15.75" customHeight="1" x14ac:dyDescent="0.3">
      <c r="A19" s="99" t="s">
        <v>29</v>
      </c>
      <c r="B19" s="99"/>
      <c r="C19" s="99"/>
      <c r="D19" s="111" t="s">
        <v>30</v>
      </c>
      <c r="E19" s="111"/>
      <c r="F19" s="112" t="s">
        <v>31</v>
      </c>
      <c r="G19" s="112"/>
      <c r="I19" s="104">
        <v>20</v>
      </c>
      <c r="J19" s="104"/>
      <c r="K19" s="8">
        <v>15</v>
      </c>
    </row>
    <row r="20" spans="1:11" s="3" customFormat="1" ht="18.75" customHeight="1" x14ac:dyDescent="0.3">
      <c r="A20" s="99" t="s">
        <v>32</v>
      </c>
      <c r="B20" s="99"/>
      <c r="C20" s="99"/>
      <c r="D20" s="111" t="str">
        <f>CONCATENATE(endrepair_maxvol, " - x")</f>
        <v>10 - x</v>
      </c>
      <c r="E20" s="111"/>
      <c r="F20" s="112" t="s">
        <v>31</v>
      </c>
      <c r="G20" s="112"/>
      <c r="I20" s="104">
        <v>65</v>
      </c>
      <c r="J20" s="104"/>
      <c r="K20" s="8">
        <v>15</v>
      </c>
    </row>
    <row r="21" spans="1:11" s="3" customFormat="1" ht="25.35" customHeight="1" x14ac:dyDescent="0.3">
      <c r="A21" s="99" t="s">
        <v>33</v>
      </c>
      <c r="B21" s="99"/>
      <c r="C21" s="99"/>
      <c r="D21" s="114">
        <v>1.4</v>
      </c>
      <c r="E21" s="114"/>
      <c r="F21" s="112">
        <f>SUM(D21*exp_rxns*(1+$D$17))</f>
        <v>52.36</v>
      </c>
      <c r="G21" s="112"/>
      <c r="I21" s="104">
        <v>4</v>
      </c>
      <c r="J21" s="104"/>
      <c r="K21" s="3" t="s">
        <v>34</v>
      </c>
    </row>
    <row r="22" spans="1:11" s="3" customFormat="1" ht="15.75" customHeight="1" x14ac:dyDescent="0.3">
      <c r="A22" s="99" t="s">
        <v>35</v>
      </c>
      <c r="B22" s="99"/>
      <c r="C22" s="99"/>
      <c r="D22" s="114">
        <v>0.6</v>
      </c>
      <c r="E22" s="114"/>
      <c r="F22" s="112">
        <f>SUM(D22*exp_rxns*(1+$D$17))</f>
        <v>22.44</v>
      </c>
      <c r="G22" s="112"/>
    </row>
    <row r="23" spans="1:11" s="3" customFormat="1" x14ac:dyDescent="0.3">
      <c r="A23" s="8"/>
      <c r="D23" s="115">
        <f>SUM(D21:D22)+endrepair_maxvol</f>
        <v>12</v>
      </c>
      <c r="E23" s="115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01" t="s">
        <v>25</v>
      </c>
      <c r="B26" s="101"/>
      <c r="C26" s="101"/>
      <c r="D26" s="116" t="s">
        <v>26</v>
      </c>
      <c r="E26" s="116"/>
      <c r="F26" s="116" t="str">
        <f>CONCATENATE("MM x",exp_rxns," (µl)")</f>
        <v>MM x34 (µl)</v>
      </c>
      <c r="G26" s="116"/>
      <c r="I26" s="95" t="s">
        <v>27</v>
      </c>
      <c r="J26" s="95"/>
      <c r="K26" s="11" t="s">
        <v>28</v>
      </c>
    </row>
    <row r="27" spans="1:11" s="3" customFormat="1" ht="15.75" customHeight="1" x14ac:dyDescent="0.3">
      <c r="A27" s="99" t="s">
        <v>37</v>
      </c>
      <c r="B27" s="99"/>
      <c r="C27" s="99"/>
      <c r="D27" s="111">
        <v>0.5</v>
      </c>
      <c r="E27" s="111"/>
      <c r="F27" s="112" t="s">
        <v>31</v>
      </c>
      <c r="G27" s="112"/>
      <c r="I27" s="104">
        <v>20</v>
      </c>
      <c r="J27" s="104"/>
      <c r="K27" s="8">
        <v>20</v>
      </c>
    </row>
    <row r="28" spans="1:11" s="3" customFormat="1" ht="15.75" customHeight="1" x14ac:dyDescent="0.3">
      <c r="A28" s="99" t="s">
        <v>38</v>
      </c>
      <c r="B28" s="99"/>
      <c r="C28" s="99"/>
      <c r="D28" s="111">
        <v>6</v>
      </c>
      <c r="E28" s="111"/>
      <c r="F28" s="112">
        <f>SUM(D28*exp_rxns*(1+$D$25))</f>
        <v>224.4</v>
      </c>
      <c r="G28" s="112"/>
      <c r="I28" s="104">
        <v>65</v>
      </c>
      <c r="J28" s="104"/>
      <c r="K28" s="8">
        <v>10</v>
      </c>
    </row>
    <row r="29" spans="1:11" s="3" customFormat="1" ht="15.75" customHeight="1" x14ac:dyDescent="0.3">
      <c r="A29" s="99" t="s">
        <v>39</v>
      </c>
      <c r="B29" s="99"/>
      <c r="C29" s="99"/>
      <c r="D29" s="111">
        <v>0.2</v>
      </c>
      <c r="E29" s="111"/>
      <c r="F29" s="112">
        <f>SUM(D29*exp_rxns*(1+$D$25))</f>
        <v>7.4800000000000013</v>
      </c>
      <c r="G29" s="112"/>
      <c r="I29" s="104">
        <v>8</v>
      </c>
      <c r="J29" s="104"/>
      <c r="K29" s="3" t="s">
        <v>34</v>
      </c>
    </row>
    <row r="30" spans="1:11" s="3" customFormat="1" x14ac:dyDescent="0.3">
      <c r="A30" s="8"/>
      <c r="D30" s="113">
        <f>SUM(D27:D29)+D23</f>
        <v>18.7</v>
      </c>
      <c r="E30" s="113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75" t="s">
        <v>387</v>
      </c>
      <c r="B33" s="75" t="s">
        <v>388</v>
      </c>
      <c r="C33" s="75" t="s">
        <v>392</v>
      </c>
      <c r="D33" s="75" t="s">
        <v>390</v>
      </c>
      <c r="E33" s="75" t="s">
        <v>391</v>
      </c>
      <c r="F33" s="75" t="s">
        <v>389</v>
      </c>
      <c r="G33" s="75" t="s">
        <v>393</v>
      </c>
    </row>
    <row r="34" spans="1:11" x14ac:dyDescent="0.3">
      <c r="A34" s="78">
        <v>5</v>
      </c>
      <c r="B34" s="77">
        <f>IF(OR(ISBLANK(A34),ISBLANK(exp_rxns)),"",SUM(A34*exp_rxns))</f>
        <v>170</v>
      </c>
      <c r="C34" s="78">
        <v>0.4</v>
      </c>
      <c r="D34" s="77">
        <f>IFERROR(SUM(B34*C34),"")</f>
        <v>68</v>
      </c>
      <c r="E34" s="78">
        <v>5</v>
      </c>
      <c r="F34" s="78">
        <v>200</v>
      </c>
      <c r="G34" s="78">
        <v>70</v>
      </c>
    </row>
    <row r="35" spans="1:11" ht="15.75" customHeight="1" x14ac:dyDescent="0.3">
      <c r="A35" s="60" t="s">
        <v>397</v>
      </c>
      <c r="B35" s="9"/>
      <c r="C35" s="9"/>
      <c r="D35" s="9"/>
      <c r="E35" s="9"/>
      <c r="F35" s="9"/>
      <c r="G35" s="26"/>
    </row>
    <row r="36" spans="1:11" ht="30.75" customHeight="1" x14ac:dyDescent="0.3">
      <c r="A36" s="109" t="s">
        <v>396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</row>
    <row r="37" spans="1:11" ht="15.75" customHeight="1" x14ac:dyDescent="0.3">
      <c r="A37" s="60" t="s">
        <v>395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97" t="s">
        <v>44</v>
      </c>
      <c r="E38" s="97"/>
    </row>
    <row r="39" spans="1:11" x14ac:dyDescent="0.3">
      <c r="A39" s="17">
        <f>SUM(exp_rxns*D30)*0.4</f>
        <v>254.32</v>
      </c>
      <c r="B39" s="32">
        <v>86</v>
      </c>
      <c r="C39" s="32">
        <v>1</v>
      </c>
      <c r="D39" s="108">
        <f>SUM(B39*C39)</f>
        <v>86</v>
      </c>
      <c r="E39" s="108"/>
    </row>
    <row r="41" spans="1:11" x14ac:dyDescent="0.3">
      <c r="A41" s="7" t="s">
        <v>45</v>
      </c>
    </row>
    <row r="42" spans="1:11" x14ac:dyDescent="0.3">
      <c r="A42" s="5" t="s">
        <v>327</v>
      </c>
      <c r="B42" s="28">
        <v>800</v>
      </c>
      <c r="C42" s="9" t="s">
        <v>328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95" t="s">
        <v>25</v>
      </c>
      <c r="B43" s="95"/>
      <c r="C43" s="95"/>
      <c r="D43" s="96" t="s">
        <v>26</v>
      </c>
      <c r="E43" s="96"/>
      <c r="I43" s="95" t="s">
        <v>27</v>
      </c>
      <c r="J43" s="95"/>
      <c r="K43" s="11" t="s">
        <v>28</v>
      </c>
    </row>
    <row r="44" spans="1:11" ht="15.75" customHeight="1" x14ac:dyDescent="0.3">
      <c r="A44" s="99" t="s">
        <v>46</v>
      </c>
      <c r="B44" s="99"/>
      <c r="C44" s="99"/>
      <c r="D44" s="98">
        <f>IF(B39="",adaptlig_dna_maxvol,IF(SUM(adaptlig_targetmass/D39)&gt;adaptlig_dna_maxvol,adaptlig_dna_maxvol,SUM(adaptlig_targetmass/D39)))</f>
        <v>9.3023255813953494</v>
      </c>
      <c r="E44" s="98"/>
      <c r="F44" s="5"/>
      <c r="I44" s="104" t="s">
        <v>47</v>
      </c>
      <c r="J44" s="104"/>
      <c r="K44" s="8">
        <v>10</v>
      </c>
    </row>
    <row r="45" spans="1:11" ht="15.75" customHeight="1" x14ac:dyDescent="0.3">
      <c r="A45" s="99" t="s">
        <v>32</v>
      </c>
      <c r="B45" s="99"/>
      <c r="C45" s="99"/>
      <c r="D45" s="98">
        <f>IFERROR(SUM(adaptlig_dna_maxvol-D44),"")</f>
        <v>20.697674418604649</v>
      </c>
      <c r="E45" s="98"/>
      <c r="F45" s="8"/>
    </row>
    <row r="46" spans="1:11" ht="15.75" customHeight="1" x14ac:dyDescent="0.3">
      <c r="A46" s="99" t="s">
        <v>48</v>
      </c>
      <c r="B46" s="99"/>
      <c r="C46" s="99"/>
      <c r="D46" s="106">
        <v>5</v>
      </c>
      <c r="E46" s="106"/>
    </row>
    <row r="47" spans="1:11" ht="15.75" customHeight="1" x14ac:dyDescent="0.3">
      <c r="A47" s="99" t="s">
        <v>355</v>
      </c>
      <c r="B47" s="99"/>
      <c r="C47" s="99"/>
      <c r="D47" s="106">
        <f>SUM(adaptlig_rxn_vol/5)</f>
        <v>10</v>
      </c>
      <c r="E47" s="106"/>
    </row>
    <row r="48" spans="1:11" ht="15.75" customHeight="1" x14ac:dyDescent="0.3">
      <c r="A48" s="99" t="s">
        <v>49</v>
      </c>
      <c r="B48" s="99"/>
      <c r="C48" s="99"/>
      <c r="D48" s="106">
        <f>SUM(adaptlig_rxn_vol/10)</f>
        <v>5</v>
      </c>
      <c r="E48" s="106"/>
    </row>
    <row r="49" spans="1:12" x14ac:dyDescent="0.3">
      <c r="D49" s="107">
        <f>SUM(D44:D48)</f>
        <v>50</v>
      </c>
      <c r="E49" s="107"/>
    </row>
    <row r="51" spans="1:12" x14ac:dyDescent="0.3">
      <c r="A51" s="7" t="s">
        <v>356</v>
      </c>
    </row>
    <row r="52" spans="1:12" x14ac:dyDescent="0.3">
      <c r="B52" s="1" t="s">
        <v>357</v>
      </c>
      <c r="C52" s="38" t="s">
        <v>553</v>
      </c>
      <c r="D52" s="60" t="s">
        <v>394</v>
      </c>
    </row>
    <row r="53" spans="1:12" x14ac:dyDescent="0.3">
      <c r="A53" s="105" t="s">
        <v>358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</row>
    <row r="54" spans="1:12" x14ac:dyDescent="0.3">
      <c r="A54" s="60" t="s">
        <v>395</v>
      </c>
      <c r="B54" s="9"/>
      <c r="C54" s="9"/>
      <c r="D54" s="9"/>
      <c r="E54" s="9"/>
      <c r="F54" s="9"/>
      <c r="G54" s="9"/>
      <c r="I54" s="60"/>
      <c r="J54" s="60"/>
      <c r="K54" s="60"/>
      <c r="L54" s="76"/>
    </row>
    <row r="55" spans="1:12" ht="32.25" customHeight="1" thickBot="1" x14ac:dyDescent="0.35">
      <c r="A55" s="101" t="s">
        <v>41</v>
      </c>
      <c r="B55" s="101"/>
      <c r="C55" s="101" t="s">
        <v>50</v>
      </c>
      <c r="D55" s="101"/>
      <c r="E55" s="101" t="s">
        <v>43</v>
      </c>
      <c r="F55" s="101"/>
      <c r="G55" s="101" t="s">
        <v>51</v>
      </c>
      <c r="H55" s="101"/>
    </row>
    <row r="56" spans="1:12" x14ac:dyDescent="0.3">
      <c r="A56" s="102">
        <f>SUM(adaptlig_rxn_vol*0.5)</f>
        <v>25</v>
      </c>
      <c r="B56" s="102"/>
      <c r="C56" s="103">
        <v>75</v>
      </c>
      <c r="D56" s="103"/>
      <c r="E56" s="103">
        <v>1</v>
      </c>
      <c r="F56" s="103"/>
      <c r="G56" s="104">
        <f>SUM(C56*E56)</f>
        <v>75</v>
      </c>
      <c r="H56" s="104"/>
    </row>
    <row r="58" spans="1:12" x14ac:dyDescent="0.3">
      <c r="A58" s="7" t="s">
        <v>52</v>
      </c>
    </row>
    <row r="59" spans="1:12" x14ac:dyDescent="0.3">
      <c r="A59" s="5" t="s">
        <v>327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95" t="s">
        <v>25</v>
      </c>
      <c r="B60" s="95"/>
      <c r="C60" s="95"/>
      <c r="D60" s="96" t="s">
        <v>26</v>
      </c>
      <c r="E60" s="96"/>
    </row>
    <row r="61" spans="1:12" ht="15.75" customHeight="1" x14ac:dyDescent="0.3">
      <c r="A61" s="97" t="s">
        <v>53</v>
      </c>
      <c r="B61" s="97"/>
      <c r="C61" s="97"/>
      <c r="D61" s="98">
        <f>IF(C56="",flowcell_maxvol,IF(SUM(flowcell_targetmass/G56)&gt;flowcell_maxvol,flowcell_maxvol,SUM(flowcell_targetmass/G56)))</f>
        <v>10.666666666666666</v>
      </c>
      <c r="E61" s="98"/>
    </row>
    <row r="62" spans="1:12" ht="15.75" customHeight="1" x14ac:dyDescent="0.3">
      <c r="A62" s="97" t="s">
        <v>54</v>
      </c>
      <c r="B62" s="97"/>
      <c r="C62" s="97"/>
      <c r="D62" s="98">
        <f>IFERROR((IF(SUM(12-D61)=0,"-",SUM(12-D61))),"")</f>
        <v>1.3333333333333339</v>
      </c>
      <c r="E62" s="98"/>
    </row>
    <row r="63" spans="1:12" ht="15.75" customHeight="1" x14ac:dyDescent="0.3">
      <c r="A63" s="99" t="s">
        <v>361</v>
      </c>
      <c r="B63" s="99"/>
      <c r="C63" s="99"/>
      <c r="D63" s="100">
        <v>37.5</v>
      </c>
      <c r="E63" s="100"/>
    </row>
    <row r="64" spans="1:12" ht="15.75" customHeight="1" x14ac:dyDescent="0.3">
      <c r="A64" s="99" t="s">
        <v>362</v>
      </c>
      <c r="B64" s="99"/>
      <c r="C64" s="99"/>
      <c r="D64" s="100">
        <v>25.5</v>
      </c>
      <c r="E64" s="100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1" t="s">
        <v>57</v>
      </c>
      <c r="B67" s="91"/>
      <c r="C67" s="93" t="s">
        <v>58</v>
      </c>
      <c r="D67" s="93"/>
      <c r="E67" s="5" t="s">
        <v>4</v>
      </c>
    </row>
    <row r="68" spans="1:5" ht="15.75" customHeight="1" x14ac:dyDescent="0.3">
      <c r="A68" s="91" t="s">
        <v>59</v>
      </c>
      <c r="B68" s="91"/>
      <c r="C68" s="92" t="s">
        <v>437</v>
      </c>
      <c r="D68" s="92"/>
    </row>
    <row r="69" spans="1:5" ht="15.75" customHeight="1" x14ac:dyDescent="0.3">
      <c r="A69" s="91" t="s">
        <v>60</v>
      </c>
      <c r="B69" s="91"/>
      <c r="C69" s="92" t="s">
        <v>288</v>
      </c>
      <c r="D69" s="92"/>
    </row>
    <row r="70" spans="1:5" ht="15.75" customHeight="1" x14ac:dyDescent="0.3">
      <c r="A70" s="91" t="s">
        <v>61</v>
      </c>
      <c r="B70" s="91"/>
      <c r="C70" s="94">
        <v>10</v>
      </c>
      <c r="D70" s="94"/>
      <c r="E70" s="9" t="s">
        <v>62</v>
      </c>
    </row>
    <row r="71" spans="1:5" ht="15.75" customHeight="1" x14ac:dyDescent="0.3">
      <c r="A71" s="91" t="s">
        <v>63</v>
      </c>
      <c r="B71" s="91"/>
      <c r="C71" s="93" t="s">
        <v>64</v>
      </c>
      <c r="D71" s="93"/>
      <c r="E71" s="5" t="s">
        <v>4</v>
      </c>
    </row>
    <row r="72" spans="1:5" ht="15.75" customHeight="1" x14ac:dyDescent="0.3">
      <c r="A72" s="91" t="s">
        <v>65</v>
      </c>
      <c r="B72" s="91"/>
      <c r="C72" s="92">
        <v>476</v>
      </c>
      <c r="D72" s="92"/>
      <c r="E72" s="9" t="s">
        <v>66</v>
      </c>
    </row>
    <row r="73" spans="1:5" ht="15.75" customHeight="1" x14ac:dyDescent="0.3">
      <c r="A73" s="91" t="s">
        <v>67</v>
      </c>
      <c r="B73" s="91"/>
      <c r="C73" s="92">
        <v>10</v>
      </c>
      <c r="D73" s="92"/>
      <c r="E73" s="9" t="s">
        <v>68</v>
      </c>
    </row>
  </sheetData>
  <sheetProtection sheet="1" objects="1" scenarios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B59">
    <cfRule type="expression" dxfId="17" priority="7">
      <formula>COUNTIF(B59,"")</formula>
    </cfRule>
  </conditionalFormatting>
  <conditionalFormatting sqref="C2:C4 C7:C8 F16 B39:C39 B42 C56:E56 C67:C69 C71:C73">
    <cfRule type="expression" dxfId="16" priority="10">
      <formula>COUNTIF(B2,"")</formula>
    </cfRule>
  </conditionalFormatting>
  <conditionalFormatting sqref="C11:C12 A34">
    <cfRule type="expression" dxfId="15" priority="5">
      <formula>COUNTIF(A11,"")</formula>
    </cfRule>
  </conditionalFormatting>
  <conditionalFormatting sqref="C34">
    <cfRule type="expression" dxfId="14" priority="1">
      <formula>COUNTIF(C34,"")</formula>
    </cfRule>
  </conditionalFormatting>
  <conditionalFormatting sqref="C52">
    <cfRule type="expression" dxfId="13" priority="2">
      <formula>COUNTIF(C52,"")</formula>
    </cfRule>
  </conditionalFormatting>
  <conditionalFormatting sqref="C72">
    <cfRule type="cellIs" dxfId="11" priority="11" operator="lessThan">
      <formula>800</formula>
    </cfRule>
    <cfRule type="cellIs" dxfId="10" priority="12" operator="greaterThanOrEqual">
      <formula>800</formula>
    </cfRule>
  </conditionalFormatting>
  <conditionalFormatting sqref="D39">
    <cfRule type="cellIs" dxfId="9" priority="15" operator="lessThan">
      <formula>2</formula>
    </cfRule>
    <cfRule type="cellIs" dxfId="8" priority="16" operator="greaterThanOrEqual">
      <formula>2</formula>
    </cfRule>
  </conditionalFormatting>
  <conditionalFormatting sqref="E34:G34">
    <cfRule type="expression" dxfId="7" priority="4">
      <formula>COUNTIF(E34,"")</formula>
    </cfRule>
  </conditionalFormatting>
  <conditionalFormatting sqref="F42">
    <cfRule type="expression" dxfId="6" priority="8">
      <formula>COUNTIF(F42,"")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COUNTIF($C$69,Reference!$E$18)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  <x14:conditionalFormatting xmlns:xm="http://schemas.microsoft.com/office/excel/2006/main">
          <x14:cfRule type="cellIs" priority="13" operator="lessThan" id="{F2961990-09EF-4874-8343-75AA7400F7E9}">
            <xm:f>Reference!$B$20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operator="greaterThanOrEqual" id="{D1C1E73E-7899-481F-B6F9-19D5EC385B53}">
            <xm:f>Reference!$B$20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Reference!$E$21:$E$22</xm:f>
          </x14:formula1>
          <xm:sqref>F42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C71:D71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Reference!$L$17:$L$23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Reference!$I$17:$I$23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Reference!$E$53:$E$54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Reference!$E$57:$E$58</xm:f>
          </x14:formula1>
          <xm:sqref>G34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C67:D67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abSelected="1" topLeftCell="C1" zoomScale="130" zoomScaleNormal="130" workbookViewId="0">
      <selection activeCell="J5" sqref="J5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hidden="1" customWidth="1"/>
    <col min="8" max="8" width="12" hidden="1" customWidth="1"/>
    <col min="13" max="28" width="11" hidden="1" customWidth="1"/>
    <col min="32" max="32" width="0" hidden="1" customWidth="1"/>
  </cols>
  <sheetData>
    <row r="1" spans="1:32" x14ac:dyDescent="0.3">
      <c r="C1" s="38"/>
      <c r="D1" s="132" t="s">
        <v>69</v>
      </c>
      <c r="E1" s="132"/>
      <c r="F1" s="132"/>
      <c r="G1" s="61" t="s">
        <v>70</v>
      </c>
      <c r="H1" s="133" t="s">
        <v>71</v>
      </c>
      <c r="I1" s="133"/>
      <c r="J1" s="133"/>
      <c r="K1" s="133"/>
      <c r="L1" s="134" t="s">
        <v>72</v>
      </c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</row>
    <row r="2" spans="1:32" s="15" customFormat="1" ht="95.4" thickBot="1" x14ac:dyDescent="0.45">
      <c r="A2" s="40" t="s">
        <v>73</v>
      </c>
      <c r="B2" s="40" t="s">
        <v>339</v>
      </c>
      <c r="C2" s="40" t="s">
        <v>74</v>
      </c>
      <c r="D2" s="62" t="s">
        <v>75</v>
      </c>
      <c r="E2" s="62" t="s">
        <v>76</v>
      </c>
      <c r="F2" s="62" t="s">
        <v>405</v>
      </c>
      <c r="G2" s="63" t="s">
        <v>77</v>
      </c>
      <c r="H2" s="64" t="s">
        <v>78</v>
      </c>
      <c r="I2" s="64" t="s">
        <v>79</v>
      </c>
      <c r="J2" s="64" t="s">
        <v>80</v>
      </c>
      <c r="K2" s="64" t="s">
        <v>81</v>
      </c>
      <c r="L2" s="65" t="s">
        <v>82</v>
      </c>
      <c r="M2" s="65" t="s">
        <v>368</v>
      </c>
      <c r="N2" s="65" t="s">
        <v>341</v>
      </c>
      <c r="O2" s="65" t="s">
        <v>375</v>
      </c>
      <c r="P2" s="65" t="s">
        <v>376</v>
      </c>
      <c r="Q2" s="65" t="s">
        <v>384</v>
      </c>
      <c r="R2" s="65" t="s">
        <v>378</v>
      </c>
      <c r="S2" s="65" t="s">
        <v>377</v>
      </c>
      <c r="T2" s="65" t="s">
        <v>382</v>
      </c>
      <c r="U2" s="65" t="s">
        <v>383</v>
      </c>
      <c r="V2" s="65" t="s">
        <v>370</v>
      </c>
      <c r="W2" s="65" t="s">
        <v>345</v>
      </c>
      <c r="X2" s="65" t="s">
        <v>346</v>
      </c>
      <c r="Y2" s="65" t="s">
        <v>373</v>
      </c>
      <c r="Z2" s="65" t="s">
        <v>372</v>
      </c>
      <c r="AA2" s="65" t="s">
        <v>371</v>
      </c>
      <c r="AB2" s="65" t="s">
        <v>374</v>
      </c>
      <c r="AC2" s="65" t="s">
        <v>415</v>
      </c>
      <c r="AD2" s="65" t="s">
        <v>416</v>
      </c>
      <c r="AE2" s="65" t="s">
        <v>83</v>
      </c>
      <c r="AF2" s="65" t="s">
        <v>84</v>
      </c>
    </row>
    <row r="3" spans="1:32" ht="15.75" customHeight="1" x14ac:dyDescent="0.3">
      <c r="A3" s="41">
        <v>1</v>
      </c>
      <c r="B3" s="42" t="str">
        <f>RIGHT(tbl_SeqLib[[#This Row],[Well]],LEN(tbl_SeqLib[[#This Row],[Well]])-1)</f>
        <v>1</v>
      </c>
      <c r="C3" s="42" t="s">
        <v>85</v>
      </c>
      <c r="D3" s="43" t="s">
        <v>438</v>
      </c>
      <c r="E3" s="43" t="s">
        <v>439</v>
      </c>
      <c r="F3" s="43" t="s">
        <v>406</v>
      </c>
      <c r="G3" s="43" t="s">
        <v>440</v>
      </c>
      <c r="H3" s="84" t="s">
        <v>441</v>
      </c>
      <c r="I3" s="43">
        <v>70</v>
      </c>
      <c r="J3" s="43">
        <v>1</v>
      </c>
      <c r="K3" s="44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45" t="s">
        <v>86</v>
      </c>
      <c r="M3" s="72">
        <f>IF(OR(ISBLANK(tbl_SeqLib[[#This Row],[Sample ID]]),ISBLANK(endrepair_targetmass)),0,IF(LEN(tbl_SeqLib[[#This Row],[PCR '[DNA'] (ng / µl)]])=0,1,2))</f>
        <v>2</v>
      </c>
      <c r="N3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46">
        <f>IF(tbl_SeqLib[[#This Row],[entry]]=2,ROUNDUP(_xlfn.MINIFS(tbl_SeqLib[Exact],tbl_SeqLib[Column],tbl_SeqLib[[#This Row],[Column]]),1),"")</f>
        <v>10</v>
      </c>
      <c r="P3" s="46">
        <f>IF(tbl_SeqLib[[#This Row],[entry]]=2,ROUNDDOWN(_xlfn.MAXIFS(tbl_SeqLib[Exact],tbl_SeqLib[Column],tbl_SeqLib[[#This Row],[Column]]),1),"")</f>
        <v>10</v>
      </c>
      <c r="Q3" s="46">
        <f>IF(tbl_SeqLib[[#This Row],[entry]]=2,ROUNDUP(AVERAGEIFS(tbl_SeqLib[Exact],tbl_SeqLib[Column],tbl_SeqLib[[#This Row],[Column]]),1),"")</f>
        <v>10</v>
      </c>
      <c r="R3" s="46" cm="1">
        <f t="array" ref="R3">_xlfn.XLOOKUP(0,ABS(tbl_SeqLib[[#This Row],[Min for col]:[Avg for col]]-tbl_SeqLib[[#This Row],[Exact]]),tbl_SeqLib[[#This Row],[Min for col]:[Avg for col]],"",1)</f>
        <v>10</v>
      </c>
      <c r="S3" s="46" cm="1">
        <f t="array" ref="S3">_xlfn.XLOOKUP(0,ABS(tbl_SeqLib[[#This Row],[Max for col]:[Avg for col]]-tbl_SeqLib[[#This Row],[Exact]]),tbl_SeqLib[[#This Row],[Max for col]:[Avg for col]],"",1)</f>
        <v>10</v>
      </c>
      <c r="T3" s="46">
        <f>IF(tbl_SeqLib[[#This Row],[entry]]=2,tbl_SeqLib[[#This Row],[Max for col]],"")</f>
        <v>10</v>
      </c>
      <c r="U3" s="46">
        <f>IF(tbl_SeqLib[[#This Row],[entry]]=2,tbl_SeqLib[[#This Row],[Avg for col]],"")</f>
        <v>10</v>
      </c>
      <c r="V3" s="46">
        <f>IF(tbl_SeqLib[[#This Row],[entry]]=2,AVERAGE(tbl_SeqLib[Exact]),"")</f>
        <v>9.2911764705882351</v>
      </c>
      <c r="W3" s="46">
        <f>IF(tbl_SeqLib[[#This Row],[entry]]=2,MAX(tbl_SeqLib[Exact]),"")</f>
        <v>10</v>
      </c>
      <c r="X3" s="46" cm="1">
        <f t="array" ref="X3">_xlfn.XLOOKUP(0,ABS(tbl_SeqLib[[#This Row],[Avg per plate]:[Max per plate]]-tbl_SeqLib[[#This Row],[Exact]]),tbl_SeqLib[[#This Row],[Avg per plate]:[Max per plate]],,1)</f>
        <v>10</v>
      </c>
      <c r="Y3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" s="72" t="str">
        <f>IF(tbl_SeqLib[[#This Row],[entry]]=1,ROUNDUP(AVERAGE(tbl_SeqLib[Exact]),1),"")</f>
        <v/>
      </c>
      <c r="AA3" s="72" t="str">
        <f>IF(tbl_SeqLib[[#This Row],[entry]]=1,ROUNDUP(AVERAGEIFS(tbl_SeqLib[Exact],tbl_SeqLib[Column],tbl_SeqLib[[#This Row],[Column]]),1),"")</f>
        <v/>
      </c>
      <c r="AB3" s="46" t="str">
        <f>IF(missing_qc_resolution=Reference!$E$49,tbl_SeqLib[[#This Row],[Avg per col (missing)]],tbl_SeqLib[[#This Row],[Avg per plate (missing)]])</f>
        <v/>
      </c>
      <c r="AC3" s="46">
        <f>IF(tbl_SeqLib[[#This Row],[entry]]=0,"",IF(tbl_SeqLib[[#This Row],[entry]]=1,tbl_SeqLib[[#This Row],[Not quantified]],IF(tbl_SeqLib[[#This Row],[entry]]=2,tbl_SeqLib[[#This Row],[Quantified]])))</f>
        <v>10</v>
      </c>
      <c r="AD3" s="79"/>
      <c r="AE3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" s="47" t="str">
        <f>IF(ISBLANK(tbl_SeqLib[[#This Row],[sWGA Identifier]]),"",CONCATENATE(exp_id,"_",tbl_SeqLib[[#This Row],[Well]]))</f>
        <v>SLJS034_A1</v>
      </c>
    </row>
    <row r="4" spans="1:32" ht="15.75" customHeight="1" x14ac:dyDescent="0.3">
      <c r="A4" s="48">
        <v>2</v>
      </c>
      <c r="B4" s="37" t="str">
        <f>RIGHT(tbl_SeqLib[[#This Row],[Well]],LEN(tbl_SeqLib[[#This Row],[Well]])-1)</f>
        <v>1</v>
      </c>
      <c r="C4" s="37" t="s">
        <v>87</v>
      </c>
      <c r="D4" s="19" t="s">
        <v>442</v>
      </c>
      <c r="E4" s="19" t="s">
        <v>443</v>
      </c>
      <c r="F4" s="19" t="s">
        <v>406</v>
      </c>
      <c r="G4" s="29" t="s">
        <v>444</v>
      </c>
      <c r="H4" s="85" t="s">
        <v>445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0" t="s">
        <v>88</v>
      </c>
      <c r="M4" s="73">
        <f>IF(OR(ISBLANK(tbl_SeqLib[[#This Row],[Sample ID]]),ISBLANK(endrepair_targetmass)),0,IF(LEN(tbl_SeqLib[[#This Row],[PCR '[DNA'] (ng / µl)]])=0,1,2))</f>
        <v>2</v>
      </c>
      <c r="N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35">
        <f>IF(tbl_SeqLib[[#This Row],[entry]]=2,ROUNDUP(_xlfn.MINIFS(tbl_SeqLib[Exact],tbl_SeqLib[Column],tbl_SeqLib[[#This Row],[Column]]),1),"")</f>
        <v>10</v>
      </c>
      <c r="P4" s="35">
        <f>IF(tbl_SeqLib[[#This Row],[entry]]=2,ROUNDDOWN(_xlfn.MAXIFS(tbl_SeqLib[Exact],tbl_SeqLib[Column],tbl_SeqLib[[#This Row],[Column]]),1),"")</f>
        <v>10</v>
      </c>
      <c r="Q4" s="35">
        <f>IF(tbl_SeqLib[[#This Row],[entry]]=2,ROUNDUP(AVERAGEIFS(tbl_SeqLib[Exact],tbl_SeqLib[Column],tbl_SeqLib[[#This Row],[Column]]),1),"")</f>
        <v>10</v>
      </c>
      <c r="R4" s="35" cm="1">
        <f t="array" ref="R4">_xlfn.XLOOKUP(0,ABS(tbl_SeqLib[[#This Row],[Min for col]:[Avg for col]]-tbl_SeqLib[[#This Row],[Exact]]),tbl_SeqLib[[#This Row],[Min for col]:[Avg for col]],"",1)</f>
        <v>10</v>
      </c>
      <c r="S4" s="35" cm="1">
        <f t="array" ref="S4">_xlfn.XLOOKUP(0,ABS(tbl_SeqLib[[#This Row],[Max for col]:[Avg for col]]-tbl_SeqLib[[#This Row],[Exact]]),tbl_SeqLib[[#This Row],[Max for col]:[Avg for col]],"",1)</f>
        <v>10</v>
      </c>
      <c r="T4" s="35">
        <f>IF(tbl_SeqLib[[#This Row],[entry]]=2,tbl_SeqLib[[#This Row],[Max for col]],"")</f>
        <v>10</v>
      </c>
      <c r="U4" s="35">
        <f>IF(tbl_SeqLib[[#This Row],[entry]]=2,tbl_SeqLib[[#This Row],[Avg for col]],"")</f>
        <v>10</v>
      </c>
      <c r="V4" s="35">
        <f>IF(tbl_SeqLib[[#This Row],[entry]]=2,AVERAGE(tbl_SeqLib[Exact]),"")</f>
        <v>9.2911764705882351</v>
      </c>
      <c r="W4" s="35">
        <f>IF(tbl_SeqLib[[#This Row],[entry]]=2,MAX(tbl_SeqLib[Exact]),"")</f>
        <v>10</v>
      </c>
      <c r="X4" s="35" cm="1">
        <f t="array" ref="X4">_xlfn.XLOOKUP(0,ABS(tbl_SeqLib[[#This Row],[Avg per plate]:[Max per plate]]-tbl_SeqLib[[#This Row],[Exact]]),tbl_SeqLib[[#This Row],[Avg per plate]:[Max per plate]],,1)</f>
        <v>10</v>
      </c>
      <c r="Y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4" s="73" t="str">
        <f>IF(tbl_SeqLib[[#This Row],[entry]]=1,ROUNDUP(AVERAGE(tbl_SeqLib[Exact]),1),"")</f>
        <v/>
      </c>
      <c r="AA4" s="73" t="str">
        <f>IF(tbl_SeqLib[[#This Row],[entry]]=1,ROUNDUP(AVERAGEIFS(tbl_SeqLib[Exact],tbl_SeqLib[Column],tbl_SeqLib[[#This Row],[Column]]),1),"")</f>
        <v/>
      </c>
      <c r="AB4" s="35" t="str">
        <f>IF(missing_qc_resolution=Reference!$E$49,tbl_SeqLib[[#This Row],[Avg per col (missing)]],tbl_SeqLib[[#This Row],[Avg per plate (missing)]])</f>
        <v/>
      </c>
      <c r="AC4" s="35">
        <f>IF(tbl_SeqLib[[#This Row],[entry]]=0,"",IF(tbl_SeqLib[[#This Row],[entry]]=1,tbl_SeqLib[[#This Row],[Not quantified]],IF(tbl_SeqLib[[#This Row],[entry]]=2,tbl_SeqLib[[#This Row],[Quantified]])))</f>
        <v>10</v>
      </c>
      <c r="AD4" s="80"/>
      <c r="AE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4" s="49" t="str">
        <f>IF(ISBLANK(tbl_SeqLib[[#This Row],[sWGA Identifier]]),"",CONCATENATE(exp_id,"_",tbl_SeqLib[[#This Row],[Well]]))</f>
        <v>SLJS034_B1</v>
      </c>
    </row>
    <row r="5" spans="1:32" ht="15.75" customHeight="1" x14ac:dyDescent="0.3">
      <c r="A5" s="48">
        <v>3</v>
      </c>
      <c r="B5" s="37" t="str">
        <f>RIGHT(tbl_SeqLib[[#This Row],[Well]],LEN(tbl_SeqLib[[#This Row],[Well]])-1)</f>
        <v>1</v>
      </c>
      <c r="C5" s="37" t="s">
        <v>89</v>
      </c>
      <c r="D5" s="19" t="s">
        <v>446</v>
      </c>
      <c r="E5" s="19" t="s">
        <v>447</v>
      </c>
      <c r="F5" s="19" t="s">
        <v>406</v>
      </c>
      <c r="G5" s="29" t="s">
        <v>448</v>
      </c>
      <c r="H5" s="85" t="s">
        <v>449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0" t="s">
        <v>90</v>
      </c>
      <c r="M5" s="73">
        <f>IF(OR(ISBLANK(tbl_SeqLib[[#This Row],[Sample ID]]),ISBLANK(endrepair_targetmass)),0,IF(LEN(tbl_SeqLib[[#This Row],[PCR '[DNA'] (ng / µl)]])=0,1,2))</f>
        <v>2</v>
      </c>
      <c r="N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35">
        <f>IF(tbl_SeqLib[[#This Row],[entry]]=2,ROUNDUP(_xlfn.MINIFS(tbl_SeqLib[Exact],tbl_SeqLib[Column],tbl_SeqLib[[#This Row],[Column]]),1),"")</f>
        <v>10</v>
      </c>
      <c r="P5" s="35">
        <f>IF(tbl_SeqLib[[#This Row],[entry]]=2,ROUNDDOWN(_xlfn.MAXIFS(tbl_SeqLib[Exact],tbl_SeqLib[Column],tbl_SeqLib[[#This Row],[Column]]),1),"")</f>
        <v>10</v>
      </c>
      <c r="Q5" s="35">
        <f>IF(tbl_SeqLib[[#This Row],[entry]]=2,ROUNDUP(AVERAGEIFS(tbl_SeqLib[Exact],tbl_SeqLib[Column],tbl_SeqLib[[#This Row],[Column]]),1),"")</f>
        <v>10</v>
      </c>
      <c r="R5" s="35" cm="1">
        <f t="array" ref="R5">_xlfn.XLOOKUP(0,ABS(tbl_SeqLib[[#This Row],[Min for col]:[Avg for col]]-tbl_SeqLib[[#This Row],[Exact]]),tbl_SeqLib[[#This Row],[Min for col]:[Avg for col]],"",1)</f>
        <v>10</v>
      </c>
      <c r="S5" s="35" cm="1">
        <f t="array" ref="S5">_xlfn.XLOOKUP(0,ABS(tbl_SeqLib[[#This Row],[Max for col]:[Avg for col]]-tbl_SeqLib[[#This Row],[Exact]]),tbl_SeqLib[[#This Row],[Max for col]:[Avg for col]],"",1)</f>
        <v>10</v>
      </c>
      <c r="T5" s="35">
        <f>IF(tbl_SeqLib[[#This Row],[entry]]=2,tbl_SeqLib[[#This Row],[Max for col]],"")</f>
        <v>10</v>
      </c>
      <c r="U5" s="35">
        <f>IF(tbl_SeqLib[[#This Row],[entry]]=2,tbl_SeqLib[[#This Row],[Avg for col]],"")</f>
        <v>10</v>
      </c>
      <c r="V5" s="35">
        <f>IF(tbl_SeqLib[[#This Row],[entry]]=2,AVERAGE(tbl_SeqLib[Exact]),"")</f>
        <v>9.2911764705882351</v>
      </c>
      <c r="W5" s="35">
        <f>IF(tbl_SeqLib[[#This Row],[entry]]=2,MAX(tbl_SeqLib[Exact]),"")</f>
        <v>10</v>
      </c>
      <c r="X5" s="35" cm="1">
        <f t="array" ref="X5">_xlfn.XLOOKUP(0,ABS(tbl_SeqLib[[#This Row],[Avg per plate]:[Max per plate]]-tbl_SeqLib[[#This Row],[Exact]]),tbl_SeqLib[[#This Row],[Avg per plate]:[Max per plate]],,1)</f>
        <v>10</v>
      </c>
      <c r="Y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5" s="73" t="str">
        <f>IF(tbl_SeqLib[[#This Row],[entry]]=1,ROUNDUP(AVERAGE(tbl_SeqLib[Exact]),1),"")</f>
        <v/>
      </c>
      <c r="AA5" s="73" t="str">
        <f>IF(tbl_SeqLib[[#This Row],[entry]]=1,ROUNDUP(AVERAGEIFS(tbl_SeqLib[Exact],tbl_SeqLib[Column],tbl_SeqLib[[#This Row],[Column]]),1),"")</f>
        <v/>
      </c>
      <c r="AB5" s="35" t="str">
        <f>IF(missing_qc_resolution=Reference!$E$49,tbl_SeqLib[[#This Row],[Avg per col (missing)]],tbl_SeqLib[[#This Row],[Avg per plate (missing)]])</f>
        <v/>
      </c>
      <c r="AC5" s="35">
        <f>IF(tbl_SeqLib[[#This Row],[entry]]=0,"",IF(tbl_SeqLib[[#This Row],[entry]]=1,tbl_SeqLib[[#This Row],[Not quantified]],IF(tbl_SeqLib[[#This Row],[entry]]=2,tbl_SeqLib[[#This Row],[Quantified]])))</f>
        <v>10</v>
      </c>
      <c r="AD5" s="80"/>
      <c r="AE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5" s="49" t="str">
        <f>IF(ISBLANK(tbl_SeqLib[[#This Row],[sWGA Identifier]]),"",CONCATENATE(exp_id,"_",tbl_SeqLib[[#This Row],[Well]]))</f>
        <v>SLJS034_C1</v>
      </c>
    </row>
    <row r="6" spans="1:32" ht="15.75" customHeight="1" x14ac:dyDescent="0.3">
      <c r="A6" s="48">
        <v>4</v>
      </c>
      <c r="B6" s="37" t="str">
        <f>RIGHT(tbl_SeqLib[[#This Row],[Well]],LEN(tbl_SeqLib[[#This Row],[Well]])-1)</f>
        <v>1</v>
      </c>
      <c r="C6" s="37" t="s">
        <v>91</v>
      </c>
      <c r="D6" s="19" t="s">
        <v>450</v>
      </c>
      <c r="E6" s="19" t="s">
        <v>451</v>
      </c>
      <c r="F6" s="19" t="s">
        <v>406</v>
      </c>
      <c r="G6" s="29" t="s">
        <v>452</v>
      </c>
      <c r="H6" s="85" t="s">
        <v>453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0" t="s">
        <v>92</v>
      </c>
      <c r="M6" s="73">
        <f>IF(OR(ISBLANK(tbl_SeqLib[[#This Row],[Sample ID]]),ISBLANK(endrepair_targetmass)),0,IF(LEN(tbl_SeqLib[[#This Row],[PCR '[DNA'] (ng / µl)]])=0,1,2))</f>
        <v>2</v>
      </c>
      <c r="N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35">
        <f>IF(tbl_SeqLib[[#This Row],[entry]]=2,ROUNDUP(_xlfn.MINIFS(tbl_SeqLib[Exact],tbl_SeqLib[Column],tbl_SeqLib[[#This Row],[Column]]),1),"")</f>
        <v>10</v>
      </c>
      <c r="P6" s="35">
        <f>IF(tbl_SeqLib[[#This Row],[entry]]=2,ROUNDDOWN(_xlfn.MAXIFS(tbl_SeqLib[Exact],tbl_SeqLib[Column],tbl_SeqLib[[#This Row],[Column]]),1),"")</f>
        <v>10</v>
      </c>
      <c r="Q6" s="35">
        <f>IF(tbl_SeqLib[[#This Row],[entry]]=2,ROUNDUP(AVERAGEIFS(tbl_SeqLib[Exact],tbl_SeqLib[Column],tbl_SeqLib[[#This Row],[Column]]),1),"")</f>
        <v>10</v>
      </c>
      <c r="R6" s="35" cm="1">
        <f t="array" ref="R6">_xlfn.XLOOKUP(0,ABS(tbl_SeqLib[[#This Row],[Min for col]:[Avg for col]]-tbl_SeqLib[[#This Row],[Exact]]),tbl_SeqLib[[#This Row],[Min for col]:[Avg for col]],"",1)</f>
        <v>10</v>
      </c>
      <c r="S6" s="35" cm="1">
        <f t="array" ref="S6">_xlfn.XLOOKUP(0,ABS(tbl_SeqLib[[#This Row],[Max for col]:[Avg for col]]-tbl_SeqLib[[#This Row],[Exact]]),tbl_SeqLib[[#This Row],[Max for col]:[Avg for col]],"",1)</f>
        <v>10</v>
      </c>
      <c r="T6" s="35">
        <f>IF(tbl_SeqLib[[#This Row],[entry]]=2,tbl_SeqLib[[#This Row],[Max for col]],"")</f>
        <v>10</v>
      </c>
      <c r="U6" s="35">
        <f>IF(tbl_SeqLib[[#This Row],[entry]]=2,tbl_SeqLib[[#This Row],[Avg for col]],"")</f>
        <v>10</v>
      </c>
      <c r="V6" s="35">
        <f>IF(tbl_SeqLib[[#This Row],[entry]]=2,AVERAGE(tbl_SeqLib[Exact]),"")</f>
        <v>9.2911764705882351</v>
      </c>
      <c r="W6" s="35">
        <f>IF(tbl_SeqLib[[#This Row],[entry]]=2,MAX(tbl_SeqLib[Exact]),"")</f>
        <v>10</v>
      </c>
      <c r="X6" s="35" cm="1">
        <f t="array" ref="X6">_xlfn.XLOOKUP(0,ABS(tbl_SeqLib[[#This Row],[Avg per plate]:[Max per plate]]-tbl_SeqLib[[#This Row],[Exact]]),tbl_SeqLib[[#This Row],[Avg per plate]:[Max per plate]],,1)</f>
        <v>10</v>
      </c>
      <c r="Y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6" s="73" t="str">
        <f>IF(tbl_SeqLib[[#This Row],[entry]]=1,ROUNDUP(AVERAGE(tbl_SeqLib[Exact]),1),"")</f>
        <v/>
      </c>
      <c r="AA6" s="73" t="str">
        <f>IF(tbl_SeqLib[[#This Row],[entry]]=1,ROUNDUP(AVERAGEIFS(tbl_SeqLib[Exact],tbl_SeqLib[Column],tbl_SeqLib[[#This Row],[Column]]),1),"")</f>
        <v/>
      </c>
      <c r="AB6" s="35" t="str">
        <f>IF(missing_qc_resolution=Reference!$E$49,tbl_SeqLib[[#This Row],[Avg per col (missing)]],tbl_SeqLib[[#This Row],[Avg per plate (missing)]])</f>
        <v/>
      </c>
      <c r="AC6" s="35">
        <f>IF(tbl_SeqLib[[#This Row],[entry]]=0,"",IF(tbl_SeqLib[[#This Row],[entry]]=1,tbl_SeqLib[[#This Row],[Not quantified]],IF(tbl_SeqLib[[#This Row],[entry]]=2,tbl_SeqLib[[#This Row],[Quantified]])))</f>
        <v>10</v>
      </c>
      <c r="AD6" s="80"/>
      <c r="AE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6" s="49" t="str">
        <f>IF(ISBLANK(tbl_SeqLib[[#This Row],[sWGA Identifier]]),"",CONCATENATE(exp_id,"_",tbl_SeqLib[[#This Row],[Well]]))</f>
        <v>SLJS034_D1</v>
      </c>
    </row>
    <row r="7" spans="1:32" ht="15.75" customHeight="1" x14ac:dyDescent="0.3">
      <c r="A7" s="48">
        <v>5</v>
      </c>
      <c r="B7" s="37" t="str">
        <f>RIGHT(tbl_SeqLib[[#This Row],[Well]],LEN(tbl_SeqLib[[#This Row],[Well]])-1)</f>
        <v>1</v>
      </c>
      <c r="C7" s="37" t="s">
        <v>93</v>
      </c>
      <c r="D7" s="19" t="s">
        <v>454</v>
      </c>
      <c r="E7" s="19" t="s">
        <v>455</v>
      </c>
      <c r="F7" s="19" t="s">
        <v>406</v>
      </c>
      <c r="G7" s="29" t="s">
        <v>456</v>
      </c>
      <c r="H7" s="85" t="s">
        <v>457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0" t="s">
        <v>94</v>
      </c>
      <c r="M7" s="73">
        <f>IF(OR(ISBLANK(tbl_SeqLib[[#This Row],[Sample ID]]),ISBLANK(endrepair_targetmass)),0,IF(LEN(tbl_SeqLib[[#This Row],[PCR '[DNA'] (ng / µl)]])=0,1,2))</f>
        <v>2</v>
      </c>
      <c r="N7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35">
        <f>IF(tbl_SeqLib[[#This Row],[entry]]=2,ROUNDUP(_xlfn.MINIFS(tbl_SeqLib[Exact],tbl_SeqLib[Column],tbl_SeqLib[[#This Row],[Column]]),1),"")</f>
        <v>10</v>
      </c>
      <c r="P7" s="35">
        <f>IF(tbl_SeqLib[[#This Row],[entry]]=2,ROUNDDOWN(_xlfn.MAXIFS(tbl_SeqLib[Exact],tbl_SeqLib[Column],tbl_SeqLib[[#This Row],[Column]]),1),"")</f>
        <v>10</v>
      </c>
      <c r="Q7" s="35">
        <f>IF(tbl_SeqLib[[#This Row],[entry]]=2,ROUNDUP(AVERAGEIFS(tbl_SeqLib[Exact],tbl_SeqLib[Column],tbl_SeqLib[[#This Row],[Column]]),1),"")</f>
        <v>10</v>
      </c>
      <c r="R7" s="35" cm="1">
        <f t="array" ref="R7">_xlfn.XLOOKUP(0,ABS(tbl_SeqLib[[#This Row],[Min for col]:[Avg for col]]-tbl_SeqLib[[#This Row],[Exact]]),tbl_SeqLib[[#This Row],[Min for col]:[Avg for col]],"",1)</f>
        <v>10</v>
      </c>
      <c r="S7" s="35" cm="1">
        <f t="array" ref="S7">_xlfn.XLOOKUP(0,ABS(tbl_SeqLib[[#This Row],[Max for col]:[Avg for col]]-tbl_SeqLib[[#This Row],[Exact]]),tbl_SeqLib[[#This Row],[Max for col]:[Avg for col]],"",1)</f>
        <v>10</v>
      </c>
      <c r="T7" s="35">
        <f>IF(tbl_SeqLib[[#This Row],[entry]]=2,tbl_SeqLib[[#This Row],[Max for col]],"")</f>
        <v>10</v>
      </c>
      <c r="U7" s="35">
        <f>IF(tbl_SeqLib[[#This Row],[entry]]=2,tbl_SeqLib[[#This Row],[Avg for col]],"")</f>
        <v>10</v>
      </c>
      <c r="V7" s="35">
        <f>IF(tbl_SeqLib[[#This Row],[entry]]=2,AVERAGE(tbl_SeqLib[Exact]),"")</f>
        <v>9.2911764705882351</v>
      </c>
      <c r="W7" s="35">
        <f>IF(tbl_SeqLib[[#This Row],[entry]]=2,MAX(tbl_SeqLib[Exact]),"")</f>
        <v>10</v>
      </c>
      <c r="X7" s="35" cm="1">
        <f t="array" ref="X7">_xlfn.XLOOKUP(0,ABS(tbl_SeqLib[[#This Row],[Avg per plate]:[Max per plate]]-tbl_SeqLib[[#This Row],[Exact]]),tbl_SeqLib[[#This Row],[Avg per plate]:[Max per plate]],,1)</f>
        <v>10</v>
      </c>
      <c r="Y7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7" s="73" t="str">
        <f>IF(tbl_SeqLib[[#This Row],[entry]]=1,ROUNDUP(AVERAGE(tbl_SeqLib[Exact]),1),"")</f>
        <v/>
      </c>
      <c r="AA7" s="73" t="str">
        <f>IF(tbl_SeqLib[[#This Row],[entry]]=1,ROUNDUP(AVERAGEIFS(tbl_SeqLib[Exact],tbl_SeqLib[Column],tbl_SeqLib[[#This Row],[Column]]),1),"")</f>
        <v/>
      </c>
      <c r="AB7" s="35" t="str">
        <f>IF(missing_qc_resolution=Reference!$E$49,tbl_SeqLib[[#This Row],[Avg per col (missing)]],tbl_SeqLib[[#This Row],[Avg per plate (missing)]])</f>
        <v/>
      </c>
      <c r="AC7" s="35">
        <f>IF(tbl_SeqLib[[#This Row],[entry]]=0,"",IF(tbl_SeqLib[[#This Row],[entry]]=1,tbl_SeqLib[[#This Row],[Not quantified]],IF(tbl_SeqLib[[#This Row],[entry]]=2,tbl_SeqLib[[#This Row],[Quantified]])))</f>
        <v>10</v>
      </c>
      <c r="AD7" s="80"/>
      <c r="AE7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7" s="49" t="str">
        <f>IF(ISBLANK(tbl_SeqLib[[#This Row],[sWGA Identifier]]),"",CONCATENATE(exp_id,"_",tbl_SeqLib[[#This Row],[Well]]))</f>
        <v>SLJS034_E1</v>
      </c>
    </row>
    <row r="8" spans="1:32" ht="15.75" customHeight="1" x14ac:dyDescent="0.3">
      <c r="A8" s="48">
        <v>6</v>
      </c>
      <c r="B8" s="37" t="str">
        <f>RIGHT(tbl_SeqLib[[#This Row],[Well]],LEN(tbl_SeqLib[[#This Row],[Well]])-1)</f>
        <v>1</v>
      </c>
      <c r="C8" s="37" t="s">
        <v>95</v>
      </c>
      <c r="D8" s="19" t="s">
        <v>458</v>
      </c>
      <c r="E8" s="19" t="s">
        <v>459</v>
      </c>
      <c r="F8" s="19" t="s">
        <v>406</v>
      </c>
      <c r="G8" s="29" t="s">
        <v>460</v>
      </c>
      <c r="H8" s="85" t="s">
        <v>461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0" t="s">
        <v>96</v>
      </c>
      <c r="M8" s="73">
        <f>IF(OR(ISBLANK(tbl_SeqLib[[#This Row],[Sample ID]]),ISBLANK(endrepair_targetmass)),0,IF(LEN(tbl_SeqLib[[#This Row],[PCR '[DNA'] (ng / µl)]])=0,1,2))</f>
        <v>2</v>
      </c>
      <c r="N8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35">
        <f>IF(tbl_SeqLib[[#This Row],[entry]]=2,ROUNDUP(_xlfn.MINIFS(tbl_SeqLib[Exact],tbl_SeqLib[Column],tbl_SeqLib[[#This Row],[Column]]),1),"")</f>
        <v>10</v>
      </c>
      <c r="P8" s="35">
        <f>IF(tbl_SeqLib[[#This Row],[entry]]=2,ROUNDDOWN(_xlfn.MAXIFS(tbl_SeqLib[Exact],tbl_SeqLib[Column],tbl_SeqLib[[#This Row],[Column]]),1),"")</f>
        <v>10</v>
      </c>
      <c r="Q8" s="35">
        <f>IF(tbl_SeqLib[[#This Row],[entry]]=2,ROUNDUP(AVERAGEIFS(tbl_SeqLib[Exact],tbl_SeqLib[Column],tbl_SeqLib[[#This Row],[Column]]),1),"")</f>
        <v>10</v>
      </c>
      <c r="R8" s="35" cm="1">
        <f t="array" ref="R8">_xlfn.XLOOKUP(0,ABS(tbl_SeqLib[[#This Row],[Min for col]:[Avg for col]]-tbl_SeqLib[[#This Row],[Exact]]),tbl_SeqLib[[#This Row],[Min for col]:[Avg for col]],"",1)</f>
        <v>10</v>
      </c>
      <c r="S8" s="35" cm="1">
        <f t="array" ref="S8">_xlfn.XLOOKUP(0,ABS(tbl_SeqLib[[#This Row],[Max for col]:[Avg for col]]-tbl_SeqLib[[#This Row],[Exact]]),tbl_SeqLib[[#This Row],[Max for col]:[Avg for col]],"",1)</f>
        <v>10</v>
      </c>
      <c r="T8" s="35">
        <f>IF(tbl_SeqLib[[#This Row],[entry]]=2,tbl_SeqLib[[#This Row],[Max for col]],"")</f>
        <v>10</v>
      </c>
      <c r="U8" s="35">
        <f>IF(tbl_SeqLib[[#This Row],[entry]]=2,tbl_SeqLib[[#This Row],[Avg for col]],"")</f>
        <v>10</v>
      </c>
      <c r="V8" s="35">
        <f>IF(tbl_SeqLib[[#This Row],[entry]]=2,AVERAGE(tbl_SeqLib[Exact]),"")</f>
        <v>9.2911764705882351</v>
      </c>
      <c r="W8" s="35">
        <f>IF(tbl_SeqLib[[#This Row],[entry]]=2,MAX(tbl_SeqLib[Exact]),"")</f>
        <v>10</v>
      </c>
      <c r="X8" s="35" cm="1">
        <f t="array" ref="X8">_xlfn.XLOOKUP(0,ABS(tbl_SeqLib[[#This Row],[Avg per plate]:[Max per plate]]-tbl_SeqLib[[#This Row],[Exact]]),tbl_SeqLib[[#This Row],[Avg per plate]:[Max per plate]],,1)</f>
        <v>10</v>
      </c>
      <c r="Y8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8" s="73" t="str">
        <f>IF(tbl_SeqLib[[#This Row],[entry]]=1,ROUNDUP(AVERAGE(tbl_SeqLib[Exact]),1),"")</f>
        <v/>
      </c>
      <c r="AA8" s="73" t="str">
        <f>IF(tbl_SeqLib[[#This Row],[entry]]=1,ROUNDUP(AVERAGEIFS(tbl_SeqLib[Exact],tbl_SeqLib[Column],tbl_SeqLib[[#This Row],[Column]]),1),"")</f>
        <v/>
      </c>
      <c r="AB8" s="35" t="str">
        <f>IF(missing_qc_resolution=Reference!$E$49,tbl_SeqLib[[#This Row],[Avg per col (missing)]],tbl_SeqLib[[#This Row],[Avg per plate (missing)]])</f>
        <v/>
      </c>
      <c r="AC8" s="35">
        <f>IF(tbl_SeqLib[[#This Row],[entry]]=0,"",IF(tbl_SeqLib[[#This Row],[entry]]=1,tbl_SeqLib[[#This Row],[Not quantified]],IF(tbl_SeqLib[[#This Row],[entry]]=2,tbl_SeqLib[[#This Row],[Quantified]])))</f>
        <v>10</v>
      </c>
      <c r="AD8" s="80"/>
      <c r="AE8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8" s="49" t="str">
        <f>IF(ISBLANK(tbl_SeqLib[[#This Row],[sWGA Identifier]]),"",CONCATENATE(exp_id,"_",tbl_SeqLib[[#This Row],[Well]]))</f>
        <v>SLJS034_F1</v>
      </c>
    </row>
    <row r="9" spans="1:32" ht="15.75" customHeight="1" x14ac:dyDescent="0.3">
      <c r="A9" s="48">
        <v>7</v>
      </c>
      <c r="B9" s="37" t="str">
        <f>RIGHT(tbl_SeqLib[[#This Row],[Well]],LEN(tbl_SeqLib[[#This Row],[Well]])-1)</f>
        <v>1</v>
      </c>
      <c r="C9" s="37" t="s">
        <v>97</v>
      </c>
      <c r="D9" s="19" t="s">
        <v>462</v>
      </c>
      <c r="E9" s="19" t="s">
        <v>463</v>
      </c>
      <c r="F9" s="19" t="s">
        <v>406</v>
      </c>
      <c r="G9" s="29" t="s">
        <v>464</v>
      </c>
      <c r="H9" s="85" t="s">
        <v>465</v>
      </c>
      <c r="I9" s="29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0" t="s">
        <v>98</v>
      </c>
      <c r="M9" s="73">
        <f>IF(OR(ISBLANK(tbl_SeqLib[[#This Row],[Sample ID]]),ISBLANK(endrepair_targetmass)),0,IF(LEN(tbl_SeqLib[[#This Row],[PCR '[DNA'] (ng / µl)]])=0,1,2))</f>
        <v>2</v>
      </c>
      <c r="N9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35">
        <f>IF(tbl_SeqLib[[#This Row],[entry]]=2,ROUNDUP(_xlfn.MINIFS(tbl_SeqLib[Exact],tbl_SeqLib[Column],tbl_SeqLib[[#This Row],[Column]]),1),"")</f>
        <v>10</v>
      </c>
      <c r="P9" s="35">
        <f>IF(tbl_SeqLib[[#This Row],[entry]]=2,ROUNDDOWN(_xlfn.MAXIFS(tbl_SeqLib[Exact],tbl_SeqLib[Column],tbl_SeqLib[[#This Row],[Column]]),1),"")</f>
        <v>10</v>
      </c>
      <c r="Q9" s="35">
        <f>IF(tbl_SeqLib[[#This Row],[entry]]=2,ROUNDUP(AVERAGEIFS(tbl_SeqLib[Exact],tbl_SeqLib[Column],tbl_SeqLib[[#This Row],[Column]]),1),"")</f>
        <v>10</v>
      </c>
      <c r="R9" s="35" cm="1">
        <f t="array" ref="R9">_xlfn.XLOOKUP(0,ABS(tbl_SeqLib[[#This Row],[Min for col]:[Avg for col]]-tbl_SeqLib[[#This Row],[Exact]]),tbl_SeqLib[[#This Row],[Min for col]:[Avg for col]],"",1)</f>
        <v>10</v>
      </c>
      <c r="S9" s="35" cm="1">
        <f t="array" ref="S9">_xlfn.XLOOKUP(0,ABS(tbl_SeqLib[[#This Row],[Max for col]:[Avg for col]]-tbl_SeqLib[[#This Row],[Exact]]),tbl_SeqLib[[#This Row],[Max for col]:[Avg for col]],"",1)</f>
        <v>10</v>
      </c>
      <c r="T9" s="35">
        <f>IF(tbl_SeqLib[[#This Row],[entry]]=2,tbl_SeqLib[[#This Row],[Max for col]],"")</f>
        <v>10</v>
      </c>
      <c r="U9" s="35">
        <f>IF(tbl_SeqLib[[#This Row],[entry]]=2,tbl_SeqLib[[#This Row],[Avg for col]],"")</f>
        <v>10</v>
      </c>
      <c r="V9" s="35">
        <f>IF(tbl_SeqLib[[#This Row],[entry]]=2,AVERAGE(tbl_SeqLib[Exact]),"")</f>
        <v>9.2911764705882351</v>
      </c>
      <c r="W9" s="35">
        <f>IF(tbl_SeqLib[[#This Row],[entry]]=2,MAX(tbl_SeqLib[Exact]),"")</f>
        <v>10</v>
      </c>
      <c r="X9" s="35" cm="1">
        <f t="array" ref="X9">_xlfn.XLOOKUP(0,ABS(tbl_SeqLib[[#This Row],[Avg per plate]:[Max per plate]]-tbl_SeqLib[[#This Row],[Exact]]),tbl_SeqLib[[#This Row],[Avg per plate]:[Max per plate]],,1)</f>
        <v>10</v>
      </c>
      <c r="Y9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9" s="73" t="str">
        <f>IF(tbl_SeqLib[[#This Row],[entry]]=1,ROUNDUP(AVERAGE(tbl_SeqLib[Exact]),1),"")</f>
        <v/>
      </c>
      <c r="AA9" s="73" t="str">
        <f>IF(tbl_SeqLib[[#This Row],[entry]]=1,ROUNDUP(AVERAGEIFS(tbl_SeqLib[Exact],tbl_SeqLib[Column],tbl_SeqLib[[#This Row],[Column]]),1),"")</f>
        <v/>
      </c>
      <c r="AB9" s="35" t="str">
        <f>IF(missing_qc_resolution=Reference!$E$49,tbl_SeqLib[[#This Row],[Avg per col (missing)]],tbl_SeqLib[[#This Row],[Avg per plate (missing)]])</f>
        <v/>
      </c>
      <c r="AC9" s="35">
        <f>IF(tbl_SeqLib[[#This Row],[entry]]=0,"",IF(tbl_SeqLib[[#This Row],[entry]]=1,tbl_SeqLib[[#This Row],[Not quantified]],IF(tbl_SeqLib[[#This Row],[entry]]=2,tbl_SeqLib[[#This Row],[Quantified]])))</f>
        <v>10</v>
      </c>
      <c r="AD9" s="80"/>
      <c r="AE9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9" s="49" t="str">
        <f>IF(ISBLANK(tbl_SeqLib[[#This Row],[sWGA Identifier]]),"",CONCATENATE(exp_id,"_",tbl_SeqLib[[#This Row],[Well]]))</f>
        <v>SLJS034_G1</v>
      </c>
    </row>
    <row r="10" spans="1:32" ht="15.75" customHeight="1" thickBot="1" x14ac:dyDescent="0.35">
      <c r="A10" s="50">
        <v>8</v>
      </c>
      <c r="B10" s="51" t="str">
        <f>RIGHT(tbl_SeqLib[[#This Row],[Well]],LEN(tbl_SeqLib[[#This Row],[Well]])-1)</f>
        <v>1</v>
      </c>
      <c r="C10" s="51" t="s">
        <v>99</v>
      </c>
      <c r="D10" s="52" t="s">
        <v>466</v>
      </c>
      <c r="E10" s="53" t="s">
        <v>467</v>
      </c>
      <c r="F10" s="52" t="s">
        <v>406</v>
      </c>
      <c r="G10" s="54" t="s">
        <v>468</v>
      </c>
      <c r="H10" s="52" t="s">
        <v>469</v>
      </c>
      <c r="I10" s="54">
        <v>65.599999999999994</v>
      </c>
      <c r="J10" s="52">
        <v>1</v>
      </c>
      <c r="K10" s="55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56" t="s">
        <v>100</v>
      </c>
      <c r="M10" s="74">
        <f>IF(OR(ISBLANK(tbl_SeqLib[[#This Row],[Sample ID]]),ISBLANK(endrepair_targetmass)),0,IF(LEN(tbl_SeqLib[[#This Row],[PCR '[DNA'] (ng / µl)]])=0,1,2))</f>
        <v>2</v>
      </c>
      <c r="N10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57">
        <f>IF(tbl_SeqLib[[#This Row],[entry]]=2,ROUNDUP(_xlfn.MINIFS(tbl_SeqLib[Exact],tbl_SeqLib[Column],tbl_SeqLib[[#This Row],[Column]]),1),"")</f>
        <v>10</v>
      </c>
      <c r="P10" s="57">
        <f>IF(tbl_SeqLib[[#This Row],[entry]]=2,ROUNDDOWN(_xlfn.MAXIFS(tbl_SeqLib[Exact],tbl_SeqLib[Column],tbl_SeqLib[[#This Row],[Column]]),1),"")</f>
        <v>10</v>
      </c>
      <c r="Q10" s="57">
        <f>IF(tbl_SeqLib[[#This Row],[entry]]=2,ROUNDUP(AVERAGEIFS(tbl_SeqLib[Exact],tbl_SeqLib[Column],tbl_SeqLib[[#This Row],[Column]]),1),"")</f>
        <v>10</v>
      </c>
      <c r="R10" s="57" cm="1">
        <f t="array" ref="R10">_xlfn.XLOOKUP(0,ABS(tbl_SeqLib[[#This Row],[Min for col]:[Avg for col]]-tbl_SeqLib[[#This Row],[Exact]]),tbl_SeqLib[[#This Row],[Min for col]:[Avg for col]],"",1)</f>
        <v>10</v>
      </c>
      <c r="S10" s="57" cm="1">
        <f t="array" ref="S10">_xlfn.XLOOKUP(0,ABS(tbl_SeqLib[[#This Row],[Max for col]:[Avg for col]]-tbl_SeqLib[[#This Row],[Exact]]),tbl_SeqLib[[#This Row],[Max for col]:[Avg for col]],"",1)</f>
        <v>10</v>
      </c>
      <c r="T10" s="57">
        <f>IF(tbl_SeqLib[[#This Row],[entry]]=2,tbl_SeqLib[[#This Row],[Max for col]],"")</f>
        <v>10</v>
      </c>
      <c r="U10" s="57">
        <f>IF(tbl_SeqLib[[#This Row],[entry]]=2,tbl_SeqLib[[#This Row],[Avg for col]],"")</f>
        <v>10</v>
      </c>
      <c r="V10" s="57">
        <f>IF(tbl_SeqLib[[#This Row],[entry]]=2,AVERAGE(tbl_SeqLib[Exact]),"")</f>
        <v>9.2911764705882351</v>
      </c>
      <c r="W10" s="57">
        <f>IF(tbl_SeqLib[[#This Row],[entry]]=2,MAX(tbl_SeqLib[Exact]),"")</f>
        <v>10</v>
      </c>
      <c r="X10" s="57" cm="1">
        <f t="array" ref="X10">_xlfn.XLOOKUP(0,ABS(tbl_SeqLib[[#This Row],[Avg per plate]:[Max per plate]]-tbl_SeqLib[[#This Row],[Exact]]),tbl_SeqLib[[#This Row],[Avg per plate]:[Max per plate]],,1)</f>
        <v>10</v>
      </c>
      <c r="Y10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0" s="74" t="str">
        <f>IF(tbl_SeqLib[[#This Row],[entry]]=1,ROUNDUP(AVERAGE(tbl_SeqLib[Exact]),1),"")</f>
        <v/>
      </c>
      <c r="AA10" s="74" t="str">
        <f>IF(tbl_SeqLib[[#This Row],[entry]]=1,ROUNDUP(AVERAGEIFS(tbl_SeqLib[Exact],tbl_SeqLib[Column],tbl_SeqLib[[#This Row],[Column]]),1),"")</f>
        <v/>
      </c>
      <c r="AB10" s="57" t="str">
        <f>IF(missing_qc_resolution=Reference!$E$49,tbl_SeqLib[[#This Row],[Avg per col (missing)]],tbl_SeqLib[[#This Row],[Avg per plate (missing)]])</f>
        <v/>
      </c>
      <c r="AC10" s="57">
        <f>IF(tbl_SeqLib[[#This Row],[entry]]=0,"",IF(tbl_SeqLib[[#This Row],[entry]]=1,tbl_SeqLib[[#This Row],[Not quantified]],IF(tbl_SeqLib[[#This Row],[entry]]=2,tbl_SeqLib[[#This Row],[Quantified]])))</f>
        <v>10</v>
      </c>
      <c r="AD10" s="81"/>
      <c r="AE10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0" s="58" t="str">
        <f>IF(ISBLANK(tbl_SeqLib[[#This Row],[sWGA Identifier]]),"",CONCATENATE(exp_id,"_",tbl_SeqLib[[#This Row],[Well]]))</f>
        <v>SLJS034_H1</v>
      </c>
    </row>
    <row r="11" spans="1:32" ht="15.75" customHeight="1" x14ac:dyDescent="0.3">
      <c r="A11" s="41">
        <v>9</v>
      </c>
      <c r="B11" s="42" t="str">
        <f>RIGHT(tbl_SeqLib[[#This Row],[Well]],LEN(tbl_SeqLib[[#This Row],[Well]])-1)</f>
        <v>2</v>
      </c>
      <c r="C11" s="42" t="s">
        <v>101</v>
      </c>
      <c r="D11" s="43" t="s">
        <v>470</v>
      </c>
      <c r="E11" s="45" t="s">
        <v>471</v>
      </c>
      <c r="F11" s="43" t="s">
        <v>406</v>
      </c>
      <c r="G11" s="43" t="s">
        <v>472</v>
      </c>
      <c r="H11" s="43" t="s">
        <v>473</v>
      </c>
      <c r="I11" s="43">
        <v>54.4</v>
      </c>
      <c r="J11" s="43">
        <v>1</v>
      </c>
      <c r="K11" s="44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45" t="s">
        <v>102</v>
      </c>
      <c r="M11" s="72">
        <f>IF(OR(ISBLANK(tbl_SeqLib[[#This Row],[Sample ID]]),ISBLANK(endrepair_targetmass)),0,IF(LEN(tbl_SeqLib[[#This Row],[PCR '[DNA'] (ng / µl)]])=0,1,2))</f>
        <v>2</v>
      </c>
      <c r="N11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46">
        <f>IF(tbl_SeqLib[[#This Row],[entry]]=2,ROUNDUP(_xlfn.MINIFS(tbl_SeqLib[Exact],tbl_SeqLib[Column],tbl_SeqLib[[#This Row],[Column]]),1),"")</f>
        <v>6.7</v>
      </c>
      <c r="P11" s="46">
        <f>IF(tbl_SeqLib[[#This Row],[entry]]=2,ROUNDDOWN(_xlfn.MAXIFS(tbl_SeqLib[Exact],tbl_SeqLib[Column],tbl_SeqLib[[#This Row],[Column]]),1),"")</f>
        <v>10</v>
      </c>
      <c r="Q11" s="46">
        <f>IF(tbl_SeqLib[[#This Row],[entry]]=2,ROUNDUP(AVERAGEIFS(tbl_SeqLib[Exact],tbl_SeqLib[Column],tbl_SeqLib[[#This Row],[Column]]),1),"")</f>
        <v>9.4</v>
      </c>
      <c r="R11" s="46" cm="1">
        <f t="array" ref="R11">_xlfn.XLOOKUP(0,ABS(tbl_SeqLib[[#This Row],[Min for col]:[Avg for col]]-tbl_SeqLib[[#This Row],[Exact]]),tbl_SeqLib[[#This Row],[Min for col]:[Avg for col]],"",1)</f>
        <v>10</v>
      </c>
      <c r="S11" s="46" cm="1">
        <f t="array" ref="S11">_xlfn.XLOOKUP(0,ABS(tbl_SeqLib[[#This Row],[Max for col]:[Avg for col]]-tbl_SeqLib[[#This Row],[Exact]]),tbl_SeqLib[[#This Row],[Max for col]:[Avg for col]],"",1)</f>
        <v>10</v>
      </c>
      <c r="T11" s="46">
        <f>IF(tbl_SeqLib[[#This Row],[entry]]=2,tbl_SeqLib[[#This Row],[Max for col]],"")</f>
        <v>10</v>
      </c>
      <c r="U11" s="46">
        <f>IF(tbl_SeqLib[[#This Row],[entry]]=2,tbl_SeqLib[[#This Row],[Avg for col]],"")</f>
        <v>9.4</v>
      </c>
      <c r="V11" s="46">
        <f>IF(tbl_SeqLib[[#This Row],[entry]]=2,AVERAGE(tbl_SeqLib[Exact]),"")</f>
        <v>9.2911764705882351</v>
      </c>
      <c r="W11" s="46">
        <f>IF(tbl_SeqLib[[#This Row],[entry]]=2,MAX(tbl_SeqLib[Exact]),"")</f>
        <v>10</v>
      </c>
      <c r="X11" s="46" cm="1">
        <f t="array" ref="X11">_xlfn.XLOOKUP(0,ABS(tbl_SeqLib[[#This Row],[Avg per plate]:[Max per plate]]-tbl_SeqLib[[#This Row],[Exact]]),tbl_SeqLib[[#This Row],[Avg per plate]:[Max per plate]],,1)</f>
        <v>10</v>
      </c>
      <c r="Y11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1" s="72" t="str">
        <f>IF(tbl_SeqLib[[#This Row],[entry]]=1,ROUNDUP(AVERAGE(tbl_SeqLib[Exact]),1),"")</f>
        <v/>
      </c>
      <c r="AA11" s="72" t="str">
        <f>IF(tbl_SeqLib[[#This Row],[entry]]=1,ROUNDUP(AVERAGEIFS(tbl_SeqLib[Exact],tbl_SeqLib[Column],tbl_SeqLib[[#This Row],[Column]]),1),"")</f>
        <v/>
      </c>
      <c r="AB11" s="46" t="str">
        <f>IF(missing_qc_resolution=Reference!$E$49,tbl_SeqLib[[#This Row],[Avg per col (missing)]],tbl_SeqLib[[#This Row],[Avg per plate (missing)]])</f>
        <v/>
      </c>
      <c r="AC11" s="46">
        <f>IF(tbl_SeqLib[[#This Row],[entry]]=0,"",IF(tbl_SeqLib[[#This Row],[entry]]=1,tbl_SeqLib[[#This Row],[Not quantified]],IF(tbl_SeqLib[[#This Row],[entry]]=2,tbl_SeqLib[[#This Row],[Quantified]])))</f>
        <v>10</v>
      </c>
      <c r="AD11" s="79"/>
      <c r="AE11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1" s="47" t="str">
        <f>IF(ISBLANK(tbl_SeqLib[[#This Row],[sWGA Identifier]]),"",CONCATENATE(exp_id,"_",tbl_SeqLib[[#This Row],[Well]]))</f>
        <v>SLJS034_A2</v>
      </c>
    </row>
    <row r="12" spans="1:32" ht="15.75" customHeight="1" x14ac:dyDescent="0.3">
      <c r="A12" s="48">
        <v>10</v>
      </c>
      <c r="B12" s="37" t="str">
        <f>RIGHT(tbl_SeqLib[[#This Row],[Well]],LEN(tbl_SeqLib[[#This Row],[Well]])-1)</f>
        <v>2</v>
      </c>
      <c r="C12" s="37" t="s">
        <v>103</v>
      </c>
      <c r="D12" s="19" t="s">
        <v>474</v>
      </c>
      <c r="E12" s="21" t="s">
        <v>475</v>
      </c>
      <c r="F12" s="19" t="s">
        <v>407</v>
      </c>
      <c r="G12" s="29" t="s">
        <v>476</v>
      </c>
      <c r="H12" s="19" t="s">
        <v>477</v>
      </c>
      <c r="I12" s="29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0" t="s">
        <v>104</v>
      </c>
      <c r="M12" s="73">
        <f>IF(OR(ISBLANK(tbl_SeqLib[[#This Row],[Sample ID]]),ISBLANK(endrepair_targetmass)),0,IF(LEN(tbl_SeqLib[[#This Row],[PCR '[DNA'] (ng / µl)]])=0,1,2))</f>
        <v>2</v>
      </c>
      <c r="N12" s="35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35">
        <f>IF(tbl_SeqLib[[#This Row],[entry]]=2,ROUNDUP(_xlfn.MINIFS(tbl_SeqLib[Exact],tbl_SeqLib[Column],tbl_SeqLib[[#This Row],[Column]]),1),"")</f>
        <v>6.7</v>
      </c>
      <c r="P12" s="35">
        <f>IF(tbl_SeqLib[[#This Row],[entry]]=2,ROUNDDOWN(_xlfn.MAXIFS(tbl_SeqLib[Exact],tbl_SeqLib[Column],tbl_SeqLib[[#This Row],[Column]]),1),"")</f>
        <v>10</v>
      </c>
      <c r="Q12" s="35">
        <f>IF(tbl_SeqLib[[#This Row],[entry]]=2,ROUNDUP(AVERAGEIFS(tbl_SeqLib[Exact],tbl_SeqLib[Column],tbl_SeqLib[[#This Row],[Column]]),1),"")</f>
        <v>9.4</v>
      </c>
      <c r="R12" s="35" cm="1">
        <f t="array" ref="R12">_xlfn.XLOOKUP(0,ABS(tbl_SeqLib[[#This Row],[Min for col]:[Avg for col]]-tbl_SeqLib[[#This Row],[Exact]]),tbl_SeqLib[[#This Row],[Min for col]:[Avg for col]],"",1)</f>
        <v>6.7</v>
      </c>
      <c r="S12" s="35" cm="1">
        <f t="array" ref="S12">_xlfn.XLOOKUP(0,ABS(tbl_SeqLib[[#This Row],[Max for col]:[Avg for col]]-tbl_SeqLib[[#This Row],[Exact]]),tbl_SeqLib[[#This Row],[Max for col]:[Avg for col]],"",1)</f>
        <v>9.4</v>
      </c>
      <c r="T12" s="35">
        <f>IF(tbl_SeqLib[[#This Row],[entry]]=2,tbl_SeqLib[[#This Row],[Max for col]],"")</f>
        <v>10</v>
      </c>
      <c r="U12" s="35">
        <f>IF(tbl_SeqLib[[#This Row],[entry]]=2,tbl_SeqLib[[#This Row],[Avg for col]],"")</f>
        <v>9.4</v>
      </c>
      <c r="V12" s="35">
        <f>IF(tbl_SeqLib[[#This Row],[entry]]=2,AVERAGE(tbl_SeqLib[Exact]),"")</f>
        <v>9.2911764705882351</v>
      </c>
      <c r="W12" s="35">
        <f>IF(tbl_SeqLib[[#This Row],[entry]]=2,MAX(tbl_SeqLib[Exact]),"")</f>
        <v>10</v>
      </c>
      <c r="X12" s="35" cm="1">
        <f t="array" ref="X12">_xlfn.XLOOKUP(0,ABS(tbl_SeqLib[[#This Row],[Avg per plate]:[Max per plate]]-tbl_SeqLib[[#This Row],[Exact]]),tbl_SeqLib[[#This Row],[Avg per plate]:[Max per plate]],,1)</f>
        <v>9.2911764705882351</v>
      </c>
      <c r="Y1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2" s="73" t="str">
        <f>IF(tbl_SeqLib[[#This Row],[entry]]=1,ROUNDUP(AVERAGE(tbl_SeqLib[Exact]),1),"")</f>
        <v/>
      </c>
      <c r="AA12" s="73" t="str">
        <f>IF(tbl_SeqLib[[#This Row],[entry]]=1,ROUNDUP(AVERAGEIFS(tbl_SeqLib[Exact],tbl_SeqLib[Column],tbl_SeqLib[[#This Row],[Column]]),1),"")</f>
        <v/>
      </c>
      <c r="AB12" s="35" t="str">
        <f>IF(missing_qc_resolution=Reference!$E$49,tbl_SeqLib[[#This Row],[Avg per col (missing)]],tbl_SeqLib[[#This Row],[Avg per plate (missing)]])</f>
        <v/>
      </c>
      <c r="AC12" s="35">
        <f>IF(tbl_SeqLib[[#This Row],[entry]]=0,"",IF(tbl_SeqLib[[#This Row],[entry]]=1,tbl_SeqLib[[#This Row],[Not quantified]],IF(tbl_SeqLib[[#This Row],[entry]]=2,tbl_SeqLib[[#This Row],[Quantified]])))</f>
        <v>10</v>
      </c>
      <c r="AD12" s="80"/>
      <c r="AE1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2" s="49" t="str">
        <f>IF(ISBLANK(tbl_SeqLib[[#This Row],[sWGA Identifier]]),"",CONCATENATE(exp_id,"_",tbl_SeqLib[[#This Row],[Well]]))</f>
        <v>SLJS034_B2</v>
      </c>
    </row>
    <row r="13" spans="1:32" ht="15.75" customHeight="1" x14ac:dyDescent="0.3">
      <c r="A13" s="48">
        <v>11</v>
      </c>
      <c r="B13" s="37" t="str">
        <f>RIGHT(tbl_SeqLib[[#This Row],[Well]],LEN(tbl_SeqLib[[#This Row],[Well]])-1)</f>
        <v>2</v>
      </c>
      <c r="C13" s="37" t="s">
        <v>105</v>
      </c>
      <c r="D13" s="19" t="s">
        <v>478</v>
      </c>
      <c r="E13" s="21" t="s">
        <v>479</v>
      </c>
      <c r="F13" s="19" t="s">
        <v>407</v>
      </c>
      <c r="G13" s="29" t="s">
        <v>480</v>
      </c>
      <c r="H13" s="19" t="s">
        <v>481</v>
      </c>
      <c r="I13" s="29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0" t="s">
        <v>106</v>
      </c>
      <c r="M13" s="73">
        <f>IF(OR(ISBLANK(tbl_SeqLib[[#This Row],[Sample ID]]),ISBLANK(endrepair_targetmass)),0,IF(LEN(tbl_SeqLib[[#This Row],[PCR '[DNA'] (ng / µl)]])=0,1,2))</f>
        <v>2</v>
      </c>
      <c r="N13" s="35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35">
        <f>IF(tbl_SeqLib[[#This Row],[entry]]=2,ROUNDUP(_xlfn.MINIFS(tbl_SeqLib[Exact],tbl_SeqLib[Column],tbl_SeqLib[[#This Row],[Column]]),1),"")</f>
        <v>6.7</v>
      </c>
      <c r="P13" s="35">
        <f>IF(tbl_SeqLib[[#This Row],[entry]]=2,ROUNDDOWN(_xlfn.MAXIFS(tbl_SeqLib[Exact],tbl_SeqLib[Column],tbl_SeqLib[[#This Row],[Column]]),1),"")</f>
        <v>10</v>
      </c>
      <c r="Q13" s="35">
        <f>IF(tbl_SeqLib[[#This Row],[entry]]=2,ROUNDUP(AVERAGEIFS(tbl_SeqLib[Exact],tbl_SeqLib[Column],tbl_SeqLib[[#This Row],[Column]]),1),"")</f>
        <v>9.4</v>
      </c>
      <c r="R13" s="35" cm="1">
        <f t="array" ref="R13">_xlfn.XLOOKUP(0,ABS(tbl_SeqLib[[#This Row],[Min for col]:[Avg for col]]-tbl_SeqLib[[#This Row],[Exact]]),tbl_SeqLib[[#This Row],[Min for col]:[Avg for col]],"",1)</f>
        <v>9.4</v>
      </c>
      <c r="S13" s="35" cm="1">
        <f t="array" ref="S13">_xlfn.XLOOKUP(0,ABS(tbl_SeqLib[[#This Row],[Max for col]:[Avg for col]]-tbl_SeqLib[[#This Row],[Exact]]),tbl_SeqLib[[#This Row],[Max for col]:[Avg for col]],"",1)</f>
        <v>9.4</v>
      </c>
      <c r="T13" s="35">
        <f>IF(tbl_SeqLib[[#This Row],[entry]]=2,tbl_SeqLib[[#This Row],[Max for col]],"")</f>
        <v>10</v>
      </c>
      <c r="U13" s="35">
        <f>IF(tbl_SeqLib[[#This Row],[entry]]=2,tbl_SeqLib[[#This Row],[Avg for col]],"")</f>
        <v>9.4</v>
      </c>
      <c r="V13" s="35">
        <f>IF(tbl_SeqLib[[#This Row],[entry]]=2,AVERAGE(tbl_SeqLib[Exact]),"")</f>
        <v>9.2911764705882351</v>
      </c>
      <c r="W13" s="35">
        <f>IF(tbl_SeqLib[[#This Row],[entry]]=2,MAX(tbl_SeqLib[Exact]),"")</f>
        <v>10</v>
      </c>
      <c r="X13" s="35" cm="1">
        <f t="array" ref="X13">_xlfn.XLOOKUP(0,ABS(tbl_SeqLib[[#This Row],[Avg per plate]:[Max per plate]]-tbl_SeqLib[[#This Row],[Exact]]),tbl_SeqLib[[#This Row],[Avg per plate]:[Max per plate]],,1)</f>
        <v>9.2911764705882351</v>
      </c>
      <c r="Y1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3" s="73" t="str">
        <f>IF(tbl_SeqLib[[#This Row],[entry]]=1,ROUNDUP(AVERAGE(tbl_SeqLib[Exact]),1),"")</f>
        <v/>
      </c>
      <c r="AA13" s="73" t="str">
        <f>IF(tbl_SeqLib[[#This Row],[entry]]=1,ROUNDUP(AVERAGEIFS(tbl_SeqLib[Exact],tbl_SeqLib[Column],tbl_SeqLib[[#This Row],[Column]]),1),"")</f>
        <v/>
      </c>
      <c r="AB13" s="35" t="str">
        <f>IF(missing_qc_resolution=Reference!$E$49,tbl_SeqLib[[#This Row],[Avg per col (missing)]],tbl_SeqLib[[#This Row],[Avg per plate (missing)]])</f>
        <v/>
      </c>
      <c r="AC13" s="35">
        <f>IF(tbl_SeqLib[[#This Row],[entry]]=0,"",IF(tbl_SeqLib[[#This Row],[entry]]=1,tbl_SeqLib[[#This Row],[Not quantified]],IF(tbl_SeqLib[[#This Row],[entry]]=2,tbl_SeqLib[[#This Row],[Quantified]])))</f>
        <v>10</v>
      </c>
      <c r="AD13" s="80"/>
      <c r="AE1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3" s="49" t="str">
        <f>IF(ISBLANK(tbl_SeqLib[[#This Row],[sWGA Identifier]]),"",CONCATENATE(exp_id,"_",tbl_SeqLib[[#This Row],[Well]]))</f>
        <v>SLJS034_C2</v>
      </c>
    </row>
    <row r="14" spans="1:32" ht="15.75" customHeight="1" x14ac:dyDescent="0.3">
      <c r="A14" s="48">
        <v>12</v>
      </c>
      <c r="B14" s="37" t="str">
        <f>RIGHT(tbl_SeqLib[[#This Row],[Well]],LEN(tbl_SeqLib[[#This Row],[Well]])-1)</f>
        <v>2</v>
      </c>
      <c r="C14" s="37" t="s">
        <v>107</v>
      </c>
      <c r="D14" s="19" t="s">
        <v>482</v>
      </c>
      <c r="E14" s="21" t="s">
        <v>483</v>
      </c>
      <c r="F14" s="19" t="s">
        <v>408</v>
      </c>
      <c r="G14" s="29" t="s">
        <v>484</v>
      </c>
      <c r="H14" s="19" t="s">
        <v>485</v>
      </c>
      <c r="I14" s="29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0" t="s">
        <v>108</v>
      </c>
      <c r="M14" s="73">
        <f>IF(OR(ISBLANK(tbl_SeqLib[[#This Row],[Sample ID]]),ISBLANK(endrepair_targetmass)),0,IF(LEN(tbl_SeqLib[[#This Row],[PCR '[DNA'] (ng / µl)]])=0,1,2))</f>
        <v>2</v>
      </c>
      <c r="N1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35">
        <f>IF(tbl_SeqLib[[#This Row],[entry]]=2,ROUNDUP(_xlfn.MINIFS(tbl_SeqLib[Exact],tbl_SeqLib[Column],tbl_SeqLib[[#This Row],[Column]]),1),"")</f>
        <v>6.7</v>
      </c>
      <c r="P14" s="35">
        <f>IF(tbl_SeqLib[[#This Row],[entry]]=2,ROUNDDOWN(_xlfn.MAXIFS(tbl_SeqLib[Exact],tbl_SeqLib[Column],tbl_SeqLib[[#This Row],[Column]]),1),"")</f>
        <v>10</v>
      </c>
      <c r="Q14" s="35">
        <f>IF(tbl_SeqLib[[#This Row],[entry]]=2,ROUNDUP(AVERAGEIFS(tbl_SeqLib[Exact],tbl_SeqLib[Column],tbl_SeqLib[[#This Row],[Column]]),1),"")</f>
        <v>9.4</v>
      </c>
      <c r="R14" s="35" cm="1">
        <f t="array" ref="R14">_xlfn.XLOOKUP(0,ABS(tbl_SeqLib[[#This Row],[Min for col]:[Avg for col]]-tbl_SeqLib[[#This Row],[Exact]]),tbl_SeqLib[[#This Row],[Min for col]:[Avg for col]],"",1)</f>
        <v>10</v>
      </c>
      <c r="S14" s="35" cm="1">
        <f t="array" ref="S14">_xlfn.XLOOKUP(0,ABS(tbl_SeqLib[[#This Row],[Max for col]:[Avg for col]]-tbl_SeqLib[[#This Row],[Exact]]),tbl_SeqLib[[#This Row],[Max for col]:[Avg for col]],"",1)</f>
        <v>10</v>
      </c>
      <c r="T14" s="35">
        <f>IF(tbl_SeqLib[[#This Row],[entry]]=2,tbl_SeqLib[[#This Row],[Max for col]],"")</f>
        <v>10</v>
      </c>
      <c r="U14" s="35">
        <f>IF(tbl_SeqLib[[#This Row],[entry]]=2,tbl_SeqLib[[#This Row],[Avg for col]],"")</f>
        <v>9.4</v>
      </c>
      <c r="V14" s="35">
        <f>IF(tbl_SeqLib[[#This Row],[entry]]=2,AVERAGE(tbl_SeqLib[Exact]),"")</f>
        <v>9.2911764705882351</v>
      </c>
      <c r="W14" s="35">
        <f>IF(tbl_SeqLib[[#This Row],[entry]]=2,MAX(tbl_SeqLib[Exact]),"")</f>
        <v>10</v>
      </c>
      <c r="X14" s="35" cm="1">
        <f t="array" ref="X14">_xlfn.XLOOKUP(0,ABS(tbl_SeqLib[[#This Row],[Avg per plate]:[Max per plate]]-tbl_SeqLib[[#This Row],[Exact]]),tbl_SeqLib[[#This Row],[Avg per plate]:[Max per plate]],,1)</f>
        <v>10</v>
      </c>
      <c r="Y1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4" s="73" t="str">
        <f>IF(tbl_SeqLib[[#This Row],[entry]]=1,ROUNDUP(AVERAGE(tbl_SeqLib[Exact]),1),"")</f>
        <v/>
      </c>
      <c r="AA14" s="73" t="str">
        <f>IF(tbl_SeqLib[[#This Row],[entry]]=1,ROUNDUP(AVERAGEIFS(tbl_SeqLib[Exact],tbl_SeqLib[Column],tbl_SeqLib[[#This Row],[Column]]),1),"")</f>
        <v/>
      </c>
      <c r="AB14" s="35" t="str">
        <f>IF(missing_qc_resolution=Reference!$E$49,tbl_SeqLib[[#This Row],[Avg per col (missing)]],tbl_SeqLib[[#This Row],[Avg per plate (missing)]])</f>
        <v/>
      </c>
      <c r="AC14" s="35">
        <f>IF(tbl_SeqLib[[#This Row],[entry]]=0,"",IF(tbl_SeqLib[[#This Row],[entry]]=1,tbl_SeqLib[[#This Row],[Not quantified]],IF(tbl_SeqLib[[#This Row],[entry]]=2,tbl_SeqLib[[#This Row],[Quantified]])))</f>
        <v>10</v>
      </c>
      <c r="AD14" s="80"/>
      <c r="AE1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4" s="49" t="str">
        <f>IF(ISBLANK(tbl_SeqLib[[#This Row],[sWGA Identifier]]),"",CONCATENATE(exp_id,"_",tbl_SeqLib[[#This Row],[Well]]))</f>
        <v>SLJS034_D2</v>
      </c>
    </row>
    <row r="15" spans="1:32" ht="15.75" customHeight="1" x14ac:dyDescent="0.3">
      <c r="A15" s="48">
        <v>13</v>
      </c>
      <c r="B15" s="37" t="str">
        <f>RIGHT(tbl_SeqLib[[#This Row],[Well]],LEN(tbl_SeqLib[[#This Row],[Well]])-1)</f>
        <v>2</v>
      </c>
      <c r="C15" s="37" t="s">
        <v>109</v>
      </c>
      <c r="D15" s="19" t="s">
        <v>486</v>
      </c>
      <c r="E15" s="21" t="s">
        <v>487</v>
      </c>
      <c r="F15" s="19" t="s">
        <v>406</v>
      </c>
      <c r="G15" s="29" t="s">
        <v>488</v>
      </c>
      <c r="H15" s="19" t="s">
        <v>489</v>
      </c>
      <c r="I15" s="29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0" t="s">
        <v>110</v>
      </c>
      <c r="M15" s="73">
        <f>IF(OR(ISBLANK(tbl_SeqLib[[#This Row],[Sample ID]]),ISBLANK(endrepair_targetmass)),0,IF(LEN(tbl_SeqLib[[#This Row],[PCR '[DNA'] (ng / µl)]])=0,1,2))</f>
        <v>2</v>
      </c>
      <c r="N1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35">
        <f>IF(tbl_SeqLib[[#This Row],[entry]]=2,ROUNDUP(_xlfn.MINIFS(tbl_SeqLib[Exact],tbl_SeqLib[Column],tbl_SeqLib[[#This Row],[Column]]),1),"")</f>
        <v>6.7</v>
      </c>
      <c r="P15" s="35">
        <f>IF(tbl_SeqLib[[#This Row],[entry]]=2,ROUNDDOWN(_xlfn.MAXIFS(tbl_SeqLib[Exact],tbl_SeqLib[Column],tbl_SeqLib[[#This Row],[Column]]),1),"")</f>
        <v>10</v>
      </c>
      <c r="Q15" s="35">
        <f>IF(tbl_SeqLib[[#This Row],[entry]]=2,ROUNDUP(AVERAGEIFS(tbl_SeqLib[Exact],tbl_SeqLib[Column],tbl_SeqLib[[#This Row],[Column]]),1),"")</f>
        <v>9.4</v>
      </c>
      <c r="R15" s="35" cm="1">
        <f t="array" ref="R15">_xlfn.XLOOKUP(0,ABS(tbl_SeqLib[[#This Row],[Min for col]:[Avg for col]]-tbl_SeqLib[[#This Row],[Exact]]),tbl_SeqLib[[#This Row],[Min for col]:[Avg for col]],"",1)</f>
        <v>10</v>
      </c>
      <c r="S15" s="35" cm="1">
        <f t="array" ref="S15">_xlfn.XLOOKUP(0,ABS(tbl_SeqLib[[#This Row],[Max for col]:[Avg for col]]-tbl_SeqLib[[#This Row],[Exact]]),tbl_SeqLib[[#This Row],[Max for col]:[Avg for col]],"",1)</f>
        <v>10</v>
      </c>
      <c r="T15" s="35">
        <f>IF(tbl_SeqLib[[#This Row],[entry]]=2,tbl_SeqLib[[#This Row],[Max for col]],"")</f>
        <v>10</v>
      </c>
      <c r="U15" s="35">
        <f>IF(tbl_SeqLib[[#This Row],[entry]]=2,tbl_SeqLib[[#This Row],[Avg for col]],"")</f>
        <v>9.4</v>
      </c>
      <c r="V15" s="35">
        <f>IF(tbl_SeqLib[[#This Row],[entry]]=2,AVERAGE(tbl_SeqLib[Exact]),"")</f>
        <v>9.2911764705882351</v>
      </c>
      <c r="W15" s="35">
        <f>IF(tbl_SeqLib[[#This Row],[entry]]=2,MAX(tbl_SeqLib[Exact]),"")</f>
        <v>10</v>
      </c>
      <c r="X15" s="35" cm="1">
        <f t="array" ref="X15">_xlfn.XLOOKUP(0,ABS(tbl_SeqLib[[#This Row],[Avg per plate]:[Max per plate]]-tbl_SeqLib[[#This Row],[Exact]]),tbl_SeqLib[[#This Row],[Avg per plate]:[Max per plate]],,1)</f>
        <v>10</v>
      </c>
      <c r="Y1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5" s="73" t="str">
        <f>IF(tbl_SeqLib[[#This Row],[entry]]=1,ROUNDUP(AVERAGE(tbl_SeqLib[Exact]),1),"")</f>
        <v/>
      </c>
      <c r="AA15" s="73" t="str">
        <f>IF(tbl_SeqLib[[#This Row],[entry]]=1,ROUNDUP(AVERAGEIFS(tbl_SeqLib[Exact],tbl_SeqLib[Column],tbl_SeqLib[[#This Row],[Column]]),1),"")</f>
        <v/>
      </c>
      <c r="AB15" s="35" t="str">
        <f>IF(missing_qc_resolution=Reference!$E$49,tbl_SeqLib[[#This Row],[Avg per col (missing)]],tbl_SeqLib[[#This Row],[Avg per plate (missing)]])</f>
        <v/>
      </c>
      <c r="AC15" s="35">
        <f>IF(tbl_SeqLib[[#This Row],[entry]]=0,"",IF(tbl_SeqLib[[#This Row],[entry]]=1,tbl_SeqLib[[#This Row],[Not quantified]],IF(tbl_SeqLib[[#This Row],[entry]]=2,tbl_SeqLib[[#This Row],[Quantified]])))</f>
        <v>10</v>
      </c>
      <c r="AD15" s="80"/>
      <c r="AE1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5" s="49" t="str">
        <f>IF(ISBLANK(tbl_SeqLib[[#This Row],[sWGA Identifier]]),"",CONCATENATE(exp_id,"_",tbl_SeqLib[[#This Row],[Well]]))</f>
        <v>SLJS034_E2</v>
      </c>
    </row>
    <row r="16" spans="1:32" ht="15.75" customHeight="1" x14ac:dyDescent="0.3">
      <c r="A16" s="48">
        <v>14</v>
      </c>
      <c r="B16" s="37" t="str">
        <f>RIGHT(tbl_SeqLib[[#This Row],[Well]],LEN(tbl_SeqLib[[#This Row],[Well]])-1)</f>
        <v>2</v>
      </c>
      <c r="C16" s="37" t="s">
        <v>111</v>
      </c>
      <c r="D16" s="19" t="s">
        <v>490</v>
      </c>
      <c r="E16" s="21" t="s">
        <v>491</v>
      </c>
      <c r="F16" s="19" t="s">
        <v>406</v>
      </c>
      <c r="G16" s="29" t="s">
        <v>492</v>
      </c>
      <c r="H16" s="19" t="s">
        <v>493</v>
      </c>
      <c r="I16" s="29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0" t="s">
        <v>112</v>
      </c>
      <c r="M16" s="73">
        <f>IF(OR(ISBLANK(tbl_SeqLib[[#This Row],[Sample ID]]),ISBLANK(endrepair_targetmass)),0,IF(LEN(tbl_SeqLib[[#This Row],[PCR '[DNA'] (ng / µl)]])=0,1,2))</f>
        <v>2</v>
      </c>
      <c r="N1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35">
        <f>IF(tbl_SeqLib[[#This Row],[entry]]=2,ROUNDUP(_xlfn.MINIFS(tbl_SeqLib[Exact],tbl_SeqLib[Column],tbl_SeqLib[[#This Row],[Column]]),1),"")</f>
        <v>6.7</v>
      </c>
      <c r="P16" s="35">
        <f>IF(tbl_SeqLib[[#This Row],[entry]]=2,ROUNDDOWN(_xlfn.MAXIFS(tbl_SeqLib[Exact],tbl_SeqLib[Column],tbl_SeqLib[[#This Row],[Column]]),1),"")</f>
        <v>10</v>
      </c>
      <c r="Q16" s="35">
        <f>IF(tbl_SeqLib[[#This Row],[entry]]=2,ROUNDUP(AVERAGEIFS(tbl_SeqLib[Exact],tbl_SeqLib[Column],tbl_SeqLib[[#This Row],[Column]]),1),"")</f>
        <v>9.4</v>
      </c>
      <c r="R16" s="35" cm="1">
        <f t="array" ref="R16">_xlfn.XLOOKUP(0,ABS(tbl_SeqLib[[#This Row],[Min for col]:[Avg for col]]-tbl_SeqLib[[#This Row],[Exact]]),tbl_SeqLib[[#This Row],[Min for col]:[Avg for col]],"",1)</f>
        <v>10</v>
      </c>
      <c r="S16" s="35" cm="1">
        <f t="array" ref="S16">_xlfn.XLOOKUP(0,ABS(tbl_SeqLib[[#This Row],[Max for col]:[Avg for col]]-tbl_SeqLib[[#This Row],[Exact]]),tbl_SeqLib[[#This Row],[Max for col]:[Avg for col]],"",1)</f>
        <v>10</v>
      </c>
      <c r="T16" s="35">
        <f>IF(tbl_SeqLib[[#This Row],[entry]]=2,tbl_SeqLib[[#This Row],[Max for col]],"")</f>
        <v>10</v>
      </c>
      <c r="U16" s="35">
        <f>IF(tbl_SeqLib[[#This Row],[entry]]=2,tbl_SeqLib[[#This Row],[Avg for col]],"")</f>
        <v>9.4</v>
      </c>
      <c r="V16" s="35">
        <f>IF(tbl_SeqLib[[#This Row],[entry]]=2,AVERAGE(tbl_SeqLib[Exact]),"")</f>
        <v>9.2911764705882351</v>
      </c>
      <c r="W16" s="35">
        <f>IF(tbl_SeqLib[[#This Row],[entry]]=2,MAX(tbl_SeqLib[Exact]),"")</f>
        <v>10</v>
      </c>
      <c r="X16" s="35" cm="1">
        <f t="array" ref="X16">_xlfn.XLOOKUP(0,ABS(tbl_SeqLib[[#This Row],[Avg per plate]:[Max per plate]]-tbl_SeqLib[[#This Row],[Exact]]),tbl_SeqLib[[#This Row],[Avg per plate]:[Max per plate]],,1)</f>
        <v>10</v>
      </c>
      <c r="Y1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6" s="73" t="str">
        <f>IF(tbl_SeqLib[[#This Row],[entry]]=1,ROUNDUP(AVERAGE(tbl_SeqLib[Exact]),1),"")</f>
        <v/>
      </c>
      <c r="AA16" s="73" t="str">
        <f>IF(tbl_SeqLib[[#This Row],[entry]]=1,ROUNDUP(AVERAGEIFS(tbl_SeqLib[Exact],tbl_SeqLib[Column],tbl_SeqLib[[#This Row],[Column]]),1),"")</f>
        <v/>
      </c>
      <c r="AB16" s="35" t="str">
        <f>IF(missing_qc_resolution=Reference!$E$49,tbl_SeqLib[[#This Row],[Avg per col (missing)]],tbl_SeqLib[[#This Row],[Avg per plate (missing)]])</f>
        <v/>
      </c>
      <c r="AC16" s="35">
        <f>IF(tbl_SeqLib[[#This Row],[entry]]=0,"",IF(tbl_SeqLib[[#This Row],[entry]]=1,tbl_SeqLib[[#This Row],[Not quantified]],IF(tbl_SeqLib[[#This Row],[entry]]=2,tbl_SeqLib[[#This Row],[Quantified]])))</f>
        <v>10</v>
      </c>
      <c r="AD16" s="80"/>
      <c r="AE1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6" s="49" t="str">
        <f>IF(ISBLANK(tbl_SeqLib[[#This Row],[sWGA Identifier]]),"",CONCATENATE(exp_id,"_",tbl_SeqLib[[#This Row],[Well]]))</f>
        <v>SLJS034_F2</v>
      </c>
    </row>
    <row r="17" spans="1:32" ht="15.75" customHeight="1" x14ac:dyDescent="0.3">
      <c r="A17" s="48">
        <v>15</v>
      </c>
      <c r="B17" s="37" t="str">
        <f>RIGHT(tbl_SeqLib[[#This Row],[Well]],LEN(tbl_SeqLib[[#This Row],[Well]])-1)</f>
        <v>2</v>
      </c>
      <c r="C17" s="37" t="s">
        <v>113</v>
      </c>
      <c r="D17" s="19" t="s">
        <v>494</v>
      </c>
      <c r="E17" s="21" t="s">
        <v>495</v>
      </c>
      <c r="F17" s="19" t="s">
        <v>406</v>
      </c>
      <c r="G17" s="29" t="s">
        <v>496</v>
      </c>
      <c r="H17" s="19" t="s">
        <v>497</v>
      </c>
      <c r="I17" s="29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0" t="s">
        <v>114</v>
      </c>
      <c r="M17" s="73">
        <f>IF(OR(ISBLANK(tbl_SeqLib[[#This Row],[Sample ID]]),ISBLANK(endrepair_targetmass)),0,IF(LEN(tbl_SeqLib[[#This Row],[PCR '[DNA'] (ng / µl)]])=0,1,2))</f>
        <v>2</v>
      </c>
      <c r="N17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35">
        <f>IF(tbl_SeqLib[[#This Row],[entry]]=2,ROUNDUP(_xlfn.MINIFS(tbl_SeqLib[Exact],tbl_SeqLib[Column],tbl_SeqLib[[#This Row],[Column]]),1),"")</f>
        <v>6.7</v>
      </c>
      <c r="P17" s="35">
        <f>IF(tbl_SeqLib[[#This Row],[entry]]=2,ROUNDDOWN(_xlfn.MAXIFS(tbl_SeqLib[Exact],tbl_SeqLib[Column],tbl_SeqLib[[#This Row],[Column]]),1),"")</f>
        <v>10</v>
      </c>
      <c r="Q17" s="35">
        <f>IF(tbl_SeqLib[[#This Row],[entry]]=2,ROUNDUP(AVERAGEIFS(tbl_SeqLib[Exact],tbl_SeqLib[Column],tbl_SeqLib[[#This Row],[Column]]),1),"")</f>
        <v>9.4</v>
      </c>
      <c r="R17" s="35" cm="1">
        <f t="array" ref="R17">_xlfn.XLOOKUP(0,ABS(tbl_SeqLib[[#This Row],[Min for col]:[Avg for col]]-tbl_SeqLib[[#This Row],[Exact]]),tbl_SeqLib[[#This Row],[Min for col]:[Avg for col]],"",1)</f>
        <v>10</v>
      </c>
      <c r="S17" s="35" cm="1">
        <f t="array" ref="S17">_xlfn.XLOOKUP(0,ABS(tbl_SeqLib[[#This Row],[Max for col]:[Avg for col]]-tbl_SeqLib[[#This Row],[Exact]]),tbl_SeqLib[[#This Row],[Max for col]:[Avg for col]],"",1)</f>
        <v>10</v>
      </c>
      <c r="T17" s="35">
        <f>IF(tbl_SeqLib[[#This Row],[entry]]=2,tbl_SeqLib[[#This Row],[Max for col]],"")</f>
        <v>10</v>
      </c>
      <c r="U17" s="35">
        <f>IF(tbl_SeqLib[[#This Row],[entry]]=2,tbl_SeqLib[[#This Row],[Avg for col]],"")</f>
        <v>9.4</v>
      </c>
      <c r="V17" s="35">
        <f>IF(tbl_SeqLib[[#This Row],[entry]]=2,AVERAGE(tbl_SeqLib[Exact]),"")</f>
        <v>9.2911764705882351</v>
      </c>
      <c r="W17" s="35">
        <f>IF(tbl_SeqLib[[#This Row],[entry]]=2,MAX(tbl_SeqLib[Exact]),"")</f>
        <v>10</v>
      </c>
      <c r="X17" s="35" cm="1">
        <f t="array" ref="X17">_xlfn.XLOOKUP(0,ABS(tbl_SeqLib[[#This Row],[Avg per plate]:[Max per plate]]-tbl_SeqLib[[#This Row],[Exact]]),tbl_SeqLib[[#This Row],[Avg per plate]:[Max per plate]],,1)</f>
        <v>10</v>
      </c>
      <c r="Y17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7" s="73" t="str">
        <f>IF(tbl_SeqLib[[#This Row],[entry]]=1,ROUNDUP(AVERAGE(tbl_SeqLib[Exact]),1),"")</f>
        <v/>
      </c>
      <c r="AA17" s="73" t="str">
        <f>IF(tbl_SeqLib[[#This Row],[entry]]=1,ROUNDUP(AVERAGEIFS(tbl_SeqLib[Exact],tbl_SeqLib[Column],tbl_SeqLib[[#This Row],[Column]]),1),"")</f>
        <v/>
      </c>
      <c r="AB17" s="35" t="str">
        <f>IF(missing_qc_resolution=Reference!$E$49,tbl_SeqLib[[#This Row],[Avg per col (missing)]],tbl_SeqLib[[#This Row],[Avg per plate (missing)]])</f>
        <v/>
      </c>
      <c r="AC17" s="35">
        <f>IF(tbl_SeqLib[[#This Row],[entry]]=0,"",IF(tbl_SeqLib[[#This Row],[entry]]=1,tbl_SeqLib[[#This Row],[Not quantified]],IF(tbl_SeqLib[[#This Row],[entry]]=2,tbl_SeqLib[[#This Row],[Quantified]])))</f>
        <v>10</v>
      </c>
      <c r="AD17" s="80"/>
      <c r="AE17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7" s="49" t="str">
        <f>IF(ISBLANK(tbl_SeqLib[[#This Row],[sWGA Identifier]]),"",CONCATENATE(exp_id,"_",tbl_SeqLib[[#This Row],[Well]]))</f>
        <v>SLJS034_G2</v>
      </c>
    </row>
    <row r="18" spans="1:32" ht="15.75" customHeight="1" thickBot="1" x14ac:dyDescent="0.35">
      <c r="A18" s="50">
        <v>16</v>
      </c>
      <c r="B18" s="51" t="str">
        <f>RIGHT(tbl_SeqLib[[#This Row],[Well]],LEN(tbl_SeqLib[[#This Row],[Well]])-1)</f>
        <v>2</v>
      </c>
      <c r="C18" s="51" t="s">
        <v>115</v>
      </c>
      <c r="D18" s="52" t="s">
        <v>498</v>
      </c>
      <c r="E18" s="53" t="s">
        <v>499</v>
      </c>
      <c r="F18" s="52" t="s">
        <v>406</v>
      </c>
      <c r="G18" s="54" t="s">
        <v>500</v>
      </c>
      <c r="H18" s="52" t="s">
        <v>501</v>
      </c>
      <c r="I18" s="54">
        <v>14.2</v>
      </c>
      <c r="J18" s="54">
        <v>1</v>
      </c>
      <c r="K18" s="55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56" t="s">
        <v>116</v>
      </c>
      <c r="M18" s="74">
        <f>IF(OR(ISBLANK(tbl_SeqLib[[#This Row],[Sample ID]]),ISBLANK(endrepair_targetmass)),0,IF(LEN(tbl_SeqLib[[#This Row],[PCR '[DNA'] (ng / µl)]])=0,1,2))</f>
        <v>2</v>
      </c>
      <c r="N18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57">
        <f>IF(tbl_SeqLib[[#This Row],[entry]]=2,ROUNDUP(_xlfn.MINIFS(tbl_SeqLib[Exact],tbl_SeqLib[Column],tbl_SeqLib[[#This Row],[Column]]),1),"")</f>
        <v>6.7</v>
      </c>
      <c r="P18" s="57">
        <f>IF(tbl_SeqLib[[#This Row],[entry]]=2,ROUNDDOWN(_xlfn.MAXIFS(tbl_SeqLib[Exact],tbl_SeqLib[Column],tbl_SeqLib[[#This Row],[Column]]),1),"")</f>
        <v>10</v>
      </c>
      <c r="Q18" s="57">
        <f>IF(tbl_SeqLib[[#This Row],[entry]]=2,ROUNDUP(AVERAGEIFS(tbl_SeqLib[Exact],tbl_SeqLib[Column],tbl_SeqLib[[#This Row],[Column]]),1),"")</f>
        <v>9.4</v>
      </c>
      <c r="R18" s="57" cm="1">
        <f t="array" ref="R18">_xlfn.XLOOKUP(0,ABS(tbl_SeqLib[[#This Row],[Min for col]:[Avg for col]]-tbl_SeqLib[[#This Row],[Exact]]),tbl_SeqLib[[#This Row],[Min for col]:[Avg for col]],"",1)</f>
        <v>10</v>
      </c>
      <c r="S18" s="57" cm="1">
        <f t="array" ref="S18">_xlfn.XLOOKUP(0,ABS(tbl_SeqLib[[#This Row],[Max for col]:[Avg for col]]-tbl_SeqLib[[#This Row],[Exact]]),tbl_SeqLib[[#This Row],[Max for col]:[Avg for col]],"",1)</f>
        <v>10</v>
      </c>
      <c r="T18" s="57">
        <f>IF(tbl_SeqLib[[#This Row],[entry]]=2,tbl_SeqLib[[#This Row],[Max for col]],"")</f>
        <v>10</v>
      </c>
      <c r="U18" s="57">
        <f>IF(tbl_SeqLib[[#This Row],[entry]]=2,tbl_SeqLib[[#This Row],[Avg for col]],"")</f>
        <v>9.4</v>
      </c>
      <c r="V18" s="57">
        <f>IF(tbl_SeqLib[[#This Row],[entry]]=2,AVERAGE(tbl_SeqLib[Exact]),"")</f>
        <v>9.2911764705882351</v>
      </c>
      <c r="W18" s="57">
        <f>IF(tbl_SeqLib[[#This Row],[entry]]=2,MAX(tbl_SeqLib[Exact]),"")</f>
        <v>10</v>
      </c>
      <c r="X18" s="57" cm="1">
        <f t="array" ref="X18">_xlfn.XLOOKUP(0,ABS(tbl_SeqLib[[#This Row],[Avg per plate]:[Max per plate]]-tbl_SeqLib[[#This Row],[Exact]]),tbl_SeqLib[[#This Row],[Avg per plate]:[Max per plate]],,1)</f>
        <v>10</v>
      </c>
      <c r="Y18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8" s="74" t="str">
        <f>IF(tbl_SeqLib[[#This Row],[entry]]=1,ROUNDUP(AVERAGE(tbl_SeqLib[Exact]),1),"")</f>
        <v/>
      </c>
      <c r="AA18" s="74" t="str">
        <f>IF(tbl_SeqLib[[#This Row],[entry]]=1,ROUNDUP(AVERAGEIFS(tbl_SeqLib[Exact],tbl_SeqLib[Column],tbl_SeqLib[[#This Row],[Column]]),1),"")</f>
        <v/>
      </c>
      <c r="AB18" s="57" t="str">
        <f>IF(missing_qc_resolution=Reference!$E$49,tbl_SeqLib[[#This Row],[Avg per col (missing)]],tbl_SeqLib[[#This Row],[Avg per plate (missing)]])</f>
        <v/>
      </c>
      <c r="AC18" s="57">
        <f>IF(tbl_SeqLib[[#This Row],[entry]]=0,"",IF(tbl_SeqLib[[#This Row],[entry]]=1,tbl_SeqLib[[#This Row],[Not quantified]],IF(tbl_SeqLib[[#This Row],[entry]]=2,tbl_SeqLib[[#This Row],[Quantified]])))</f>
        <v>10</v>
      </c>
      <c r="AD18" s="81"/>
      <c r="AE18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8" s="58" t="str">
        <f>IF(ISBLANK(tbl_SeqLib[[#This Row],[sWGA Identifier]]),"",CONCATENATE(exp_id,"_",tbl_SeqLib[[#This Row],[Well]]))</f>
        <v>SLJS034_H2</v>
      </c>
    </row>
    <row r="19" spans="1:32" ht="15.75" customHeight="1" x14ac:dyDescent="0.3">
      <c r="A19" s="41">
        <v>17</v>
      </c>
      <c r="B19" s="42" t="str">
        <f>RIGHT(tbl_SeqLib[[#This Row],[Well]],LEN(tbl_SeqLib[[#This Row],[Well]])-1)</f>
        <v>3</v>
      </c>
      <c r="C19" s="42" t="s">
        <v>117</v>
      </c>
      <c r="D19" s="43" t="s">
        <v>502</v>
      </c>
      <c r="E19" s="45" t="s">
        <v>503</v>
      </c>
      <c r="F19" s="43" t="s">
        <v>406</v>
      </c>
      <c r="G19" s="43" t="s">
        <v>504</v>
      </c>
      <c r="H19" s="43" t="s">
        <v>505</v>
      </c>
      <c r="I19" s="43">
        <v>21.6</v>
      </c>
      <c r="J19" s="43">
        <v>1</v>
      </c>
      <c r="K19" s="44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45" t="s">
        <v>118</v>
      </c>
      <c r="M19" s="72">
        <f>IF(OR(ISBLANK(tbl_SeqLib[[#This Row],[Sample ID]]),ISBLANK(endrepair_targetmass)),0,IF(LEN(tbl_SeqLib[[#This Row],[PCR '[DNA'] (ng / µl)]])=0,1,2))</f>
        <v>2</v>
      </c>
      <c r="N19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46">
        <f>IF(tbl_SeqLib[[#This Row],[entry]]=2,ROUNDUP(_xlfn.MINIFS(tbl_SeqLib[Exact],tbl_SeqLib[Column],tbl_SeqLib[[#This Row],[Column]]),1),"")</f>
        <v>5.2</v>
      </c>
      <c r="P19" s="46">
        <f>IF(tbl_SeqLib[[#This Row],[entry]]=2,ROUNDDOWN(_xlfn.MAXIFS(tbl_SeqLib[Exact],tbl_SeqLib[Column],tbl_SeqLib[[#This Row],[Column]]),1),"")</f>
        <v>10</v>
      </c>
      <c r="Q19" s="46">
        <f>IF(tbl_SeqLib[[#This Row],[entry]]=2,ROUNDUP(AVERAGEIFS(tbl_SeqLib[Exact],tbl_SeqLib[Column],tbl_SeqLib[[#This Row],[Column]]),1),"")</f>
        <v>8.7999999999999989</v>
      </c>
      <c r="R19" s="46" cm="1">
        <f t="array" ref="R19">_xlfn.XLOOKUP(0,ABS(tbl_SeqLib[[#This Row],[Min for col]:[Avg for col]]-tbl_SeqLib[[#This Row],[Exact]]),tbl_SeqLib[[#This Row],[Min for col]:[Avg for col]],"",1)</f>
        <v>10</v>
      </c>
      <c r="S19" s="46" cm="1">
        <f t="array" ref="S19">_xlfn.XLOOKUP(0,ABS(tbl_SeqLib[[#This Row],[Max for col]:[Avg for col]]-tbl_SeqLib[[#This Row],[Exact]]),tbl_SeqLib[[#This Row],[Max for col]:[Avg for col]],"",1)</f>
        <v>10</v>
      </c>
      <c r="T19" s="46">
        <f>IF(tbl_SeqLib[[#This Row],[entry]]=2,tbl_SeqLib[[#This Row],[Max for col]],"")</f>
        <v>10</v>
      </c>
      <c r="U19" s="46">
        <f>IF(tbl_SeqLib[[#This Row],[entry]]=2,tbl_SeqLib[[#This Row],[Avg for col]],"")</f>
        <v>8.7999999999999989</v>
      </c>
      <c r="V19" s="46">
        <f>IF(tbl_SeqLib[[#This Row],[entry]]=2,AVERAGE(tbl_SeqLib[Exact]),"")</f>
        <v>9.2911764705882351</v>
      </c>
      <c r="W19" s="46">
        <f>IF(tbl_SeqLib[[#This Row],[entry]]=2,MAX(tbl_SeqLib[Exact]),"")</f>
        <v>10</v>
      </c>
      <c r="X19" s="46" cm="1">
        <f t="array" ref="X19">_xlfn.XLOOKUP(0,ABS(tbl_SeqLib[[#This Row],[Avg per plate]:[Max per plate]]-tbl_SeqLib[[#This Row],[Exact]]),tbl_SeqLib[[#This Row],[Avg per plate]:[Max per plate]],,1)</f>
        <v>10</v>
      </c>
      <c r="Y19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19" s="72" t="str">
        <f>IF(tbl_SeqLib[[#This Row],[entry]]=1,ROUNDUP(AVERAGE(tbl_SeqLib[Exact]),1),"")</f>
        <v/>
      </c>
      <c r="AA19" s="72" t="str">
        <f>IF(tbl_SeqLib[[#This Row],[entry]]=1,ROUNDUP(AVERAGEIFS(tbl_SeqLib[Exact],tbl_SeqLib[Column],tbl_SeqLib[[#This Row],[Column]]),1),"")</f>
        <v/>
      </c>
      <c r="AB19" s="46" t="str">
        <f>IF(missing_qc_resolution=Reference!$E$49,tbl_SeqLib[[#This Row],[Avg per col (missing)]],tbl_SeqLib[[#This Row],[Avg per plate (missing)]])</f>
        <v/>
      </c>
      <c r="AC19" s="46">
        <f>IF(tbl_SeqLib[[#This Row],[entry]]=0,"",IF(tbl_SeqLib[[#This Row],[entry]]=1,tbl_SeqLib[[#This Row],[Not quantified]],IF(tbl_SeqLib[[#This Row],[entry]]=2,tbl_SeqLib[[#This Row],[Quantified]])))</f>
        <v>10</v>
      </c>
      <c r="AD19" s="79"/>
      <c r="AE19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19" s="47" t="str">
        <f>IF(ISBLANK(tbl_SeqLib[[#This Row],[sWGA Identifier]]),"",CONCATENATE(exp_id,"_",tbl_SeqLib[[#This Row],[Well]]))</f>
        <v>SLJS034_A3</v>
      </c>
    </row>
    <row r="20" spans="1:32" ht="15.75" customHeight="1" x14ac:dyDescent="0.3">
      <c r="A20" s="48">
        <v>18</v>
      </c>
      <c r="B20" s="37" t="str">
        <f>RIGHT(tbl_SeqLib[[#This Row],[Well]],LEN(tbl_SeqLib[[#This Row],[Well]])-1)</f>
        <v>3</v>
      </c>
      <c r="C20" s="37" t="s">
        <v>119</v>
      </c>
      <c r="D20" s="19" t="s">
        <v>506</v>
      </c>
      <c r="E20" s="21" t="s">
        <v>507</v>
      </c>
      <c r="F20" s="19" t="s">
        <v>406</v>
      </c>
      <c r="G20" s="29" t="s">
        <v>508</v>
      </c>
      <c r="H20" s="19" t="s">
        <v>509</v>
      </c>
      <c r="I20" s="29">
        <v>43.8</v>
      </c>
      <c r="J20" s="29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0" t="s">
        <v>120</v>
      </c>
      <c r="M20" s="73">
        <f>IF(OR(ISBLANK(tbl_SeqLib[[#This Row],[Sample ID]]),ISBLANK(endrepair_targetmass)),0,IF(LEN(tbl_SeqLib[[#This Row],[PCR '[DNA'] (ng / µl)]])=0,1,2))</f>
        <v>2</v>
      </c>
      <c r="N20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35">
        <f>IF(tbl_SeqLib[[#This Row],[entry]]=2,ROUNDUP(_xlfn.MINIFS(tbl_SeqLib[Exact],tbl_SeqLib[Column],tbl_SeqLib[[#This Row],[Column]]),1),"")</f>
        <v>5.2</v>
      </c>
      <c r="P20" s="35">
        <f>IF(tbl_SeqLib[[#This Row],[entry]]=2,ROUNDDOWN(_xlfn.MAXIFS(tbl_SeqLib[Exact],tbl_SeqLib[Column],tbl_SeqLib[[#This Row],[Column]]),1),"")</f>
        <v>10</v>
      </c>
      <c r="Q20" s="35">
        <f>IF(tbl_SeqLib[[#This Row],[entry]]=2,ROUNDUP(AVERAGEIFS(tbl_SeqLib[Exact],tbl_SeqLib[Column],tbl_SeqLib[[#This Row],[Column]]),1),"")</f>
        <v>8.7999999999999989</v>
      </c>
      <c r="R20" s="35" cm="1">
        <f t="array" ref="R20">_xlfn.XLOOKUP(0,ABS(tbl_SeqLib[[#This Row],[Min for col]:[Avg for col]]-tbl_SeqLib[[#This Row],[Exact]]),tbl_SeqLib[[#This Row],[Min for col]:[Avg for col]],"",1)</f>
        <v>10</v>
      </c>
      <c r="S20" s="35" cm="1">
        <f t="array" ref="S20">_xlfn.XLOOKUP(0,ABS(tbl_SeqLib[[#This Row],[Max for col]:[Avg for col]]-tbl_SeqLib[[#This Row],[Exact]]),tbl_SeqLib[[#This Row],[Max for col]:[Avg for col]],"",1)</f>
        <v>10</v>
      </c>
      <c r="T20" s="35">
        <f>IF(tbl_SeqLib[[#This Row],[entry]]=2,tbl_SeqLib[[#This Row],[Max for col]],"")</f>
        <v>10</v>
      </c>
      <c r="U20" s="35">
        <f>IF(tbl_SeqLib[[#This Row],[entry]]=2,tbl_SeqLib[[#This Row],[Avg for col]],"")</f>
        <v>8.7999999999999989</v>
      </c>
      <c r="V20" s="35">
        <f>IF(tbl_SeqLib[[#This Row],[entry]]=2,AVERAGE(tbl_SeqLib[Exact]),"")</f>
        <v>9.2911764705882351</v>
      </c>
      <c r="W20" s="35">
        <f>IF(tbl_SeqLib[[#This Row],[entry]]=2,MAX(tbl_SeqLib[Exact]),"")</f>
        <v>10</v>
      </c>
      <c r="X20" s="35" cm="1">
        <f t="array" ref="X20">_xlfn.XLOOKUP(0,ABS(tbl_SeqLib[[#This Row],[Avg per plate]:[Max per plate]]-tbl_SeqLib[[#This Row],[Exact]]),tbl_SeqLib[[#This Row],[Avg per plate]:[Max per plate]],,1)</f>
        <v>10</v>
      </c>
      <c r="Y20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0" s="73" t="str">
        <f>IF(tbl_SeqLib[[#This Row],[entry]]=1,ROUNDUP(AVERAGE(tbl_SeqLib[Exact]),1),"")</f>
        <v/>
      </c>
      <c r="AA20" s="73" t="str">
        <f>IF(tbl_SeqLib[[#This Row],[entry]]=1,ROUNDUP(AVERAGEIFS(tbl_SeqLib[Exact],tbl_SeqLib[Column],tbl_SeqLib[[#This Row],[Column]]),1),"")</f>
        <v/>
      </c>
      <c r="AB20" s="35" t="str">
        <f>IF(missing_qc_resolution=Reference!$E$49,tbl_SeqLib[[#This Row],[Avg per col (missing)]],tbl_SeqLib[[#This Row],[Avg per plate (missing)]])</f>
        <v/>
      </c>
      <c r="AC20" s="35">
        <f>IF(tbl_SeqLib[[#This Row],[entry]]=0,"",IF(tbl_SeqLib[[#This Row],[entry]]=1,tbl_SeqLib[[#This Row],[Not quantified]],IF(tbl_SeqLib[[#This Row],[entry]]=2,tbl_SeqLib[[#This Row],[Quantified]])))</f>
        <v>10</v>
      </c>
      <c r="AD20" s="80"/>
      <c r="AE20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0" s="49" t="str">
        <f>IF(ISBLANK(tbl_SeqLib[[#This Row],[sWGA Identifier]]),"",CONCATENATE(exp_id,"_",tbl_SeqLib[[#This Row],[Well]]))</f>
        <v>SLJS034_B3</v>
      </c>
    </row>
    <row r="21" spans="1:32" ht="15.75" customHeight="1" x14ac:dyDescent="0.3">
      <c r="A21" s="48">
        <v>19</v>
      </c>
      <c r="B21" s="37" t="str">
        <f>RIGHT(tbl_SeqLib[[#This Row],[Well]],LEN(tbl_SeqLib[[#This Row],[Well]])-1)</f>
        <v>3</v>
      </c>
      <c r="C21" s="37" t="s">
        <v>121</v>
      </c>
      <c r="D21" s="19" t="s">
        <v>510</v>
      </c>
      <c r="E21" s="21" t="s">
        <v>511</v>
      </c>
      <c r="F21" s="19" t="s">
        <v>406</v>
      </c>
      <c r="G21" s="29" t="s">
        <v>512</v>
      </c>
      <c r="H21" s="19" t="s">
        <v>513</v>
      </c>
      <c r="I21" s="29">
        <v>28.8</v>
      </c>
      <c r="J21" s="29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0" t="s">
        <v>122</v>
      </c>
      <c r="M21" s="73">
        <f>IF(OR(ISBLANK(tbl_SeqLib[[#This Row],[Sample ID]]),ISBLANK(endrepair_targetmass)),0,IF(LEN(tbl_SeqLib[[#This Row],[PCR '[DNA'] (ng / µl)]])=0,1,2))</f>
        <v>2</v>
      </c>
      <c r="N21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35">
        <f>IF(tbl_SeqLib[[#This Row],[entry]]=2,ROUNDUP(_xlfn.MINIFS(tbl_SeqLib[Exact],tbl_SeqLib[Column],tbl_SeqLib[[#This Row],[Column]]),1),"")</f>
        <v>5.2</v>
      </c>
      <c r="P21" s="35">
        <f>IF(tbl_SeqLib[[#This Row],[entry]]=2,ROUNDDOWN(_xlfn.MAXIFS(tbl_SeqLib[Exact],tbl_SeqLib[Column],tbl_SeqLib[[#This Row],[Column]]),1),"")</f>
        <v>10</v>
      </c>
      <c r="Q21" s="35">
        <f>IF(tbl_SeqLib[[#This Row],[entry]]=2,ROUNDUP(AVERAGEIFS(tbl_SeqLib[Exact],tbl_SeqLib[Column],tbl_SeqLib[[#This Row],[Column]]),1),"")</f>
        <v>8.7999999999999989</v>
      </c>
      <c r="R21" s="35" cm="1">
        <f t="array" ref="R21">_xlfn.XLOOKUP(0,ABS(tbl_SeqLib[[#This Row],[Min for col]:[Avg for col]]-tbl_SeqLib[[#This Row],[Exact]]),tbl_SeqLib[[#This Row],[Min for col]:[Avg for col]],"",1)</f>
        <v>10</v>
      </c>
      <c r="S21" s="35" cm="1">
        <f t="array" ref="S21">_xlfn.XLOOKUP(0,ABS(tbl_SeqLib[[#This Row],[Max for col]:[Avg for col]]-tbl_SeqLib[[#This Row],[Exact]]),tbl_SeqLib[[#This Row],[Max for col]:[Avg for col]],"",1)</f>
        <v>10</v>
      </c>
      <c r="T21" s="35">
        <f>IF(tbl_SeqLib[[#This Row],[entry]]=2,tbl_SeqLib[[#This Row],[Max for col]],"")</f>
        <v>10</v>
      </c>
      <c r="U21" s="35">
        <f>IF(tbl_SeqLib[[#This Row],[entry]]=2,tbl_SeqLib[[#This Row],[Avg for col]],"")</f>
        <v>8.7999999999999989</v>
      </c>
      <c r="V21" s="35">
        <f>IF(tbl_SeqLib[[#This Row],[entry]]=2,AVERAGE(tbl_SeqLib[Exact]),"")</f>
        <v>9.2911764705882351</v>
      </c>
      <c r="W21" s="35">
        <f>IF(tbl_SeqLib[[#This Row],[entry]]=2,MAX(tbl_SeqLib[Exact]),"")</f>
        <v>10</v>
      </c>
      <c r="X21" s="35" cm="1">
        <f t="array" ref="X21">_xlfn.XLOOKUP(0,ABS(tbl_SeqLib[[#This Row],[Avg per plate]:[Max per plate]]-tbl_SeqLib[[#This Row],[Exact]]),tbl_SeqLib[[#This Row],[Avg per plate]:[Max per plate]],,1)</f>
        <v>10</v>
      </c>
      <c r="Y21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1" s="73" t="str">
        <f>IF(tbl_SeqLib[[#This Row],[entry]]=1,ROUNDUP(AVERAGE(tbl_SeqLib[Exact]),1),"")</f>
        <v/>
      </c>
      <c r="AA21" s="73" t="str">
        <f>IF(tbl_SeqLib[[#This Row],[entry]]=1,ROUNDUP(AVERAGEIFS(tbl_SeqLib[Exact],tbl_SeqLib[Column],tbl_SeqLib[[#This Row],[Column]]),1),"")</f>
        <v/>
      </c>
      <c r="AB21" s="35" t="str">
        <f>IF(missing_qc_resolution=Reference!$E$49,tbl_SeqLib[[#This Row],[Avg per col (missing)]],tbl_SeqLib[[#This Row],[Avg per plate (missing)]])</f>
        <v/>
      </c>
      <c r="AC21" s="35">
        <f>IF(tbl_SeqLib[[#This Row],[entry]]=0,"",IF(tbl_SeqLib[[#This Row],[entry]]=1,tbl_SeqLib[[#This Row],[Not quantified]],IF(tbl_SeqLib[[#This Row],[entry]]=2,tbl_SeqLib[[#This Row],[Quantified]])))</f>
        <v>10</v>
      </c>
      <c r="AD21" s="80"/>
      <c r="AE21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1" s="49" t="str">
        <f>IF(ISBLANK(tbl_SeqLib[[#This Row],[sWGA Identifier]]),"",CONCATENATE(exp_id,"_",tbl_SeqLib[[#This Row],[Well]]))</f>
        <v>SLJS034_C3</v>
      </c>
    </row>
    <row r="22" spans="1:32" ht="15.75" customHeight="1" x14ac:dyDescent="0.3">
      <c r="A22" s="48">
        <v>20</v>
      </c>
      <c r="B22" s="37" t="str">
        <f>RIGHT(tbl_SeqLib[[#This Row],[Well]],LEN(tbl_SeqLib[[#This Row],[Well]])-1)</f>
        <v>3</v>
      </c>
      <c r="C22" s="36" t="s">
        <v>123</v>
      </c>
      <c r="D22" s="19" t="s">
        <v>474</v>
      </c>
      <c r="E22" s="21" t="s">
        <v>475</v>
      </c>
      <c r="F22" s="19" t="s">
        <v>407</v>
      </c>
      <c r="G22" s="29" t="s">
        <v>514</v>
      </c>
      <c r="H22" s="19" t="s">
        <v>515</v>
      </c>
      <c r="I22" s="29">
        <v>145.30000000000001</v>
      </c>
      <c r="J22" s="29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0" t="s">
        <v>124</v>
      </c>
      <c r="M22" s="73">
        <f>IF(OR(ISBLANK(tbl_SeqLib[[#This Row],[Sample ID]]),ISBLANK(endrepair_targetmass)),0,IF(LEN(tbl_SeqLib[[#This Row],[PCR '[DNA'] (ng / µl)]])=0,1,2))</f>
        <v>2</v>
      </c>
      <c r="N22" s="35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35">
        <f>IF(tbl_SeqLib[[#This Row],[entry]]=2,ROUNDUP(_xlfn.MINIFS(tbl_SeqLib[Exact],tbl_SeqLib[Column],tbl_SeqLib[[#This Row],[Column]]),1),"")</f>
        <v>5.2</v>
      </c>
      <c r="P22" s="35">
        <f>IF(tbl_SeqLib[[#This Row],[entry]]=2,ROUNDDOWN(_xlfn.MAXIFS(tbl_SeqLib[Exact],tbl_SeqLib[Column],tbl_SeqLib[[#This Row],[Column]]),1),"")</f>
        <v>10</v>
      </c>
      <c r="Q22" s="35">
        <f>IF(tbl_SeqLib[[#This Row],[entry]]=2,ROUNDUP(AVERAGEIFS(tbl_SeqLib[Exact],tbl_SeqLib[Column],tbl_SeqLib[[#This Row],[Column]]),1),"")</f>
        <v>8.7999999999999989</v>
      </c>
      <c r="R22" s="35" cm="1">
        <f t="array" ref="R22">_xlfn.XLOOKUP(0,ABS(tbl_SeqLib[[#This Row],[Min for col]:[Avg for col]]-tbl_SeqLib[[#This Row],[Exact]]),tbl_SeqLib[[#This Row],[Min for col]:[Avg for col]],"",1)</f>
        <v>5.2</v>
      </c>
      <c r="S22" s="35" cm="1">
        <f t="array" ref="S22">_xlfn.XLOOKUP(0,ABS(tbl_SeqLib[[#This Row],[Max for col]:[Avg for col]]-tbl_SeqLib[[#This Row],[Exact]]),tbl_SeqLib[[#This Row],[Max for col]:[Avg for col]],"",1)</f>
        <v>8.7999999999999989</v>
      </c>
      <c r="T22" s="35">
        <f>IF(tbl_SeqLib[[#This Row],[entry]]=2,tbl_SeqLib[[#This Row],[Max for col]],"")</f>
        <v>10</v>
      </c>
      <c r="U22" s="35">
        <f>IF(tbl_SeqLib[[#This Row],[entry]]=2,tbl_SeqLib[[#This Row],[Avg for col]],"")</f>
        <v>8.7999999999999989</v>
      </c>
      <c r="V22" s="35">
        <f>IF(tbl_SeqLib[[#This Row],[entry]]=2,AVERAGE(tbl_SeqLib[Exact]),"")</f>
        <v>9.2911764705882351</v>
      </c>
      <c r="W22" s="35">
        <f>IF(tbl_SeqLib[[#This Row],[entry]]=2,MAX(tbl_SeqLib[Exact]),"")</f>
        <v>10</v>
      </c>
      <c r="X22" s="35" cm="1">
        <f t="array" ref="X22">_xlfn.XLOOKUP(0,ABS(tbl_SeqLib[[#This Row],[Avg per plate]:[Max per plate]]-tbl_SeqLib[[#This Row],[Exact]]),tbl_SeqLib[[#This Row],[Avg per plate]:[Max per plate]],,1)</f>
        <v>9.2911764705882351</v>
      </c>
      <c r="Y2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2" s="73" t="str">
        <f>IF(tbl_SeqLib[[#This Row],[entry]]=1,ROUNDUP(AVERAGE(tbl_SeqLib[Exact]),1),"")</f>
        <v/>
      </c>
      <c r="AA22" s="73" t="str">
        <f>IF(tbl_SeqLib[[#This Row],[entry]]=1,ROUNDUP(AVERAGEIFS(tbl_SeqLib[Exact],tbl_SeqLib[Column],tbl_SeqLib[[#This Row],[Column]]),1),"")</f>
        <v/>
      </c>
      <c r="AB22" s="35" t="str">
        <f>IF(missing_qc_resolution=Reference!$E$49,tbl_SeqLib[[#This Row],[Avg per col (missing)]],tbl_SeqLib[[#This Row],[Avg per plate (missing)]])</f>
        <v/>
      </c>
      <c r="AC22" s="35">
        <f>IF(tbl_SeqLib[[#This Row],[entry]]=0,"",IF(tbl_SeqLib[[#This Row],[entry]]=1,tbl_SeqLib[[#This Row],[Not quantified]],IF(tbl_SeqLib[[#This Row],[entry]]=2,tbl_SeqLib[[#This Row],[Quantified]])))</f>
        <v>10</v>
      </c>
      <c r="AD22" s="80"/>
      <c r="AE2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2" s="49" t="str">
        <f>IF(ISBLANK(tbl_SeqLib[[#This Row],[sWGA Identifier]]),"",CONCATENATE(exp_id,"_",tbl_SeqLib[[#This Row],[Well]]))</f>
        <v>SLJS034_D3</v>
      </c>
    </row>
    <row r="23" spans="1:32" ht="15.75" customHeight="1" x14ac:dyDescent="0.3">
      <c r="A23" s="48">
        <v>21</v>
      </c>
      <c r="B23" s="37" t="str">
        <f>RIGHT(tbl_SeqLib[[#This Row],[Well]],LEN(tbl_SeqLib[[#This Row],[Well]])-1)</f>
        <v>3</v>
      </c>
      <c r="C23" s="36" t="s">
        <v>125</v>
      </c>
      <c r="D23" s="19" t="s">
        <v>478</v>
      </c>
      <c r="E23" s="21" t="s">
        <v>479</v>
      </c>
      <c r="F23" s="19" t="s">
        <v>407</v>
      </c>
      <c r="G23" s="29" t="s">
        <v>516</v>
      </c>
      <c r="H23" s="19" t="s">
        <v>517</v>
      </c>
      <c r="I23" s="29">
        <v>154.30000000000001</v>
      </c>
      <c r="J23" s="29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0" t="s">
        <v>126</v>
      </c>
      <c r="M23" s="73">
        <f>IF(OR(ISBLANK(tbl_SeqLib[[#This Row],[Sample ID]]),ISBLANK(endrepair_targetmass)),0,IF(LEN(tbl_SeqLib[[#This Row],[PCR '[DNA'] (ng / µl)]])=0,1,2))</f>
        <v>2</v>
      </c>
      <c r="N23" s="35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35">
        <f>IF(tbl_SeqLib[[#This Row],[entry]]=2,ROUNDUP(_xlfn.MINIFS(tbl_SeqLib[Exact],tbl_SeqLib[Column],tbl_SeqLib[[#This Row],[Column]]),1),"")</f>
        <v>5.2</v>
      </c>
      <c r="P23" s="35">
        <f>IF(tbl_SeqLib[[#This Row],[entry]]=2,ROUNDDOWN(_xlfn.MAXIFS(tbl_SeqLib[Exact],tbl_SeqLib[Column],tbl_SeqLib[[#This Row],[Column]]),1),"")</f>
        <v>10</v>
      </c>
      <c r="Q23" s="35">
        <f>IF(tbl_SeqLib[[#This Row],[entry]]=2,ROUNDUP(AVERAGEIFS(tbl_SeqLib[Exact],tbl_SeqLib[Column],tbl_SeqLib[[#This Row],[Column]]),1),"")</f>
        <v>8.7999999999999989</v>
      </c>
      <c r="R23" s="35" cm="1">
        <f t="array" ref="R23">_xlfn.XLOOKUP(0,ABS(tbl_SeqLib[[#This Row],[Min for col]:[Avg for col]]-tbl_SeqLib[[#This Row],[Exact]]),tbl_SeqLib[[#This Row],[Min for col]:[Avg for col]],"",1)</f>
        <v>5.2</v>
      </c>
      <c r="S23" s="35" cm="1">
        <f t="array" ref="S23">_xlfn.XLOOKUP(0,ABS(tbl_SeqLib[[#This Row],[Max for col]:[Avg for col]]-tbl_SeqLib[[#This Row],[Exact]]),tbl_SeqLib[[#This Row],[Max for col]:[Avg for col]],"",1)</f>
        <v>8.7999999999999989</v>
      </c>
      <c r="T23" s="35">
        <f>IF(tbl_SeqLib[[#This Row],[entry]]=2,tbl_SeqLib[[#This Row],[Max for col]],"")</f>
        <v>10</v>
      </c>
      <c r="U23" s="35">
        <f>IF(tbl_SeqLib[[#This Row],[entry]]=2,tbl_SeqLib[[#This Row],[Avg for col]],"")</f>
        <v>8.7999999999999989</v>
      </c>
      <c r="V23" s="35">
        <f>IF(tbl_SeqLib[[#This Row],[entry]]=2,AVERAGE(tbl_SeqLib[Exact]),"")</f>
        <v>9.2911764705882351</v>
      </c>
      <c r="W23" s="35">
        <f>IF(tbl_SeqLib[[#This Row],[entry]]=2,MAX(tbl_SeqLib[Exact]),"")</f>
        <v>10</v>
      </c>
      <c r="X23" s="35" cm="1">
        <f t="array" ref="X23">_xlfn.XLOOKUP(0,ABS(tbl_SeqLib[[#This Row],[Avg per plate]:[Max per plate]]-tbl_SeqLib[[#This Row],[Exact]]),tbl_SeqLib[[#This Row],[Avg per plate]:[Max per plate]],,1)</f>
        <v>9.2911764705882351</v>
      </c>
      <c r="Y2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3" s="73" t="str">
        <f>IF(tbl_SeqLib[[#This Row],[entry]]=1,ROUNDUP(AVERAGE(tbl_SeqLib[Exact]),1),"")</f>
        <v/>
      </c>
      <c r="AA23" s="73" t="str">
        <f>IF(tbl_SeqLib[[#This Row],[entry]]=1,ROUNDUP(AVERAGEIFS(tbl_SeqLib[Exact],tbl_SeqLib[Column],tbl_SeqLib[[#This Row],[Column]]),1),"")</f>
        <v/>
      </c>
      <c r="AB23" s="35" t="str">
        <f>IF(missing_qc_resolution=Reference!$E$49,tbl_SeqLib[[#This Row],[Avg per col (missing)]],tbl_SeqLib[[#This Row],[Avg per plate (missing)]])</f>
        <v/>
      </c>
      <c r="AC23" s="35">
        <f>IF(tbl_SeqLib[[#This Row],[entry]]=0,"",IF(tbl_SeqLib[[#This Row],[entry]]=1,tbl_SeqLib[[#This Row],[Not quantified]],IF(tbl_SeqLib[[#This Row],[entry]]=2,tbl_SeqLib[[#This Row],[Quantified]])))</f>
        <v>10</v>
      </c>
      <c r="AD23" s="80"/>
      <c r="AE2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3" s="49" t="str">
        <f>IF(ISBLANK(tbl_SeqLib[[#This Row],[sWGA Identifier]]),"",CONCATENATE(exp_id,"_",tbl_SeqLib[[#This Row],[Well]]))</f>
        <v>SLJS034_E3</v>
      </c>
    </row>
    <row r="24" spans="1:32" ht="15.75" customHeight="1" x14ac:dyDescent="0.3">
      <c r="A24" s="48">
        <v>22</v>
      </c>
      <c r="B24" s="37" t="str">
        <f>RIGHT(tbl_SeqLib[[#This Row],[Well]],LEN(tbl_SeqLib[[#This Row],[Well]])-1)</f>
        <v>3</v>
      </c>
      <c r="C24" s="36" t="s">
        <v>127</v>
      </c>
      <c r="D24" s="19" t="s">
        <v>482</v>
      </c>
      <c r="E24" s="21" t="s">
        <v>518</v>
      </c>
      <c r="F24" s="19" t="s">
        <v>408</v>
      </c>
      <c r="G24" s="29" t="s">
        <v>519</v>
      </c>
      <c r="H24" s="19" t="s">
        <v>520</v>
      </c>
      <c r="I24" s="29">
        <v>8.1999999999999993</v>
      </c>
      <c r="J24" s="29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0" t="s">
        <v>128</v>
      </c>
      <c r="M24" s="73">
        <f>IF(OR(ISBLANK(tbl_SeqLib[[#This Row],[Sample ID]]),ISBLANK(endrepair_targetmass)),0,IF(LEN(tbl_SeqLib[[#This Row],[PCR '[DNA'] (ng / µl)]])=0,1,2))</f>
        <v>2</v>
      </c>
      <c r="N24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35">
        <f>IF(tbl_SeqLib[[#This Row],[entry]]=2,ROUNDUP(_xlfn.MINIFS(tbl_SeqLib[Exact],tbl_SeqLib[Column],tbl_SeqLib[[#This Row],[Column]]),1),"")</f>
        <v>5.2</v>
      </c>
      <c r="P24" s="35">
        <f>IF(tbl_SeqLib[[#This Row],[entry]]=2,ROUNDDOWN(_xlfn.MAXIFS(tbl_SeqLib[Exact],tbl_SeqLib[Column],tbl_SeqLib[[#This Row],[Column]]),1),"")</f>
        <v>10</v>
      </c>
      <c r="Q24" s="35">
        <f>IF(tbl_SeqLib[[#This Row],[entry]]=2,ROUNDUP(AVERAGEIFS(tbl_SeqLib[Exact],tbl_SeqLib[Column],tbl_SeqLib[[#This Row],[Column]]),1),"")</f>
        <v>8.7999999999999989</v>
      </c>
      <c r="R24" s="35" cm="1">
        <f t="array" ref="R24">_xlfn.XLOOKUP(0,ABS(tbl_SeqLib[[#This Row],[Min for col]:[Avg for col]]-tbl_SeqLib[[#This Row],[Exact]]),tbl_SeqLib[[#This Row],[Min for col]:[Avg for col]],"",1)</f>
        <v>10</v>
      </c>
      <c r="S24" s="35" cm="1">
        <f t="array" ref="S24">_xlfn.XLOOKUP(0,ABS(tbl_SeqLib[[#This Row],[Max for col]:[Avg for col]]-tbl_SeqLib[[#This Row],[Exact]]),tbl_SeqLib[[#This Row],[Max for col]:[Avg for col]],"",1)</f>
        <v>10</v>
      </c>
      <c r="T24" s="35">
        <f>IF(tbl_SeqLib[[#This Row],[entry]]=2,tbl_SeqLib[[#This Row],[Max for col]],"")</f>
        <v>10</v>
      </c>
      <c r="U24" s="35">
        <f>IF(tbl_SeqLib[[#This Row],[entry]]=2,tbl_SeqLib[[#This Row],[Avg for col]],"")</f>
        <v>8.7999999999999989</v>
      </c>
      <c r="V24" s="35">
        <f>IF(tbl_SeqLib[[#This Row],[entry]]=2,AVERAGE(tbl_SeqLib[Exact]),"")</f>
        <v>9.2911764705882351</v>
      </c>
      <c r="W24" s="35">
        <f>IF(tbl_SeqLib[[#This Row],[entry]]=2,MAX(tbl_SeqLib[Exact]),"")</f>
        <v>10</v>
      </c>
      <c r="X24" s="35" cm="1">
        <f t="array" ref="X24">_xlfn.XLOOKUP(0,ABS(tbl_SeqLib[[#This Row],[Avg per plate]:[Max per plate]]-tbl_SeqLib[[#This Row],[Exact]]),tbl_SeqLib[[#This Row],[Avg per plate]:[Max per plate]],,1)</f>
        <v>10</v>
      </c>
      <c r="Y24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4" s="73" t="str">
        <f>IF(tbl_SeqLib[[#This Row],[entry]]=1,ROUNDUP(AVERAGE(tbl_SeqLib[Exact]),1),"")</f>
        <v/>
      </c>
      <c r="AA24" s="73" t="str">
        <f>IF(tbl_SeqLib[[#This Row],[entry]]=1,ROUNDUP(AVERAGEIFS(tbl_SeqLib[Exact],tbl_SeqLib[Column],tbl_SeqLib[[#This Row],[Column]]),1),"")</f>
        <v/>
      </c>
      <c r="AB24" s="35" t="str">
        <f>IF(missing_qc_resolution=Reference!$E$49,tbl_SeqLib[[#This Row],[Avg per col (missing)]],tbl_SeqLib[[#This Row],[Avg per plate (missing)]])</f>
        <v/>
      </c>
      <c r="AC24" s="35">
        <f>IF(tbl_SeqLib[[#This Row],[entry]]=0,"",IF(tbl_SeqLib[[#This Row],[entry]]=1,tbl_SeqLib[[#This Row],[Not quantified]],IF(tbl_SeqLib[[#This Row],[entry]]=2,tbl_SeqLib[[#This Row],[Quantified]])))</f>
        <v>10</v>
      </c>
      <c r="AD24" s="80"/>
      <c r="AE24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4" s="49" t="str">
        <f>IF(ISBLANK(tbl_SeqLib[[#This Row],[sWGA Identifier]]),"",CONCATENATE(exp_id,"_",tbl_SeqLib[[#This Row],[Well]]))</f>
        <v>SLJS034_F3</v>
      </c>
    </row>
    <row r="25" spans="1:32" ht="15.75" customHeight="1" x14ac:dyDescent="0.3">
      <c r="A25" s="48">
        <v>23</v>
      </c>
      <c r="B25" s="37" t="str">
        <f>RIGHT(tbl_SeqLib[[#This Row],[Well]],LEN(tbl_SeqLib[[#This Row],[Well]])-1)</f>
        <v>3</v>
      </c>
      <c r="C25" s="36" t="s">
        <v>129</v>
      </c>
      <c r="D25" s="19" t="s">
        <v>482</v>
      </c>
      <c r="E25" s="21" t="s">
        <v>521</v>
      </c>
      <c r="F25" s="19" t="s">
        <v>408</v>
      </c>
      <c r="G25" s="29" t="s">
        <v>522</v>
      </c>
      <c r="H25" s="19" t="s">
        <v>523</v>
      </c>
      <c r="I25" s="29">
        <v>1.2</v>
      </c>
      <c r="J25" s="29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0" t="s">
        <v>130</v>
      </c>
      <c r="M25" s="73">
        <f>IF(OR(ISBLANK(tbl_SeqLib[[#This Row],[Sample ID]]),ISBLANK(endrepair_targetmass)),0,IF(LEN(tbl_SeqLib[[#This Row],[PCR '[DNA'] (ng / µl)]])=0,1,2))</f>
        <v>2</v>
      </c>
      <c r="N25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35">
        <f>IF(tbl_SeqLib[[#This Row],[entry]]=2,ROUNDUP(_xlfn.MINIFS(tbl_SeqLib[Exact],tbl_SeqLib[Column],tbl_SeqLib[[#This Row],[Column]]),1),"")</f>
        <v>5.2</v>
      </c>
      <c r="P25" s="35">
        <f>IF(tbl_SeqLib[[#This Row],[entry]]=2,ROUNDDOWN(_xlfn.MAXIFS(tbl_SeqLib[Exact],tbl_SeqLib[Column],tbl_SeqLib[[#This Row],[Column]]),1),"")</f>
        <v>10</v>
      </c>
      <c r="Q25" s="35">
        <f>IF(tbl_SeqLib[[#This Row],[entry]]=2,ROUNDUP(AVERAGEIFS(tbl_SeqLib[Exact],tbl_SeqLib[Column],tbl_SeqLib[[#This Row],[Column]]),1),"")</f>
        <v>8.7999999999999989</v>
      </c>
      <c r="R25" s="35" cm="1">
        <f t="array" ref="R25">_xlfn.XLOOKUP(0,ABS(tbl_SeqLib[[#This Row],[Min for col]:[Avg for col]]-tbl_SeqLib[[#This Row],[Exact]]),tbl_SeqLib[[#This Row],[Min for col]:[Avg for col]],"",1)</f>
        <v>10</v>
      </c>
      <c r="S25" s="35" cm="1">
        <f t="array" ref="S25">_xlfn.XLOOKUP(0,ABS(tbl_SeqLib[[#This Row],[Max for col]:[Avg for col]]-tbl_SeqLib[[#This Row],[Exact]]),tbl_SeqLib[[#This Row],[Max for col]:[Avg for col]],"",1)</f>
        <v>10</v>
      </c>
      <c r="T25" s="35">
        <f>IF(tbl_SeqLib[[#This Row],[entry]]=2,tbl_SeqLib[[#This Row],[Max for col]],"")</f>
        <v>10</v>
      </c>
      <c r="U25" s="35">
        <f>IF(tbl_SeqLib[[#This Row],[entry]]=2,tbl_SeqLib[[#This Row],[Avg for col]],"")</f>
        <v>8.7999999999999989</v>
      </c>
      <c r="V25" s="35">
        <f>IF(tbl_SeqLib[[#This Row],[entry]]=2,AVERAGE(tbl_SeqLib[Exact]),"")</f>
        <v>9.2911764705882351</v>
      </c>
      <c r="W25" s="35">
        <f>IF(tbl_SeqLib[[#This Row],[entry]]=2,MAX(tbl_SeqLib[Exact]),"")</f>
        <v>10</v>
      </c>
      <c r="X25" s="35" cm="1">
        <f t="array" ref="X25">_xlfn.XLOOKUP(0,ABS(tbl_SeqLib[[#This Row],[Avg per plate]:[Max per plate]]-tbl_SeqLib[[#This Row],[Exact]]),tbl_SeqLib[[#This Row],[Avg per plate]:[Max per plate]],,1)</f>
        <v>10</v>
      </c>
      <c r="Y25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5" s="73" t="str">
        <f>IF(tbl_SeqLib[[#This Row],[entry]]=1,ROUNDUP(AVERAGE(tbl_SeqLib[Exact]),1),"")</f>
        <v/>
      </c>
      <c r="AA25" s="73" t="str">
        <f>IF(tbl_SeqLib[[#This Row],[entry]]=1,ROUNDUP(AVERAGEIFS(tbl_SeqLib[Exact],tbl_SeqLib[Column],tbl_SeqLib[[#This Row],[Column]]),1),"")</f>
        <v/>
      </c>
      <c r="AB25" s="35" t="str">
        <f>IF(missing_qc_resolution=Reference!$E$49,tbl_SeqLib[[#This Row],[Avg per col (missing)]],tbl_SeqLib[[#This Row],[Avg per plate (missing)]])</f>
        <v/>
      </c>
      <c r="AC25" s="35">
        <f>IF(tbl_SeqLib[[#This Row],[entry]]=0,"",IF(tbl_SeqLib[[#This Row],[entry]]=1,tbl_SeqLib[[#This Row],[Not quantified]],IF(tbl_SeqLib[[#This Row],[entry]]=2,tbl_SeqLib[[#This Row],[Quantified]])))</f>
        <v>10</v>
      </c>
      <c r="AD25" s="80"/>
      <c r="AE25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5" s="49" t="str">
        <f>IF(ISBLANK(tbl_SeqLib[[#This Row],[sWGA Identifier]]),"",CONCATENATE(exp_id,"_",tbl_SeqLib[[#This Row],[Well]]))</f>
        <v>SLJS034_G3</v>
      </c>
    </row>
    <row r="26" spans="1:32" ht="15.75" customHeight="1" thickBot="1" x14ac:dyDescent="0.35">
      <c r="A26" s="50">
        <v>24</v>
      </c>
      <c r="B26" s="51" t="str">
        <f>RIGHT(tbl_SeqLib[[#This Row],[Well]],LEN(tbl_SeqLib[[#This Row],[Well]])-1)</f>
        <v>3</v>
      </c>
      <c r="C26" s="59" t="s">
        <v>131</v>
      </c>
      <c r="D26" s="52" t="s">
        <v>524</v>
      </c>
      <c r="E26" s="53" t="s">
        <v>525</v>
      </c>
      <c r="F26" s="52" t="s">
        <v>406</v>
      </c>
      <c r="G26" s="54" t="s">
        <v>526</v>
      </c>
      <c r="H26" s="52" t="s">
        <v>527</v>
      </c>
      <c r="I26" s="54">
        <v>85</v>
      </c>
      <c r="J26" s="54">
        <v>1</v>
      </c>
      <c r="K26" s="55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56" t="s">
        <v>132</v>
      </c>
      <c r="M26" s="74">
        <f>IF(OR(ISBLANK(tbl_SeqLib[[#This Row],[Sample ID]]),ISBLANK(endrepair_targetmass)),0,IF(LEN(tbl_SeqLib[[#This Row],[PCR '[DNA'] (ng / µl)]])=0,1,2))</f>
        <v>2</v>
      </c>
      <c r="N26" s="57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57">
        <f>IF(tbl_SeqLib[[#This Row],[entry]]=2,ROUNDUP(_xlfn.MINIFS(tbl_SeqLib[Exact],tbl_SeqLib[Column],tbl_SeqLib[[#This Row],[Column]]),1),"")</f>
        <v>5.2</v>
      </c>
      <c r="P26" s="57">
        <f>IF(tbl_SeqLib[[#This Row],[entry]]=2,ROUNDDOWN(_xlfn.MAXIFS(tbl_SeqLib[Exact],tbl_SeqLib[Column],tbl_SeqLib[[#This Row],[Column]]),1),"")</f>
        <v>10</v>
      </c>
      <c r="Q26" s="57">
        <f>IF(tbl_SeqLib[[#This Row],[entry]]=2,ROUNDUP(AVERAGEIFS(tbl_SeqLib[Exact],tbl_SeqLib[Column],tbl_SeqLib[[#This Row],[Column]]),1),"")</f>
        <v>8.7999999999999989</v>
      </c>
      <c r="R26" s="57" cm="1">
        <f t="array" ref="R26">_xlfn.XLOOKUP(0,ABS(tbl_SeqLib[[#This Row],[Min for col]:[Avg for col]]-tbl_SeqLib[[#This Row],[Exact]]),tbl_SeqLib[[#This Row],[Min for col]:[Avg for col]],"",1)</f>
        <v>10</v>
      </c>
      <c r="S26" s="57" cm="1">
        <f t="array" ref="S26">_xlfn.XLOOKUP(0,ABS(tbl_SeqLib[[#This Row],[Max for col]:[Avg for col]]-tbl_SeqLib[[#This Row],[Exact]]),tbl_SeqLib[[#This Row],[Max for col]:[Avg for col]],"",1)</f>
        <v>10</v>
      </c>
      <c r="T26" s="57">
        <f>IF(tbl_SeqLib[[#This Row],[entry]]=2,tbl_SeqLib[[#This Row],[Max for col]],"")</f>
        <v>10</v>
      </c>
      <c r="U26" s="57">
        <f>IF(tbl_SeqLib[[#This Row],[entry]]=2,tbl_SeqLib[[#This Row],[Avg for col]],"")</f>
        <v>8.7999999999999989</v>
      </c>
      <c r="V26" s="57">
        <f>IF(tbl_SeqLib[[#This Row],[entry]]=2,AVERAGE(tbl_SeqLib[Exact]),"")</f>
        <v>9.2911764705882351</v>
      </c>
      <c r="W26" s="57">
        <f>IF(tbl_SeqLib[[#This Row],[entry]]=2,MAX(tbl_SeqLib[Exact]),"")</f>
        <v>10</v>
      </c>
      <c r="X26" s="57" cm="1">
        <f t="array" ref="X26">_xlfn.XLOOKUP(0,ABS(tbl_SeqLib[[#This Row],[Avg per plate]:[Max per plate]]-tbl_SeqLib[[#This Row],[Exact]]),tbl_SeqLib[[#This Row],[Avg per plate]:[Max per plate]],,1)</f>
        <v>9.2911764705882351</v>
      </c>
      <c r="Y26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6" s="74" t="str">
        <f>IF(tbl_SeqLib[[#This Row],[entry]]=1,ROUNDUP(AVERAGE(tbl_SeqLib[Exact]),1),"")</f>
        <v/>
      </c>
      <c r="AA26" s="74" t="str">
        <f>IF(tbl_SeqLib[[#This Row],[entry]]=1,ROUNDUP(AVERAGEIFS(tbl_SeqLib[Exact],tbl_SeqLib[Column],tbl_SeqLib[[#This Row],[Column]]),1),"")</f>
        <v/>
      </c>
      <c r="AB26" s="57" t="str">
        <f>IF(missing_qc_resolution=Reference!$E$49,tbl_SeqLib[[#This Row],[Avg per col (missing)]],tbl_SeqLib[[#This Row],[Avg per plate (missing)]])</f>
        <v/>
      </c>
      <c r="AC26" s="57">
        <f>IF(tbl_SeqLib[[#This Row],[entry]]=0,"",IF(tbl_SeqLib[[#This Row],[entry]]=1,tbl_SeqLib[[#This Row],[Not quantified]],IF(tbl_SeqLib[[#This Row],[entry]]=2,tbl_SeqLib[[#This Row],[Quantified]])))</f>
        <v>10</v>
      </c>
      <c r="AD26" s="81"/>
      <c r="AE26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6" s="58" t="str">
        <f>IF(ISBLANK(tbl_SeqLib[[#This Row],[sWGA Identifier]]),"",CONCATENATE(exp_id,"_",tbl_SeqLib[[#This Row],[Well]]))</f>
        <v>SLJS034_H3</v>
      </c>
    </row>
    <row r="27" spans="1:32" ht="15.75" customHeight="1" x14ac:dyDescent="0.3">
      <c r="A27" s="41">
        <v>25</v>
      </c>
      <c r="B27" s="42" t="str">
        <f>RIGHT(tbl_SeqLib[[#This Row],[Well]],LEN(tbl_SeqLib[[#This Row],[Well]])-1)</f>
        <v>4</v>
      </c>
      <c r="C27" s="42" t="s">
        <v>133</v>
      </c>
      <c r="D27" s="43" t="s">
        <v>528</v>
      </c>
      <c r="E27" s="45" t="s">
        <v>529</v>
      </c>
      <c r="F27" s="43" t="s">
        <v>406</v>
      </c>
      <c r="G27" s="43" t="s">
        <v>526</v>
      </c>
      <c r="H27" s="43" t="s">
        <v>530</v>
      </c>
      <c r="I27" s="43">
        <v>36</v>
      </c>
      <c r="J27" s="43">
        <v>1</v>
      </c>
      <c r="K27" s="44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45" t="s">
        <v>134</v>
      </c>
      <c r="M27" s="72">
        <f>IF(OR(ISBLANK(tbl_SeqLib[[#This Row],[Sample ID]]),ISBLANK(endrepair_targetmass)),0,IF(LEN(tbl_SeqLib[[#This Row],[PCR '[DNA'] (ng / µl)]])=0,1,2))</f>
        <v>2</v>
      </c>
      <c r="N27" s="46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46">
        <f>IF(tbl_SeqLib[[#This Row],[entry]]=2,ROUNDUP(_xlfn.MINIFS(tbl_SeqLib[Exact],tbl_SeqLib[Column],tbl_SeqLib[[#This Row],[Column]]),1),"")</f>
        <v>7.5</v>
      </c>
      <c r="P27" s="46">
        <f>IF(tbl_SeqLib[[#This Row],[entry]]=2,ROUNDDOWN(_xlfn.MAXIFS(tbl_SeqLib[Exact],tbl_SeqLib[Column],tbl_SeqLib[[#This Row],[Column]]),1),"")</f>
        <v>10</v>
      </c>
      <c r="Q27" s="46">
        <f>IF(tbl_SeqLib[[#This Row],[entry]]=2,ROUNDUP(AVERAGEIFS(tbl_SeqLib[Exact],tbl_SeqLib[Column],tbl_SeqLib[[#This Row],[Column]]),1),"")</f>
        <v>9.1999999999999993</v>
      </c>
      <c r="R27" s="46" cm="1">
        <f t="array" ref="R27">_xlfn.XLOOKUP(0,ABS(tbl_SeqLib[[#This Row],[Min for col]:[Avg for col]]-tbl_SeqLib[[#This Row],[Exact]]),tbl_SeqLib[[#This Row],[Min for col]:[Avg for col]],"",1)</f>
        <v>10</v>
      </c>
      <c r="S27" s="46" cm="1">
        <f t="array" ref="S27">_xlfn.XLOOKUP(0,ABS(tbl_SeqLib[[#This Row],[Max for col]:[Avg for col]]-tbl_SeqLib[[#This Row],[Exact]]),tbl_SeqLib[[#This Row],[Max for col]:[Avg for col]],"",1)</f>
        <v>10</v>
      </c>
      <c r="T27" s="46">
        <f>IF(tbl_SeqLib[[#This Row],[entry]]=2,tbl_SeqLib[[#This Row],[Max for col]],"")</f>
        <v>10</v>
      </c>
      <c r="U27" s="46">
        <f>IF(tbl_SeqLib[[#This Row],[entry]]=2,tbl_SeqLib[[#This Row],[Avg for col]],"")</f>
        <v>9.1999999999999993</v>
      </c>
      <c r="V27" s="46">
        <f>IF(tbl_SeqLib[[#This Row],[entry]]=2,AVERAGE(tbl_SeqLib[Exact]),"")</f>
        <v>9.2911764705882351</v>
      </c>
      <c r="W27" s="46">
        <f>IF(tbl_SeqLib[[#This Row],[entry]]=2,MAX(tbl_SeqLib[Exact]),"")</f>
        <v>10</v>
      </c>
      <c r="X27" s="46" cm="1">
        <f t="array" ref="X27">_xlfn.XLOOKUP(0,ABS(tbl_SeqLib[[#This Row],[Avg per plate]:[Max per plate]]-tbl_SeqLib[[#This Row],[Exact]]),tbl_SeqLib[[#This Row],[Avg per plate]:[Max per plate]],,1)</f>
        <v>10</v>
      </c>
      <c r="Y27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7" s="72" t="str">
        <f>IF(tbl_SeqLib[[#This Row],[entry]]=1,ROUNDUP(AVERAGE(tbl_SeqLib[Exact]),1),"")</f>
        <v/>
      </c>
      <c r="AA27" s="72" t="str">
        <f>IF(tbl_SeqLib[[#This Row],[entry]]=1,ROUNDUP(AVERAGEIFS(tbl_SeqLib[Exact],tbl_SeqLib[Column],tbl_SeqLib[[#This Row],[Column]]),1),"")</f>
        <v/>
      </c>
      <c r="AB27" s="46" t="str">
        <f>IF(missing_qc_resolution=Reference!$E$49,tbl_SeqLib[[#This Row],[Avg per col (missing)]],tbl_SeqLib[[#This Row],[Avg per plate (missing)]])</f>
        <v/>
      </c>
      <c r="AC27" s="46">
        <f>IF(tbl_SeqLib[[#This Row],[entry]]=0,"",IF(tbl_SeqLib[[#This Row],[entry]]=1,tbl_SeqLib[[#This Row],[Not quantified]],IF(tbl_SeqLib[[#This Row],[entry]]=2,tbl_SeqLib[[#This Row],[Quantified]])))</f>
        <v>10</v>
      </c>
      <c r="AD27" s="79"/>
      <c r="AE27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7" s="47" t="str">
        <f>IF(ISBLANK(tbl_SeqLib[[#This Row],[sWGA Identifier]]),"",CONCATENATE(exp_id,"_",tbl_SeqLib[[#This Row],[Well]]))</f>
        <v>SLJS034_A4</v>
      </c>
    </row>
    <row r="28" spans="1:32" ht="15.75" customHeight="1" x14ac:dyDescent="0.3">
      <c r="A28" s="48">
        <v>26</v>
      </c>
      <c r="B28" s="37" t="str">
        <f>RIGHT(tbl_SeqLib[[#This Row],[Well]],LEN(tbl_SeqLib[[#This Row],[Well]])-1)</f>
        <v>4</v>
      </c>
      <c r="C28" s="36" t="s">
        <v>135</v>
      </c>
      <c r="D28" s="19" t="s">
        <v>531</v>
      </c>
      <c r="E28" s="21" t="s">
        <v>532</v>
      </c>
      <c r="F28" s="19" t="s">
        <v>406</v>
      </c>
      <c r="G28" s="29" t="s">
        <v>526</v>
      </c>
      <c r="H28" s="19" t="s">
        <v>533</v>
      </c>
      <c r="I28" s="29">
        <v>54</v>
      </c>
      <c r="J28" s="29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0" t="s">
        <v>136</v>
      </c>
      <c r="M28" s="73">
        <f>IF(OR(ISBLANK(tbl_SeqLib[[#This Row],[Sample ID]]),ISBLANK(endrepair_targetmass)),0,IF(LEN(tbl_SeqLib[[#This Row],[PCR '[DNA'] (ng / µl)]])=0,1,2))</f>
        <v>2</v>
      </c>
      <c r="N28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35">
        <f>IF(tbl_SeqLib[[#This Row],[entry]]=2,ROUNDUP(_xlfn.MINIFS(tbl_SeqLib[Exact],tbl_SeqLib[Column],tbl_SeqLib[[#This Row],[Column]]),1),"")</f>
        <v>7.5</v>
      </c>
      <c r="P28" s="35">
        <f>IF(tbl_SeqLib[[#This Row],[entry]]=2,ROUNDDOWN(_xlfn.MAXIFS(tbl_SeqLib[Exact],tbl_SeqLib[Column],tbl_SeqLib[[#This Row],[Column]]),1),"")</f>
        <v>10</v>
      </c>
      <c r="Q28" s="35">
        <f>IF(tbl_SeqLib[[#This Row],[entry]]=2,ROUNDUP(AVERAGEIFS(tbl_SeqLib[Exact],tbl_SeqLib[Column],tbl_SeqLib[[#This Row],[Column]]),1),"")</f>
        <v>9.1999999999999993</v>
      </c>
      <c r="R28" s="35" cm="1">
        <f t="array" ref="R28">_xlfn.XLOOKUP(0,ABS(tbl_SeqLib[[#This Row],[Min for col]:[Avg for col]]-tbl_SeqLib[[#This Row],[Exact]]),tbl_SeqLib[[#This Row],[Min for col]:[Avg for col]],"",1)</f>
        <v>10</v>
      </c>
      <c r="S28" s="35" cm="1">
        <f t="array" ref="S28">_xlfn.XLOOKUP(0,ABS(tbl_SeqLib[[#This Row],[Max for col]:[Avg for col]]-tbl_SeqLib[[#This Row],[Exact]]),tbl_SeqLib[[#This Row],[Max for col]:[Avg for col]],"",1)</f>
        <v>10</v>
      </c>
      <c r="T28" s="35">
        <f>IF(tbl_SeqLib[[#This Row],[entry]]=2,tbl_SeqLib[[#This Row],[Max for col]],"")</f>
        <v>10</v>
      </c>
      <c r="U28" s="35">
        <f>IF(tbl_SeqLib[[#This Row],[entry]]=2,tbl_SeqLib[[#This Row],[Avg for col]],"")</f>
        <v>9.1999999999999993</v>
      </c>
      <c r="V28" s="35">
        <f>IF(tbl_SeqLib[[#This Row],[entry]]=2,AVERAGE(tbl_SeqLib[Exact]),"")</f>
        <v>9.2911764705882351</v>
      </c>
      <c r="W28" s="35">
        <f>IF(tbl_SeqLib[[#This Row],[entry]]=2,MAX(tbl_SeqLib[Exact]),"")</f>
        <v>10</v>
      </c>
      <c r="X28" s="35" cm="1">
        <f t="array" ref="X28">_xlfn.XLOOKUP(0,ABS(tbl_SeqLib[[#This Row],[Avg per plate]:[Max per plate]]-tbl_SeqLib[[#This Row],[Exact]]),tbl_SeqLib[[#This Row],[Avg per plate]:[Max per plate]],,1)</f>
        <v>10</v>
      </c>
      <c r="Y28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8" s="73" t="str">
        <f>IF(tbl_SeqLib[[#This Row],[entry]]=1,ROUNDUP(AVERAGE(tbl_SeqLib[Exact]),1),"")</f>
        <v/>
      </c>
      <c r="AA28" s="73" t="str">
        <f>IF(tbl_SeqLib[[#This Row],[entry]]=1,ROUNDUP(AVERAGEIFS(tbl_SeqLib[Exact],tbl_SeqLib[Column],tbl_SeqLib[[#This Row],[Column]]),1),"")</f>
        <v/>
      </c>
      <c r="AB28" s="35" t="str">
        <f>IF(missing_qc_resolution=Reference!$E$49,tbl_SeqLib[[#This Row],[Avg per col (missing)]],tbl_SeqLib[[#This Row],[Avg per plate (missing)]])</f>
        <v/>
      </c>
      <c r="AC28" s="35">
        <f>IF(tbl_SeqLib[[#This Row],[entry]]=0,"",IF(tbl_SeqLib[[#This Row],[entry]]=1,tbl_SeqLib[[#This Row],[Not quantified]],IF(tbl_SeqLib[[#This Row],[entry]]=2,tbl_SeqLib[[#This Row],[Quantified]])))</f>
        <v>10</v>
      </c>
      <c r="AD28" s="80"/>
      <c r="AE28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8" s="49" t="str">
        <f>IF(ISBLANK(tbl_SeqLib[[#This Row],[sWGA Identifier]]),"",CONCATENATE(exp_id,"_",tbl_SeqLib[[#This Row],[Well]]))</f>
        <v>SLJS034_B4</v>
      </c>
    </row>
    <row r="29" spans="1:32" ht="15.75" customHeight="1" x14ac:dyDescent="0.3">
      <c r="A29" s="48">
        <v>27</v>
      </c>
      <c r="B29" s="37" t="str">
        <f>RIGHT(tbl_SeqLib[[#This Row],[Well]],LEN(tbl_SeqLib[[#This Row],[Well]])-1)</f>
        <v>4</v>
      </c>
      <c r="C29" s="36" t="s">
        <v>137</v>
      </c>
      <c r="D29" s="19" t="s">
        <v>534</v>
      </c>
      <c r="E29" s="21" t="s">
        <v>535</v>
      </c>
      <c r="F29" s="19" t="s">
        <v>406</v>
      </c>
      <c r="G29" s="29" t="s">
        <v>526</v>
      </c>
      <c r="H29" s="19" t="s">
        <v>536</v>
      </c>
      <c r="I29" s="29">
        <v>99</v>
      </c>
      <c r="J29" s="29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0" t="s">
        <v>138</v>
      </c>
      <c r="M29" s="73">
        <f>IF(OR(ISBLANK(tbl_SeqLib[[#This Row],[Sample ID]]),ISBLANK(endrepair_targetmass)),0,IF(LEN(tbl_SeqLib[[#This Row],[PCR '[DNA'] (ng / µl)]])=0,1,2))</f>
        <v>2</v>
      </c>
      <c r="N29" s="35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35">
        <f>IF(tbl_SeqLib[[#This Row],[entry]]=2,ROUNDUP(_xlfn.MINIFS(tbl_SeqLib[Exact],tbl_SeqLib[Column],tbl_SeqLib[[#This Row],[Column]]),1),"")</f>
        <v>7.5</v>
      </c>
      <c r="P29" s="35">
        <f>IF(tbl_SeqLib[[#This Row],[entry]]=2,ROUNDDOWN(_xlfn.MAXIFS(tbl_SeqLib[Exact],tbl_SeqLib[Column],tbl_SeqLib[[#This Row],[Column]]),1),"")</f>
        <v>10</v>
      </c>
      <c r="Q29" s="35">
        <f>IF(tbl_SeqLib[[#This Row],[entry]]=2,ROUNDUP(AVERAGEIFS(tbl_SeqLib[Exact],tbl_SeqLib[Column],tbl_SeqLib[[#This Row],[Column]]),1),"")</f>
        <v>9.1999999999999993</v>
      </c>
      <c r="R29" s="35" cm="1">
        <f t="array" ref="R29">_xlfn.XLOOKUP(0,ABS(tbl_SeqLib[[#This Row],[Min for col]:[Avg for col]]-tbl_SeqLib[[#This Row],[Exact]]),tbl_SeqLib[[#This Row],[Min for col]:[Avg for col]],"",1)</f>
        <v>7.5</v>
      </c>
      <c r="S29" s="35" cm="1">
        <f t="array" ref="S29">_xlfn.XLOOKUP(0,ABS(tbl_SeqLib[[#This Row],[Max for col]:[Avg for col]]-tbl_SeqLib[[#This Row],[Exact]]),tbl_SeqLib[[#This Row],[Max for col]:[Avg for col]],"",1)</f>
        <v>9.1999999999999993</v>
      </c>
      <c r="T29" s="35">
        <f>IF(tbl_SeqLib[[#This Row],[entry]]=2,tbl_SeqLib[[#This Row],[Max for col]],"")</f>
        <v>10</v>
      </c>
      <c r="U29" s="35">
        <f>IF(tbl_SeqLib[[#This Row],[entry]]=2,tbl_SeqLib[[#This Row],[Avg for col]],"")</f>
        <v>9.1999999999999993</v>
      </c>
      <c r="V29" s="35">
        <f>IF(tbl_SeqLib[[#This Row],[entry]]=2,AVERAGE(tbl_SeqLib[Exact]),"")</f>
        <v>9.2911764705882351</v>
      </c>
      <c r="W29" s="35">
        <f>IF(tbl_SeqLib[[#This Row],[entry]]=2,MAX(tbl_SeqLib[Exact]),"")</f>
        <v>10</v>
      </c>
      <c r="X29" s="35" cm="1">
        <f t="array" ref="X29">_xlfn.XLOOKUP(0,ABS(tbl_SeqLib[[#This Row],[Avg per plate]:[Max per plate]]-tbl_SeqLib[[#This Row],[Exact]]),tbl_SeqLib[[#This Row],[Avg per plate]:[Max per plate]],,1)</f>
        <v>9.2911764705882351</v>
      </c>
      <c r="Y29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29" s="73" t="str">
        <f>IF(tbl_SeqLib[[#This Row],[entry]]=1,ROUNDUP(AVERAGE(tbl_SeqLib[Exact]),1),"")</f>
        <v/>
      </c>
      <c r="AA29" s="73" t="str">
        <f>IF(tbl_SeqLib[[#This Row],[entry]]=1,ROUNDUP(AVERAGEIFS(tbl_SeqLib[Exact],tbl_SeqLib[Column],tbl_SeqLib[[#This Row],[Column]]),1),"")</f>
        <v/>
      </c>
      <c r="AB29" s="35" t="str">
        <f>IF(missing_qc_resolution=Reference!$E$49,tbl_SeqLib[[#This Row],[Avg per col (missing)]],tbl_SeqLib[[#This Row],[Avg per plate (missing)]])</f>
        <v/>
      </c>
      <c r="AC29" s="35">
        <f>IF(tbl_SeqLib[[#This Row],[entry]]=0,"",IF(tbl_SeqLib[[#This Row],[entry]]=1,tbl_SeqLib[[#This Row],[Not quantified]],IF(tbl_SeqLib[[#This Row],[entry]]=2,tbl_SeqLib[[#This Row],[Quantified]])))</f>
        <v>10</v>
      </c>
      <c r="AD29" s="80"/>
      <c r="AE29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29" s="49" t="str">
        <f>IF(ISBLANK(tbl_SeqLib[[#This Row],[sWGA Identifier]]),"",CONCATENATE(exp_id,"_",tbl_SeqLib[[#This Row],[Well]]))</f>
        <v>SLJS034_C4</v>
      </c>
    </row>
    <row r="30" spans="1:32" ht="15.75" customHeight="1" x14ac:dyDescent="0.3">
      <c r="A30" s="48">
        <v>28</v>
      </c>
      <c r="B30" s="37" t="str">
        <f>RIGHT(tbl_SeqLib[[#This Row],[Well]],LEN(tbl_SeqLib[[#This Row],[Well]])-1)</f>
        <v>4</v>
      </c>
      <c r="C30" s="36" t="s">
        <v>139</v>
      </c>
      <c r="D30" s="19" t="s">
        <v>537</v>
      </c>
      <c r="E30" s="21" t="s">
        <v>538</v>
      </c>
      <c r="F30" s="19" t="s">
        <v>406</v>
      </c>
      <c r="G30" s="29" t="s">
        <v>526</v>
      </c>
      <c r="H30" s="19" t="s">
        <v>539</v>
      </c>
      <c r="I30" s="29">
        <v>107.4</v>
      </c>
      <c r="J30" s="29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0" t="s">
        <v>140</v>
      </c>
      <c r="M30" s="73">
        <f>IF(OR(ISBLANK(tbl_SeqLib[[#This Row],[Sample ID]]),ISBLANK(endrepair_targetmass)),0,IF(LEN(tbl_SeqLib[[#This Row],[PCR '[DNA'] (ng / µl)]])=0,1,2))</f>
        <v>2</v>
      </c>
      <c r="N30" s="35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35">
        <f>IF(tbl_SeqLib[[#This Row],[entry]]=2,ROUNDUP(_xlfn.MINIFS(tbl_SeqLib[Exact],tbl_SeqLib[Column],tbl_SeqLib[[#This Row],[Column]]),1),"")</f>
        <v>7.5</v>
      </c>
      <c r="P30" s="35">
        <f>IF(tbl_SeqLib[[#This Row],[entry]]=2,ROUNDDOWN(_xlfn.MAXIFS(tbl_SeqLib[Exact],tbl_SeqLib[Column],tbl_SeqLib[[#This Row],[Column]]),1),"")</f>
        <v>10</v>
      </c>
      <c r="Q30" s="35">
        <f>IF(tbl_SeqLib[[#This Row],[entry]]=2,ROUNDUP(AVERAGEIFS(tbl_SeqLib[Exact],tbl_SeqLib[Column],tbl_SeqLib[[#This Row],[Column]]),1),"")</f>
        <v>9.1999999999999993</v>
      </c>
      <c r="R30" s="35" cm="1">
        <f t="array" ref="R30">_xlfn.XLOOKUP(0,ABS(tbl_SeqLib[[#This Row],[Min for col]:[Avg for col]]-tbl_SeqLib[[#This Row],[Exact]]),tbl_SeqLib[[#This Row],[Min for col]:[Avg for col]],"",1)</f>
        <v>7.5</v>
      </c>
      <c r="S30" s="35" cm="1">
        <f t="array" ref="S30">_xlfn.XLOOKUP(0,ABS(tbl_SeqLib[[#This Row],[Max for col]:[Avg for col]]-tbl_SeqLib[[#This Row],[Exact]]),tbl_SeqLib[[#This Row],[Max for col]:[Avg for col]],"",1)</f>
        <v>9.1999999999999993</v>
      </c>
      <c r="T30" s="35">
        <f>IF(tbl_SeqLib[[#This Row],[entry]]=2,tbl_SeqLib[[#This Row],[Max for col]],"")</f>
        <v>10</v>
      </c>
      <c r="U30" s="35">
        <f>IF(tbl_SeqLib[[#This Row],[entry]]=2,tbl_SeqLib[[#This Row],[Avg for col]],"")</f>
        <v>9.1999999999999993</v>
      </c>
      <c r="V30" s="35">
        <f>IF(tbl_SeqLib[[#This Row],[entry]]=2,AVERAGE(tbl_SeqLib[Exact]),"")</f>
        <v>9.2911764705882351</v>
      </c>
      <c r="W30" s="35">
        <f>IF(tbl_SeqLib[[#This Row],[entry]]=2,MAX(tbl_SeqLib[Exact]),"")</f>
        <v>10</v>
      </c>
      <c r="X30" s="35" cm="1">
        <f t="array" ref="X30">_xlfn.XLOOKUP(0,ABS(tbl_SeqLib[[#This Row],[Avg per plate]:[Max per plate]]-tbl_SeqLib[[#This Row],[Exact]]),tbl_SeqLib[[#This Row],[Avg per plate]:[Max per plate]],,1)</f>
        <v>9.2911764705882351</v>
      </c>
      <c r="Y30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0" s="73" t="str">
        <f>IF(tbl_SeqLib[[#This Row],[entry]]=1,ROUNDUP(AVERAGE(tbl_SeqLib[Exact]),1),"")</f>
        <v/>
      </c>
      <c r="AA30" s="73" t="str">
        <f>IF(tbl_SeqLib[[#This Row],[entry]]=1,ROUNDUP(AVERAGEIFS(tbl_SeqLib[Exact],tbl_SeqLib[Column],tbl_SeqLib[[#This Row],[Column]]),1),"")</f>
        <v/>
      </c>
      <c r="AB30" s="35" t="str">
        <f>IF(missing_qc_resolution=Reference!$E$49,tbl_SeqLib[[#This Row],[Avg per col (missing)]],tbl_SeqLib[[#This Row],[Avg per plate (missing)]])</f>
        <v/>
      </c>
      <c r="AC30" s="35">
        <f>IF(tbl_SeqLib[[#This Row],[entry]]=0,"",IF(tbl_SeqLib[[#This Row],[entry]]=1,tbl_SeqLib[[#This Row],[Not quantified]],IF(tbl_SeqLib[[#This Row],[entry]]=2,tbl_SeqLib[[#This Row],[Quantified]])))</f>
        <v>10</v>
      </c>
      <c r="AD30" s="80"/>
      <c r="AE30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0" s="49" t="str">
        <f>IF(ISBLANK(tbl_SeqLib[[#This Row],[sWGA Identifier]]),"",CONCATENATE(exp_id,"_",tbl_SeqLib[[#This Row],[Well]]))</f>
        <v>SLJS034_D4</v>
      </c>
    </row>
    <row r="31" spans="1:32" ht="15.75" customHeight="1" x14ac:dyDescent="0.3">
      <c r="A31" s="48">
        <v>29</v>
      </c>
      <c r="B31" s="37" t="str">
        <f>RIGHT(tbl_SeqLib[[#This Row],[Well]],LEN(tbl_SeqLib[[#This Row],[Well]])-1)</f>
        <v>4</v>
      </c>
      <c r="C31" s="36" t="s">
        <v>141</v>
      </c>
      <c r="D31" s="19" t="s">
        <v>540</v>
      </c>
      <c r="E31" s="21" t="s">
        <v>541</v>
      </c>
      <c r="F31" s="19" t="s">
        <v>406</v>
      </c>
      <c r="G31" s="29" t="s">
        <v>526</v>
      </c>
      <c r="H31" s="19" t="s">
        <v>542</v>
      </c>
      <c r="I31" s="29">
        <v>65.2</v>
      </c>
      <c r="J31" s="29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0" t="s">
        <v>142</v>
      </c>
      <c r="M31" s="73">
        <f>IF(OR(ISBLANK(tbl_SeqLib[[#This Row],[Sample ID]]),ISBLANK(endrepair_targetmass)),0,IF(LEN(tbl_SeqLib[[#This Row],[PCR '[DNA'] (ng / µl)]])=0,1,2))</f>
        <v>2</v>
      </c>
      <c r="N31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35">
        <f>IF(tbl_SeqLib[[#This Row],[entry]]=2,ROUNDUP(_xlfn.MINIFS(tbl_SeqLib[Exact],tbl_SeqLib[Column],tbl_SeqLib[[#This Row],[Column]]),1),"")</f>
        <v>7.5</v>
      </c>
      <c r="P31" s="35">
        <f>IF(tbl_SeqLib[[#This Row],[entry]]=2,ROUNDDOWN(_xlfn.MAXIFS(tbl_SeqLib[Exact],tbl_SeqLib[Column],tbl_SeqLib[[#This Row],[Column]]),1),"")</f>
        <v>10</v>
      </c>
      <c r="Q31" s="35">
        <f>IF(tbl_SeqLib[[#This Row],[entry]]=2,ROUNDUP(AVERAGEIFS(tbl_SeqLib[Exact],tbl_SeqLib[Column],tbl_SeqLib[[#This Row],[Column]]),1),"")</f>
        <v>9.1999999999999993</v>
      </c>
      <c r="R31" s="35" cm="1">
        <f t="array" ref="R31">_xlfn.XLOOKUP(0,ABS(tbl_SeqLib[[#This Row],[Min for col]:[Avg for col]]-tbl_SeqLib[[#This Row],[Exact]]),tbl_SeqLib[[#This Row],[Min for col]:[Avg for col]],"",1)</f>
        <v>10</v>
      </c>
      <c r="S31" s="35" cm="1">
        <f t="array" ref="S31">_xlfn.XLOOKUP(0,ABS(tbl_SeqLib[[#This Row],[Max for col]:[Avg for col]]-tbl_SeqLib[[#This Row],[Exact]]),tbl_SeqLib[[#This Row],[Max for col]:[Avg for col]],"",1)</f>
        <v>10</v>
      </c>
      <c r="T31" s="35">
        <f>IF(tbl_SeqLib[[#This Row],[entry]]=2,tbl_SeqLib[[#This Row],[Max for col]],"")</f>
        <v>10</v>
      </c>
      <c r="U31" s="35">
        <f>IF(tbl_SeqLib[[#This Row],[entry]]=2,tbl_SeqLib[[#This Row],[Avg for col]],"")</f>
        <v>9.1999999999999993</v>
      </c>
      <c r="V31" s="35">
        <f>IF(tbl_SeqLib[[#This Row],[entry]]=2,AVERAGE(tbl_SeqLib[Exact]),"")</f>
        <v>9.2911764705882351</v>
      </c>
      <c r="W31" s="35">
        <f>IF(tbl_SeqLib[[#This Row],[entry]]=2,MAX(tbl_SeqLib[Exact]),"")</f>
        <v>10</v>
      </c>
      <c r="X31" s="35" cm="1">
        <f t="array" ref="X31">_xlfn.XLOOKUP(0,ABS(tbl_SeqLib[[#This Row],[Avg per plate]:[Max per plate]]-tbl_SeqLib[[#This Row],[Exact]]),tbl_SeqLib[[#This Row],[Avg per plate]:[Max per plate]],,1)</f>
        <v>10</v>
      </c>
      <c r="Y31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1" s="73" t="str">
        <f>IF(tbl_SeqLib[[#This Row],[entry]]=1,ROUNDUP(AVERAGE(tbl_SeqLib[Exact]),1),"")</f>
        <v/>
      </c>
      <c r="AA31" s="73" t="str">
        <f>IF(tbl_SeqLib[[#This Row],[entry]]=1,ROUNDUP(AVERAGEIFS(tbl_SeqLib[Exact],tbl_SeqLib[Column],tbl_SeqLib[[#This Row],[Column]]),1),"")</f>
        <v/>
      </c>
      <c r="AB31" s="35" t="str">
        <f>IF(missing_qc_resolution=Reference!$E$49,tbl_SeqLib[[#This Row],[Avg per col (missing)]],tbl_SeqLib[[#This Row],[Avg per plate (missing)]])</f>
        <v/>
      </c>
      <c r="AC31" s="35">
        <f>IF(tbl_SeqLib[[#This Row],[entry]]=0,"",IF(tbl_SeqLib[[#This Row],[entry]]=1,tbl_SeqLib[[#This Row],[Not quantified]],IF(tbl_SeqLib[[#This Row],[entry]]=2,tbl_SeqLib[[#This Row],[Quantified]])))</f>
        <v>10</v>
      </c>
      <c r="AD31" s="80"/>
      <c r="AE31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1" s="49" t="str">
        <f>IF(ISBLANK(tbl_SeqLib[[#This Row],[sWGA Identifier]]),"",CONCATENATE(exp_id,"_",tbl_SeqLib[[#This Row],[Well]]))</f>
        <v>SLJS034_E4</v>
      </c>
    </row>
    <row r="32" spans="1:32" ht="15.75" customHeight="1" x14ac:dyDescent="0.3">
      <c r="A32" s="48">
        <v>30</v>
      </c>
      <c r="B32" s="37" t="str">
        <f>RIGHT(tbl_SeqLib[[#This Row],[Well]],LEN(tbl_SeqLib[[#This Row],[Well]])-1)</f>
        <v>4</v>
      </c>
      <c r="C32" s="36" t="s">
        <v>143</v>
      </c>
      <c r="D32" s="19" t="s">
        <v>543</v>
      </c>
      <c r="E32" s="21" t="s">
        <v>544</v>
      </c>
      <c r="F32" s="19" t="s">
        <v>406</v>
      </c>
      <c r="G32" s="29" t="s">
        <v>526</v>
      </c>
      <c r="H32" s="19" t="s">
        <v>545</v>
      </c>
      <c r="I32" s="29">
        <v>105</v>
      </c>
      <c r="J32" s="29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0" t="s">
        <v>144</v>
      </c>
      <c r="M32" s="73">
        <f>IF(OR(ISBLANK(tbl_SeqLib[[#This Row],[Sample ID]]),ISBLANK(endrepair_targetmass)),0,IF(LEN(tbl_SeqLib[[#This Row],[PCR '[DNA'] (ng / µl)]])=0,1,2))</f>
        <v>2</v>
      </c>
      <c r="N32" s="35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35">
        <f>IF(tbl_SeqLib[[#This Row],[entry]]=2,ROUNDUP(_xlfn.MINIFS(tbl_SeqLib[Exact],tbl_SeqLib[Column],tbl_SeqLib[[#This Row],[Column]]),1),"")</f>
        <v>7.5</v>
      </c>
      <c r="P32" s="35">
        <f>IF(tbl_SeqLib[[#This Row],[entry]]=2,ROUNDDOWN(_xlfn.MAXIFS(tbl_SeqLib[Exact],tbl_SeqLib[Column],tbl_SeqLib[[#This Row],[Column]]),1),"")</f>
        <v>10</v>
      </c>
      <c r="Q32" s="35">
        <f>IF(tbl_SeqLib[[#This Row],[entry]]=2,ROUNDUP(AVERAGEIFS(tbl_SeqLib[Exact],tbl_SeqLib[Column],tbl_SeqLib[[#This Row],[Column]]),1),"")</f>
        <v>9.1999999999999993</v>
      </c>
      <c r="R32" s="35" cm="1">
        <f t="array" ref="R32">_xlfn.XLOOKUP(0,ABS(tbl_SeqLib[[#This Row],[Min for col]:[Avg for col]]-tbl_SeqLib[[#This Row],[Exact]]),tbl_SeqLib[[#This Row],[Min for col]:[Avg for col]],"",1)</f>
        <v>7.5</v>
      </c>
      <c r="S32" s="35" cm="1">
        <f t="array" ref="S32">_xlfn.XLOOKUP(0,ABS(tbl_SeqLib[[#This Row],[Max for col]:[Avg for col]]-tbl_SeqLib[[#This Row],[Exact]]),tbl_SeqLib[[#This Row],[Max for col]:[Avg for col]],"",1)</f>
        <v>9.1999999999999993</v>
      </c>
      <c r="T32" s="35">
        <f>IF(tbl_SeqLib[[#This Row],[entry]]=2,tbl_SeqLib[[#This Row],[Max for col]],"")</f>
        <v>10</v>
      </c>
      <c r="U32" s="35">
        <f>IF(tbl_SeqLib[[#This Row],[entry]]=2,tbl_SeqLib[[#This Row],[Avg for col]],"")</f>
        <v>9.1999999999999993</v>
      </c>
      <c r="V32" s="35">
        <f>IF(tbl_SeqLib[[#This Row],[entry]]=2,AVERAGE(tbl_SeqLib[Exact]),"")</f>
        <v>9.2911764705882351</v>
      </c>
      <c r="W32" s="35">
        <f>IF(tbl_SeqLib[[#This Row],[entry]]=2,MAX(tbl_SeqLib[Exact]),"")</f>
        <v>10</v>
      </c>
      <c r="X32" s="35" cm="1">
        <f t="array" ref="X32">_xlfn.XLOOKUP(0,ABS(tbl_SeqLib[[#This Row],[Avg per plate]:[Max per plate]]-tbl_SeqLib[[#This Row],[Exact]]),tbl_SeqLib[[#This Row],[Avg per plate]:[Max per plate]],,1)</f>
        <v>9.2911764705882351</v>
      </c>
      <c r="Y32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2" s="73" t="str">
        <f>IF(tbl_SeqLib[[#This Row],[entry]]=1,ROUNDUP(AVERAGE(tbl_SeqLib[Exact]),1),"")</f>
        <v/>
      </c>
      <c r="AA32" s="73" t="str">
        <f>IF(tbl_SeqLib[[#This Row],[entry]]=1,ROUNDUP(AVERAGEIFS(tbl_SeqLib[Exact],tbl_SeqLib[Column],tbl_SeqLib[[#This Row],[Column]]),1),"")</f>
        <v/>
      </c>
      <c r="AB32" s="35" t="str">
        <f>IF(missing_qc_resolution=Reference!$E$49,tbl_SeqLib[[#This Row],[Avg per col (missing)]],tbl_SeqLib[[#This Row],[Avg per plate (missing)]])</f>
        <v/>
      </c>
      <c r="AC32" s="35">
        <f>IF(tbl_SeqLib[[#This Row],[entry]]=0,"",IF(tbl_SeqLib[[#This Row],[entry]]=1,tbl_SeqLib[[#This Row],[Not quantified]],IF(tbl_SeqLib[[#This Row],[entry]]=2,tbl_SeqLib[[#This Row],[Quantified]])))</f>
        <v>10</v>
      </c>
      <c r="AD32" s="80"/>
      <c r="AE32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2" s="49" t="str">
        <f>IF(ISBLANK(tbl_SeqLib[[#This Row],[sWGA Identifier]]),"",CONCATENATE(exp_id,"_",tbl_SeqLib[[#This Row],[Well]]))</f>
        <v>SLJS034_F4</v>
      </c>
    </row>
    <row r="33" spans="1:32" ht="15.75" customHeight="1" x14ac:dyDescent="0.3">
      <c r="A33" s="48">
        <v>31</v>
      </c>
      <c r="B33" s="37" t="str">
        <f>RIGHT(tbl_SeqLib[[#This Row],[Well]],LEN(tbl_SeqLib[[#This Row],[Well]])-1)</f>
        <v>4</v>
      </c>
      <c r="C33" s="36" t="s">
        <v>145</v>
      </c>
      <c r="D33" s="19" t="s">
        <v>546</v>
      </c>
      <c r="E33" s="21" t="s">
        <v>547</v>
      </c>
      <c r="F33" s="19" t="s">
        <v>406</v>
      </c>
      <c r="G33" s="29" t="s">
        <v>526</v>
      </c>
      <c r="H33" s="19" t="s">
        <v>548</v>
      </c>
      <c r="I33" s="29">
        <v>24.3</v>
      </c>
      <c r="J33" s="29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0" t="s">
        <v>146</v>
      </c>
      <c r="M33" s="73">
        <f>IF(OR(ISBLANK(tbl_SeqLib[[#This Row],[Sample ID]]),ISBLANK(endrepair_targetmass)),0,IF(LEN(tbl_SeqLib[[#This Row],[PCR '[DNA'] (ng / µl)]])=0,1,2))</f>
        <v>2</v>
      </c>
      <c r="N33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35">
        <f>IF(tbl_SeqLib[[#This Row],[entry]]=2,ROUNDUP(_xlfn.MINIFS(tbl_SeqLib[Exact],tbl_SeqLib[Column],tbl_SeqLib[[#This Row],[Column]]),1),"")</f>
        <v>7.5</v>
      </c>
      <c r="P33" s="35">
        <f>IF(tbl_SeqLib[[#This Row],[entry]]=2,ROUNDDOWN(_xlfn.MAXIFS(tbl_SeqLib[Exact],tbl_SeqLib[Column],tbl_SeqLib[[#This Row],[Column]]),1),"")</f>
        <v>10</v>
      </c>
      <c r="Q33" s="35">
        <f>IF(tbl_SeqLib[[#This Row],[entry]]=2,ROUNDUP(AVERAGEIFS(tbl_SeqLib[Exact],tbl_SeqLib[Column],tbl_SeqLib[[#This Row],[Column]]),1),"")</f>
        <v>9.1999999999999993</v>
      </c>
      <c r="R33" s="35" cm="1">
        <f t="array" ref="R33">_xlfn.XLOOKUP(0,ABS(tbl_SeqLib[[#This Row],[Min for col]:[Avg for col]]-tbl_SeqLib[[#This Row],[Exact]]),tbl_SeqLib[[#This Row],[Min for col]:[Avg for col]],"",1)</f>
        <v>10</v>
      </c>
      <c r="S33" s="35" cm="1">
        <f t="array" ref="S33">_xlfn.XLOOKUP(0,ABS(tbl_SeqLib[[#This Row],[Max for col]:[Avg for col]]-tbl_SeqLib[[#This Row],[Exact]]),tbl_SeqLib[[#This Row],[Max for col]:[Avg for col]],"",1)</f>
        <v>10</v>
      </c>
      <c r="T33" s="35">
        <f>IF(tbl_SeqLib[[#This Row],[entry]]=2,tbl_SeqLib[[#This Row],[Max for col]],"")</f>
        <v>10</v>
      </c>
      <c r="U33" s="35">
        <f>IF(tbl_SeqLib[[#This Row],[entry]]=2,tbl_SeqLib[[#This Row],[Avg for col]],"")</f>
        <v>9.1999999999999993</v>
      </c>
      <c r="V33" s="35">
        <f>IF(tbl_SeqLib[[#This Row],[entry]]=2,AVERAGE(tbl_SeqLib[Exact]),"")</f>
        <v>9.2911764705882351</v>
      </c>
      <c r="W33" s="35">
        <f>IF(tbl_SeqLib[[#This Row],[entry]]=2,MAX(tbl_SeqLib[Exact]),"")</f>
        <v>10</v>
      </c>
      <c r="X33" s="35" cm="1">
        <f t="array" ref="X33">_xlfn.XLOOKUP(0,ABS(tbl_SeqLib[[#This Row],[Avg per plate]:[Max per plate]]-tbl_SeqLib[[#This Row],[Exact]]),tbl_SeqLib[[#This Row],[Avg per plate]:[Max per plate]],,1)</f>
        <v>10</v>
      </c>
      <c r="Y33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3" s="73" t="str">
        <f>IF(tbl_SeqLib[[#This Row],[entry]]=1,ROUNDUP(AVERAGE(tbl_SeqLib[Exact]),1),"")</f>
        <v/>
      </c>
      <c r="AA33" s="73" t="str">
        <f>IF(tbl_SeqLib[[#This Row],[entry]]=1,ROUNDUP(AVERAGEIFS(tbl_SeqLib[Exact],tbl_SeqLib[Column],tbl_SeqLib[[#This Row],[Column]]),1),"")</f>
        <v/>
      </c>
      <c r="AB33" s="35" t="str">
        <f>IF(missing_qc_resolution=Reference!$E$49,tbl_SeqLib[[#This Row],[Avg per col (missing)]],tbl_SeqLib[[#This Row],[Avg per plate (missing)]])</f>
        <v/>
      </c>
      <c r="AC33" s="35">
        <f>IF(tbl_SeqLib[[#This Row],[entry]]=0,"",IF(tbl_SeqLib[[#This Row],[entry]]=1,tbl_SeqLib[[#This Row],[Not quantified]],IF(tbl_SeqLib[[#This Row],[entry]]=2,tbl_SeqLib[[#This Row],[Quantified]])))</f>
        <v>10</v>
      </c>
      <c r="AD33" s="80"/>
      <c r="AE33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3" s="49" t="str">
        <f>IF(ISBLANK(tbl_SeqLib[[#This Row],[sWGA Identifier]]),"",CONCATENATE(exp_id,"_",tbl_SeqLib[[#This Row],[Well]]))</f>
        <v>SLJS034_G4</v>
      </c>
    </row>
    <row r="34" spans="1:32" ht="15.75" customHeight="1" thickBot="1" x14ac:dyDescent="0.35">
      <c r="A34" s="50">
        <v>32</v>
      </c>
      <c r="B34" s="51" t="str">
        <f>RIGHT(tbl_SeqLib[[#This Row],[Well]],LEN(tbl_SeqLib[[#This Row],[Well]])-1)</f>
        <v>4</v>
      </c>
      <c r="C34" s="59" t="s">
        <v>147</v>
      </c>
      <c r="D34" s="52" t="s">
        <v>474</v>
      </c>
      <c r="E34" s="53" t="s">
        <v>475</v>
      </c>
      <c r="F34" s="52" t="s">
        <v>407</v>
      </c>
      <c r="G34" s="54" t="s">
        <v>526</v>
      </c>
      <c r="H34" s="52" t="s">
        <v>549</v>
      </c>
      <c r="I34" s="54">
        <v>38.200000000000003</v>
      </c>
      <c r="J34" s="54">
        <v>1</v>
      </c>
      <c r="K34" s="55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56" t="s">
        <v>148</v>
      </c>
      <c r="M34" s="74">
        <f>IF(OR(ISBLANK(tbl_SeqLib[[#This Row],[Sample ID]]),ISBLANK(endrepair_targetmass)),0,IF(LEN(tbl_SeqLib[[#This Row],[PCR '[DNA'] (ng / µl)]])=0,1,2))</f>
        <v>2</v>
      </c>
      <c r="N34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57">
        <f>IF(tbl_SeqLib[[#This Row],[entry]]=2,ROUNDUP(_xlfn.MINIFS(tbl_SeqLib[Exact],tbl_SeqLib[Column],tbl_SeqLib[[#This Row],[Column]]),1),"")</f>
        <v>7.5</v>
      </c>
      <c r="P34" s="57">
        <f>IF(tbl_SeqLib[[#This Row],[entry]]=2,ROUNDDOWN(_xlfn.MAXIFS(tbl_SeqLib[Exact],tbl_SeqLib[Column],tbl_SeqLib[[#This Row],[Column]]),1),"")</f>
        <v>10</v>
      </c>
      <c r="Q34" s="57">
        <f>IF(tbl_SeqLib[[#This Row],[entry]]=2,ROUNDUP(AVERAGEIFS(tbl_SeqLib[Exact],tbl_SeqLib[Column],tbl_SeqLib[[#This Row],[Column]]),1),"")</f>
        <v>9.1999999999999993</v>
      </c>
      <c r="R34" s="57" cm="1">
        <f t="array" ref="R34">_xlfn.XLOOKUP(0,ABS(tbl_SeqLib[[#This Row],[Min for col]:[Avg for col]]-tbl_SeqLib[[#This Row],[Exact]]),tbl_SeqLib[[#This Row],[Min for col]:[Avg for col]],"",1)</f>
        <v>10</v>
      </c>
      <c r="S34" s="57" cm="1">
        <f t="array" ref="S34">_xlfn.XLOOKUP(0,ABS(tbl_SeqLib[[#This Row],[Max for col]:[Avg for col]]-tbl_SeqLib[[#This Row],[Exact]]),tbl_SeqLib[[#This Row],[Max for col]:[Avg for col]],"",1)</f>
        <v>10</v>
      </c>
      <c r="T34" s="57">
        <f>IF(tbl_SeqLib[[#This Row],[entry]]=2,tbl_SeqLib[[#This Row],[Max for col]],"")</f>
        <v>10</v>
      </c>
      <c r="U34" s="57">
        <f>IF(tbl_SeqLib[[#This Row],[entry]]=2,tbl_SeqLib[[#This Row],[Avg for col]],"")</f>
        <v>9.1999999999999993</v>
      </c>
      <c r="V34" s="57">
        <f>IF(tbl_SeqLib[[#This Row],[entry]]=2,AVERAGE(tbl_SeqLib[Exact]),"")</f>
        <v>9.2911764705882351</v>
      </c>
      <c r="W34" s="57">
        <f>IF(tbl_SeqLib[[#This Row],[entry]]=2,MAX(tbl_SeqLib[Exact]),"")</f>
        <v>10</v>
      </c>
      <c r="X34" s="57" cm="1">
        <f t="array" ref="X34">_xlfn.XLOOKUP(0,ABS(tbl_SeqLib[[#This Row],[Avg per plate]:[Max per plate]]-tbl_SeqLib[[#This Row],[Exact]]),tbl_SeqLib[[#This Row],[Avg per plate]:[Max per plate]],,1)</f>
        <v>10</v>
      </c>
      <c r="Y34" s="57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4" s="74" t="str">
        <f>IF(tbl_SeqLib[[#This Row],[entry]]=1,ROUNDUP(AVERAGE(tbl_SeqLib[Exact]),1),"")</f>
        <v/>
      </c>
      <c r="AA34" s="74" t="str">
        <f>IF(tbl_SeqLib[[#This Row],[entry]]=1,ROUNDUP(AVERAGEIFS(tbl_SeqLib[Exact],tbl_SeqLib[Column],tbl_SeqLib[[#This Row],[Column]]),1),"")</f>
        <v/>
      </c>
      <c r="AB34" s="57" t="str">
        <f>IF(missing_qc_resolution=Reference!$E$49,tbl_SeqLib[[#This Row],[Avg per col (missing)]],tbl_SeqLib[[#This Row],[Avg per plate (missing)]])</f>
        <v/>
      </c>
      <c r="AC34" s="57">
        <f>IF(tbl_SeqLib[[#This Row],[entry]]=0,"",IF(tbl_SeqLib[[#This Row],[entry]]=1,tbl_SeqLib[[#This Row],[Not quantified]],IF(tbl_SeqLib[[#This Row],[entry]]=2,tbl_SeqLib[[#This Row],[Quantified]])))</f>
        <v>10</v>
      </c>
      <c r="AD34" s="81"/>
      <c r="AE34" s="57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4" s="58" t="str">
        <f>IF(ISBLANK(tbl_SeqLib[[#This Row],[sWGA Identifier]]),"",CONCATENATE(exp_id,"_",tbl_SeqLib[[#This Row],[Well]]))</f>
        <v>SLJS034_H4</v>
      </c>
    </row>
    <row r="35" spans="1:32" ht="15.75" customHeight="1" x14ac:dyDescent="0.3">
      <c r="A35" s="41">
        <v>33</v>
      </c>
      <c r="B35" s="42" t="str">
        <f>RIGHT(tbl_SeqLib[[#This Row],[Well]],LEN(tbl_SeqLib[[#This Row],[Well]])-1)</f>
        <v>5</v>
      </c>
      <c r="C35" s="42" t="s">
        <v>149</v>
      </c>
      <c r="D35" s="43" t="s">
        <v>478</v>
      </c>
      <c r="E35" s="45" t="s">
        <v>479</v>
      </c>
      <c r="F35" s="43" t="s">
        <v>407</v>
      </c>
      <c r="G35" s="43" t="s">
        <v>526</v>
      </c>
      <c r="H35" s="43" t="s">
        <v>550</v>
      </c>
      <c r="I35" s="43">
        <v>112.9</v>
      </c>
      <c r="J35" s="43">
        <v>1</v>
      </c>
      <c r="K35" s="44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45" t="s">
        <v>150</v>
      </c>
      <c r="M35" s="72">
        <f>IF(OR(ISBLANK(tbl_SeqLib[[#This Row],[Sample ID]]),ISBLANK(endrepair_targetmass)),0,IF(LEN(tbl_SeqLib[[#This Row],[PCR '[DNA'] (ng / µl)]])=0,1,2))</f>
        <v>2</v>
      </c>
      <c r="N35" s="46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46">
        <f>IF(tbl_SeqLib[[#This Row],[entry]]=2,ROUNDUP(_xlfn.MINIFS(tbl_SeqLib[Exact],tbl_SeqLib[Column],tbl_SeqLib[[#This Row],[Column]]),1),"")</f>
        <v>7.1</v>
      </c>
      <c r="P35" s="46">
        <f>IF(tbl_SeqLib[[#This Row],[entry]]=2,ROUNDDOWN(_xlfn.MAXIFS(tbl_SeqLib[Exact],tbl_SeqLib[Column],tbl_SeqLib[[#This Row],[Column]]),1),"")</f>
        <v>10</v>
      </c>
      <c r="Q35" s="46">
        <f>IF(tbl_SeqLib[[#This Row],[entry]]=2,ROUNDUP(AVERAGEIFS(tbl_SeqLib[Exact],tbl_SeqLib[Column],tbl_SeqLib[[#This Row],[Column]]),1),"")</f>
        <v>8.6</v>
      </c>
      <c r="R35" s="46" cm="1">
        <f t="array" ref="R35">_xlfn.XLOOKUP(0,ABS(tbl_SeqLib[[#This Row],[Min for col]:[Avg for col]]-tbl_SeqLib[[#This Row],[Exact]]),tbl_SeqLib[[#This Row],[Min for col]:[Avg for col]],"",1)</f>
        <v>7.1</v>
      </c>
      <c r="S35" s="46" cm="1">
        <f t="array" ref="S35">_xlfn.XLOOKUP(0,ABS(tbl_SeqLib[[#This Row],[Max for col]:[Avg for col]]-tbl_SeqLib[[#This Row],[Exact]]),tbl_SeqLib[[#This Row],[Max for col]:[Avg for col]],"",1)</f>
        <v>8.6</v>
      </c>
      <c r="T35" s="46">
        <f>IF(tbl_SeqLib[[#This Row],[entry]]=2,tbl_SeqLib[[#This Row],[Max for col]],"")</f>
        <v>10</v>
      </c>
      <c r="U35" s="46">
        <f>IF(tbl_SeqLib[[#This Row],[entry]]=2,tbl_SeqLib[[#This Row],[Avg for col]],"")</f>
        <v>8.6</v>
      </c>
      <c r="V35" s="46">
        <f>IF(tbl_SeqLib[[#This Row],[entry]]=2,AVERAGE(tbl_SeqLib[Exact]),"")</f>
        <v>9.2911764705882351</v>
      </c>
      <c r="W35" s="46">
        <f>IF(tbl_SeqLib[[#This Row],[entry]]=2,MAX(tbl_SeqLib[Exact]),"")</f>
        <v>10</v>
      </c>
      <c r="X35" s="46" cm="1">
        <f t="array" ref="X35">_xlfn.XLOOKUP(0,ABS(tbl_SeqLib[[#This Row],[Avg per plate]:[Max per plate]]-tbl_SeqLib[[#This Row],[Exact]]),tbl_SeqLib[[#This Row],[Avg per plate]:[Max per plate]],,1)</f>
        <v>9.2911764705882351</v>
      </c>
      <c r="Y35" s="46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5" s="72" t="str">
        <f>IF(tbl_SeqLib[[#This Row],[entry]]=1,ROUNDUP(AVERAGE(tbl_SeqLib[Exact]),1),"")</f>
        <v/>
      </c>
      <c r="AA35" s="72" t="str">
        <f>IF(tbl_SeqLib[[#This Row],[entry]]=1,ROUNDUP(AVERAGEIFS(tbl_SeqLib[Exact],tbl_SeqLib[Column],tbl_SeqLib[[#This Row],[Column]]),1),"")</f>
        <v/>
      </c>
      <c r="AB35" s="46" t="str">
        <f>IF(missing_qc_resolution=Reference!$E$49,tbl_SeqLib[[#This Row],[Avg per col (missing)]],tbl_SeqLib[[#This Row],[Avg per plate (missing)]])</f>
        <v/>
      </c>
      <c r="AC35" s="46">
        <f>IF(tbl_SeqLib[[#This Row],[entry]]=0,"",IF(tbl_SeqLib[[#This Row],[entry]]=1,tbl_SeqLib[[#This Row],[Not quantified]],IF(tbl_SeqLib[[#This Row],[entry]]=2,tbl_SeqLib[[#This Row],[Quantified]])))</f>
        <v>10</v>
      </c>
      <c r="AD35" s="79"/>
      <c r="AE35" s="46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5" s="47" t="str">
        <f>IF(ISBLANK(tbl_SeqLib[[#This Row],[sWGA Identifier]]),"",CONCATENATE(exp_id,"_",tbl_SeqLib[[#This Row],[Well]]))</f>
        <v>SLJS034_A5</v>
      </c>
    </row>
    <row r="36" spans="1:32" ht="15.75" customHeight="1" x14ac:dyDescent="0.3">
      <c r="A36" s="48">
        <v>34</v>
      </c>
      <c r="B36" s="37" t="str">
        <f>RIGHT(tbl_SeqLib[[#This Row],[Well]],LEN(tbl_SeqLib[[#This Row],[Well]])-1)</f>
        <v>5</v>
      </c>
      <c r="C36" s="36" t="s">
        <v>151</v>
      </c>
      <c r="D36" s="19" t="s">
        <v>482</v>
      </c>
      <c r="E36" s="21" t="s">
        <v>551</v>
      </c>
      <c r="F36" s="19" t="s">
        <v>408</v>
      </c>
      <c r="G36" s="29" t="s">
        <v>526</v>
      </c>
      <c r="H36" s="19" t="s">
        <v>552</v>
      </c>
      <c r="I36" s="29">
        <v>2.6</v>
      </c>
      <c r="J36" s="29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0" t="s">
        <v>152</v>
      </c>
      <c r="M36" s="73">
        <f>IF(OR(ISBLANK(tbl_SeqLib[[#This Row],[Sample ID]]),ISBLANK(endrepair_targetmass)),0,IF(LEN(tbl_SeqLib[[#This Row],[PCR '[DNA'] (ng / µl)]])=0,1,2))</f>
        <v>2</v>
      </c>
      <c r="N36" s="35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35">
        <f>IF(tbl_SeqLib[[#This Row],[entry]]=2,ROUNDUP(_xlfn.MINIFS(tbl_SeqLib[Exact],tbl_SeqLib[Column],tbl_SeqLib[[#This Row],[Column]]),1),"")</f>
        <v>7.1</v>
      </c>
      <c r="P36" s="35">
        <f>IF(tbl_SeqLib[[#This Row],[entry]]=2,ROUNDDOWN(_xlfn.MAXIFS(tbl_SeqLib[Exact],tbl_SeqLib[Column],tbl_SeqLib[[#This Row],[Column]]),1),"")</f>
        <v>10</v>
      </c>
      <c r="Q36" s="35">
        <f>IF(tbl_SeqLib[[#This Row],[entry]]=2,ROUNDUP(AVERAGEIFS(tbl_SeqLib[Exact],tbl_SeqLib[Column],tbl_SeqLib[[#This Row],[Column]]),1),"")</f>
        <v>8.6</v>
      </c>
      <c r="R36" s="35" cm="1">
        <f t="array" ref="R36">_xlfn.XLOOKUP(0,ABS(tbl_SeqLib[[#This Row],[Min for col]:[Avg for col]]-tbl_SeqLib[[#This Row],[Exact]]),tbl_SeqLib[[#This Row],[Min for col]:[Avg for col]],"",1)</f>
        <v>10</v>
      </c>
      <c r="S36" s="35" cm="1">
        <f t="array" ref="S36">_xlfn.XLOOKUP(0,ABS(tbl_SeqLib[[#This Row],[Max for col]:[Avg for col]]-tbl_SeqLib[[#This Row],[Exact]]),tbl_SeqLib[[#This Row],[Max for col]:[Avg for col]],"",1)</f>
        <v>10</v>
      </c>
      <c r="T36" s="35">
        <f>IF(tbl_SeqLib[[#This Row],[entry]]=2,tbl_SeqLib[[#This Row],[Max for col]],"")</f>
        <v>10</v>
      </c>
      <c r="U36" s="35">
        <f>IF(tbl_SeqLib[[#This Row],[entry]]=2,tbl_SeqLib[[#This Row],[Avg for col]],"")</f>
        <v>8.6</v>
      </c>
      <c r="V36" s="35">
        <f>IF(tbl_SeqLib[[#This Row],[entry]]=2,AVERAGE(tbl_SeqLib[Exact]),"")</f>
        <v>9.2911764705882351</v>
      </c>
      <c r="W36" s="35">
        <f>IF(tbl_SeqLib[[#This Row],[entry]]=2,MAX(tbl_SeqLib[Exact]),"")</f>
        <v>10</v>
      </c>
      <c r="X36" s="35" cm="1">
        <f t="array" ref="X36">_xlfn.XLOOKUP(0,ABS(tbl_SeqLib[[#This Row],[Avg per plate]:[Max per plate]]-tbl_SeqLib[[#This Row],[Exact]]),tbl_SeqLib[[#This Row],[Avg per plate]:[Max per plate]],,1)</f>
        <v>10</v>
      </c>
      <c r="Y36" s="35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>10</v>
      </c>
      <c r="Z36" s="73" t="str">
        <f>IF(tbl_SeqLib[[#This Row],[entry]]=1,ROUNDUP(AVERAGE(tbl_SeqLib[Exact]),1),"")</f>
        <v/>
      </c>
      <c r="AA36" s="73" t="str">
        <f>IF(tbl_SeqLib[[#This Row],[entry]]=1,ROUNDUP(AVERAGEIFS(tbl_SeqLib[Exact],tbl_SeqLib[Column],tbl_SeqLib[[#This Row],[Column]]),1),"")</f>
        <v/>
      </c>
      <c r="AB36" s="35" t="str">
        <f>IF(missing_qc_resolution=Reference!$E$49,tbl_SeqLib[[#This Row],[Avg per col (missing)]],tbl_SeqLib[[#This Row],[Avg per plate (missing)]])</f>
        <v/>
      </c>
      <c r="AC36" s="35">
        <f>IF(tbl_SeqLib[[#This Row],[entry]]=0,"",IF(tbl_SeqLib[[#This Row],[entry]]=1,tbl_SeqLib[[#This Row],[Not quantified]],IF(tbl_SeqLib[[#This Row],[entry]]=2,tbl_SeqLib[[#This Row],[Quantified]])))</f>
        <v>10</v>
      </c>
      <c r="AD36" s="80"/>
      <c r="AE36" s="35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>0</v>
      </c>
      <c r="AF36" s="49" t="str">
        <f>IF(ISBLANK(tbl_SeqLib[[#This Row],[sWGA Identifier]]),"",CONCATENATE(exp_id,"_",tbl_SeqLib[[#This Row],[Well]]))</f>
        <v>SLJS034_B5</v>
      </c>
    </row>
    <row r="37" spans="1:32" ht="15.75" customHeight="1" x14ac:dyDescent="0.3">
      <c r="A37" s="48">
        <v>35</v>
      </c>
      <c r="B37" s="37" t="str">
        <f>RIGHT(tbl_SeqLib[[#This Row],[Well]],LEN(tbl_SeqLib[[#This Row],[Well]])-1)</f>
        <v>5</v>
      </c>
      <c r="C37" s="36" t="s">
        <v>153</v>
      </c>
      <c r="D37" s="19"/>
      <c r="E37" s="21"/>
      <c r="F37" s="19"/>
      <c r="G37" s="29"/>
      <c r="H37" s="19"/>
      <c r="I37" s="29"/>
      <c r="J37" s="29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154</v>
      </c>
      <c r="M37" s="73">
        <f>IF(OR(ISBLANK(tbl_SeqLib[[#This Row],[Sample ID]]),ISBLANK(endrepair_targetmass)),0,IF(LEN(tbl_SeqLib[[#This Row],[PCR '[DNA'] (ng / µl)]])=0,1,2))</f>
        <v>0</v>
      </c>
      <c r="N3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35" t="str">
        <f>IF(tbl_SeqLib[[#This Row],[entry]]=2,ROUNDUP(_xlfn.MINIFS(tbl_SeqLib[Exact],tbl_SeqLib[Column],tbl_SeqLib[[#This Row],[Column]]),1),"")</f>
        <v/>
      </c>
      <c r="P37" s="35" t="str">
        <f>IF(tbl_SeqLib[[#This Row],[entry]]=2,ROUNDDOWN(_xlfn.MAXIFS(tbl_SeqLib[Exact],tbl_SeqLib[Column],tbl_SeqLib[[#This Row],[Column]]),1),"")</f>
        <v/>
      </c>
      <c r="Q37" s="35" t="str">
        <f>IF(tbl_SeqLib[[#This Row],[entry]]=2,ROUNDUP(AVERAGEIFS(tbl_SeqLib[Exact],tbl_SeqLib[Column],tbl_SeqLib[[#This Row],[Column]]),1),"")</f>
        <v/>
      </c>
      <c r="R37" s="35" t="str" cm="1">
        <f t="array" ref="R37">_xlfn.XLOOKUP(0,ABS(tbl_SeqLib[[#This Row],[Min for col]:[Avg for col]]-tbl_SeqLib[[#This Row],[Exact]]),tbl_SeqLib[[#This Row],[Min for col]:[Avg for col]],"",1)</f>
        <v/>
      </c>
      <c r="S37" s="35" t="str" cm="1">
        <f t="array" ref="S37">_xlfn.XLOOKUP(0,ABS(tbl_SeqLib[[#This Row],[Max for col]:[Avg for col]]-tbl_SeqLib[[#This Row],[Exact]]),tbl_SeqLib[[#This Row],[Max for col]:[Avg for col]],"",1)</f>
        <v/>
      </c>
      <c r="T37" s="35" t="str">
        <f>IF(tbl_SeqLib[[#This Row],[entry]]=2,tbl_SeqLib[[#This Row],[Max for col]],"")</f>
        <v/>
      </c>
      <c r="U37" s="35" t="str">
        <f>IF(tbl_SeqLib[[#This Row],[entry]]=2,tbl_SeqLib[[#This Row],[Avg for col]],"")</f>
        <v/>
      </c>
      <c r="V37" s="35" t="str">
        <f>IF(tbl_SeqLib[[#This Row],[entry]]=2,AVERAGE(tbl_SeqLib[Exact]),"")</f>
        <v/>
      </c>
      <c r="W37" s="35" t="str">
        <f>IF(tbl_SeqLib[[#This Row],[entry]]=2,MAX(tbl_SeqLib[Exact]),"")</f>
        <v/>
      </c>
      <c r="X37" s="35" t="str" cm="1">
        <f t="array" ref="X37">_xlfn.XLOOKUP(0,ABS(tbl_SeqLib[[#This Row],[Avg per plate]:[Max per plate]]-tbl_SeqLib[[#This Row],[Exact]]),tbl_SeqLib[[#This Row],[Avg per plate]:[Max per plate]],,1)</f>
        <v/>
      </c>
      <c r="Y3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7" s="73" t="str">
        <f>IF(tbl_SeqLib[[#This Row],[entry]]=1,ROUNDUP(AVERAGE(tbl_SeqLib[Exact]),1),"")</f>
        <v/>
      </c>
      <c r="AA37" s="73" t="str">
        <f>IF(tbl_SeqLib[[#This Row],[entry]]=1,ROUNDUP(AVERAGEIFS(tbl_SeqLib[Exact],tbl_SeqLib[Column],tbl_SeqLib[[#This Row],[Column]]),1),"")</f>
        <v/>
      </c>
      <c r="AB37" s="35" t="str">
        <f>IF(missing_qc_resolution=Reference!$E$49,tbl_SeqLib[[#This Row],[Avg per col (missing)]],tbl_SeqLib[[#This Row],[Avg per plate (missing)]])</f>
        <v/>
      </c>
      <c r="AC37" s="35" t="str">
        <f>IF(tbl_SeqLib[[#This Row],[entry]]=0,"",IF(tbl_SeqLib[[#This Row],[entry]]=1,tbl_SeqLib[[#This Row],[Not quantified]],IF(tbl_SeqLib[[#This Row],[entry]]=2,tbl_SeqLib[[#This Row],[Quantified]])))</f>
        <v/>
      </c>
      <c r="AD37" s="80"/>
      <c r="AE3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7" s="49" t="str">
        <f>IF(ISBLANK(tbl_SeqLib[[#This Row],[sWGA Identifier]]),"",CONCATENATE(exp_id,"_",tbl_SeqLib[[#This Row],[Well]]))</f>
        <v/>
      </c>
    </row>
    <row r="38" spans="1:32" ht="15.75" customHeight="1" x14ac:dyDescent="0.3">
      <c r="A38" s="48">
        <v>36</v>
      </c>
      <c r="B38" s="37" t="str">
        <f>RIGHT(tbl_SeqLib[[#This Row],[Well]],LEN(tbl_SeqLib[[#This Row],[Well]])-1)</f>
        <v>5</v>
      </c>
      <c r="C38" s="36" t="s">
        <v>155</v>
      </c>
      <c r="D38" s="19"/>
      <c r="E38" s="21"/>
      <c r="F38" s="19"/>
      <c r="G38" s="29"/>
      <c r="H38" s="19"/>
      <c r="I38" s="29"/>
      <c r="J38" s="29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156</v>
      </c>
      <c r="M38" s="73">
        <f>IF(OR(ISBLANK(tbl_SeqLib[[#This Row],[Sample ID]]),ISBLANK(endrepair_targetmass)),0,IF(LEN(tbl_SeqLib[[#This Row],[PCR '[DNA'] (ng / µl)]])=0,1,2))</f>
        <v>0</v>
      </c>
      <c r="N3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35" t="str">
        <f>IF(tbl_SeqLib[[#This Row],[entry]]=2,ROUNDUP(_xlfn.MINIFS(tbl_SeqLib[Exact],tbl_SeqLib[Column],tbl_SeqLib[[#This Row],[Column]]),1),"")</f>
        <v/>
      </c>
      <c r="P38" s="35" t="str">
        <f>IF(tbl_SeqLib[[#This Row],[entry]]=2,ROUNDDOWN(_xlfn.MAXIFS(tbl_SeqLib[Exact],tbl_SeqLib[Column],tbl_SeqLib[[#This Row],[Column]]),1),"")</f>
        <v/>
      </c>
      <c r="Q38" s="35" t="str">
        <f>IF(tbl_SeqLib[[#This Row],[entry]]=2,ROUNDUP(AVERAGEIFS(tbl_SeqLib[Exact],tbl_SeqLib[Column],tbl_SeqLib[[#This Row],[Column]]),1),"")</f>
        <v/>
      </c>
      <c r="R38" s="35" t="str" cm="1">
        <f t="array" ref="R38">_xlfn.XLOOKUP(0,ABS(tbl_SeqLib[[#This Row],[Min for col]:[Avg for col]]-tbl_SeqLib[[#This Row],[Exact]]),tbl_SeqLib[[#This Row],[Min for col]:[Avg for col]],"",1)</f>
        <v/>
      </c>
      <c r="S38" s="35" t="str" cm="1">
        <f t="array" ref="S38">_xlfn.XLOOKUP(0,ABS(tbl_SeqLib[[#This Row],[Max for col]:[Avg for col]]-tbl_SeqLib[[#This Row],[Exact]]),tbl_SeqLib[[#This Row],[Max for col]:[Avg for col]],"",1)</f>
        <v/>
      </c>
      <c r="T38" s="35" t="str">
        <f>IF(tbl_SeqLib[[#This Row],[entry]]=2,tbl_SeqLib[[#This Row],[Max for col]],"")</f>
        <v/>
      </c>
      <c r="U38" s="35" t="str">
        <f>IF(tbl_SeqLib[[#This Row],[entry]]=2,tbl_SeqLib[[#This Row],[Avg for col]],"")</f>
        <v/>
      </c>
      <c r="V38" s="35" t="str">
        <f>IF(tbl_SeqLib[[#This Row],[entry]]=2,AVERAGE(tbl_SeqLib[Exact]),"")</f>
        <v/>
      </c>
      <c r="W38" s="35" t="str">
        <f>IF(tbl_SeqLib[[#This Row],[entry]]=2,MAX(tbl_SeqLib[Exact]),"")</f>
        <v/>
      </c>
      <c r="X38" s="35" t="str" cm="1">
        <f t="array" ref="X38">_xlfn.XLOOKUP(0,ABS(tbl_SeqLib[[#This Row],[Avg per plate]:[Max per plate]]-tbl_SeqLib[[#This Row],[Exact]]),tbl_SeqLib[[#This Row],[Avg per plate]:[Max per plate]],,1)</f>
        <v/>
      </c>
      <c r="Y3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8" s="73" t="str">
        <f>IF(tbl_SeqLib[[#This Row],[entry]]=1,ROUNDUP(AVERAGE(tbl_SeqLib[Exact]),1),"")</f>
        <v/>
      </c>
      <c r="AA38" s="73" t="str">
        <f>IF(tbl_SeqLib[[#This Row],[entry]]=1,ROUNDUP(AVERAGEIFS(tbl_SeqLib[Exact],tbl_SeqLib[Column],tbl_SeqLib[[#This Row],[Column]]),1),"")</f>
        <v/>
      </c>
      <c r="AB38" s="35" t="str">
        <f>IF(missing_qc_resolution=Reference!$E$49,tbl_SeqLib[[#This Row],[Avg per col (missing)]],tbl_SeqLib[[#This Row],[Avg per plate (missing)]])</f>
        <v/>
      </c>
      <c r="AC38" s="35" t="str">
        <f>IF(tbl_SeqLib[[#This Row],[entry]]=0,"",IF(tbl_SeqLib[[#This Row],[entry]]=1,tbl_SeqLib[[#This Row],[Not quantified]],IF(tbl_SeqLib[[#This Row],[entry]]=2,tbl_SeqLib[[#This Row],[Quantified]])))</f>
        <v/>
      </c>
      <c r="AD38" s="80"/>
      <c r="AE3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8" s="49" t="str">
        <f>IF(ISBLANK(tbl_SeqLib[[#This Row],[sWGA Identifier]]),"",CONCATENATE(exp_id,"_",tbl_SeqLib[[#This Row],[Well]]))</f>
        <v/>
      </c>
    </row>
    <row r="39" spans="1:32" ht="15.75" customHeight="1" x14ac:dyDescent="0.3">
      <c r="A39" s="48">
        <v>37</v>
      </c>
      <c r="B39" s="37" t="str">
        <f>RIGHT(tbl_SeqLib[[#This Row],[Well]],LEN(tbl_SeqLib[[#This Row],[Well]])-1)</f>
        <v>5</v>
      </c>
      <c r="C39" s="36" t="s">
        <v>157</v>
      </c>
      <c r="D39" s="19"/>
      <c r="E39" s="21"/>
      <c r="F39" s="19"/>
      <c r="G39" s="29"/>
      <c r="H39" s="19"/>
      <c r="I39" s="29"/>
      <c r="J39" s="29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158</v>
      </c>
      <c r="M39" s="73">
        <f>IF(OR(ISBLANK(tbl_SeqLib[[#This Row],[Sample ID]]),ISBLANK(endrepair_targetmass)),0,IF(LEN(tbl_SeqLib[[#This Row],[PCR '[DNA'] (ng / µl)]])=0,1,2))</f>
        <v>0</v>
      </c>
      <c r="N3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35" t="str">
        <f>IF(tbl_SeqLib[[#This Row],[entry]]=2,ROUNDUP(_xlfn.MINIFS(tbl_SeqLib[Exact],tbl_SeqLib[Column],tbl_SeqLib[[#This Row],[Column]]),1),"")</f>
        <v/>
      </c>
      <c r="P39" s="35" t="str">
        <f>IF(tbl_SeqLib[[#This Row],[entry]]=2,ROUNDDOWN(_xlfn.MAXIFS(tbl_SeqLib[Exact],tbl_SeqLib[Column],tbl_SeqLib[[#This Row],[Column]]),1),"")</f>
        <v/>
      </c>
      <c r="Q39" s="35" t="str">
        <f>IF(tbl_SeqLib[[#This Row],[entry]]=2,ROUNDUP(AVERAGEIFS(tbl_SeqLib[Exact],tbl_SeqLib[Column],tbl_SeqLib[[#This Row],[Column]]),1),"")</f>
        <v/>
      </c>
      <c r="R39" s="35" t="str" cm="1">
        <f t="array" ref="R39">_xlfn.XLOOKUP(0,ABS(tbl_SeqLib[[#This Row],[Min for col]:[Avg for col]]-tbl_SeqLib[[#This Row],[Exact]]),tbl_SeqLib[[#This Row],[Min for col]:[Avg for col]],"",1)</f>
        <v/>
      </c>
      <c r="S39" s="35" t="str" cm="1">
        <f t="array" ref="S39">_xlfn.XLOOKUP(0,ABS(tbl_SeqLib[[#This Row],[Max for col]:[Avg for col]]-tbl_SeqLib[[#This Row],[Exact]]),tbl_SeqLib[[#This Row],[Max for col]:[Avg for col]],"",1)</f>
        <v/>
      </c>
      <c r="T39" s="35" t="str">
        <f>IF(tbl_SeqLib[[#This Row],[entry]]=2,tbl_SeqLib[[#This Row],[Max for col]],"")</f>
        <v/>
      </c>
      <c r="U39" s="35" t="str">
        <f>IF(tbl_SeqLib[[#This Row],[entry]]=2,tbl_SeqLib[[#This Row],[Avg for col]],"")</f>
        <v/>
      </c>
      <c r="V39" s="35" t="str">
        <f>IF(tbl_SeqLib[[#This Row],[entry]]=2,AVERAGE(tbl_SeqLib[Exact]),"")</f>
        <v/>
      </c>
      <c r="W39" s="35" t="str">
        <f>IF(tbl_SeqLib[[#This Row],[entry]]=2,MAX(tbl_SeqLib[Exact]),"")</f>
        <v/>
      </c>
      <c r="X39" s="35" t="str" cm="1">
        <f t="array" ref="X39">_xlfn.XLOOKUP(0,ABS(tbl_SeqLib[[#This Row],[Avg per plate]:[Max per plate]]-tbl_SeqLib[[#This Row],[Exact]]),tbl_SeqLib[[#This Row],[Avg per plate]:[Max per plate]],,1)</f>
        <v/>
      </c>
      <c r="Y3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9" s="73" t="str">
        <f>IF(tbl_SeqLib[[#This Row],[entry]]=1,ROUNDUP(AVERAGE(tbl_SeqLib[Exact]),1),"")</f>
        <v/>
      </c>
      <c r="AA39" s="73" t="str">
        <f>IF(tbl_SeqLib[[#This Row],[entry]]=1,ROUNDUP(AVERAGEIFS(tbl_SeqLib[Exact],tbl_SeqLib[Column],tbl_SeqLib[[#This Row],[Column]]),1),"")</f>
        <v/>
      </c>
      <c r="AB39" s="35" t="str">
        <f>IF(missing_qc_resolution=Reference!$E$49,tbl_SeqLib[[#This Row],[Avg per col (missing)]],tbl_SeqLib[[#This Row],[Avg per plate (missing)]])</f>
        <v/>
      </c>
      <c r="AC39" s="35" t="str">
        <f>IF(tbl_SeqLib[[#This Row],[entry]]=0,"",IF(tbl_SeqLib[[#This Row],[entry]]=1,tbl_SeqLib[[#This Row],[Not quantified]],IF(tbl_SeqLib[[#This Row],[entry]]=2,tbl_SeqLib[[#This Row],[Quantified]])))</f>
        <v/>
      </c>
      <c r="AD39" s="80"/>
      <c r="AE3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9" s="49" t="str">
        <f>IF(ISBLANK(tbl_SeqLib[[#This Row],[sWGA Identifier]]),"",CONCATENATE(exp_id,"_",tbl_SeqLib[[#This Row],[Well]]))</f>
        <v/>
      </c>
    </row>
    <row r="40" spans="1:32" ht="15.75" customHeight="1" x14ac:dyDescent="0.3">
      <c r="A40" s="48">
        <v>38</v>
      </c>
      <c r="B40" s="37" t="str">
        <f>RIGHT(tbl_SeqLib[[#This Row],[Well]],LEN(tbl_SeqLib[[#This Row],[Well]])-1)</f>
        <v>5</v>
      </c>
      <c r="C40" s="36" t="s">
        <v>159</v>
      </c>
      <c r="D40" s="19"/>
      <c r="E40" s="21"/>
      <c r="F40" s="19"/>
      <c r="G40" s="29"/>
      <c r="H40" s="19"/>
      <c r="I40" s="29"/>
      <c r="J40" s="29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160</v>
      </c>
      <c r="M40" s="73">
        <f>IF(OR(ISBLANK(tbl_SeqLib[[#This Row],[Sample ID]]),ISBLANK(endrepair_targetmass)),0,IF(LEN(tbl_SeqLib[[#This Row],[PCR '[DNA'] (ng / µl)]])=0,1,2))</f>
        <v>0</v>
      </c>
      <c r="N4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35" t="str">
        <f>IF(tbl_SeqLib[[#This Row],[entry]]=2,ROUNDUP(_xlfn.MINIFS(tbl_SeqLib[Exact],tbl_SeqLib[Column],tbl_SeqLib[[#This Row],[Column]]),1),"")</f>
        <v/>
      </c>
      <c r="P40" s="35" t="str">
        <f>IF(tbl_SeqLib[[#This Row],[entry]]=2,ROUNDDOWN(_xlfn.MAXIFS(tbl_SeqLib[Exact],tbl_SeqLib[Column],tbl_SeqLib[[#This Row],[Column]]),1),"")</f>
        <v/>
      </c>
      <c r="Q40" s="35" t="str">
        <f>IF(tbl_SeqLib[[#This Row],[entry]]=2,ROUNDUP(AVERAGEIFS(tbl_SeqLib[Exact],tbl_SeqLib[Column],tbl_SeqLib[[#This Row],[Column]]),1),"")</f>
        <v/>
      </c>
      <c r="R40" s="35" t="str" cm="1">
        <f t="array" ref="R40">_xlfn.XLOOKUP(0,ABS(tbl_SeqLib[[#This Row],[Min for col]:[Avg for col]]-tbl_SeqLib[[#This Row],[Exact]]),tbl_SeqLib[[#This Row],[Min for col]:[Avg for col]],"",1)</f>
        <v/>
      </c>
      <c r="S40" s="35" t="str" cm="1">
        <f t="array" ref="S40">_xlfn.XLOOKUP(0,ABS(tbl_SeqLib[[#This Row],[Max for col]:[Avg for col]]-tbl_SeqLib[[#This Row],[Exact]]),tbl_SeqLib[[#This Row],[Max for col]:[Avg for col]],"",1)</f>
        <v/>
      </c>
      <c r="T40" s="35" t="str">
        <f>IF(tbl_SeqLib[[#This Row],[entry]]=2,tbl_SeqLib[[#This Row],[Max for col]],"")</f>
        <v/>
      </c>
      <c r="U40" s="35" t="str">
        <f>IF(tbl_SeqLib[[#This Row],[entry]]=2,tbl_SeqLib[[#This Row],[Avg for col]],"")</f>
        <v/>
      </c>
      <c r="V40" s="35" t="str">
        <f>IF(tbl_SeqLib[[#This Row],[entry]]=2,AVERAGE(tbl_SeqLib[Exact]),"")</f>
        <v/>
      </c>
      <c r="W40" s="35" t="str">
        <f>IF(tbl_SeqLib[[#This Row],[entry]]=2,MAX(tbl_SeqLib[Exact]),"")</f>
        <v/>
      </c>
      <c r="X40" s="35" t="str" cm="1">
        <f t="array" ref="X40">_xlfn.XLOOKUP(0,ABS(tbl_SeqLib[[#This Row],[Avg per plate]:[Max per plate]]-tbl_SeqLib[[#This Row],[Exact]]),tbl_SeqLib[[#This Row],[Avg per plate]:[Max per plate]],,1)</f>
        <v/>
      </c>
      <c r="Y4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0" s="73" t="str">
        <f>IF(tbl_SeqLib[[#This Row],[entry]]=1,ROUNDUP(AVERAGE(tbl_SeqLib[Exact]),1),"")</f>
        <v/>
      </c>
      <c r="AA40" s="73" t="str">
        <f>IF(tbl_SeqLib[[#This Row],[entry]]=1,ROUNDUP(AVERAGEIFS(tbl_SeqLib[Exact],tbl_SeqLib[Column],tbl_SeqLib[[#This Row],[Column]]),1),"")</f>
        <v/>
      </c>
      <c r="AB40" s="35" t="str">
        <f>IF(missing_qc_resolution=Reference!$E$49,tbl_SeqLib[[#This Row],[Avg per col (missing)]],tbl_SeqLib[[#This Row],[Avg per plate (missing)]])</f>
        <v/>
      </c>
      <c r="AC40" s="35" t="str">
        <f>IF(tbl_SeqLib[[#This Row],[entry]]=0,"",IF(tbl_SeqLib[[#This Row],[entry]]=1,tbl_SeqLib[[#This Row],[Not quantified]],IF(tbl_SeqLib[[#This Row],[entry]]=2,tbl_SeqLib[[#This Row],[Quantified]])))</f>
        <v/>
      </c>
      <c r="AD40" s="80"/>
      <c r="AE4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0" s="49" t="str">
        <f>IF(ISBLANK(tbl_SeqLib[[#This Row],[sWGA Identifier]]),"",CONCATENATE(exp_id,"_",tbl_SeqLib[[#This Row],[Well]]))</f>
        <v/>
      </c>
    </row>
    <row r="41" spans="1:32" ht="15.75" customHeight="1" x14ac:dyDescent="0.3">
      <c r="A41" s="48">
        <v>39</v>
      </c>
      <c r="B41" s="37" t="str">
        <f>RIGHT(tbl_SeqLib[[#This Row],[Well]],LEN(tbl_SeqLib[[#This Row],[Well]])-1)</f>
        <v>5</v>
      </c>
      <c r="C41" s="36" t="s">
        <v>161</v>
      </c>
      <c r="D41" s="19"/>
      <c r="E41" s="21"/>
      <c r="F41" s="19"/>
      <c r="G41" s="29"/>
      <c r="H41" s="19"/>
      <c r="I41" s="29"/>
      <c r="J41" s="29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162</v>
      </c>
      <c r="M41" s="73">
        <f>IF(OR(ISBLANK(tbl_SeqLib[[#This Row],[Sample ID]]),ISBLANK(endrepair_targetmass)),0,IF(LEN(tbl_SeqLib[[#This Row],[PCR '[DNA'] (ng / µl)]])=0,1,2))</f>
        <v>0</v>
      </c>
      <c r="N4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35" t="str">
        <f>IF(tbl_SeqLib[[#This Row],[entry]]=2,ROUNDUP(_xlfn.MINIFS(tbl_SeqLib[Exact],tbl_SeqLib[Column],tbl_SeqLib[[#This Row],[Column]]),1),"")</f>
        <v/>
      </c>
      <c r="P41" s="35" t="str">
        <f>IF(tbl_SeqLib[[#This Row],[entry]]=2,ROUNDDOWN(_xlfn.MAXIFS(tbl_SeqLib[Exact],tbl_SeqLib[Column],tbl_SeqLib[[#This Row],[Column]]),1),"")</f>
        <v/>
      </c>
      <c r="Q41" s="35" t="str">
        <f>IF(tbl_SeqLib[[#This Row],[entry]]=2,ROUNDUP(AVERAGEIFS(tbl_SeqLib[Exact],tbl_SeqLib[Column],tbl_SeqLib[[#This Row],[Column]]),1),"")</f>
        <v/>
      </c>
      <c r="R41" s="35" t="str" cm="1">
        <f t="array" ref="R41">_xlfn.XLOOKUP(0,ABS(tbl_SeqLib[[#This Row],[Min for col]:[Avg for col]]-tbl_SeqLib[[#This Row],[Exact]]),tbl_SeqLib[[#This Row],[Min for col]:[Avg for col]],"",1)</f>
        <v/>
      </c>
      <c r="S41" s="35" t="str" cm="1">
        <f t="array" ref="S41">_xlfn.XLOOKUP(0,ABS(tbl_SeqLib[[#This Row],[Max for col]:[Avg for col]]-tbl_SeqLib[[#This Row],[Exact]]),tbl_SeqLib[[#This Row],[Max for col]:[Avg for col]],"",1)</f>
        <v/>
      </c>
      <c r="T41" s="35" t="str">
        <f>IF(tbl_SeqLib[[#This Row],[entry]]=2,tbl_SeqLib[[#This Row],[Max for col]],"")</f>
        <v/>
      </c>
      <c r="U41" s="35" t="str">
        <f>IF(tbl_SeqLib[[#This Row],[entry]]=2,tbl_SeqLib[[#This Row],[Avg for col]],"")</f>
        <v/>
      </c>
      <c r="V41" s="35" t="str">
        <f>IF(tbl_SeqLib[[#This Row],[entry]]=2,AVERAGE(tbl_SeqLib[Exact]),"")</f>
        <v/>
      </c>
      <c r="W41" s="35" t="str">
        <f>IF(tbl_SeqLib[[#This Row],[entry]]=2,MAX(tbl_SeqLib[Exact]),"")</f>
        <v/>
      </c>
      <c r="X41" s="35" t="str" cm="1">
        <f t="array" ref="X41">_xlfn.XLOOKUP(0,ABS(tbl_SeqLib[[#This Row],[Avg per plate]:[Max per plate]]-tbl_SeqLib[[#This Row],[Exact]]),tbl_SeqLib[[#This Row],[Avg per plate]:[Max per plate]],,1)</f>
        <v/>
      </c>
      <c r="Y4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1" s="73" t="str">
        <f>IF(tbl_SeqLib[[#This Row],[entry]]=1,ROUNDUP(AVERAGE(tbl_SeqLib[Exact]),1),"")</f>
        <v/>
      </c>
      <c r="AA41" s="73" t="str">
        <f>IF(tbl_SeqLib[[#This Row],[entry]]=1,ROUNDUP(AVERAGEIFS(tbl_SeqLib[Exact],tbl_SeqLib[Column],tbl_SeqLib[[#This Row],[Column]]),1),"")</f>
        <v/>
      </c>
      <c r="AB41" s="35" t="str">
        <f>IF(missing_qc_resolution=Reference!$E$49,tbl_SeqLib[[#This Row],[Avg per col (missing)]],tbl_SeqLib[[#This Row],[Avg per plate (missing)]])</f>
        <v/>
      </c>
      <c r="AC41" s="35" t="str">
        <f>IF(tbl_SeqLib[[#This Row],[entry]]=0,"",IF(tbl_SeqLib[[#This Row],[entry]]=1,tbl_SeqLib[[#This Row],[Not quantified]],IF(tbl_SeqLib[[#This Row],[entry]]=2,tbl_SeqLib[[#This Row],[Quantified]])))</f>
        <v/>
      </c>
      <c r="AD41" s="80"/>
      <c r="AE4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1" s="49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50">
        <v>40</v>
      </c>
      <c r="B42" s="51" t="str">
        <f>RIGHT(tbl_SeqLib[[#This Row],[Well]],LEN(tbl_SeqLib[[#This Row],[Well]])-1)</f>
        <v>5</v>
      </c>
      <c r="C42" s="59" t="s">
        <v>163</v>
      </c>
      <c r="D42" s="52"/>
      <c r="E42" s="53"/>
      <c r="F42" s="52"/>
      <c r="G42" s="54"/>
      <c r="H42" s="52"/>
      <c r="I42" s="54"/>
      <c r="J42" s="54"/>
      <c r="K4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6" t="s">
        <v>164</v>
      </c>
      <c r="M42" s="74">
        <f>IF(OR(ISBLANK(tbl_SeqLib[[#This Row],[Sample ID]]),ISBLANK(endrepair_targetmass)),0,IF(LEN(tbl_SeqLib[[#This Row],[PCR '[DNA'] (ng / µl)]])=0,1,2))</f>
        <v>0</v>
      </c>
      <c r="N4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57" t="str">
        <f>IF(tbl_SeqLib[[#This Row],[entry]]=2,ROUNDUP(_xlfn.MINIFS(tbl_SeqLib[Exact],tbl_SeqLib[Column],tbl_SeqLib[[#This Row],[Column]]),1),"")</f>
        <v/>
      </c>
      <c r="P42" s="57" t="str">
        <f>IF(tbl_SeqLib[[#This Row],[entry]]=2,ROUNDDOWN(_xlfn.MAXIFS(tbl_SeqLib[Exact],tbl_SeqLib[Column],tbl_SeqLib[[#This Row],[Column]]),1),"")</f>
        <v/>
      </c>
      <c r="Q42" s="57" t="str">
        <f>IF(tbl_SeqLib[[#This Row],[entry]]=2,ROUNDUP(AVERAGEIFS(tbl_SeqLib[Exact],tbl_SeqLib[Column],tbl_SeqLib[[#This Row],[Column]]),1),"")</f>
        <v/>
      </c>
      <c r="R42" s="57" t="str" cm="1">
        <f t="array" ref="R42">_xlfn.XLOOKUP(0,ABS(tbl_SeqLib[[#This Row],[Min for col]:[Avg for col]]-tbl_SeqLib[[#This Row],[Exact]]),tbl_SeqLib[[#This Row],[Min for col]:[Avg for col]],"",1)</f>
        <v/>
      </c>
      <c r="S42" s="57" t="str" cm="1">
        <f t="array" ref="S42">_xlfn.XLOOKUP(0,ABS(tbl_SeqLib[[#This Row],[Max for col]:[Avg for col]]-tbl_SeqLib[[#This Row],[Exact]]),tbl_SeqLib[[#This Row],[Max for col]:[Avg for col]],"",1)</f>
        <v/>
      </c>
      <c r="T42" s="57" t="str">
        <f>IF(tbl_SeqLib[[#This Row],[entry]]=2,tbl_SeqLib[[#This Row],[Max for col]],"")</f>
        <v/>
      </c>
      <c r="U42" s="57" t="str">
        <f>IF(tbl_SeqLib[[#This Row],[entry]]=2,tbl_SeqLib[[#This Row],[Avg for col]],"")</f>
        <v/>
      </c>
      <c r="V42" s="57" t="str">
        <f>IF(tbl_SeqLib[[#This Row],[entry]]=2,AVERAGE(tbl_SeqLib[Exact]),"")</f>
        <v/>
      </c>
      <c r="W42" s="57" t="str">
        <f>IF(tbl_SeqLib[[#This Row],[entry]]=2,MAX(tbl_SeqLib[Exact]),"")</f>
        <v/>
      </c>
      <c r="X42" s="57" t="str" cm="1">
        <f t="array" ref="X42">_xlfn.XLOOKUP(0,ABS(tbl_SeqLib[[#This Row],[Avg per plate]:[Max per plate]]-tbl_SeqLib[[#This Row],[Exact]]),tbl_SeqLib[[#This Row],[Avg per plate]:[Max per plate]],,1)</f>
        <v/>
      </c>
      <c r="Y4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2" s="74" t="str">
        <f>IF(tbl_SeqLib[[#This Row],[entry]]=1,ROUNDUP(AVERAGE(tbl_SeqLib[Exact]),1),"")</f>
        <v/>
      </c>
      <c r="AA42" s="74" t="str">
        <f>IF(tbl_SeqLib[[#This Row],[entry]]=1,ROUNDUP(AVERAGEIFS(tbl_SeqLib[Exact],tbl_SeqLib[Column],tbl_SeqLib[[#This Row],[Column]]),1),"")</f>
        <v/>
      </c>
      <c r="AB42" s="57" t="str">
        <f>IF(missing_qc_resolution=Reference!$E$49,tbl_SeqLib[[#This Row],[Avg per col (missing)]],tbl_SeqLib[[#This Row],[Avg per plate (missing)]])</f>
        <v/>
      </c>
      <c r="AC42" s="57" t="str">
        <f>IF(tbl_SeqLib[[#This Row],[entry]]=0,"",IF(tbl_SeqLib[[#This Row],[entry]]=1,tbl_SeqLib[[#This Row],[Not quantified]],IF(tbl_SeqLib[[#This Row],[entry]]=2,tbl_SeqLib[[#This Row],[Quantified]])))</f>
        <v/>
      </c>
      <c r="AD42" s="81"/>
      <c r="AE4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2" s="58" t="str">
        <f>IF(ISBLANK(tbl_SeqLib[[#This Row],[sWGA Identifier]]),"",CONCATENATE(exp_id,"_",tbl_SeqLib[[#This Row],[Well]]))</f>
        <v/>
      </c>
    </row>
    <row r="43" spans="1:32" ht="15.75" customHeight="1" x14ac:dyDescent="0.3">
      <c r="A43" s="41">
        <v>41</v>
      </c>
      <c r="B43" s="42" t="str">
        <f>RIGHT(tbl_SeqLib[[#This Row],[Well]],LEN(tbl_SeqLib[[#This Row],[Well]])-1)</f>
        <v>6</v>
      </c>
      <c r="C43" s="42" t="s">
        <v>165</v>
      </c>
      <c r="D43" s="43"/>
      <c r="E43" s="45"/>
      <c r="F43" s="43"/>
      <c r="G43" s="43"/>
      <c r="H43" s="43"/>
      <c r="I43" s="43"/>
      <c r="J43" s="43"/>
      <c r="K4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5" t="s">
        <v>166</v>
      </c>
      <c r="M43" s="72">
        <f>IF(OR(ISBLANK(tbl_SeqLib[[#This Row],[Sample ID]]),ISBLANK(endrepair_targetmass)),0,IF(LEN(tbl_SeqLib[[#This Row],[PCR '[DNA'] (ng / µl)]])=0,1,2))</f>
        <v>0</v>
      </c>
      <c r="N4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46" t="str">
        <f>IF(tbl_SeqLib[[#This Row],[entry]]=2,ROUNDUP(_xlfn.MINIFS(tbl_SeqLib[Exact],tbl_SeqLib[Column],tbl_SeqLib[[#This Row],[Column]]),1),"")</f>
        <v/>
      </c>
      <c r="P43" s="46" t="str">
        <f>IF(tbl_SeqLib[[#This Row],[entry]]=2,ROUNDDOWN(_xlfn.MAXIFS(tbl_SeqLib[Exact],tbl_SeqLib[Column],tbl_SeqLib[[#This Row],[Column]]),1),"")</f>
        <v/>
      </c>
      <c r="Q43" s="46" t="str">
        <f>IF(tbl_SeqLib[[#This Row],[entry]]=2,ROUNDUP(AVERAGEIFS(tbl_SeqLib[Exact],tbl_SeqLib[Column],tbl_SeqLib[[#This Row],[Column]]),1),"")</f>
        <v/>
      </c>
      <c r="R43" s="46" t="str" cm="1">
        <f t="array" ref="R43">_xlfn.XLOOKUP(0,ABS(tbl_SeqLib[[#This Row],[Min for col]:[Avg for col]]-tbl_SeqLib[[#This Row],[Exact]]),tbl_SeqLib[[#This Row],[Min for col]:[Avg for col]],"",1)</f>
        <v/>
      </c>
      <c r="S43" s="46" t="str" cm="1">
        <f t="array" ref="S43">_xlfn.XLOOKUP(0,ABS(tbl_SeqLib[[#This Row],[Max for col]:[Avg for col]]-tbl_SeqLib[[#This Row],[Exact]]),tbl_SeqLib[[#This Row],[Max for col]:[Avg for col]],"",1)</f>
        <v/>
      </c>
      <c r="T43" s="46" t="str">
        <f>IF(tbl_SeqLib[[#This Row],[entry]]=2,tbl_SeqLib[[#This Row],[Max for col]],"")</f>
        <v/>
      </c>
      <c r="U43" s="46" t="str">
        <f>IF(tbl_SeqLib[[#This Row],[entry]]=2,tbl_SeqLib[[#This Row],[Avg for col]],"")</f>
        <v/>
      </c>
      <c r="V43" s="46" t="str">
        <f>IF(tbl_SeqLib[[#This Row],[entry]]=2,AVERAGE(tbl_SeqLib[Exact]),"")</f>
        <v/>
      </c>
      <c r="W43" s="46" t="str">
        <f>IF(tbl_SeqLib[[#This Row],[entry]]=2,MAX(tbl_SeqLib[Exact]),"")</f>
        <v/>
      </c>
      <c r="X43" s="46" t="str" cm="1">
        <f t="array" ref="X43">_xlfn.XLOOKUP(0,ABS(tbl_SeqLib[[#This Row],[Avg per plate]:[Max per plate]]-tbl_SeqLib[[#This Row],[Exact]]),tbl_SeqLib[[#This Row],[Avg per plate]:[Max per plate]],,1)</f>
        <v/>
      </c>
      <c r="Y4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3" s="72" t="str">
        <f>IF(tbl_SeqLib[[#This Row],[entry]]=1,ROUNDUP(AVERAGE(tbl_SeqLib[Exact]),1),"")</f>
        <v/>
      </c>
      <c r="AA43" s="72" t="str">
        <f>IF(tbl_SeqLib[[#This Row],[entry]]=1,ROUNDUP(AVERAGEIFS(tbl_SeqLib[Exact],tbl_SeqLib[Column],tbl_SeqLib[[#This Row],[Column]]),1),"")</f>
        <v/>
      </c>
      <c r="AB43" s="46" t="str">
        <f>IF(missing_qc_resolution=Reference!$E$49,tbl_SeqLib[[#This Row],[Avg per col (missing)]],tbl_SeqLib[[#This Row],[Avg per plate (missing)]])</f>
        <v/>
      </c>
      <c r="AC43" s="46" t="str">
        <f>IF(tbl_SeqLib[[#This Row],[entry]]=0,"",IF(tbl_SeqLib[[#This Row],[entry]]=1,tbl_SeqLib[[#This Row],[Not quantified]],IF(tbl_SeqLib[[#This Row],[entry]]=2,tbl_SeqLib[[#This Row],[Quantified]])))</f>
        <v/>
      </c>
      <c r="AD43" s="79"/>
      <c r="AE4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3" s="47" t="str">
        <f>IF(ISBLANK(tbl_SeqLib[[#This Row],[sWGA Identifier]]),"",CONCATENATE(exp_id,"_",tbl_SeqLib[[#This Row],[Well]]))</f>
        <v/>
      </c>
    </row>
    <row r="44" spans="1:32" ht="15.75" customHeight="1" x14ac:dyDescent="0.3">
      <c r="A44" s="48">
        <v>42</v>
      </c>
      <c r="B44" s="37" t="str">
        <f>RIGHT(tbl_SeqLib[[#This Row],[Well]],LEN(tbl_SeqLib[[#This Row],[Well]])-1)</f>
        <v>6</v>
      </c>
      <c r="C44" s="36" t="s">
        <v>167</v>
      </c>
      <c r="D44" s="19"/>
      <c r="E44" s="21"/>
      <c r="F44" s="19"/>
      <c r="G44" s="29"/>
      <c r="H44" s="19"/>
      <c r="I44" s="29"/>
      <c r="J44" s="29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168</v>
      </c>
      <c r="M44" s="73">
        <f>IF(OR(ISBLANK(tbl_SeqLib[[#This Row],[Sample ID]]),ISBLANK(endrepair_targetmass)),0,IF(LEN(tbl_SeqLib[[#This Row],[PCR '[DNA'] (ng / µl)]])=0,1,2))</f>
        <v>0</v>
      </c>
      <c r="N4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35" t="str">
        <f>IF(tbl_SeqLib[[#This Row],[entry]]=2,ROUNDUP(_xlfn.MINIFS(tbl_SeqLib[Exact],tbl_SeqLib[Column],tbl_SeqLib[[#This Row],[Column]]),1),"")</f>
        <v/>
      </c>
      <c r="P44" s="35" t="str">
        <f>IF(tbl_SeqLib[[#This Row],[entry]]=2,ROUNDDOWN(_xlfn.MAXIFS(tbl_SeqLib[Exact],tbl_SeqLib[Column],tbl_SeqLib[[#This Row],[Column]]),1),"")</f>
        <v/>
      </c>
      <c r="Q44" s="35" t="str">
        <f>IF(tbl_SeqLib[[#This Row],[entry]]=2,ROUNDUP(AVERAGEIFS(tbl_SeqLib[Exact],tbl_SeqLib[Column],tbl_SeqLib[[#This Row],[Column]]),1),"")</f>
        <v/>
      </c>
      <c r="R44" s="35" t="str" cm="1">
        <f t="array" ref="R44">_xlfn.XLOOKUP(0,ABS(tbl_SeqLib[[#This Row],[Min for col]:[Avg for col]]-tbl_SeqLib[[#This Row],[Exact]]),tbl_SeqLib[[#This Row],[Min for col]:[Avg for col]],"",1)</f>
        <v/>
      </c>
      <c r="S44" s="35" t="str" cm="1">
        <f t="array" ref="S44">_xlfn.XLOOKUP(0,ABS(tbl_SeqLib[[#This Row],[Max for col]:[Avg for col]]-tbl_SeqLib[[#This Row],[Exact]]),tbl_SeqLib[[#This Row],[Max for col]:[Avg for col]],"",1)</f>
        <v/>
      </c>
      <c r="T44" s="35" t="str">
        <f>IF(tbl_SeqLib[[#This Row],[entry]]=2,tbl_SeqLib[[#This Row],[Max for col]],"")</f>
        <v/>
      </c>
      <c r="U44" s="35" t="str">
        <f>IF(tbl_SeqLib[[#This Row],[entry]]=2,tbl_SeqLib[[#This Row],[Avg for col]],"")</f>
        <v/>
      </c>
      <c r="V44" s="35" t="str">
        <f>IF(tbl_SeqLib[[#This Row],[entry]]=2,AVERAGE(tbl_SeqLib[Exact]),"")</f>
        <v/>
      </c>
      <c r="W44" s="35" t="str">
        <f>IF(tbl_SeqLib[[#This Row],[entry]]=2,MAX(tbl_SeqLib[Exact]),"")</f>
        <v/>
      </c>
      <c r="X44" s="35" t="str" cm="1">
        <f t="array" ref="X44">_xlfn.XLOOKUP(0,ABS(tbl_SeqLib[[#This Row],[Avg per plate]:[Max per plate]]-tbl_SeqLib[[#This Row],[Exact]]),tbl_SeqLib[[#This Row],[Avg per plate]:[Max per plate]],,1)</f>
        <v/>
      </c>
      <c r="Y4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4" s="73" t="str">
        <f>IF(tbl_SeqLib[[#This Row],[entry]]=1,ROUNDUP(AVERAGE(tbl_SeqLib[Exact]),1),"")</f>
        <v/>
      </c>
      <c r="AA44" s="73" t="str">
        <f>IF(tbl_SeqLib[[#This Row],[entry]]=1,ROUNDUP(AVERAGEIFS(tbl_SeqLib[Exact],tbl_SeqLib[Column],tbl_SeqLib[[#This Row],[Column]]),1),"")</f>
        <v/>
      </c>
      <c r="AB44" s="35" t="str">
        <f>IF(missing_qc_resolution=Reference!$E$49,tbl_SeqLib[[#This Row],[Avg per col (missing)]],tbl_SeqLib[[#This Row],[Avg per plate (missing)]])</f>
        <v/>
      </c>
      <c r="AC44" s="35" t="str">
        <f>IF(tbl_SeqLib[[#This Row],[entry]]=0,"",IF(tbl_SeqLib[[#This Row],[entry]]=1,tbl_SeqLib[[#This Row],[Not quantified]],IF(tbl_SeqLib[[#This Row],[entry]]=2,tbl_SeqLib[[#This Row],[Quantified]])))</f>
        <v/>
      </c>
      <c r="AD44" s="80"/>
      <c r="AE4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4" s="49" t="str">
        <f>IF(ISBLANK(tbl_SeqLib[[#This Row],[sWGA Identifier]]),"",CONCATENATE(exp_id,"_",tbl_SeqLib[[#This Row],[Well]]))</f>
        <v/>
      </c>
    </row>
    <row r="45" spans="1:32" ht="15.75" customHeight="1" x14ac:dyDescent="0.3">
      <c r="A45" s="48">
        <v>43</v>
      </c>
      <c r="B45" s="37" t="str">
        <f>RIGHT(tbl_SeqLib[[#This Row],[Well]],LEN(tbl_SeqLib[[#This Row],[Well]])-1)</f>
        <v>6</v>
      </c>
      <c r="C45" s="36" t="s">
        <v>169</v>
      </c>
      <c r="D45" s="19"/>
      <c r="E45" s="21"/>
      <c r="F45" s="19"/>
      <c r="G45" s="29"/>
      <c r="H45" s="19"/>
      <c r="I45" s="29"/>
      <c r="J45" s="29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170</v>
      </c>
      <c r="M45" s="73">
        <f>IF(OR(ISBLANK(tbl_SeqLib[[#This Row],[Sample ID]]),ISBLANK(endrepair_targetmass)),0,IF(LEN(tbl_SeqLib[[#This Row],[PCR '[DNA'] (ng / µl)]])=0,1,2))</f>
        <v>0</v>
      </c>
      <c r="N4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35" t="str">
        <f>IF(tbl_SeqLib[[#This Row],[entry]]=2,ROUNDUP(_xlfn.MINIFS(tbl_SeqLib[Exact],tbl_SeqLib[Column],tbl_SeqLib[[#This Row],[Column]]),1),"")</f>
        <v/>
      </c>
      <c r="P45" s="35" t="str">
        <f>IF(tbl_SeqLib[[#This Row],[entry]]=2,ROUNDDOWN(_xlfn.MAXIFS(tbl_SeqLib[Exact],tbl_SeqLib[Column],tbl_SeqLib[[#This Row],[Column]]),1),"")</f>
        <v/>
      </c>
      <c r="Q45" s="35" t="str">
        <f>IF(tbl_SeqLib[[#This Row],[entry]]=2,ROUNDUP(AVERAGEIFS(tbl_SeqLib[Exact],tbl_SeqLib[Column],tbl_SeqLib[[#This Row],[Column]]),1),"")</f>
        <v/>
      </c>
      <c r="R45" s="35" t="str" cm="1">
        <f t="array" ref="R45">_xlfn.XLOOKUP(0,ABS(tbl_SeqLib[[#This Row],[Min for col]:[Avg for col]]-tbl_SeqLib[[#This Row],[Exact]]),tbl_SeqLib[[#This Row],[Min for col]:[Avg for col]],"",1)</f>
        <v/>
      </c>
      <c r="S45" s="35" t="str" cm="1">
        <f t="array" ref="S45">_xlfn.XLOOKUP(0,ABS(tbl_SeqLib[[#This Row],[Max for col]:[Avg for col]]-tbl_SeqLib[[#This Row],[Exact]]),tbl_SeqLib[[#This Row],[Max for col]:[Avg for col]],"",1)</f>
        <v/>
      </c>
      <c r="T45" s="35" t="str">
        <f>IF(tbl_SeqLib[[#This Row],[entry]]=2,tbl_SeqLib[[#This Row],[Max for col]],"")</f>
        <v/>
      </c>
      <c r="U45" s="35" t="str">
        <f>IF(tbl_SeqLib[[#This Row],[entry]]=2,tbl_SeqLib[[#This Row],[Avg for col]],"")</f>
        <v/>
      </c>
      <c r="V45" s="35" t="str">
        <f>IF(tbl_SeqLib[[#This Row],[entry]]=2,AVERAGE(tbl_SeqLib[Exact]),"")</f>
        <v/>
      </c>
      <c r="W45" s="35" t="str">
        <f>IF(tbl_SeqLib[[#This Row],[entry]]=2,MAX(tbl_SeqLib[Exact]),"")</f>
        <v/>
      </c>
      <c r="X45" s="35" t="str" cm="1">
        <f t="array" ref="X45">_xlfn.XLOOKUP(0,ABS(tbl_SeqLib[[#This Row],[Avg per plate]:[Max per plate]]-tbl_SeqLib[[#This Row],[Exact]]),tbl_SeqLib[[#This Row],[Avg per plate]:[Max per plate]],,1)</f>
        <v/>
      </c>
      <c r="Y4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5" s="73" t="str">
        <f>IF(tbl_SeqLib[[#This Row],[entry]]=1,ROUNDUP(AVERAGE(tbl_SeqLib[Exact]),1),"")</f>
        <v/>
      </c>
      <c r="AA45" s="73" t="str">
        <f>IF(tbl_SeqLib[[#This Row],[entry]]=1,ROUNDUP(AVERAGEIFS(tbl_SeqLib[Exact],tbl_SeqLib[Column],tbl_SeqLib[[#This Row],[Column]]),1),"")</f>
        <v/>
      </c>
      <c r="AB45" s="35" t="str">
        <f>IF(missing_qc_resolution=Reference!$E$49,tbl_SeqLib[[#This Row],[Avg per col (missing)]],tbl_SeqLib[[#This Row],[Avg per plate (missing)]])</f>
        <v/>
      </c>
      <c r="AC45" s="35" t="str">
        <f>IF(tbl_SeqLib[[#This Row],[entry]]=0,"",IF(tbl_SeqLib[[#This Row],[entry]]=1,tbl_SeqLib[[#This Row],[Not quantified]],IF(tbl_SeqLib[[#This Row],[entry]]=2,tbl_SeqLib[[#This Row],[Quantified]])))</f>
        <v/>
      </c>
      <c r="AD45" s="80"/>
      <c r="AE4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5" s="49" t="str">
        <f>IF(ISBLANK(tbl_SeqLib[[#This Row],[sWGA Identifier]]),"",CONCATENATE(exp_id,"_",tbl_SeqLib[[#This Row],[Well]]))</f>
        <v/>
      </c>
    </row>
    <row r="46" spans="1:32" ht="15.75" customHeight="1" x14ac:dyDescent="0.3">
      <c r="A46" s="48">
        <v>44</v>
      </c>
      <c r="B46" s="37" t="str">
        <f>RIGHT(tbl_SeqLib[[#This Row],[Well]],LEN(tbl_SeqLib[[#This Row],[Well]])-1)</f>
        <v>6</v>
      </c>
      <c r="C46" s="36" t="s">
        <v>171</v>
      </c>
      <c r="D46" s="19"/>
      <c r="E46" s="21"/>
      <c r="F46" s="19"/>
      <c r="G46" s="29"/>
      <c r="H46" s="19"/>
      <c r="I46" s="29"/>
      <c r="J46" s="29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172</v>
      </c>
      <c r="M46" s="73">
        <f>IF(OR(ISBLANK(tbl_SeqLib[[#This Row],[Sample ID]]),ISBLANK(endrepair_targetmass)),0,IF(LEN(tbl_SeqLib[[#This Row],[PCR '[DNA'] (ng / µl)]])=0,1,2))</f>
        <v>0</v>
      </c>
      <c r="N4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35" t="str">
        <f>IF(tbl_SeqLib[[#This Row],[entry]]=2,ROUNDUP(_xlfn.MINIFS(tbl_SeqLib[Exact],tbl_SeqLib[Column],tbl_SeqLib[[#This Row],[Column]]),1),"")</f>
        <v/>
      </c>
      <c r="P46" s="35" t="str">
        <f>IF(tbl_SeqLib[[#This Row],[entry]]=2,ROUNDDOWN(_xlfn.MAXIFS(tbl_SeqLib[Exact],tbl_SeqLib[Column],tbl_SeqLib[[#This Row],[Column]]),1),"")</f>
        <v/>
      </c>
      <c r="Q46" s="35" t="str">
        <f>IF(tbl_SeqLib[[#This Row],[entry]]=2,ROUNDUP(AVERAGEIFS(tbl_SeqLib[Exact],tbl_SeqLib[Column],tbl_SeqLib[[#This Row],[Column]]),1),"")</f>
        <v/>
      </c>
      <c r="R46" s="35" t="str" cm="1">
        <f t="array" ref="R46">_xlfn.XLOOKUP(0,ABS(tbl_SeqLib[[#This Row],[Min for col]:[Avg for col]]-tbl_SeqLib[[#This Row],[Exact]]),tbl_SeqLib[[#This Row],[Min for col]:[Avg for col]],"",1)</f>
        <v/>
      </c>
      <c r="S46" s="35" t="str" cm="1">
        <f t="array" ref="S46">_xlfn.XLOOKUP(0,ABS(tbl_SeqLib[[#This Row],[Max for col]:[Avg for col]]-tbl_SeqLib[[#This Row],[Exact]]),tbl_SeqLib[[#This Row],[Max for col]:[Avg for col]],"",1)</f>
        <v/>
      </c>
      <c r="T46" s="35" t="str">
        <f>IF(tbl_SeqLib[[#This Row],[entry]]=2,tbl_SeqLib[[#This Row],[Max for col]],"")</f>
        <v/>
      </c>
      <c r="U46" s="35" t="str">
        <f>IF(tbl_SeqLib[[#This Row],[entry]]=2,tbl_SeqLib[[#This Row],[Avg for col]],"")</f>
        <v/>
      </c>
      <c r="V46" s="35" t="str">
        <f>IF(tbl_SeqLib[[#This Row],[entry]]=2,AVERAGE(tbl_SeqLib[Exact]),"")</f>
        <v/>
      </c>
      <c r="W46" s="35" t="str">
        <f>IF(tbl_SeqLib[[#This Row],[entry]]=2,MAX(tbl_SeqLib[Exact]),"")</f>
        <v/>
      </c>
      <c r="X46" s="35" t="str" cm="1">
        <f t="array" ref="X46">_xlfn.XLOOKUP(0,ABS(tbl_SeqLib[[#This Row],[Avg per plate]:[Max per plate]]-tbl_SeqLib[[#This Row],[Exact]]),tbl_SeqLib[[#This Row],[Avg per plate]:[Max per plate]],,1)</f>
        <v/>
      </c>
      <c r="Y4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6" s="73" t="str">
        <f>IF(tbl_SeqLib[[#This Row],[entry]]=1,ROUNDUP(AVERAGE(tbl_SeqLib[Exact]),1),"")</f>
        <v/>
      </c>
      <c r="AA46" s="73" t="str">
        <f>IF(tbl_SeqLib[[#This Row],[entry]]=1,ROUNDUP(AVERAGEIFS(tbl_SeqLib[Exact],tbl_SeqLib[Column],tbl_SeqLib[[#This Row],[Column]]),1),"")</f>
        <v/>
      </c>
      <c r="AB46" s="35" t="str">
        <f>IF(missing_qc_resolution=Reference!$E$49,tbl_SeqLib[[#This Row],[Avg per col (missing)]],tbl_SeqLib[[#This Row],[Avg per plate (missing)]])</f>
        <v/>
      </c>
      <c r="AC46" s="35" t="str">
        <f>IF(tbl_SeqLib[[#This Row],[entry]]=0,"",IF(tbl_SeqLib[[#This Row],[entry]]=1,tbl_SeqLib[[#This Row],[Not quantified]],IF(tbl_SeqLib[[#This Row],[entry]]=2,tbl_SeqLib[[#This Row],[Quantified]])))</f>
        <v/>
      </c>
      <c r="AD46" s="80"/>
      <c r="AE4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6" s="49" t="str">
        <f>IF(ISBLANK(tbl_SeqLib[[#This Row],[sWGA Identifier]]),"",CONCATENATE(exp_id,"_",tbl_SeqLib[[#This Row],[Well]]))</f>
        <v/>
      </c>
    </row>
    <row r="47" spans="1:32" ht="15.75" customHeight="1" x14ac:dyDescent="0.3">
      <c r="A47" s="48">
        <v>45</v>
      </c>
      <c r="B47" s="37" t="str">
        <f>RIGHT(tbl_SeqLib[[#This Row],[Well]],LEN(tbl_SeqLib[[#This Row],[Well]])-1)</f>
        <v>6</v>
      </c>
      <c r="C47" s="36" t="s">
        <v>173</v>
      </c>
      <c r="D47" s="19"/>
      <c r="E47" s="21"/>
      <c r="F47" s="19"/>
      <c r="G47" s="29"/>
      <c r="H47" s="19"/>
      <c r="I47" s="29"/>
      <c r="J47" s="29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174</v>
      </c>
      <c r="M47" s="73">
        <f>IF(OR(ISBLANK(tbl_SeqLib[[#This Row],[Sample ID]]),ISBLANK(endrepair_targetmass)),0,IF(LEN(tbl_SeqLib[[#This Row],[PCR '[DNA'] (ng / µl)]])=0,1,2))</f>
        <v>0</v>
      </c>
      <c r="N4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35" t="str">
        <f>IF(tbl_SeqLib[[#This Row],[entry]]=2,ROUNDUP(_xlfn.MINIFS(tbl_SeqLib[Exact],tbl_SeqLib[Column],tbl_SeqLib[[#This Row],[Column]]),1),"")</f>
        <v/>
      </c>
      <c r="P47" s="35" t="str">
        <f>IF(tbl_SeqLib[[#This Row],[entry]]=2,ROUNDDOWN(_xlfn.MAXIFS(tbl_SeqLib[Exact],tbl_SeqLib[Column],tbl_SeqLib[[#This Row],[Column]]),1),"")</f>
        <v/>
      </c>
      <c r="Q47" s="35" t="str">
        <f>IF(tbl_SeqLib[[#This Row],[entry]]=2,ROUNDUP(AVERAGEIFS(tbl_SeqLib[Exact],tbl_SeqLib[Column],tbl_SeqLib[[#This Row],[Column]]),1),"")</f>
        <v/>
      </c>
      <c r="R47" s="35" t="str" cm="1">
        <f t="array" ref="R47">_xlfn.XLOOKUP(0,ABS(tbl_SeqLib[[#This Row],[Min for col]:[Avg for col]]-tbl_SeqLib[[#This Row],[Exact]]),tbl_SeqLib[[#This Row],[Min for col]:[Avg for col]],"",1)</f>
        <v/>
      </c>
      <c r="S47" s="35" t="str" cm="1">
        <f t="array" ref="S47">_xlfn.XLOOKUP(0,ABS(tbl_SeqLib[[#This Row],[Max for col]:[Avg for col]]-tbl_SeqLib[[#This Row],[Exact]]),tbl_SeqLib[[#This Row],[Max for col]:[Avg for col]],"",1)</f>
        <v/>
      </c>
      <c r="T47" s="35" t="str">
        <f>IF(tbl_SeqLib[[#This Row],[entry]]=2,tbl_SeqLib[[#This Row],[Max for col]],"")</f>
        <v/>
      </c>
      <c r="U47" s="35" t="str">
        <f>IF(tbl_SeqLib[[#This Row],[entry]]=2,tbl_SeqLib[[#This Row],[Avg for col]],"")</f>
        <v/>
      </c>
      <c r="V47" s="35" t="str">
        <f>IF(tbl_SeqLib[[#This Row],[entry]]=2,AVERAGE(tbl_SeqLib[Exact]),"")</f>
        <v/>
      </c>
      <c r="W47" s="35" t="str">
        <f>IF(tbl_SeqLib[[#This Row],[entry]]=2,MAX(tbl_SeqLib[Exact]),"")</f>
        <v/>
      </c>
      <c r="X47" s="35" t="str" cm="1">
        <f t="array" ref="X47">_xlfn.XLOOKUP(0,ABS(tbl_SeqLib[[#This Row],[Avg per plate]:[Max per plate]]-tbl_SeqLib[[#This Row],[Exact]]),tbl_SeqLib[[#This Row],[Avg per plate]:[Max per plate]],,1)</f>
        <v/>
      </c>
      <c r="Y4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7" s="73" t="str">
        <f>IF(tbl_SeqLib[[#This Row],[entry]]=1,ROUNDUP(AVERAGE(tbl_SeqLib[Exact]),1),"")</f>
        <v/>
      </c>
      <c r="AA47" s="73" t="str">
        <f>IF(tbl_SeqLib[[#This Row],[entry]]=1,ROUNDUP(AVERAGEIFS(tbl_SeqLib[Exact],tbl_SeqLib[Column],tbl_SeqLib[[#This Row],[Column]]),1),"")</f>
        <v/>
      </c>
      <c r="AB47" s="35" t="str">
        <f>IF(missing_qc_resolution=Reference!$E$49,tbl_SeqLib[[#This Row],[Avg per col (missing)]],tbl_SeqLib[[#This Row],[Avg per plate (missing)]])</f>
        <v/>
      </c>
      <c r="AC47" s="35" t="str">
        <f>IF(tbl_SeqLib[[#This Row],[entry]]=0,"",IF(tbl_SeqLib[[#This Row],[entry]]=1,tbl_SeqLib[[#This Row],[Not quantified]],IF(tbl_SeqLib[[#This Row],[entry]]=2,tbl_SeqLib[[#This Row],[Quantified]])))</f>
        <v/>
      </c>
      <c r="AD47" s="80"/>
      <c r="AE4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7" s="49" t="str">
        <f>IF(ISBLANK(tbl_SeqLib[[#This Row],[sWGA Identifier]]),"",CONCATENATE(exp_id,"_",tbl_SeqLib[[#This Row],[Well]]))</f>
        <v/>
      </c>
    </row>
    <row r="48" spans="1:32" ht="15.75" customHeight="1" x14ac:dyDescent="0.3">
      <c r="A48" s="48">
        <v>46</v>
      </c>
      <c r="B48" s="37" t="str">
        <f>RIGHT(tbl_SeqLib[[#This Row],[Well]],LEN(tbl_SeqLib[[#This Row],[Well]])-1)</f>
        <v>6</v>
      </c>
      <c r="C48" s="36" t="s">
        <v>175</v>
      </c>
      <c r="D48" s="19"/>
      <c r="E48" s="21"/>
      <c r="F48" s="19"/>
      <c r="G48" s="29"/>
      <c r="H48" s="19"/>
      <c r="I48" s="29"/>
      <c r="J48" s="29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176</v>
      </c>
      <c r="M48" s="73">
        <f>IF(OR(ISBLANK(tbl_SeqLib[[#This Row],[Sample ID]]),ISBLANK(endrepair_targetmass)),0,IF(LEN(tbl_SeqLib[[#This Row],[PCR '[DNA'] (ng / µl)]])=0,1,2))</f>
        <v>0</v>
      </c>
      <c r="N4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35" t="str">
        <f>IF(tbl_SeqLib[[#This Row],[entry]]=2,ROUNDUP(_xlfn.MINIFS(tbl_SeqLib[Exact],tbl_SeqLib[Column],tbl_SeqLib[[#This Row],[Column]]),1),"")</f>
        <v/>
      </c>
      <c r="P48" s="35" t="str">
        <f>IF(tbl_SeqLib[[#This Row],[entry]]=2,ROUNDDOWN(_xlfn.MAXIFS(tbl_SeqLib[Exact],tbl_SeqLib[Column],tbl_SeqLib[[#This Row],[Column]]),1),"")</f>
        <v/>
      </c>
      <c r="Q48" s="35" t="str">
        <f>IF(tbl_SeqLib[[#This Row],[entry]]=2,ROUNDUP(AVERAGEIFS(tbl_SeqLib[Exact],tbl_SeqLib[Column],tbl_SeqLib[[#This Row],[Column]]),1),"")</f>
        <v/>
      </c>
      <c r="R48" s="35" t="str" cm="1">
        <f t="array" ref="R48">_xlfn.XLOOKUP(0,ABS(tbl_SeqLib[[#This Row],[Min for col]:[Avg for col]]-tbl_SeqLib[[#This Row],[Exact]]),tbl_SeqLib[[#This Row],[Min for col]:[Avg for col]],"",1)</f>
        <v/>
      </c>
      <c r="S48" s="35" t="str" cm="1">
        <f t="array" ref="S48">_xlfn.XLOOKUP(0,ABS(tbl_SeqLib[[#This Row],[Max for col]:[Avg for col]]-tbl_SeqLib[[#This Row],[Exact]]),tbl_SeqLib[[#This Row],[Max for col]:[Avg for col]],"",1)</f>
        <v/>
      </c>
      <c r="T48" s="35" t="str">
        <f>IF(tbl_SeqLib[[#This Row],[entry]]=2,tbl_SeqLib[[#This Row],[Max for col]],"")</f>
        <v/>
      </c>
      <c r="U48" s="35" t="str">
        <f>IF(tbl_SeqLib[[#This Row],[entry]]=2,tbl_SeqLib[[#This Row],[Avg for col]],"")</f>
        <v/>
      </c>
      <c r="V48" s="35" t="str">
        <f>IF(tbl_SeqLib[[#This Row],[entry]]=2,AVERAGE(tbl_SeqLib[Exact]),"")</f>
        <v/>
      </c>
      <c r="W48" s="35" t="str">
        <f>IF(tbl_SeqLib[[#This Row],[entry]]=2,MAX(tbl_SeqLib[Exact]),"")</f>
        <v/>
      </c>
      <c r="X48" s="35" t="str" cm="1">
        <f t="array" ref="X48">_xlfn.XLOOKUP(0,ABS(tbl_SeqLib[[#This Row],[Avg per plate]:[Max per plate]]-tbl_SeqLib[[#This Row],[Exact]]),tbl_SeqLib[[#This Row],[Avg per plate]:[Max per plate]],,1)</f>
        <v/>
      </c>
      <c r="Y4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8" s="73" t="str">
        <f>IF(tbl_SeqLib[[#This Row],[entry]]=1,ROUNDUP(AVERAGE(tbl_SeqLib[Exact]),1),"")</f>
        <v/>
      </c>
      <c r="AA48" s="73" t="str">
        <f>IF(tbl_SeqLib[[#This Row],[entry]]=1,ROUNDUP(AVERAGEIFS(tbl_SeqLib[Exact],tbl_SeqLib[Column],tbl_SeqLib[[#This Row],[Column]]),1),"")</f>
        <v/>
      </c>
      <c r="AB48" s="35" t="str">
        <f>IF(missing_qc_resolution=Reference!$E$49,tbl_SeqLib[[#This Row],[Avg per col (missing)]],tbl_SeqLib[[#This Row],[Avg per plate (missing)]])</f>
        <v/>
      </c>
      <c r="AC48" s="35" t="str">
        <f>IF(tbl_SeqLib[[#This Row],[entry]]=0,"",IF(tbl_SeqLib[[#This Row],[entry]]=1,tbl_SeqLib[[#This Row],[Not quantified]],IF(tbl_SeqLib[[#This Row],[entry]]=2,tbl_SeqLib[[#This Row],[Quantified]])))</f>
        <v/>
      </c>
      <c r="AD48" s="80"/>
      <c r="AE4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8" s="49" t="str">
        <f>IF(ISBLANK(tbl_SeqLib[[#This Row],[sWGA Identifier]]),"",CONCATENATE(exp_id,"_",tbl_SeqLib[[#This Row],[Well]]))</f>
        <v/>
      </c>
    </row>
    <row r="49" spans="1:32" ht="15.75" customHeight="1" x14ac:dyDescent="0.3">
      <c r="A49" s="48">
        <v>47</v>
      </c>
      <c r="B49" s="37" t="str">
        <f>RIGHT(tbl_SeqLib[[#This Row],[Well]],LEN(tbl_SeqLib[[#This Row],[Well]])-1)</f>
        <v>6</v>
      </c>
      <c r="C49" s="36" t="s">
        <v>177</v>
      </c>
      <c r="D49" s="19"/>
      <c r="E49" s="21"/>
      <c r="F49" s="19"/>
      <c r="G49" s="29"/>
      <c r="H49" s="19"/>
      <c r="I49" s="29"/>
      <c r="J49" s="29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178</v>
      </c>
      <c r="M49" s="73">
        <f>IF(OR(ISBLANK(tbl_SeqLib[[#This Row],[Sample ID]]),ISBLANK(endrepair_targetmass)),0,IF(LEN(tbl_SeqLib[[#This Row],[PCR '[DNA'] (ng / µl)]])=0,1,2))</f>
        <v>0</v>
      </c>
      <c r="N4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35" t="str">
        <f>IF(tbl_SeqLib[[#This Row],[entry]]=2,ROUNDUP(_xlfn.MINIFS(tbl_SeqLib[Exact],tbl_SeqLib[Column],tbl_SeqLib[[#This Row],[Column]]),1),"")</f>
        <v/>
      </c>
      <c r="P49" s="35" t="str">
        <f>IF(tbl_SeqLib[[#This Row],[entry]]=2,ROUNDDOWN(_xlfn.MAXIFS(tbl_SeqLib[Exact],tbl_SeqLib[Column],tbl_SeqLib[[#This Row],[Column]]),1),"")</f>
        <v/>
      </c>
      <c r="Q49" s="35" t="str">
        <f>IF(tbl_SeqLib[[#This Row],[entry]]=2,ROUNDUP(AVERAGEIFS(tbl_SeqLib[Exact],tbl_SeqLib[Column],tbl_SeqLib[[#This Row],[Column]]),1),"")</f>
        <v/>
      </c>
      <c r="R49" s="35" t="str" cm="1">
        <f t="array" ref="R49">_xlfn.XLOOKUP(0,ABS(tbl_SeqLib[[#This Row],[Min for col]:[Avg for col]]-tbl_SeqLib[[#This Row],[Exact]]),tbl_SeqLib[[#This Row],[Min for col]:[Avg for col]],"",1)</f>
        <v/>
      </c>
      <c r="S49" s="35" t="str" cm="1">
        <f t="array" ref="S49">_xlfn.XLOOKUP(0,ABS(tbl_SeqLib[[#This Row],[Max for col]:[Avg for col]]-tbl_SeqLib[[#This Row],[Exact]]),tbl_SeqLib[[#This Row],[Max for col]:[Avg for col]],"",1)</f>
        <v/>
      </c>
      <c r="T49" s="35" t="str">
        <f>IF(tbl_SeqLib[[#This Row],[entry]]=2,tbl_SeqLib[[#This Row],[Max for col]],"")</f>
        <v/>
      </c>
      <c r="U49" s="35" t="str">
        <f>IF(tbl_SeqLib[[#This Row],[entry]]=2,tbl_SeqLib[[#This Row],[Avg for col]],"")</f>
        <v/>
      </c>
      <c r="V49" s="35" t="str">
        <f>IF(tbl_SeqLib[[#This Row],[entry]]=2,AVERAGE(tbl_SeqLib[Exact]),"")</f>
        <v/>
      </c>
      <c r="W49" s="35" t="str">
        <f>IF(tbl_SeqLib[[#This Row],[entry]]=2,MAX(tbl_SeqLib[Exact]),"")</f>
        <v/>
      </c>
      <c r="X49" s="35" t="str" cm="1">
        <f t="array" ref="X49">_xlfn.XLOOKUP(0,ABS(tbl_SeqLib[[#This Row],[Avg per plate]:[Max per plate]]-tbl_SeqLib[[#This Row],[Exact]]),tbl_SeqLib[[#This Row],[Avg per plate]:[Max per plate]],,1)</f>
        <v/>
      </c>
      <c r="Y4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9" s="73" t="str">
        <f>IF(tbl_SeqLib[[#This Row],[entry]]=1,ROUNDUP(AVERAGE(tbl_SeqLib[Exact]),1),"")</f>
        <v/>
      </c>
      <c r="AA49" s="73" t="str">
        <f>IF(tbl_SeqLib[[#This Row],[entry]]=1,ROUNDUP(AVERAGEIFS(tbl_SeqLib[Exact],tbl_SeqLib[Column],tbl_SeqLib[[#This Row],[Column]]),1),"")</f>
        <v/>
      </c>
      <c r="AB49" s="35" t="str">
        <f>IF(missing_qc_resolution=Reference!$E$49,tbl_SeqLib[[#This Row],[Avg per col (missing)]],tbl_SeqLib[[#This Row],[Avg per plate (missing)]])</f>
        <v/>
      </c>
      <c r="AC49" s="35" t="str">
        <f>IF(tbl_SeqLib[[#This Row],[entry]]=0,"",IF(tbl_SeqLib[[#This Row],[entry]]=1,tbl_SeqLib[[#This Row],[Not quantified]],IF(tbl_SeqLib[[#This Row],[entry]]=2,tbl_SeqLib[[#This Row],[Quantified]])))</f>
        <v/>
      </c>
      <c r="AD49" s="80"/>
      <c r="AE4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9" s="49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50">
        <v>48</v>
      </c>
      <c r="B50" s="51" t="str">
        <f>RIGHT(tbl_SeqLib[[#This Row],[Well]],LEN(tbl_SeqLib[[#This Row],[Well]])-1)</f>
        <v>6</v>
      </c>
      <c r="C50" s="59" t="s">
        <v>179</v>
      </c>
      <c r="D50" s="52"/>
      <c r="E50" s="53"/>
      <c r="F50" s="52"/>
      <c r="G50" s="54"/>
      <c r="H50" s="52"/>
      <c r="I50" s="54"/>
      <c r="J50" s="54"/>
      <c r="K5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6" t="s">
        <v>180</v>
      </c>
      <c r="M50" s="74">
        <f>IF(OR(ISBLANK(tbl_SeqLib[[#This Row],[Sample ID]]),ISBLANK(endrepair_targetmass)),0,IF(LEN(tbl_SeqLib[[#This Row],[PCR '[DNA'] (ng / µl)]])=0,1,2))</f>
        <v>0</v>
      </c>
      <c r="N5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57" t="str">
        <f>IF(tbl_SeqLib[[#This Row],[entry]]=2,ROUNDUP(_xlfn.MINIFS(tbl_SeqLib[Exact],tbl_SeqLib[Column],tbl_SeqLib[[#This Row],[Column]]),1),"")</f>
        <v/>
      </c>
      <c r="P50" s="57" t="str">
        <f>IF(tbl_SeqLib[[#This Row],[entry]]=2,ROUNDDOWN(_xlfn.MAXIFS(tbl_SeqLib[Exact],tbl_SeqLib[Column],tbl_SeqLib[[#This Row],[Column]]),1),"")</f>
        <v/>
      </c>
      <c r="Q50" s="57" t="str">
        <f>IF(tbl_SeqLib[[#This Row],[entry]]=2,ROUNDUP(AVERAGEIFS(tbl_SeqLib[Exact],tbl_SeqLib[Column],tbl_SeqLib[[#This Row],[Column]]),1),"")</f>
        <v/>
      </c>
      <c r="R50" s="57" t="str" cm="1">
        <f t="array" ref="R50">_xlfn.XLOOKUP(0,ABS(tbl_SeqLib[[#This Row],[Min for col]:[Avg for col]]-tbl_SeqLib[[#This Row],[Exact]]),tbl_SeqLib[[#This Row],[Min for col]:[Avg for col]],"",1)</f>
        <v/>
      </c>
      <c r="S50" s="57" t="str" cm="1">
        <f t="array" ref="S50">_xlfn.XLOOKUP(0,ABS(tbl_SeqLib[[#This Row],[Max for col]:[Avg for col]]-tbl_SeqLib[[#This Row],[Exact]]),tbl_SeqLib[[#This Row],[Max for col]:[Avg for col]],"",1)</f>
        <v/>
      </c>
      <c r="T50" s="57" t="str">
        <f>IF(tbl_SeqLib[[#This Row],[entry]]=2,tbl_SeqLib[[#This Row],[Max for col]],"")</f>
        <v/>
      </c>
      <c r="U50" s="57" t="str">
        <f>IF(tbl_SeqLib[[#This Row],[entry]]=2,tbl_SeqLib[[#This Row],[Avg for col]],"")</f>
        <v/>
      </c>
      <c r="V50" s="57" t="str">
        <f>IF(tbl_SeqLib[[#This Row],[entry]]=2,AVERAGE(tbl_SeqLib[Exact]),"")</f>
        <v/>
      </c>
      <c r="W50" s="57" t="str">
        <f>IF(tbl_SeqLib[[#This Row],[entry]]=2,MAX(tbl_SeqLib[Exact]),"")</f>
        <v/>
      </c>
      <c r="X50" s="57" t="str" cm="1">
        <f t="array" ref="X50">_xlfn.XLOOKUP(0,ABS(tbl_SeqLib[[#This Row],[Avg per plate]:[Max per plate]]-tbl_SeqLib[[#This Row],[Exact]]),tbl_SeqLib[[#This Row],[Avg per plate]:[Max per plate]],,1)</f>
        <v/>
      </c>
      <c r="Y5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0" s="74" t="str">
        <f>IF(tbl_SeqLib[[#This Row],[entry]]=1,ROUNDUP(AVERAGE(tbl_SeqLib[Exact]),1),"")</f>
        <v/>
      </c>
      <c r="AA50" s="74" t="str">
        <f>IF(tbl_SeqLib[[#This Row],[entry]]=1,ROUNDUP(AVERAGEIFS(tbl_SeqLib[Exact],tbl_SeqLib[Column],tbl_SeqLib[[#This Row],[Column]]),1),"")</f>
        <v/>
      </c>
      <c r="AB50" s="57" t="str">
        <f>IF(missing_qc_resolution=Reference!$E$49,tbl_SeqLib[[#This Row],[Avg per col (missing)]],tbl_SeqLib[[#This Row],[Avg per plate (missing)]])</f>
        <v/>
      </c>
      <c r="AC50" s="57" t="str">
        <f>IF(tbl_SeqLib[[#This Row],[entry]]=0,"",IF(tbl_SeqLib[[#This Row],[entry]]=1,tbl_SeqLib[[#This Row],[Not quantified]],IF(tbl_SeqLib[[#This Row],[entry]]=2,tbl_SeqLib[[#This Row],[Quantified]])))</f>
        <v/>
      </c>
      <c r="AD50" s="81"/>
      <c r="AE5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0" s="58" t="str">
        <f>IF(ISBLANK(tbl_SeqLib[[#This Row],[sWGA Identifier]]),"",CONCATENATE(exp_id,"_",tbl_SeqLib[[#This Row],[Well]]))</f>
        <v/>
      </c>
    </row>
    <row r="51" spans="1:32" ht="15.75" customHeight="1" x14ac:dyDescent="0.3">
      <c r="A51" s="41">
        <v>49</v>
      </c>
      <c r="B51" s="42" t="str">
        <f>RIGHT(tbl_SeqLib[[#This Row],[Well]],LEN(tbl_SeqLib[[#This Row],[Well]])-1)</f>
        <v>7</v>
      </c>
      <c r="C51" s="42" t="s">
        <v>181</v>
      </c>
      <c r="D51" s="43"/>
      <c r="E51" s="45"/>
      <c r="F51" s="43"/>
      <c r="G51" s="43"/>
      <c r="H51" s="43"/>
      <c r="I51" s="43"/>
      <c r="J51" s="43"/>
      <c r="K5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5" t="s">
        <v>182</v>
      </c>
      <c r="M51" s="72">
        <f>IF(OR(ISBLANK(tbl_SeqLib[[#This Row],[Sample ID]]),ISBLANK(endrepair_targetmass)),0,IF(LEN(tbl_SeqLib[[#This Row],[PCR '[DNA'] (ng / µl)]])=0,1,2))</f>
        <v>0</v>
      </c>
      <c r="N5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46" t="str">
        <f>IF(tbl_SeqLib[[#This Row],[entry]]=2,ROUNDUP(_xlfn.MINIFS(tbl_SeqLib[Exact],tbl_SeqLib[Column],tbl_SeqLib[[#This Row],[Column]]),1),"")</f>
        <v/>
      </c>
      <c r="P51" s="46" t="str">
        <f>IF(tbl_SeqLib[[#This Row],[entry]]=2,ROUNDDOWN(_xlfn.MAXIFS(tbl_SeqLib[Exact],tbl_SeqLib[Column],tbl_SeqLib[[#This Row],[Column]]),1),"")</f>
        <v/>
      </c>
      <c r="Q51" s="46" t="str">
        <f>IF(tbl_SeqLib[[#This Row],[entry]]=2,ROUNDUP(AVERAGEIFS(tbl_SeqLib[Exact],tbl_SeqLib[Column],tbl_SeqLib[[#This Row],[Column]]),1),"")</f>
        <v/>
      </c>
      <c r="R51" s="46" t="str" cm="1">
        <f t="array" ref="R51">_xlfn.XLOOKUP(0,ABS(tbl_SeqLib[[#This Row],[Min for col]:[Avg for col]]-tbl_SeqLib[[#This Row],[Exact]]),tbl_SeqLib[[#This Row],[Min for col]:[Avg for col]],"",1)</f>
        <v/>
      </c>
      <c r="S51" s="46" t="str" cm="1">
        <f t="array" ref="S51">_xlfn.XLOOKUP(0,ABS(tbl_SeqLib[[#This Row],[Max for col]:[Avg for col]]-tbl_SeqLib[[#This Row],[Exact]]),tbl_SeqLib[[#This Row],[Max for col]:[Avg for col]],"",1)</f>
        <v/>
      </c>
      <c r="T51" s="46" t="str">
        <f>IF(tbl_SeqLib[[#This Row],[entry]]=2,tbl_SeqLib[[#This Row],[Max for col]],"")</f>
        <v/>
      </c>
      <c r="U51" s="46" t="str">
        <f>IF(tbl_SeqLib[[#This Row],[entry]]=2,tbl_SeqLib[[#This Row],[Avg for col]],"")</f>
        <v/>
      </c>
      <c r="V51" s="46" t="str">
        <f>IF(tbl_SeqLib[[#This Row],[entry]]=2,AVERAGE(tbl_SeqLib[Exact]),"")</f>
        <v/>
      </c>
      <c r="W51" s="46" t="str">
        <f>IF(tbl_SeqLib[[#This Row],[entry]]=2,MAX(tbl_SeqLib[Exact]),"")</f>
        <v/>
      </c>
      <c r="X51" s="46" t="str" cm="1">
        <f t="array" ref="X51">_xlfn.XLOOKUP(0,ABS(tbl_SeqLib[[#This Row],[Avg per plate]:[Max per plate]]-tbl_SeqLib[[#This Row],[Exact]]),tbl_SeqLib[[#This Row],[Avg per plate]:[Max per plate]],,1)</f>
        <v/>
      </c>
      <c r="Y5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1" s="72" t="str">
        <f>IF(tbl_SeqLib[[#This Row],[entry]]=1,ROUNDUP(AVERAGE(tbl_SeqLib[Exact]),1),"")</f>
        <v/>
      </c>
      <c r="AA51" s="72" t="str">
        <f>IF(tbl_SeqLib[[#This Row],[entry]]=1,ROUNDUP(AVERAGEIFS(tbl_SeqLib[Exact],tbl_SeqLib[Column],tbl_SeqLib[[#This Row],[Column]]),1),"")</f>
        <v/>
      </c>
      <c r="AB51" s="46" t="str">
        <f>IF(missing_qc_resolution=Reference!$E$49,tbl_SeqLib[[#This Row],[Avg per col (missing)]],tbl_SeqLib[[#This Row],[Avg per plate (missing)]])</f>
        <v/>
      </c>
      <c r="AC51" s="46" t="str">
        <f>IF(tbl_SeqLib[[#This Row],[entry]]=0,"",IF(tbl_SeqLib[[#This Row],[entry]]=1,tbl_SeqLib[[#This Row],[Not quantified]],IF(tbl_SeqLib[[#This Row],[entry]]=2,tbl_SeqLib[[#This Row],[Quantified]])))</f>
        <v/>
      </c>
      <c r="AD51" s="79"/>
      <c r="AE5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1" s="47" t="str">
        <f>IF(ISBLANK(tbl_SeqLib[[#This Row],[sWGA Identifier]]),"",CONCATENATE(exp_id,"_",tbl_SeqLib[[#This Row],[Well]]))</f>
        <v/>
      </c>
    </row>
    <row r="52" spans="1:32" ht="15.75" customHeight="1" x14ac:dyDescent="0.3">
      <c r="A52" s="48">
        <v>50</v>
      </c>
      <c r="B52" s="37" t="str">
        <f>RIGHT(tbl_SeqLib[[#This Row],[Well]],LEN(tbl_SeqLib[[#This Row],[Well]])-1)</f>
        <v>7</v>
      </c>
      <c r="C52" s="36" t="s">
        <v>183</v>
      </c>
      <c r="D52" s="19"/>
      <c r="E52" s="21"/>
      <c r="F52" s="19"/>
      <c r="G52" s="29"/>
      <c r="H52" s="19"/>
      <c r="I52" s="29"/>
      <c r="J52" s="29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184</v>
      </c>
      <c r="M52" s="73">
        <f>IF(OR(ISBLANK(tbl_SeqLib[[#This Row],[Sample ID]]),ISBLANK(endrepair_targetmass)),0,IF(LEN(tbl_SeqLib[[#This Row],[PCR '[DNA'] (ng / µl)]])=0,1,2))</f>
        <v>0</v>
      </c>
      <c r="N5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35" t="str">
        <f>IF(tbl_SeqLib[[#This Row],[entry]]=2,ROUNDUP(_xlfn.MINIFS(tbl_SeqLib[Exact],tbl_SeqLib[Column],tbl_SeqLib[[#This Row],[Column]]),1),"")</f>
        <v/>
      </c>
      <c r="P52" s="35" t="str">
        <f>IF(tbl_SeqLib[[#This Row],[entry]]=2,ROUNDDOWN(_xlfn.MAXIFS(tbl_SeqLib[Exact],tbl_SeqLib[Column],tbl_SeqLib[[#This Row],[Column]]),1),"")</f>
        <v/>
      </c>
      <c r="Q52" s="35" t="str">
        <f>IF(tbl_SeqLib[[#This Row],[entry]]=2,ROUNDUP(AVERAGEIFS(tbl_SeqLib[Exact],tbl_SeqLib[Column],tbl_SeqLib[[#This Row],[Column]]),1),"")</f>
        <v/>
      </c>
      <c r="R52" s="35" t="str" cm="1">
        <f t="array" ref="R52">_xlfn.XLOOKUP(0,ABS(tbl_SeqLib[[#This Row],[Min for col]:[Avg for col]]-tbl_SeqLib[[#This Row],[Exact]]),tbl_SeqLib[[#This Row],[Min for col]:[Avg for col]],"",1)</f>
        <v/>
      </c>
      <c r="S52" s="35" t="str" cm="1">
        <f t="array" ref="S52">_xlfn.XLOOKUP(0,ABS(tbl_SeqLib[[#This Row],[Max for col]:[Avg for col]]-tbl_SeqLib[[#This Row],[Exact]]),tbl_SeqLib[[#This Row],[Max for col]:[Avg for col]],"",1)</f>
        <v/>
      </c>
      <c r="T52" s="35" t="str">
        <f>IF(tbl_SeqLib[[#This Row],[entry]]=2,tbl_SeqLib[[#This Row],[Max for col]],"")</f>
        <v/>
      </c>
      <c r="U52" s="35" t="str">
        <f>IF(tbl_SeqLib[[#This Row],[entry]]=2,tbl_SeqLib[[#This Row],[Avg for col]],"")</f>
        <v/>
      </c>
      <c r="V52" s="35" t="str">
        <f>IF(tbl_SeqLib[[#This Row],[entry]]=2,AVERAGE(tbl_SeqLib[Exact]),"")</f>
        <v/>
      </c>
      <c r="W52" s="35" t="str">
        <f>IF(tbl_SeqLib[[#This Row],[entry]]=2,MAX(tbl_SeqLib[Exact]),"")</f>
        <v/>
      </c>
      <c r="X52" s="35" t="str" cm="1">
        <f t="array" ref="X52">_xlfn.XLOOKUP(0,ABS(tbl_SeqLib[[#This Row],[Avg per plate]:[Max per plate]]-tbl_SeqLib[[#This Row],[Exact]]),tbl_SeqLib[[#This Row],[Avg per plate]:[Max per plate]],,1)</f>
        <v/>
      </c>
      <c r="Y5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2" s="73" t="str">
        <f>IF(tbl_SeqLib[[#This Row],[entry]]=1,ROUNDUP(AVERAGE(tbl_SeqLib[Exact]),1),"")</f>
        <v/>
      </c>
      <c r="AA52" s="73" t="str">
        <f>IF(tbl_SeqLib[[#This Row],[entry]]=1,ROUNDUP(AVERAGEIFS(tbl_SeqLib[Exact],tbl_SeqLib[Column],tbl_SeqLib[[#This Row],[Column]]),1),"")</f>
        <v/>
      </c>
      <c r="AB52" s="35" t="str">
        <f>IF(missing_qc_resolution=Reference!$E$49,tbl_SeqLib[[#This Row],[Avg per col (missing)]],tbl_SeqLib[[#This Row],[Avg per plate (missing)]])</f>
        <v/>
      </c>
      <c r="AC52" s="35" t="str">
        <f>IF(tbl_SeqLib[[#This Row],[entry]]=0,"",IF(tbl_SeqLib[[#This Row],[entry]]=1,tbl_SeqLib[[#This Row],[Not quantified]],IF(tbl_SeqLib[[#This Row],[entry]]=2,tbl_SeqLib[[#This Row],[Quantified]])))</f>
        <v/>
      </c>
      <c r="AD52" s="80"/>
      <c r="AE5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2" s="49" t="str">
        <f>IF(ISBLANK(tbl_SeqLib[[#This Row],[sWGA Identifier]]),"",CONCATENATE(exp_id,"_",tbl_SeqLib[[#This Row],[Well]]))</f>
        <v/>
      </c>
    </row>
    <row r="53" spans="1:32" ht="15.75" customHeight="1" x14ac:dyDescent="0.3">
      <c r="A53" s="48">
        <v>51</v>
      </c>
      <c r="B53" s="37" t="str">
        <f>RIGHT(tbl_SeqLib[[#This Row],[Well]],LEN(tbl_SeqLib[[#This Row],[Well]])-1)</f>
        <v>7</v>
      </c>
      <c r="C53" s="36" t="s">
        <v>185</v>
      </c>
      <c r="D53" s="19"/>
      <c r="E53" s="21"/>
      <c r="F53" s="19"/>
      <c r="G53" s="29"/>
      <c r="H53" s="29"/>
      <c r="I53" s="29"/>
      <c r="J53" s="29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186</v>
      </c>
      <c r="M53" s="73">
        <f>IF(OR(ISBLANK(tbl_SeqLib[[#This Row],[Sample ID]]),ISBLANK(endrepair_targetmass)),0,IF(LEN(tbl_SeqLib[[#This Row],[PCR '[DNA'] (ng / µl)]])=0,1,2))</f>
        <v>0</v>
      </c>
      <c r="N5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35" t="str">
        <f>IF(tbl_SeqLib[[#This Row],[entry]]=2,ROUNDUP(_xlfn.MINIFS(tbl_SeqLib[Exact],tbl_SeqLib[Column],tbl_SeqLib[[#This Row],[Column]]),1),"")</f>
        <v/>
      </c>
      <c r="P53" s="35" t="str">
        <f>IF(tbl_SeqLib[[#This Row],[entry]]=2,ROUNDDOWN(_xlfn.MAXIFS(tbl_SeqLib[Exact],tbl_SeqLib[Column],tbl_SeqLib[[#This Row],[Column]]),1),"")</f>
        <v/>
      </c>
      <c r="Q53" s="35" t="str">
        <f>IF(tbl_SeqLib[[#This Row],[entry]]=2,ROUNDUP(AVERAGEIFS(tbl_SeqLib[Exact],tbl_SeqLib[Column],tbl_SeqLib[[#This Row],[Column]]),1),"")</f>
        <v/>
      </c>
      <c r="R53" s="35" t="str" cm="1">
        <f t="array" ref="R53">_xlfn.XLOOKUP(0,ABS(tbl_SeqLib[[#This Row],[Min for col]:[Avg for col]]-tbl_SeqLib[[#This Row],[Exact]]),tbl_SeqLib[[#This Row],[Min for col]:[Avg for col]],"",1)</f>
        <v/>
      </c>
      <c r="S53" s="35" t="str" cm="1">
        <f t="array" ref="S53">_xlfn.XLOOKUP(0,ABS(tbl_SeqLib[[#This Row],[Max for col]:[Avg for col]]-tbl_SeqLib[[#This Row],[Exact]]),tbl_SeqLib[[#This Row],[Max for col]:[Avg for col]],"",1)</f>
        <v/>
      </c>
      <c r="T53" s="35" t="str">
        <f>IF(tbl_SeqLib[[#This Row],[entry]]=2,tbl_SeqLib[[#This Row],[Max for col]],"")</f>
        <v/>
      </c>
      <c r="U53" s="35" t="str">
        <f>IF(tbl_SeqLib[[#This Row],[entry]]=2,tbl_SeqLib[[#This Row],[Avg for col]],"")</f>
        <v/>
      </c>
      <c r="V53" s="35" t="str">
        <f>IF(tbl_SeqLib[[#This Row],[entry]]=2,AVERAGE(tbl_SeqLib[Exact]),"")</f>
        <v/>
      </c>
      <c r="W53" s="35" t="str">
        <f>IF(tbl_SeqLib[[#This Row],[entry]]=2,MAX(tbl_SeqLib[Exact]),"")</f>
        <v/>
      </c>
      <c r="X53" s="35" t="str" cm="1">
        <f t="array" ref="X53">_xlfn.XLOOKUP(0,ABS(tbl_SeqLib[[#This Row],[Avg per plate]:[Max per plate]]-tbl_SeqLib[[#This Row],[Exact]]),tbl_SeqLib[[#This Row],[Avg per plate]:[Max per plate]],,1)</f>
        <v/>
      </c>
      <c r="Y5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3" s="73" t="str">
        <f>IF(tbl_SeqLib[[#This Row],[entry]]=1,ROUNDUP(AVERAGE(tbl_SeqLib[Exact]),1),"")</f>
        <v/>
      </c>
      <c r="AA53" s="73" t="str">
        <f>IF(tbl_SeqLib[[#This Row],[entry]]=1,ROUNDUP(AVERAGEIFS(tbl_SeqLib[Exact],tbl_SeqLib[Column],tbl_SeqLib[[#This Row],[Column]]),1),"")</f>
        <v/>
      </c>
      <c r="AB53" s="35" t="str">
        <f>IF(missing_qc_resolution=Reference!$E$49,tbl_SeqLib[[#This Row],[Avg per col (missing)]],tbl_SeqLib[[#This Row],[Avg per plate (missing)]])</f>
        <v/>
      </c>
      <c r="AC53" s="35" t="str">
        <f>IF(tbl_SeqLib[[#This Row],[entry]]=0,"",IF(tbl_SeqLib[[#This Row],[entry]]=1,tbl_SeqLib[[#This Row],[Not quantified]],IF(tbl_SeqLib[[#This Row],[entry]]=2,tbl_SeqLib[[#This Row],[Quantified]])))</f>
        <v/>
      </c>
      <c r="AD53" s="80"/>
      <c r="AE5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3" s="49" t="str">
        <f>IF(ISBLANK(tbl_SeqLib[[#This Row],[sWGA Identifier]]),"",CONCATENATE(exp_id,"_",tbl_SeqLib[[#This Row],[Well]]))</f>
        <v/>
      </c>
    </row>
    <row r="54" spans="1:32" ht="15.75" customHeight="1" x14ac:dyDescent="0.3">
      <c r="A54" s="48">
        <v>52</v>
      </c>
      <c r="B54" s="37" t="str">
        <f>RIGHT(tbl_SeqLib[[#This Row],[Well]],LEN(tbl_SeqLib[[#This Row],[Well]])-1)</f>
        <v>7</v>
      </c>
      <c r="C54" s="36" t="s">
        <v>187</v>
      </c>
      <c r="D54" s="19"/>
      <c r="E54" s="21"/>
      <c r="F54" s="19"/>
      <c r="G54" s="29"/>
      <c r="H54" s="29"/>
      <c r="I54" s="29"/>
      <c r="J54" s="29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188</v>
      </c>
      <c r="M54" s="73">
        <f>IF(OR(ISBLANK(tbl_SeqLib[[#This Row],[Sample ID]]),ISBLANK(endrepair_targetmass)),0,IF(LEN(tbl_SeqLib[[#This Row],[PCR '[DNA'] (ng / µl)]])=0,1,2))</f>
        <v>0</v>
      </c>
      <c r="N5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35" t="str">
        <f>IF(tbl_SeqLib[[#This Row],[entry]]=2,ROUNDUP(_xlfn.MINIFS(tbl_SeqLib[Exact],tbl_SeqLib[Column],tbl_SeqLib[[#This Row],[Column]]),1),"")</f>
        <v/>
      </c>
      <c r="P54" s="35" t="str">
        <f>IF(tbl_SeqLib[[#This Row],[entry]]=2,ROUNDDOWN(_xlfn.MAXIFS(tbl_SeqLib[Exact],tbl_SeqLib[Column],tbl_SeqLib[[#This Row],[Column]]),1),"")</f>
        <v/>
      </c>
      <c r="Q54" s="35" t="str">
        <f>IF(tbl_SeqLib[[#This Row],[entry]]=2,ROUNDUP(AVERAGEIFS(tbl_SeqLib[Exact],tbl_SeqLib[Column],tbl_SeqLib[[#This Row],[Column]]),1),"")</f>
        <v/>
      </c>
      <c r="R54" s="35" t="str" cm="1">
        <f t="array" ref="R54">_xlfn.XLOOKUP(0,ABS(tbl_SeqLib[[#This Row],[Min for col]:[Avg for col]]-tbl_SeqLib[[#This Row],[Exact]]),tbl_SeqLib[[#This Row],[Min for col]:[Avg for col]],"",1)</f>
        <v/>
      </c>
      <c r="S54" s="35" t="str" cm="1">
        <f t="array" ref="S54">_xlfn.XLOOKUP(0,ABS(tbl_SeqLib[[#This Row],[Max for col]:[Avg for col]]-tbl_SeqLib[[#This Row],[Exact]]),tbl_SeqLib[[#This Row],[Max for col]:[Avg for col]],"",1)</f>
        <v/>
      </c>
      <c r="T54" s="35" t="str">
        <f>IF(tbl_SeqLib[[#This Row],[entry]]=2,tbl_SeqLib[[#This Row],[Max for col]],"")</f>
        <v/>
      </c>
      <c r="U54" s="35" t="str">
        <f>IF(tbl_SeqLib[[#This Row],[entry]]=2,tbl_SeqLib[[#This Row],[Avg for col]],"")</f>
        <v/>
      </c>
      <c r="V54" s="35" t="str">
        <f>IF(tbl_SeqLib[[#This Row],[entry]]=2,AVERAGE(tbl_SeqLib[Exact]),"")</f>
        <v/>
      </c>
      <c r="W54" s="35" t="str">
        <f>IF(tbl_SeqLib[[#This Row],[entry]]=2,MAX(tbl_SeqLib[Exact]),"")</f>
        <v/>
      </c>
      <c r="X54" s="35" t="str" cm="1">
        <f t="array" ref="X54">_xlfn.XLOOKUP(0,ABS(tbl_SeqLib[[#This Row],[Avg per plate]:[Max per plate]]-tbl_SeqLib[[#This Row],[Exact]]),tbl_SeqLib[[#This Row],[Avg per plate]:[Max per plate]],,1)</f>
        <v/>
      </c>
      <c r="Y5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4" s="73" t="str">
        <f>IF(tbl_SeqLib[[#This Row],[entry]]=1,ROUNDUP(AVERAGE(tbl_SeqLib[Exact]),1),"")</f>
        <v/>
      </c>
      <c r="AA54" s="73" t="str">
        <f>IF(tbl_SeqLib[[#This Row],[entry]]=1,ROUNDUP(AVERAGEIFS(tbl_SeqLib[Exact],tbl_SeqLib[Column],tbl_SeqLib[[#This Row],[Column]]),1),"")</f>
        <v/>
      </c>
      <c r="AB54" s="35" t="str">
        <f>IF(missing_qc_resolution=Reference!$E$49,tbl_SeqLib[[#This Row],[Avg per col (missing)]],tbl_SeqLib[[#This Row],[Avg per plate (missing)]])</f>
        <v/>
      </c>
      <c r="AC54" s="35" t="str">
        <f>IF(tbl_SeqLib[[#This Row],[entry]]=0,"",IF(tbl_SeqLib[[#This Row],[entry]]=1,tbl_SeqLib[[#This Row],[Not quantified]],IF(tbl_SeqLib[[#This Row],[entry]]=2,tbl_SeqLib[[#This Row],[Quantified]])))</f>
        <v/>
      </c>
      <c r="AD54" s="80"/>
      <c r="AE5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4" s="49" t="str">
        <f>IF(ISBLANK(tbl_SeqLib[[#This Row],[sWGA Identifier]]),"",CONCATENATE(exp_id,"_",tbl_SeqLib[[#This Row],[Well]]))</f>
        <v/>
      </c>
    </row>
    <row r="55" spans="1:32" ht="15.75" customHeight="1" x14ac:dyDescent="0.3">
      <c r="A55" s="48">
        <v>53</v>
      </c>
      <c r="B55" s="37" t="str">
        <f>RIGHT(tbl_SeqLib[[#This Row],[Well]],LEN(tbl_SeqLib[[#This Row],[Well]])-1)</f>
        <v>7</v>
      </c>
      <c r="C55" s="36" t="s">
        <v>189</v>
      </c>
      <c r="D55" s="19"/>
      <c r="E55" s="21"/>
      <c r="F55" s="19"/>
      <c r="G55" s="29"/>
      <c r="H55" s="29"/>
      <c r="I55" s="29"/>
      <c r="J55" s="29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190</v>
      </c>
      <c r="M55" s="73">
        <f>IF(OR(ISBLANK(tbl_SeqLib[[#This Row],[Sample ID]]),ISBLANK(endrepair_targetmass)),0,IF(LEN(tbl_SeqLib[[#This Row],[PCR '[DNA'] (ng / µl)]])=0,1,2))</f>
        <v>0</v>
      </c>
      <c r="N5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35" t="str">
        <f>IF(tbl_SeqLib[[#This Row],[entry]]=2,ROUNDUP(_xlfn.MINIFS(tbl_SeqLib[Exact],tbl_SeqLib[Column],tbl_SeqLib[[#This Row],[Column]]),1),"")</f>
        <v/>
      </c>
      <c r="P55" s="35" t="str">
        <f>IF(tbl_SeqLib[[#This Row],[entry]]=2,ROUNDDOWN(_xlfn.MAXIFS(tbl_SeqLib[Exact],tbl_SeqLib[Column],tbl_SeqLib[[#This Row],[Column]]),1),"")</f>
        <v/>
      </c>
      <c r="Q55" s="35" t="str">
        <f>IF(tbl_SeqLib[[#This Row],[entry]]=2,ROUNDUP(AVERAGEIFS(tbl_SeqLib[Exact],tbl_SeqLib[Column],tbl_SeqLib[[#This Row],[Column]]),1),"")</f>
        <v/>
      </c>
      <c r="R55" s="35" t="str" cm="1">
        <f t="array" ref="R55">_xlfn.XLOOKUP(0,ABS(tbl_SeqLib[[#This Row],[Min for col]:[Avg for col]]-tbl_SeqLib[[#This Row],[Exact]]),tbl_SeqLib[[#This Row],[Min for col]:[Avg for col]],"",1)</f>
        <v/>
      </c>
      <c r="S55" s="35" t="str" cm="1">
        <f t="array" ref="S55">_xlfn.XLOOKUP(0,ABS(tbl_SeqLib[[#This Row],[Max for col]:[Avg for col]]-tbl_SeqLib[[#This Row],[Exact]]),tbl_SeqLib[[#This Row],[Max for col]:[Avg for col]],"",1)</f>
        <v/>
      </c>
      <c r="T55" s="35" t="str">
        <f>IF(tbl_SeqLib[[#This Row],[entry]]=2,tbl_SeqLib[[#This Row],[Max for col]],"")</f>
        <v/>
      </c>
      <c r="U55" s="35" t="str">
        <f>IF(tbl_SeqLib[[#This Row],[entry]]=2,tbl_SeqLib[[#This Row],[Avg for col]],"")</f>
        <v/>
      </c>
      <c r="V55" s="35" t="str">
        <f>IF(tbl_SeqLib[[#This Row],[entry]]=2,AVERAGE(tbl_SeqLib[Exact]),"")</f>
        <v/>
      </c>
      <c r="W55" s="35" t="str">
        <f>IF(tbl_SeqLib[[#This Row],[entry]]=2,MAX(tbl_SeqLib[Exact]),"")</f>
        <v/>
      </c>
      <c r="X55" s="35" t="str" cm="1">
        <f t="array" ref="X55">_xlfn.XLOOKUP(0,ABS(tbl_SeqLib[[#This Row],[Avg per plate]:[Max per plate]]-tbl_SeqLib[[#This Row],[Exact]]),tbl_SeqLib[[#This Row],[Avg per plate]:[Max per plate]],,1)</f>
        <v/>
      </c>
      <c r="Y5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5" s="73" t="str">
        <f>IF(tbl_SeqLib[[#This Row],[entry]]=1,ROUNDUP(AVERAGE(tbl_SeqLib[Exact]),1),"")</f>
        <v/>
      </c>
      <c r="AA55" s="73" t="str">
        <f>IF(tbl_SeqLib[[#This Row],[entry]]=1,ROUNDUP(AVERAGEIFS(tbl_SeqLib[Exact],tbl_SeqLib[Column],tbl_SeqLib[[#This Row],[Column]]),1),"")</f>
        <v/>
      </c>
      <c r="AB55" s="35" t="str">
        <f>IF(missing_qc_resolution=Reference!$E$49,tbl_SeqLib[[#This Row],[Avg per col (missing)]],tbl_SeqLib[[#This Row],[Avg per plate (missing)]])</f>
        <v/>
      </c>
      <c r="AC55" s="35" t="str">
        <f>IF(tbl_SeqLib[[#This Row],[entry]]=0,"",IF(tbl_SeqLib[[#This Row],[entry]]=1,tbl_SeqLib[[#This Row],[Not quantified]],IF(tbl_SeqLib[[#This Row],[entry]]=2,tbl_SeqLib[[#This Row],[Quantified]])))</f>
        <v/>
      </c>
      <c r="AD55" s="80"/>
      <c r="AE5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5" s="49" t="str">
        <f>IF(ISBLANK(tbl_SeqLib[[#This Row],[sWGA Identifier]]),"",CONCATENATE(exp_id,"_",tbl_SeqLib[[#This Row],[Well]]))</f>
        <v/>
      </c>
    </row>
    <row r="56" spans="1:32" ht="15.75" customHeight="1" x14ac:dyDescent="0.3">
      <c r="A56" s="48">
        <v>54</v>
      </c>
      <c r="B56" s="37" t="str">
        <f>RIGHT(tbl_SeqLib[[#This Row],[Well]],LEN(tbl_SeqLib[[#This Row],[Well]])-1)</f>
        <v>7</v>
      </c>
      <c r="C56" s="36" t="s">
        <v>191</v>
      </c>
      <c r="D56" s="19"/>
      <c r="E56" s="21"/>
      <c r="F56" s="19"/>
      <c r="G56" s="29"/>
      <c r="H56" s="29"/>
      <c r="I56" s="29"/>
      <c r="J56" s="29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192</v>
      </c>
      <c r="M56" s="73">
        <f>IF(OR(ISBLANK(tbl_SeqLib[[#This Row],[Sample ID]]),ISBLANK(endrepair_targetmass)),0,IF(LEN(tbl_SeqLib[[#This Row],[PCR '[DNA'] (ng / µl)]])=0,1,2))</f>
        <v>0</v>
      </c>
      <c r="N5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35" t="str">
        <f>IF(tbl_SeqLib[[#This Row],[entry]]=2,ROUNDUP(_xlfn.MINIFS(tbl_SeqLib[Exact],tbl_SeqLib[Column],tbl_SeqLib[[#This Row],[Column]]),1),"")</f>
        <v/>
      </c>
      <c r="P56" s="35" t="str">
        <f>IF(tbl_SeqLib[[#This Row],[entry]]=2,ROUNDDOWN(_xlfn.MAXIFS(tbl_SeqLib[Exact],tbl_SeqLib[Column],tbl_SeqLib[[#This Row],[Column]]),1),"")</f>
        <v/>
      </c>
      <c r="Q56" s="35" t="str">
        <f>IF(tbl_SeqLib[[#This Row],[entry]]=2,ROUNDUP(AVERAGEIFS(tbl_SeqLib[Exact],tbl_SeqLib[Column],tbl_SeqLib[[#This Row],[Column]]),1),"")</f>
        <v/>
      </c>
      <c r="R56" s="35" t="str" cm="1">
        <f t="array" ref="R56">_xlfn.XLOOKUP(0,ABS(tbl_SeqLib[[#This Row],[Min for col]:[Avg for col]]-tbl_SeqLib[[#This Row],[Exact]]),tbl_SeqLib[[#This Row],[Min for col]:[Avg for col]],"",1)</f>
        <v/>
      </c>
      <c r="S56" s="35" t="str" cm="1">
        <f t="array" ref="S56">_xlfn.XLOOKUP(0,ABS(tbl_SeqLib[[#This Row],[Max for col]:[Avg for col]]-tbl_SeqLib[[#This Row],[Exact]]),tbl_SeqLib[[#This Row],[Max for col]:[Avg for col]],"",1)</f>
        <v/>
      </c>
      <c r="T56" s="35" t="str">
        <f>IF(tbl_SeqLib[[#This Row],[entry]]=2,tbl_SeqLib[[#This Row],[Max for col]],"")</f>
        <v/>
      </c>
      <c r="U56" s="35" t="str">
        <f>IF(tbl_SeqLib[[#This Row],[entry]]=2,tbl_SeqLib[[#This Row],[Avg for col]],"")</f>
        <v/>
      </c>
      <c r="V56" s="35" t="str">
        <f>IF(tbl_SeqLib[[#This Row],[entry]]=2,AVERAGE(tbl_SeqLib[Exact]),"")</f>
        <v/>
      </c>
      <c r="W56" s="35" t="str">
        <f>IF(tbl_SeqLib[[#This Row],[entry]]=2,MAX(tbl_SeqLib[Exact]),"")</f>
        <v/>
      </c>
      <c r="X56" s="35" t="str" cm="1">
        <f t="array" ref="X56">_xlfn.XLOOKUP(0,ABS(tbl_SeqLib[[#This Row],[Avg per plate]:[Max per plate]]-tbl_SeqLib[[#This Row],[Exact]]),tbl_SeqLib[[#This Row],[Avg per plate]:[Max per plate]],,1)</f>
        <v/>
      </c>
      <c r="Y5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6" s="73" t="str">
        <f>IF(tbl_SeqLib[[#This Row],[entry]]=1,ROUNDUP(AVERAGE(tbl_SeqLib[Exact]),1),"")</f>
        <v/>
      </c>
      <c r="AA56" s="73" t="str">
        <f>IF(tbl_SeqLib[[#This Row],[entry]]=1,ROUNDUP(AVERAGEIFS(tbl_SeqLib[Exact],tbl_SeqLib[Column],tbl_SeqLib[[#This Row],[Column]]),1),"")</f>
        <v/>
      </c>
      <c r="AB56" s="35" t="str">
        <f>IF(missing_qc_resolution=Reference!$E$49,tbl_SeqLib[[#This Row],[Avg per col (missing)]],tbl_SeqLib[[#This Row],[Avg per plate (missing)]])</f>
        <v/>
      </c>
      <c r="AC56" s="35" t="str">
        <f>IF(tbl_SeqLib[[#This Row],[entry]]=0,"",IF(tbl_SeqLib[[#This Row],[entry]]=1,tbl_SeqLib[[#This Row],[Not quantified]],IF(tbl_SeqLib[[#This Row],[entry]]=2,tbl_SeqLib[[#This Row],[Quantified]])))</f>
        <v/>
      </c>
      <c r="AD56" s="80"/>
      <c r="AE5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6" s="49" t="str">
        <f>IF(ISBLANK(tbl_SeqLib[[#This Row],[sWGA Identifier]]),"",CONCATENATE(exp_id,"_",tbl_SeqLib[[#This Row],[Well]]))</f>
        <v/>
      </c>
    </row>
    <row r="57" spans="1:32" ht="15.75" customHeight="1" x14ac:dyDescent="0.3">
      <c r="A57" s="48">
        <v>55</v>
      </c>
      <c r="B57" s="37" t="str">
        <f>RIGHT(tbl_SeqLib[[#This Row],[Well]],LEN(tbl_SeqLib[[#This Row],[Well]])-1)</f>
        <v>7</v>
      </c>
      <c r="C57" s="36" t="s">
        <v>193</v>
      </c>
      <c r="D57" s="19"/>
      <c r="E57" s="21"/>
      <c r="F57" s="19"/>
      <c r="G57" s="29"/>
      <c r="H57" s="29"/>
      <c r="I57" s="29"/>
      <c r="J57" s="29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194</v>
      </c>
      <c r="M57" s="73">
        <f>IF(OR(ISBLANK(tbl_SeqLib[[#This Row],[Sample ID]]),ISBLANK(endrepair_targetmass)),0,IF(LEN(tbl_SeqLib[[#This Row],[PCR '[DNA'] (ng / µl)]])=0,1,2))</f>
        <v>0</v>
      </c>
      <c r="N5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35" t="str">
        <f>IF(tbl_SeqLib[[#This Row],[entry]]=2,ROUNDUP(_xlfn.MINIFS(tbl_SeqLib[Exact],tbl_SeqLib[Column],tbl_SeqLib[[#This Row],[Column]]),1),"")</f>
        <v/>
      </c>
      <c r="P57" s="35" t="str">
        <f>IF(tbl_SeqLib[[#This Row],[entry]]=2,ROUNDDOWN(_xlfn.MAXIFS(tbl_SeqLib[Exact],tbl_SeqLib[Column],tbl_SeqLib[[#This Row],[Column]]),1),"")</f>
        <v/>
      </c>
      <c r="Q57" s="35" t="str">
        <f>IF(tbl_SeqLib[[#This Row],[entry]]=2,ROUNDUP(AVERAGEIFS(tbl_SeqLib[Exact],tbl_SeqLib[Column],tbl_SeqLib[[#This Row],[Column]]),1),"")</f>
        <v/>
      </c>
      <c r="R57" s="35" t="str" cm="1">
        <f t="array" ref="R57">_xlfn.XLOOKUP(0,ABS(tbl_SeqLib[[#This Row],[Min for col]:[Avg for col]]-tbl_SeqLib[[#This Row],[Exact]]),tbl_SeqLib[[#This Row],[Min for col]:[Avg for col]],"",1)</f>
        <v/>
      </c>
      <c r="S57" s="35" t="str" cm="1">
        <f t="array" ref="S57">_xlfn.XLOOKUP(0,ABS(tbl_SeqLib[[#This Row],[Max for col]:[Avg for col]]-tbl_SeqLib[[#This Row],[Exact]]),tbl_SeqLib[[#This Row],[Max for col]:[Avg for col]],"",1)</f>
        <v/>
      </c>
      <c r="T57" s="35" t="str">
        <f>IF(tbl_SeqLib[[#This Row],[entry]]=2,tbl_SeqLib[[#This Row],[Max for col]],"")</f>
        <v/>
      </c>
      <c r="U57" s="35" t="str">
        <f>IF(tbl_SeqLib[[#This Row],[entry]]=2,tbl_SeqLib[[#This Row],[Avg for col]],"")</f>
        <v/>
      </c>
      <c r="V57" s="35" t="str">
        <f>IF(tbl_SeqLib[[#This Row],[entry]]=2,AVERAGE(tbl_SeqLib[Exact]),"")</f>
        <v/>
      </c>
      <c r="W57" s="35" t="str">
        <f>IF(tbl_SeqLib[[#This Row],[entry]]=2,MAX(tbl_SeqLib[Exact]),"")</f>
        <v/>
      </c>
      <c r="X57" s="35" t="str" cm="1">
        <f t="array" ref="X57">_xlfn.XLOOKUP(0,ABS(tbl_SeqLib[[#This Row],[Avg per plate]:[Max per plate]]-tbl_SeqLib[[#This Row],[Exact]]),tbl_SeqLib[[#This Row],[Avg per plate]:[Max per plate]],,1)</f>
        <v/>
      </c>
      <c r="Y5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7" s="73" t="str">
        <f>IF(tbl_SeqLib[[#This Row],[entry]]=1,ROUNDUP(AVERAGE(tbl_SeqLib[Exact]),1),"")</f>
        <v/>
      </c>
      <c r="AA57" s="73" t="str">
        <f>IF(tbl_SeqLib[[#This Row],[entry]]=1,ROUNDUP(AVERAGEIFS(tbl_SeqLib[Exact],tbl_SeqLib[Column],tbl_SeqLib[[#This Row],[Column]]),1),"")</f>
        <v/>
      </c>
      <c r="AB57" s="35" t="str">
        <f>IF(missing_qc_resolution=Reference!$E$49,tbl_SeqLib[[#This Row],[Avg per col (missing)]],tbl_SeqLib[[#This Row],[Avg per plate (missing)]])</f>
        <v/>
      </c>
      <c r="AC57" s="35" t="str">
        <f>IF(tbl_SeqLib[[#This Row],[entry]]=0,"",IF(tbl_SeqLib[[#This Row],[entry]]=1,tbl_SeqLib[[#This Row],[Not quantified]],IF(tbl_SeqLib[[#This Row],[entry]]=2,tbl_SeqLib[[#This Row],[Quantified]])))</f>
        <v/>
      </c>
      <c r="AD57" s="80"/>
      <c r="AE5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7" s="49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50">
        <v>56</v>
      </c>
      <c r="B58" s="51" t="str">
        <f>RIGHT(tbl_SeqLib[[#This Row],[Well]],LEN(tbl_SeqLib[[#This Row],[Well]])-1)</f>
        <v>7</v>
      </c>
      <c r="C58" s="59" t="s">
        <v>195</v>
      </c>
      <c r="D58" s="52"/>
      <c r="E58" s="53"/>
      <c r="F58" s="52"/>
      <c r="G58" s="54"/>
      <c r="H58" s="54"/>
      <c r="I58" s="54"/>
      <c r="J58" s="54"/>
      <c r="K5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6" t="s">
        <v>196</v>
      </c>
      <c r="M58" s="74">
        <f>IF(OR(ISBLANK(tbl_SeqLib[[#This Row],[Sample ID]]),ISBLANK(endrepair_targetmass)),0,IF(LEN(tbl_SeqLib[[#This Row],[PCR '[DNA'] (ng / µl)]])=0,1,2))</f>
        <v>0</v>
      </c>
      <c r="N5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57" t="str">
        <f>IF(tbl_SeqLib[[#This Row],[entry]]=2,ROUNDUP(_xlfn.MINIFS(tbl_SeqLib[Exact],tbl_SeqLib[Column],tbl_SeqLib[[#This Row],[Column]]),1),"")</f>
        <v/>
      </c>
      <c r="P58" s="57" t="str">
        <f>IF(tbl_SeqLib[[#This Row],[entry]]=2,ROUNDDOWN(_xlfn.MAXIFS(tbl_SeqLib[Exact],tbl_SeqLib[Column],tbl_SeqLib[[#This Row],[Column]]),1),"")</f>
        <v/>
      </c>
      <c r="Q58" s="57" t="str">
        <f>IF(tbl_SeqLib[[#This Row],[entry]]=2,ROUNDUP(AVERAGEIFS(tbl_SeqLib[Exact],tbl_SeqLib[Column],tbl_SeqLib[[#This Row],[Column]]),1),"")</f>
        <v/>
      </c>
      <c r="R58" s="57" t="str" cm="1">
        <f t="array" ref="R58">_xlfn.XLOOKUP(0,ABS(tbl_SeqLib[[#This Row],[Min for col]:[Avg for col]]-tbl_SeqLib[[#This Row],[Exact]]),tbl_SeqLib[[#This Row],[Min for col]:[Avg for col]],"",1)</f>
        <v/>
      </c>
      <c r="S58" s="57" t="str" cm="1">
        <f t="array" ref="S58">_xlfn.XLOOKUP(0,ABS(tbl_SeqLib[[#This Row],[Max for col]:[Avg for col]]-tbl_SeqLib[[#This Row],[Exact]]),tbl_SeqLib[[#This Row],[Max for col]:[Avg for col]],"",1)</f>
        <v/>
      </c>
      <c r="T58" s="57" t="str">
        <f>IF(tbl_SeqLib[[#This Row],[entry]]=2,tbl_SeqLib[[#This Row],[Max for col]],"")</f>
        <v/>
      </c>
      <c r="U58" s="57" t="str">
        <f>IF(tbl_SeqLib[[#This Row],[entry]]=2,tbl_SeqLib[[#This Row],[Avg for col]],"")</f>
        <v/>
      </c>
      <c r="V58" s="57" t="str">
        <f>IF(tbl_SeqLib[[#This Row],[entry]]=2,AVERAGE(tbl_SeqLib[Exact]),"")</f>
        <v/>
      </c>
      <c r="W58" s="57" t="str">
        <f>IF(tbl_SeqLib[[#This Row],[entry]]=2,MAX(tbl_SeqLib[Exact]),"")</f>
        <v/>
      </c>
      <c r="X58" s="57" t="str" cm="1">
        <f t="array" ref="X58">_xlfn.XLOOKUP(0,ABS(tbl_SeqLib[[#This Row],[Avg per plate]:[Max per plate]]-tbl_SeqLib[[#This Row],[Exact]]),tbl_SeqLib[[#This Row],[Avg per plate]:[Max per plate]],,1)</f>
        <v/>
      </c>
      <c r="Y5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8" s="74" t="str">
        <f>IF(tbl_SeqLib[[#This Row],[entry]]=1,ROUNDUP(AVERAGE(tbl_SeqLib[Exact]),1),"")</f>
        <v/>
      </c>
      <c r="AA58" s="74" t="str">
        <f>IF(tbl_SeqLib[[#This Row],[entry]]=1,ROUNDUP(AVERAGEIFS(tbl_SeqLib[Exact],tbl_SeqLib[Column],tbl_SeqLib[[#This Row],[Column]]),1),"")</f>
        <v/>
      </c>
      <c r="AB58" s="57" t="str">
        <f>IF(missing_qc_resolution=Reference!$E$49,tbl_SeqLib[[#This Row],[Avg per col (missing)]],tbl_SeqLib[[#This Row],[Avg per plate (missing)]])</f>
        <v/>
      </c>
      <c r="AC58" s="57" t="str">
        <f>IF(tbl_SeqLib[[#This Row],[entry]]=0,"",IF(tbl_SeqLib[[#This Row],[entry]]=1,tbl_SeqLib[[#This Row],[Not quantified]],IF(tbl_SeqLib[[#This Row],[entry]]=2,tbl_SeqLib[[#This Row],[Quantified]])))</f>
        <v/>
      </c>
      <c r="AD58" s="81"/>
      <c r="AE5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8" s="58" t="str">
        <f>IF(ISBLANK(tbl_SeqLib[[#This Row],[sWGA Identifier]]),"",CONCATENATE(exp_id,"_",tbl_SeqLib[[#This Row],[Well]]))</f>
        <v/>
      </c>
    </row>
    <row r="59" spans="1:32" ht="15.75" customHeight="1" x14ac:dyDescent="0.3">
      <c r="A59" s="41">
        <v>57</v>
      </c>
      <c r="B59" s="42" t="str">
        <f>RIGHT(tbl_SeqLib[[#This Row],[Well]],LEN(tbl_SeqLib[[#This Row],[Well]])-1)</f>
        <v>8</v>
      </c>
      <c r="C59" s="42" t="s">
        <v>197</v>
      </c>
      <c r="D59" s="43"/>
      <c r="E59" s="45"/>
      <c r="F59" s="43"/>
      <c r="G59" s="43"/>
      <c r="H59" s="43"/>
      <c r="I59" s="43"/>
      <c r="J59" s="43"/>
      <c r="K59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5" t="s">
        <v>198</v>
      </c>
      <c r="M59" s="72">
        <f>IF(OR(ISBLANK(tbl_SeqLib[[#This Row],[Sample ID]]),ISBLANK(endrepair_targetmass)),0,IF(LEN(tbl_SeqLib[[#This Row],[PCR '[DNA'] (ng / µl)]])=0,1,2))</f>
        <v>0</v>
      </c>
      <c r="N59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46" t="str">
        <f>IF(tbl_SeqLib[[#This Row],[entry]]=2,ROUNDUP(_xlfn.MINIFS(tbl_SeqLib[Exact],tbl_SeqLib[Column],tbl_SeqLib[[#This Row],[Column]]),1),"")</f>
        <v/>
      </c>
      <c r="P59" s="46" t="str">
        <f>IF(tbl_SeqLib[[#This Row],[entry]]=2,ROUNDDOWN(_xlfn.MAXIFS(tbl_SeqLib[Exact],tbl_SeqLib[Column],tbl_SeqLib[[#This Row],[Column]]),1),"")</f>
        <v/>
      </c>
      <c r="Q59" s="46" t="str">
        <f>IF(tbl_SeqLib[[#This Row],[entry]]=2,ROUNDUP(AVERAGEIFS(tbl_SeqLib[Exact],tbl_SeqLib[Column],tbl_SeqLib[[#This Row],[Column]]),1),"")</f>
        <v/>
      </c>
      <c r="R59" s="46" t="str" cm="1">
        <f t="array" ref="R59">_xlfn.XLOOKUP(0,ABS(tbl_SeqLib[[#This Row],[Min for col]:[Avg for col]]-tbl_SeqLib[[#This Row],[Exact]]),tbl_SeqLib[[#This Row],[Min for col]:[Avg for col]],"",1)</f>
        <v/>
      </c>
      <c r="S59" s="46" t="str" cm="1">
        <f t="array" ref="S59">_xlfn.XLOOKUP(0,ABS(tbl_SeqLib[[#This Row],[Max for col]:[Avg for col]]-tbl_SeqLib[[#This Row],[Exact]]),tbl_SeqLib[[#This Row],[Max for col]:[Avg for col]],"",1)</f>
        <v/>
      </c>
      <c r="T59" s="46" t="str">
        <f>IF(tbl_SeqLib[[#This Row],[entry]]=2,tbl_SeqLib[[#This Row],[Max for col]],"")</f>
        <v/>
      </c>
      <c r="U59" s="46" t="str">
        <f>IF(tbl_SeqLib[[#This Row],[entry]]=2,tbl_SeqLib[[#This Row],[Avg for col]],"")</f>
        <v/>
      </c>
      <c r="V59" s="46" t="str">
        <f>IF(tbl_SeqLib[[#This Row],[entry]]=2,AVERAGE(tbl_SeqLib[Exact]),"")</f>
        <v/>
      </c>
      <c r="W59" s="46" t="str">
        <f>IF(tbl_SeqLib[[#This Row],[entry]]=2,MAX(tbl_SeqLib[Exact]),"")</f>
        <v/>
      </c>
      <c r="X59" s="46" t="str" cm="1">
        <f t="array" ref="X59">_xlfn.XLOOKUP(0,ABS(tbl_SeqLib[[#This Row],[Avg per plate]:[Max per plate]]-tbl_SeqLib[[#This Row],[Exact]]),tbl_SeqLib[[#This Row],[Avg per plate]:[Max per plate]],,1)</f>
        <v/>
      </c>
      <c r="Y59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9" s="72" t="str">
        <f>IF(tbl_SeqLib[[#This Row],[entry]]=1,ROUNDUP(AVERAGE(tbl_SeqLib[Exact]),1),"")</f>
        <v/>
      </c>
      <c r="AA59" s="72" t="str">
        <f>IF(tbl_SeqLib[[#This Row],[entry]]=1,ROUNDUP(AVERAGEIFS(tbl_SeqLib[Exact],tbl_SeqLib[Column],tbl_SeqLib[[#This Row],[Column]]),1),"")</f>
        <v/>
      </c>
      <c r="AB59" s="46" t="str">
        <f>IF(missing_qc_resolution=Reference!$E$49,tbl_SeqLib[[#This Row],[Avg per col (missing)]],tbl_SeqLib[[#This Row],[Avg per plate (missing)]])</f>
        <v/>
      </c>
      <c r="AC59" s="46" t="str">
        <f>IF(tbl_SeqLib[[#This Row],[entry]]=0,"",IF(tbl_SeqLib[[#This Row],[entry]]=1,tbl_SeqLib[[#This Row],[Not quantified]],IF(tbl_SeqLib[[#This Row],[entry]]=2,tbl_SeqLib[[#This Row],[Quantified]])))</f>
        <v/>
      </c>
      <c r="AD59" s="79"/>
      <c r="AE59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9" s="47" t="str">
        <f>IF(ISBLANK(tbl_SeqLib[[#This Row],[sWGA Identifier]]),"",CONCATENATE(exp_id,"_",tbl_SeqLib[[#This Row],[Well]]))</f>
        <v/>
      </c>
    </row>
    <row r="60" spans="1:32" ht="15.75" customHeight="1" x14ac:dyDescent="0.3">
      <c r="A60" s="48">
        <v>58</v>
      </c>
      <c r="B60" s="37" t="str">
        <f>RIGHT(tbl_SeqLib[[#This Row],[Well]],LEN(tbl_SeqLib[[#This Row],[Well]])-1)</f>
        <v>8</v>
      </c>
      <c r="C60" s="36" t="s">
        <v>199</v>
      </c>
      <c r="D60" s="19"/>
      <c r="E60" s="21"/>
      <c r="F60" s="19"/>
      <c r="G60" s="29"/>
      <c r="H60" s="29"/>
      <c r="I60" s="29"/>
      <c r="J60" s="29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200</v>
      </c>
      <c r="M60" s="73">
        <f>IF(OR(ISBLANK(tbl_SeqLib[[#This Row],[Sample ID]]),ISBLANK(endrepair_targetmass)),0,IF(LEN(tbl_SeqLib[[#This Row],[PCR '[DNA'] (ng / µl)]])=0,1,2))</f>
        <v>0</v>
      </c>
      <c r="N6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35" t="str">
        <f>IF(tbl_SeqLib[[#This Row],[entry]]=2,ROUNDUP(_xlfn.MINIFS(tbl_SeqLib[Exact],tbl_SeqLib[Column],tbl_SeqLib[[#This Row],[Column]]),1),"")</f>
        <v/>
      </c>
      <c r="P60" s="35" t="str">
        <f>IF(tbl_SeqLib[[#This Row],[entry]]=2,ROUNDDOWN(_xlfn.MAXIFS(tbl_SeqLib[Exact],tbl_SeqLib[Column],tbl_SeqLib[[#This Row],[Column]]),1),"")</f>
        <v/>
      </c>
      <c r="Q60" s="35" t="str">
        <f>IF(tbl_SeqLib[[#This Row],[entry]]=2,ROUNDUP(AVERAGEIFS(tbl_SeqLib[Exact],tbl_SeqLib[Column],tbl_SeqLib[[#This Row],[Column]]),1),"")</f>
        <v/>
      </c>
      <c r="R60" s="35" t="str" cm="1">
        <f t="array" ref="R60">_xlfn.XLOOKUP(0,ABS(tbl_SeqLib[[#This Row],[Min for col]:[Avg for col]]-tbl_SeqLib[[#This Row],[Exact]]),tbl_SeqLib[[#This Row],[Min for col]:[Avg for col]],"",1)</f>
        <v/>
      </c>
      <c r="S60" s="35" t="str" cm="1">
        <f t="array" ref="S60">_xlfn.XLOOKUP(0,ABS(tbl_SeqLib[[#This Row],[Max for col]:[Avg for col]]-tbl_SeqLib[[#This Row],[Exact]]),tbl_SeqLib[[#This Row],[Max for col]:[Avg for col]],"",1)</f>
        <v/>
      </c>
      <c r="T60" s="35" t="str">
        <f>IF(tbl_SeqLib[[#This Row],[entry]]=2,tbl_SeqLib[[#This Row],[Max for col]],"")</f>
        <v/>
      </c>
      <c r="U60" s="35" t="str">
        <f>IF(tbl_SeqLib[[#This Row],[entry]]=2,tbl_SeqLib[[#This Row],[Avg for col]],"")</f>
        <v/>
      </c>
      <c r="V60" s="35" t="str">
        <f>IF(tbl_SeqLib[[#This Row],[entry]]=2,AVERAGE(tbl_SeqLib[Exact]),"")</f>
        <v/>
      </c>
      <c r="W60" s="35" t="str">
        <f>IF(tbl_SeqLib[[#This Row],[entry]]=2,MAX(tbl_SeqLib[Exact]),"")</f>
        <v/>
      </c>
      <c r="X60" s="35" t="str" cm="1">
        <f t="array" ref="X60">_xlfn.XLOOKUP(0,ABS(tbl_SeqLib[[#This Row],[Avg per plate]:[Max per plate]]-tbl_SeqLib[[#This Row],[Exact]]),tbl_SeqLib[[#This Row],[Avg per plate]:[Max per plate]],,1)</f>
        <v/>
      </c>
      <c r="Y6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0" s="73" t="str">
        <f>IF(tbl_SeqLib[[#This Row],[entry]]=1,ROUNDUP(AVERAGE(tbl_SeqLib[Exact]),1),"")</f>
        <v/>
      </c>
      <c r="AA60" s="73" t="str">
        <f>IF(tbl_SeqLib[[#This Row],[entry]]=1,ROUNDUP(AVERAGEIFS(tbl_SeqLib[Exact],tbl_SeqLib[Column],tbl_SeqLib[[#This Row],[Column]]),1),"")</f>
        <v/>
      </c>
      <c r="AB60" s="35" t="str">
        <f>IF(missing_qc_resolution=Reference!$E$49,tbl_SeqLib[[#This Row],[Avg per col (missing)]],tbl_SeqLib[[#This Row],[Avg per plate (missing)]])</f>
        <v/>
      </c>
      <c r="AC60" s="35" t="str">
        <f>IF(tbl_SeqLib[[#This Row],[entry]]=0,"",IF(tbl_SeqLib[[#This Row],[entry]]=1,tbl_SeqLib[[#This Row],[Not quantified]],IF(tbl_SeqLib[[#This Row],[entry]]=2,tbl_SeqLib[[#This Row],[Quantified]])))</f>
        <v/>
      </c>
      <c r="AD60" s="80"/>
      <c r="AE6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0" s="49" t="str">
        <f>IF(ISBLANK(tbl_SeqLib[[#This Row],[sWGA Identifier]]),"",CONCATENATE(exp_id,"_",tbl_SeqLib[[#This Row],[Well]]))</f>
        <v/>
      </c>
    </row>
    <row r="61" spans="1:32" ht="15.75" customHeight="1" x14ac:dyDescent="0.3">
      <c r="A61" s="48">
        <v>59</v>
      </c>
      <c r="B61" s="37" t="str">
        <f>RIGHT(tbl_SeqLib[[#This Row],[Well]],LEN(tbl_SeqLib[[#This Row],[Well]])-1)</f>
        <v>8</v>
      </c>
      <c r="C61" s="36" t="s">
        <v>201</v>
      </c>
      <c r="D61" s="19"/>
      <c r="E61" s="21"/>
      <c r="F61" s="19"/>
      <c r="G61" s="29"/>
      <c r="H61" s="29"/>
      <c r="I61" s="29"/>
      <c r="J61" s="29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202</v>
      </c>
      <c r="M61" s="73">
        <f>IF(OR(ISBLANK(tbl_SeqLib[[#This Row],[Sample ID]]),ISBLANK(endrepair_targetmass)),0,IF(LEN(tbl_SeqLib[[#This Row],[PCR '[DNA'] (ng / µl)]])=0,1,2))</f>
        <v>0</v>
      </c>
      <c r="N6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35" t="str">
        <f>IF(tbl_SeqLib[[#This Row],[entry]]=2,ROUNDUP(_xlfn.MINIFS(tbl_SeqLib[Exact],tbl_SeqLib[Column],tbl_SeqLib[[#This Row],[Column]]),1),"")</f>
        <v/>
      </c>
      <c r="P61" s="35" t="str">
        <f>IF(tbl_SeqLib[[#This Row],[entry]]=2,ROUNDDOWN(_xlfn.MAXIFS(tbl_SeqLib[Exact],tbl_SeqLib[Column],tbl_SeqLib[[#This Row],[Column]]),1),"")</f>
        <v/>
      </c>
      <c r="Q61" s="35" t="str">
        <f>IF(tbl_SeqLib[[#This Row],[entry]]=2,ROUNDUP(AVERAGEIFS(tbl_SeqLib[Exact],tbl_SeqLib[Column],tbl_SeqLib[[#This Row],[Column]]),1),"")</f>
        <v/>
      </c>
      <c r="R61" s="35" t="str" cm="1">
        <f t="array" ref="R61">_xlfn.XLOOKUP(0,ABS(tbl_SeqLib[[#This Row],[Min for col]:[Avg for col]]-tbl_SeqLib[[#This Row],[Exact]]),tbl_SeqLib[[#This Row],[Min for col]:[Avg for col]],"",1)</f>
        <v/>
      </c>
      <c r="S61" s="35" t="str" cm="1">
        <f t="array" ref="S61">_xlfn.XLOOKUP(0,ABS(tbl_SeqLib[[#This Row],[Max for col]:[Avg for col]]-tbl_SeqLib[[#This Row],[Exact]]),tbl_SeqLib[[#This Row],[Max for col]:[Avg for col]],"",1)</f>
        <v/>
      </c>
      <c r="T61" s="35" t="str">
        <f>IF(tbl_SeqLib[[#This Row],[entry]]=2,tbl_SeqLib[[#This Row],[Max for col]],"")</f>
        <v/>
      </c>
      <c r="U61" s="35" t="str">
        <f>IF(tbl_SeqLib[[#This Row],[entry]]=2,tbl_SeqLib[[#This Row],[Avg for col]],"")</f>
        <v/>
      </c>
      <c r="V61" s="35" t="str">
        <f>IF(tbl_SeqLib[[#This Row],[entry]]=2,AVERAGE(tbl_SeqLib[Exact]),"")</f>
        <v/>
      </c>
      <c r="W61" s="35" t="str">
        <f>IF(tbl_SeqLib[[#This Row],[entry]]=2,MAX(tbl_SeqLib[Exact]),"")</f>
        <v/>
      </c>
      <c r="X61" s="35" t="str" cm="1">
        <f t="array" ref="X61">_xlfn.XLOOKUP(0,ABS(tbl_SeqLib[[#This Row],[Avg per plate]:[Max per plate]]-tbl_SeqLib[[#This Row],[Exact]]),tbl_SeqLib[[#This Row],[Avg per plate]:[Max per plate]],,1)</f>
        <v/>
      </c>
      <c r="Y6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1" s="73" t="str">
        <f>IF(tbl_SeqLib[[#This Row],[entry]]=1,ROUNDUP(AVERAGE(tbl_SeqLib[Exact]),1),"")</f>
        <v/>
      </c>
      <c r="AA61" s="73" t="str">
        <f>IF(tbl_SeqLib[[#This Row],[entry]]=1,ROUNDUP(AVERAGEIFS(tbl_SeqLib[Exact],tbl_SeqLib[Column],tbl_SeqLib[[#This Row],[Column]]),1),"")</f>
        <v/>
      </c>
      <c r="AB61" s="35" t="str">
        <f>IF(missing_qc_resolution=Reference!$E$49,tbl_SeqLib[[#This Row],[Avg per col (missing)]],tbl_SeqLib[[#This Row],[Avg per plate (missing)]])</f>
        <v/>
      </c>
      <c r="AC61" s="35" t="str">
        <f>IF(tbl_SeqLib[[#This Row],[entry]]=0,"",IF(tbl_SeqLib[[#This Row],[entry]]=1,tbl_SeqLib[[#This Row],[Not quantified]],IF(tbl_SeqLib[[#This Row],[entry]]=2,tbl_SeqLib[[#This Row],[Quantified]])))</f>
        <v/>
      </c>
      <c r="AD61" s="80"/>
      <c r="AE6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1" s="49" t="str">
        <f>IF(ISBLANK(tbl_SeqLib[[#This Row],[sWGA Identifier]]),"",CONCATENATE(exp_id,"_",tbl_SeqLib[[#This Row],[Well]]))</f>
        <v/>
      </c>
    </row>
    <row r="62" spans="1:32" ht="15.75" customHeight="1" x14ac:dyDescent="0.3">
      <c r="A62" s="48">
        <v>60</v>
      </c>
      <c r="B62" s="37" t="str">
        <f>RIGHT(tbl_SeqLib[[#This Row],[Well]],LEN(tbl_SeqLib[[#This Row],[Well]])-1)</f>
        <v>8</v>
      </c>
      <c r="C62" s="36" t="s">
        <v>203</v>
      </c>
      <c r="D62" s="19"/>
      <c r="E62" s="21"/>
      <c r="F62" s="19"/>
      <c r="G62" s="29"/>
      <c r="H62" s="29"/>
      <c r="I62" s="29"/>
      <c r="J62" s="29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204</v>
      </c>
      <c r="M62" s="73">
        <f>IF(OR(ISBLANK(tbl_SeqLib[[#This Row],[Sample ID]]),ISBLANK(endrepair_targetmass)),0,IF(LEN(tbl_SeqLib[[#This Row],[PCR '[DNA'] (ng / µl)]])=0,1,2))</f>
        <v>0</v>
      </c>
      <c r="N6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35" t="str">
        <f>IF(tbl_SeqLib[[#This Row],[entry]]=2,ROUNDUP(_xlfn.MINIFS(tbl_SeqLib[Exact],tbl_SeqLib[Column],tbl_SeqLib[[#This Row],[Column]]),1),"")</f>
        <v/>
      </c>
      <c r="P62" s="35" t="str">
        <f>IF(tbl_SeqLib[[#This Row],[entry]]=2,ROUNDDOWN(_xlfn.MAXIFS(tbl_SeqLib[Exact],tbl_SeqLib[Column],tbl_SeqLib[[#This Row],[Column]]),1),"")</f>
        <v/>
      </c>
      <c r="Q62" s="35" t="str">
        <f>IF(tbl_SeqLib[[#This Row],[entry]]=2,ROUNDUP(AVERAGEIFS(tbl_SeqLib[Exact],tbl_SeqLib[Column],tbl_SeqLib[[#This Row],[Column]]),1),"")</f>
        <v/>
      </c>
      <c r="R62" s="35" t="str" cm="1">
        <f t="array" ref="R62">_xlfn.XLOOKUP(0,ABS(tbl_SeqLib[[#This Row],[Min for col]:[Avg for col]]-tbl_SeqLib[[#This Row],[Exact]]),tbl_SeqLib[[#This Row],[Min for col]:[Avg for col]],"",1)</f>
        <v/>
      </c>
      <c r="S62" s="35" t="str" cm="1">
        <f t="array" ref="S62">_xlfn.XLOOKUP(0,ABS(tbl_SeqLib[[#This Row],[Max for col]:[Avg for col]]-tbl_SeqLib[[#This Row],[Exact]]),tbl_SeqLib[[#This Row],[Max for col]:[Avg for col]],"",1)</f>
        <v/>
      </c>
      <c r="T62" s="35" t="str">
        <f>IF(tbl_SeqLib[[#This Row],[entry]]=2,tbl_SeqLib[[#This Row],[Max for col]],"")</f>
        <v/>
      </c>
      <c r="U62" s="35" t="str">
        <f>IF(tbl_SeqLib[[#This Row],[entry]]=2,tbl_SeqLib[[#This Row],[Avg for col]],"")</f>
        <v/>
      </c>
      <c r="V62" s="35" t="str">
        <f>IF(tbl_SeqLib[[#This Row],[entry]]=2,AVERAGE(tbl_SeqLib[Exact]),"")</f>
        <v/>
      </c>
      <c r="W62" s="35" t="str">
        <f>IF(tbl_SeqLib[[#This Row],[entry]]=2,MAX(tbl_SeqLib[Exact]),"")</f>
        <v/>
      </c>
      <c r="X62" s="35" t="str" cm="1">
        <f t="array" ref="X62">_xlfn.XLOOKUP(0,ABS(tbl_SeqLib[[#This Row],[Avg per plate]:[Max per plate]]-tbl_SeqLib[[#This Row],[Exact]]),tbl_SeqLib[[#This Row],[Avg per plate]:[Max per plate]],,1)</f>
        <v/>
      </c>
      <c r="Y6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2" s="73" t="str">
        <f>IF(tbl_SeqLib[[#This Row],[entry]]=1,ROUNDUP(AVERAGE(tbl_SeqLib[Exact]),1),"")</f>
        <v/>
      </c>
      <c r="AA62" s="73" t="str">
        <f>IF(tbl_SeqLib[[#This Row],[entry]]=1,ROUNDUP(AVERAGEIFS(tbl_SeqLib[Exact],tbl_SeqLib[Column],tbl_SeqLib[[#This Row],[Column]]),1),"")</f>
        <v/>
      </c>
      <c r="AB62" s="35" t="str">
        <f>IF(missing_qc_resolution=Reference!$E$49,tbl_SeqLib[[#This Row],[Avg per col (missing)]],tbl_SeqLib[[#This Row],[Avg per plate (missing)]])</f>
        <v/>
      </c>
      <c r="AC62" s="35" t="str">
        <f>IF(tbl_SeqLib[[#This Row],[entry]]=0,"",IF(tbl_SeqLib[[#This Row],[entry]]=1,tbl_SeqLib[[#This Row],[Not quantified]],IF(tbl_SeqLib[[#This Row],[entry]]=2,tbl_SeqLib[[#This Row],[Quantified]])))</f>
        <v/>
      </c>
      <c r="AD62" s="80"/>
      <c r="AE6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2" s="49" t="str">
        <f>IF(ISBLANK(tbl_SeqLib[[#This Row],[sWGA Identifier]]),"",CONCATENATE(exp_id,"_",tbl_SeqLib[[#This Row],[Well]]))</f>
        <v/>
      </c>
    </row>
    <row r="63" spans="1:32" ht="15.75" customHeight="1" x14ac:dyDescent="0.3">
      <c r="A63" s="48">
        <v>61</v>
      </c>
      <c r="B63" s="37" t="str">
        <f>RIGHT(tbl_SeqLib[[#This Row],[Well]],LEN(tbl_SeqLib[[#This Row],[Well]])-1)</f>
        <v>8</v>
      </c>
      <c r="C63" s="36" t="s">
        <v>205</v>
      </c>
      <c r="D63" s="19"/>
      <c r="E63" s="21"/>
      <c r="F63" s="19"/>
      <c r="G63" s="29"/>
      <c r="H63" s="29"/>
      <c r="I63" s="29"/>
      <c r="J63" s="29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206</v>
      </c>
      <c r="M63" s="73">
        <f>IF(OR(ISBLANK(tbl_SeqLib[[#This Row],[Sample ID]]),ISBLANK(endrepair_targetmass)),0,IF(LEN(tbl_SeqLib[[#This Row],[PCR '[DNA'] (ng / µl)]])=0,1,2))</f>
        <v>0</v>
      </c>
      <c r="N6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35" t="str">
        <f>IF(tbl_SeqLib[[#This Row],[entry]]=2,ROUNDUP(_xlfn.MINIFS(tbl_SeqLib[Exact],tbl_SeqLib[Column],tbl_SeqLib[[#This Row],[Column]]),1),"")</f>
        <v/>
      </c>
      <c r="P63" s="35" t="str">
        <f>IF(tbl_SeqLib[[#This Row],[entry]]=2,ROUNDDOWN(_xlfn.MAXIFS(tbl_SeqLib[Exact],tbl_SeqLib[Column],tbl_SeqLib[[#This Row],[Column]]),1),"")</f>
        <v/>
      </c>
      <c r="Q63" s="35" t="str">
        <f>IF(tbl_SeqLib[[#This Row],[entry]]=2,ROUNDUP(AVERAGEIFS(tbl_SeqLib[Exact],tbl_SeqLib[Column],tbl_SeqLib[[#This Row],[Column]]),1),"")</f>
        <v/>
      </c>
      <c r="R63" s="35" t="str" cm="1">
        <f t="array" ref="R63">_xlfn.XLOOKUP(0,ABS(tbl_SeqLib[[#This Row],[Min for col]:[Avg for col]]-tbl_SeqLib[[#This Row],[Exact]]),tbl_SeqLib[[#This Row],[Min for col]:[Avg for col]],"",1)</f>
        <v/>
      </c>
      <c r="S63" s="35" t="str" cm="1">
        <f t="array" ref="S63">_xlfn.XLOOKUP(0,ABS(tbl_SeqLib[[#This Row],[Max for col]:[Avg for col]]-tbl_SeqLib[[#This Row],[Exact]]),tbl_SeqLib[[#This Row],[Max for col]:[Avg for col]],"",1)</f>
        <v/>
      </c>
      <c r="T63" s="35" t="str">
        <f>IF(tbl_SeqLib[[#This Row],[entry]]=2,tbl_SeqLib[[#This Row],[Max for col]],"")</f>
        <v/>
      </c>
      <c r="U63" s="35" t="str">
        <f>IF(tbl_SeqLib[[#This Row],[entry]]=2,tbl_SeqLib[[#This Row],[Avg for col]],"")</f>
        <v/>
      </c>
      <c r="V63" s="35" t="str">
        <f>IF(tbl_SeqLib[[#This Row],[entry]]=2,AVERAGE(tbl_SeqLib[Exact]),"")</f>
        <v/>
      </c>
      <c r="W63" s="35" t="str">
        <f>IF(tbl_SeqLib[[#This Row],[entry]]=2,MAX(tbl_SeqLib[Exact]),"")</f>
        <v/>
      </c>
      <c r="X63" s="35" t="str" cm="1">
        <f t="array" ref="X63">_xlfn.XLOOKUP(0,ABS(tbl_SeqLib[[#This Row],[Avg per plate]:[Max per plate]]-tbl_SeqLib[[#This Row],[Exact]]),tbl_SeqLib[[#This Row],[Avg per plate]:[Max per plate]],,1)</f>
        <v/>
      </c>
      <c r="Y6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3" s="73" t="str">
        <f>IF(tbl_SeqLib[[#This Row],[entry]]=1,ROUNDUP(AVERAGE(tbl_SeqLib[Exact]),1),"")</f>
        <v/>
      </c>
      <c r="AA63" s="73" t="str">
        <f>IF(tbl_SeqLib[[#This Row],[entry]]=1,ROUNDUP(AVERAGEIFS(tbl_SeqLib[Exact],tbl_SeqLib[Column],tbl_SeqLib[[#This Row],[Column]]),1),"")</f>
        <v/>
      </c>
      <c r="AB63" s="35" t="str">
        <f>IF(missing_qc_resolution=Reference!$E$49,tbl_SeqLib[[#This Row],[Avg per col (missing)]],tbl_SeqLib[[#This Row],[Avg per plate (missing)]])</f>
        <v/>
      </c>
      <c r="AC63" s="35" t="str">
        <f>IF(tbl_SeqLib[[#This Row],[entry]]=0,"",IF(tbl_SeqLib[[#This Row],[entry]]=1,tbl_SeqLib[[#This Row],[Not quantified]],IF(tbl_SeqLib[[#This Row],[entry]]=2,tbl_SeqLib[[#This Row],[Quantified]])))</f>
        <v/>
      </c>
      <c r="AD63" s="80"/>
      <c r="AE6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3" s="49" t="str">
        <f>IF(ISBLANK(tbl_SeqLib[[#This Row],[sWGA Identifier]]),"",CONCATENATE(exp_id,"_",tbl_SeqLib[[#This Row],[Well]]))</f>
        <v/>
      </c>
    </row>
    <row r="64" spans="1:32" ht="15.75" customHeight="1" x14ac:dyDescent="0.3">
      <c r="A64" s="48">
        <v>62</v>
      </c>
      <c r="B64" s="37" t="str">
        <f>RIGHT(tbl_SeqLib[[#This Row],[Well]],LEN(tbl_SeqLib[[#This Row],[Well]])-1)</f>
        <v>8</v>
      </c>
      <c r="C64" s="36" t="s">
        <v>207</v>
      </c>
      <c r="D64" s="19"/>
      <c r="E64" s="21"/>
      <c r="F64" s="19"/>
      <c r="G64" s="29"/>
      <c r="H64" s="29"/>
      <c r="I64" s="29"/>
      <c r="J64" s="29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208</v>
      </c>
      <c r="M64" s="73">
        <f>IF(OR(ISBLANK(tbl_SeqLib[[#This Row],[Sample ID]]),ISBLANK(endrepair_targetmass)),0,IF(LEN(tbl_SeqLib[[#This Row],[PCR '[DNA'] (ng / µl)]])=0,1,2))</f>
        <v>0</v>
      </c>
      <c r="N6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35" t="str">
        <f>IF(tbl_SeqLib[[#This Row],[entry]]=2,ROUNDUP(_xlfn.MINIFS(tbl_SeqLib[Exact],tbl_SeqLib[Column],tbl_SeqLib[[#This Row],[Column]]),1),"")</f>
        <v/>
      </c>
      <c r="P64" s="35" t="str">
        <f>IF(tbl_SeqLib[[#This Row],[entry]]=2,ROUNDDOWN(_xlfn.MAXIFS(tbl_SeqLib[Exact],tbl_SeqLib[Column],tbl_SeqLib[[#This Row],[Column]]),1),"")</f>
        <v/>
      </c>
      <c r="Q64" s="35" t="str">
        <f>IF(tbl_SeqLib[[#This Row],[entry]]=2,ROUNDUP(AVERAGEIFS(tbl_SeqLib[Exact],tbl_SeqLib[Column],tbl_SeqLib[[#This Row],[Column]]),1),"")</f>
        <v/>
      </c>
      <c r="R64" s="35" t="str" cm="1">
        <f t="array" ref="R64">_xlfn.XLOOKUP(0,ABS(tbl_SeqLib[[#This Row],[Min for col]:[Avg for col]]-tbl_SeqLib[[#This Row],[Exact]]),tbl_SeqLib[[#This Row],[Min for col]:[Avg for col]],"",1)</f>
        <v/>
      </c>
      <c r="S64" s="35" t="str" cm="1">
        <f t="array" ref="S64">_xlfn.XLOOKUP(0,ABS(tbl_SeqLib[[#This Row],[Max for col]:[Avg for col]]-tbl_SeqLib[[#This Row],[Exact]]),tbl_SeqLib[[#This Row],[Max for col]:[Avg for col]],"",1)</f>
        <v/>
      </c>
      <c r="T64" s="35" t="str">
        <f>IF(tbl_SeqLib[[#This Row],[entry]]=2,tbl_SeqLib[[#This Row],[Max for col]],"")</f>
        <v/>
      </c>
      <c r="U64" s="35" t="str">
        <f>IF(tbl_SeqLib[[#This Row],[entry]]=2,tbl_SeqLib[[#This Row],[Avg for col]],"")</f>
        <v/>
      </c>
      <c r="V64" s="35" t="str">
        <f>IF(tbl_SeqLib[[#This Row],[entry]]=2,AVERAGE(tbl_SeqLib[Exact]),"")</f>
        <v/>
      </c>
      <c r="W64" s="35" t="str">
        <f>IF(tbl_SeqLib[[#This Row],[entry]]=2,MAX(tbl_SeqLib[Exact]),"")</f>
        <v/>
      </c>
      <c r="X64" s="35" t="str" cm="1">
        <f t="array" ref="X64">_xlfn.XLOOKUP(0,ABS(tbl_SeqLib[[#This Row],[Avg per plate]:[Max per plate]]-tbl_SeqLib[[#This Row],[Exact]]),tbl_SeqLib[[#This Row],[Avg per plate]:[Max per plate]],,1)</f>
        <v/>
      </c>
      <c r="Y6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4" s="73" t="str">
        <f>IF(tbl_SeqLib[[#This Row],[entry]]=1,ROUNDUP(AVERAGE(tbl_SeqLib[Exact]),1),"")</f>
        <v/>
      </c>
      <c r="AA64" s="73" t="str">
        <f>IF(tbl_SeqLib[[#This Row],[entry]]=1,ROUNDUP(AVERAGEIFS(tbl_SeqLib[Exact],tbl_SeqLib[Column],tbl_SeqLib[[#This Row],[Column]]),1),"")</f>
        <v/>
      </c>
      <c r="AB64" s="35" t="str">
        <f>IF(missing_qc_resolution=Reference!$E$49,tbl_SeqLib[[#This Row],[Avg per col (missing)]],tbl_SeqLib[[#This Row],[Avg per plate (missing)]])</f>
        <v/>
      </c>
      <c r="AC64" s="35" t="str">
        <f>IF(tbl_SeqLib[[#This Row],[entry]]=0,"",IF(tbl_SeqLib[[#This Row],[entry]]=1,tbl_SeqLib[[#This Row],[Not quantified]],IF(tbl_SeqLib[[#This Row],[entry]]=2,tbl_SeqLib[[#This Row],[Quantified]])))</f>
        <v/>
      </c>
      <c r="AD64" s="80"/>
      <c r="AE6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4" s="49" t="str">
        <f>IF(ISBLANK(tbl_SeqLib[[#This Row],[sWGA Identifier]]),"",CONCATENATE(exp_id,"_",tbl_SeqLib[[#This Row],[Well]]))</f>
        <v/>
      </c>
    </row>
    <row r="65" spans="1:32" ht="15.75" customHeight="1" x14ac:dyDescent="0.3">
      <c r="A65" s="48">
        <v>63</v>
      </c>
      <c r="B65" s="37" t="str">
        <f>RIGHT(tbl_SeqLib[[#This Row],[Well]],LEN(tbl_SeqLib[[#This Row],[Well]])-1)</f>
        <v>8</v>
      </c>
      <c r="C65" s="36" t="s">
        <v>209</v>
      </c>
      <c r="D65" s="19"/>
      <c r="E65" s="21"/>
      <c r="F65" s="19"/>
      <c r="G65" s="29"/>
      <c r="H65" s="29"/>
      <c r="I65" s="29"/>
      <c r="J65" s="29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210</v>
      </c>
      <c r="M65" s="73">
        <f>IF(OR(ISBLANK(tbl_SeqLib[[#This Row],[Sample ID]]),ISBLANK(endrepair_targetmass)),0,IF(LEN(tbl_SeqLib[[#This Row],[PCR '[DNA'] (ng / µl)]])=0,1,2))</f>
        <v>0</v>
      </c>
      <c r="N6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35" t="str">
        <f>IF(tbl_SeqLib[[#This Row],[entry]]=2,ROUNDUP(_xlfn.MINIFS(tbl_SeqLib[Exact],tbl_SeqLib[Column],tbl_SeqLib[[#This Row],[Column]]),1),"")</f>
        <v/>
      </c>
      <c r="P65" s="35" t="str">
        <f>IF(tbl_SeqLib[[#This Row],[entry]]=2,ROUNDDOWN(_xlfn.MAXIFS(tbl_SeqLib[Exact],tbl_SeqLib[Column],tbl_SeqLib[[#This Row],[Column]]),1),"")</f>
        <v/>
      </c>
      <c r="Q65" s="35" t="str">
        <f>IF(tbl_SeqLib[[#This Row],[entry]]=2,ROUNDUP(AVERAGEIFS(tbl_SeqLib[Exact],tbl_SeqLib[Column],tbl_SeqLib[[#This Row],[Column]]),1),"")</f>
        <v/>
      </c>
      <c r="R65" s="35" t="str" cm="1">
        <f t="array" ref="R65">_xlfn.XLOOKUP(0,ABS(tbl_SeqLib[[#This Row],[Min for col]:[Avg for col]]-tbl_SeqLib[[#This Row],[Exact]]),tbl_SeqLib[[#This Row],[Min for col]:[Avg for col]],"",1)</f>
        <v/>
      </c>
      <c r="S65" s="35" t="str" cm="1">
        <f t="array" ref="S65">_xlfn.XLOOKUP(0,ABS(tbl_SeqLib[[#This Row],[Max for col]:[Avg for col]]-tbl_SeqLib[[#This Row],[Exact]]),tbl_SeqLib[[#This Row],[Max for col]:[Avg for col]],"",1)</f>
        <v/>
      </c>
      <c r="T65" s="35" t="str">
        <f>IF(tbl_SeqLib[[#This Row],[entry]]=2,tbl_SeqLib[[#This Row],[Max for col]],"")</f>
        <v/>
      </c>
      <c r="U65" s="35" t="str">
        <f>IF(tbl_SeqLib[[#This Row],[entry]]=2,tbl_SeqLib[[#This Row],[Avg for col]],"")</f>
        <v/>
      </c>
      <c r="V65" s="35" t="str">
        <f>IF(tbl_SeqLib[[#This Row],[entry]]=2,AVERAGE(tbl_SeqLib[Exact]),"")</f>
        <v/>
      </c>
      <c r="W65" s="35" t="str">
        <f>IF(tbl_SeqLib[[#This Row],[entry]]=2,MAX(tbl_SeqLib[Exact]),"")</f>
        <v/>
      </c>
      <c r="X65" s="35" t="str" cm="1">
        <f t="array" ref="X65">_xlfn.XLOOKUP(0,ABS(tbl_SeqLib[[#This Row],[Avg per plate]:[Max per plate]]-tbl_SeqLib[[#This Row],[Exact]]),tbl_SeqLib[[#This Row],[Avg per plate]:[Max per plate]],,1)</f>
        <v/>
      </c>
      <c r="Y6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5" s="73" t="str">
        <f>IF(tbl_SeqLib[[#This Row],[entry]]=1,ROUNDUP(AVERAGE(tbl_SeqLib[Exact]),1),"")</f>
        <v/>
      </c>
      <c r="AA65" s="73" t="str">
        <f>IF(tbl_SeqLib[[#This Row],[entry]]=1,ROUNDUP(AVERAGEIFS(tbl_SeqLib[Exact],tbl_SeqLib[Column],tbl_SeqLib[[#This Row],[Column]]),1),"")</f>
        <v/>
      </c>
      <c r="AB65" s="35" t="str">
        <f>IF(missing_qc_resolution=Reference!$E$49,tbl_SeqLib[[#This Row],[Avg per col (missing)]],tbl_SeqLib[[#This Row],[Avg per plate (missing)]])</f>
        <v/>
      </c>
      <c r="AC65" s="35" t="str">
        <f>IF(tbl_SeqLib[[#This Row],[entry]]=0,"",IF(tbl_SeqLib[[#This Row],[entry]]=1,tbl_SeqLib[[#This Row],[Not quantified]],IF(tbl_SeqLib[[#This Row],[entry]]=2,tbl_SeqLib[[#This Row],[Quantified]])))</f>
        <v/>
      </c>
      <c r="AD65" s="80"/>
      <c r="AE6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5" s="49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50">
        <v>64</v>
      </c>
      <c r="B66" s="51" t="str">
        <f>RIGHT(tbl_SeqLib[[#This Row],[Well]],LEN(tbl_SeqLib[[#This Row],[Well]])-1)</f>
        <v>8</v>
      </c>
      <c r="C66" s="59" t="s">
        <v>211</v>
      </c>
      <c r="D66" s="52"/>
      <c r="E66" s="53"/>
      <c r="F66" s="52"/>
      <c r="G66" s="54"/>
      <c r="H66" s="54"/>
      <c r="I66" s="54"/>
      <c r="J66" s="54"/>
      <c r="K66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6" t="s">
        <v>212</v>
      </c>
      <c r="M66" s="74">
        <f>IF(OR(ISBLANK(tbl_SeqLib[[#This Row],[Sample ID]]),ISBLANK(endrepair_targetmass)),0,IF(LEN(tbl_SeqLib[[#This Row],[PCR '[DNA'] (ng / µl)]])=0,1,2))</f>
        <v>0</v>
      </c>
      <c r="N66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57" t="str">
        <f>IF(tbl_SeqLib[[#This Row],[entry]]=2,ROUNDUP(_xlfn.MINIFS(tbl_SeqLib[Exact],tbl_SeqLib[Column],tbl_SeqLib[[#This Row],[Column]]),1),"")</f>
        <v/>
      </c>
      <c r="P66" s="57" t="str">
        <f>IF(tbl_SeqLib[[#This Row],[entry]]=2,ROUNDDOWN(_xlfn.MAXIFS(tbl_SeqLib[Exact],tbl_SeqLib[Column],tbl_SeqLib[[#This Row],[Column]]),1),"")</f>
        <v/>
      </c>
      <c r="Q66" s="57" t="str">
        <f>IF(tbl_SeqLib[[#This Row],[entry]]=2,ROUNDUP(AVERAGEIFS(tbl_SeqLib[Exact],tbl_SeqLib[Column],tbl_SeqLib[[#This Row],[Column]]),1),"")</f>
        <v/>
      </c>
      <c r="R66" s="57" t="str" cm="1">
        <f t="array" ref="R66">_xlfn.XLOOKUP(0,ABS(tbl_SeqLib[[#This Row],[Min for col]:[Avg for col]]-tbl_SeqLib[[#This Row],[Exact]]),tbl_SeqLib[[#This Row],[Min for col]:[Avg for col]],"",1)</f>
        <v/>
      </c>
      <c r="S66" s="57" t="str" cm="1">
        <f t="array" ref="S66">_xlfn.XLOOKUP(0,ABS(tbl_SeqLib[[#This Row],[Max for col]:[Avg for col]]-tbl_SeqLib[[#This Row],[Exact]]),tbl_SeqLib[[#This Row],[Max for col]:[Avg for col]],"",1)</f>
        <v/>
      </c>
      <c r="T66" s="57" t="str">
        <f>IF(tbl_SeqLib[[#This Row],[entry]]=2,tbl_SeqLib[[#This Row],[Max for col]],"")</f>
        <v/>
      </c>
      <c r="U66" s="57" t="str">
        <f>IF(tbl_SeqLib[[#This Row],[entry]]=2,tbl_SeqLib[[#This Row],[Avg for col]],"")</f>
        <v/>
      </c>
      <c r="V66" s="57" t="str">
        <f>IF(tbl_SeqLib[[#This Row],[entry]]=2,AVERAGE(tbl_SeqLib[Exact]),"")</f>
        <v/>
      </c>
      <c r="W66" s="57" t="str">
        <f>IF(tbl_SeqLib[[#This Row],[entry]]=2,MAX(tbl_SeqLib[Exact]),"")</f>
        <v/>
      </c>
      <c r="X66" s="57" t="str" cm="1">
        <f t="array" ref="X66">_xlfn.XLOOKUP(0,ABS(tbl_SeqLib[[#This Row],[Avg per plate]:[Max per plate]]-tbl_SeqLib[[#This Row],[Exact]]),tbl_SeqLib[[#This Row],[Avg per plate]:[Max per plate]],,1)</f>
        <v/>
      </c>
      <c r="Y66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6" s="74" t="str">
        <f>IF(tbl_SeqLib[[#This Row],[entry]]=1,ROUNDUP(AVERAGE(tbl_SeqLib[Exact]),1),"")</f>
        <v/>
      </c>
      <c r="AA66" s="74" t="str">
        <f>IF(tbl_SeqLib[[#This Row],[entry]]=1,ROUNDUP(AVERAGEIFS(tbl_SeqLib[Exact],tbl_SeqLib[Column],tbl_SeqLib[[#This Row],[Column]]),1),"")</f>
        <v/>
      </c>
      <c r="AB66" s="57" t="str">
        <f>IF(missing_qc_resolution=Reference!$E$49,tbl_SeqLib[[#This Row],[Avg per col (missing)]],tbl_SeqLib[[#This Row],[Avg per plate (missing)]])</f>
        <v/>
      </c>
      <c r="AC66" s="57" t="str">
        <f>IF(tbl_SeqLib[[#This Row],[entry]]=0,"",IF(tbl_SeqLib[[#This Row],[entry]]=1,tbl_SeqLib[[#This Row],[Not quantified]],IF(tbl_SeqLib[[#This Row],[entry]]=2,tbl_SeqLib[[#This Row],[Quantified]])))</f>
        <v/>
      </c>
      <c r="AD66" s="81"/>
      <c r="AE66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6" s="58" t="str">
        <f>IF(ISBLANK(tbl_SeqLib[[#This Row],[sWGA Identifier]]),"",CONCATENATE(exp_id,"_",tbl_SeqLib[[#This Row],[Well]]))</f>
        <v/>
      </c>
    </row>
    <row r="67" spans="1:32" ht="15.75" customHeight="1" x14ac:dyDescent="0.3">
      <c r="A67" s="41">
        <v>65</v>
      </c>
      <c r="B67" s="42" t="str">
        <f>RIGHT(tbl_SeqLib[[#This Row],[Well]],LEN(tbl_SeqLib[[#This Row],[Well]])-1)</f>
        <v>9</v>
      </c>
      <c r="C67" s="42" t="s">
        <v>213</v>
      </c>
      <c r="D67" s="43"/>
      <c r="E67" s="45"/>
      <c r="F67" s="43"/>
      <c r="G67" s="43"/>
      <c r="H67" s="43"/>
      <c r="I67" s="43"/>
      <c r="J67" s="43"/>
      <c r="K67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5" t="s">
        <v>214</v>
      </c>
      <c r="M67" s="72">
        <f>IF(OR(ISBLANK(tbl_SeqLib[[#This Row],[Sample ID]]),ISBLANK(endrepair_targetmass)),0,IF(LEN(tbl_SeqLib[[#This Row],[PCR '[DNA'] (ng / µl)]])=0,1,2))</f>
        <v>0</v>
      </c>
      <c r="N67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46" t="str">
        <f>IF(tbl_SeqLib[[#This Row],[entry]]=2,ROUNDUP(_xlfn.MINIFS(tbl_SeqLib[Exact],tbl_SeqLib[Column],tbl_SeqLib[[#This Row],[Column]]),1),"")</f>
        <v/>
      </c>
      <c r="P67" s="46" t="str">
        <f>IF(tbl_SeqLib[[#This Row],[entry]]=2,ROUNDDOWN(_xlfn.MAXIFS(tbl_SeqLib[Exact],tbl_SeqLib[Column],tbl_SeqLib[[#This Row],[Column]]),1),"")</f>
        <v/>
      </c>
      <c r="Q67" s="46" t="str">
        <f>IF(tbl_SeqLib[[#This Row],[entry]]=2,ROUNDUP(AVERAGEIFS(tbl_SeqLib[Exact],tbl_SeqLib[Column],tbl_SeqLib[[#This Row],[Column]]),1),"")</f>
        <v/>
      </c>
      <c r="R67" s="46" t="str" cm="1">
        <f t="array" ref="R67">_xlfn.XLOOKUP(0,ABS(tbl_SeqLib[[#This Row],[Min for col]:[Avg for col]]-tbl_SeqLib[[#This Row],[Exact]]),tbl_SeqLib[[#This Row],[Min for col]:[Avg for col]],"",1)</f>
        <v/>
      </c>
      <c r="S67" s="46" t="str" cm="1">
        <f t="array" ref="S67">_xlfn.XLOOKUP(0,ABS(tbl_SeqLib[[#This Row],[Max for col]:[Avg for col]]-tbl_SeqLib[[#This Row],[Exact]]),tbl_SeqLib[[#This Row],[Max for col]:[Avg for col]],"",1)</f>
        <v/>
      </c>
      <c r="T67" s="46" t="str">
        <f>IF(tbl_SeqLib[[#This Row],[entry]]=2,tbl_SeqLib[[#This Row],[Max for col]],"")</f>
        <v/>
      </c>
      <c r="U67" s="46" t="str">
        <f>IF(tbl_SeqLib[[#This Row],[entry]]=2,tbl_SeqLib[[#This Row],[Avg for col]],"")</f>
        <v/>
      </c>
      <c r="V67" s="46" t="str">
        <f>IF(tbl_SeqLib[[#This Row],[entry]]=2,AVERAGE(tbl_SeqLib[Exact]),"")</f>
        <v/>
      </c>
      <c r="W67" s="46" t="str">
        <f>IF(tbl_SeqLib[[#This Row],[entry]]=2,MAX(tbl_SeqLib[Exact]),"")</f>
        <v/>
      </c>
      <c r="X67" s="46" t="str" cm="1">
        <f t="array" ref="X67">_xlfn.XLOOKUP(0,ABS(tbl_SeqLib[[#This Row],[Avg per plate]:[Max per plate]]-tbl_SeqLib[[#This Row],[Exact]]),tbl_SeqLib[[#This Row],[Avg per plate]:[Max per plate]],,1)</f>
        <v/>
      </c>
      <c r="Y67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7" s="72" t="str">
        <f>IF(tbl_SeqLib[[#This Row],[entry]]=1,ROUNDUP(AVERAGE(tbl_SeqLib[Exact]),1),"")</f>
        <v/>
      </c>
      <c r="AA67" s="72" t="str">
        <f>IF(tbl_SeqLib[[#This Row],[entry]]=1,ROUNDUP(AVERAGEIFS(tbl_SeqLib[Exact],tbl_SeqLib[Column],tbl_SeqLib[[#This Row],[Column]]),1),"")</f>
        <v/>
      </c>
      <c r="AB67" s="46" t="str">
        <f>IF(missing_qc_resolution=Reference!$E$49,tbl_SeqLib[[#This Row],[Avg per col (missing)]],tbl_SeqLib[[#This Row],[Avg per plate (missing)]])</f>
        <v/>
      </c>
      <c r="AC67" s="46" t="str">
        <f>IF(tbl_SeqLib[[#This Row],[entry]]=0,"",IF(tbl_SeqLib[[#This Row],[entry]]=1,tbl_SeqLib[[#This Row],[Not quantified]],IF(tbl_SeqLib[[#This Row],[entry]]=2,tbl_SeqLib[[#This Row],[Quantified]])))</f>
        <v/>
      </c>
      <c r="AD67" s="79"/>
      <c r="AE67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7" s="47" t="str">
        <f>IF(ISBLANK(tbl_SeqLib[[#This Row],[sWGA Identifier]]),"",CONCATENATE(exp_id,"_",tbl_SeqLib[[#This Row],[Well]]))</f>
        <v/>
      </c>
    </row>
    <row r="68" spans="1:32" ht="15.75" customHeight="1" x14ac:dyDescent="0.3">
      <c r="A68" s="48">
        <v>66</v>
      </c>
      <c r="B68" s="37" t="str">
        <f>RIGHT(tbl_SeqLib[[#This Row],[Well]],LEN(tbl_SeqLib[[#This Row],[Well]])-1)</f>
        <v>9</v>
      </c>
      <c r="C68" s="36" t="s">
        <v>215</v>
      </c>
      <c r="D68" s="19"/>
      <c r="E68" s="21"/>
      <c r="F68" s="19"/>
      <c r="G68" s="29"/>
      <c r="H68" s="29"/>
      <c r="I68" s="29"/>
      <c r="J68" s="29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216</v>
      </c>
      <c r="M68" s="73">
        <f>IF(OR(ISBLANK(tbl_SeqLib[[#This Row],[Sample ID]]),ISBLANK(endrepair_targetmass)),0,IF(LEN(tbl_SeqLib[[#This Row],[PCR '[DNA'] (ng / µl)]])=0,1,2))</f>
        <v>0</v>
      </c>
      <c r="N6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35" t="str">
        <f>IF(tbl_SeqLib[[#This Row],[entry]]=2,ROUNDUP(_xlfn.MINIFS(tbl_SeqLib[Exact],tbl_SeqLib[Column],tbl_SeqLib[[#This Row],[Column]]),1),"")</f>
        <v/>
      </c>
      <c r="P68" s="35" t="str">
        <f>IF(tbl_SeqLib[[#This Row],[entry]]=2,ROUNDDOWN(_xlfn.MAXIFS(tbl_SeqLib[Exact],tbl_SeqLib[Column],tbl_SeqLib[[#This Row],[Column]]),1),"")</f>
        <v/>
      </c>
      <c r="Q68" s="35" t="str">
        <f>IF(tbl_SeqLib[[#This Row],[entry]]=2,ROUNDUP(AVERAGEIFS(tbl_SeqLib[Exact],tbl_SeqLib[Column],tbl_SeqLib[[#This Row],[Column]]),1),"")</f>
        <v/>
      </c>
      <c r="R68" s="35" t="str" cm="1">
        <f t="array" ref="R68">_xlfn.XLOOKUP(0,ABS(tbl_SeqLib[[#This Row],[Min for col]:[Avg for col]]-tbl_SeqLib[[#This Row],[Exact]]),tbl_SeqLib[[#This Row],[Min for col]:[Avg for col]],"",1)</f>
        <v/>
      </c>
      <c r="S68" s="35" t="str" cm="1">
        <f t="array" ref="S68">_xlfn.XLOOKUP(0,ABS(tbl_SeqLib[[#This Row],[Max for col]:[Avg for col]]-tbl_SeqLib[[#This Row],[Exact]]),tbl_SeqLib[[#This Row],[Max for col]:[Avg for col]],"",1)</f>
        <v/>
      </c>
      <c r="T68" s="35" t="str">
        <f>IF(tbl_SeqLib[[#This Row],[entry]]=2,tbl_SeqLib[[#This Row],[Max for col]],"")</f>
        <v/>
      </c>
      <c r="U68" s="35" t="str">
        <f>IF(tbl_SeqLib[[#This Row],[entry]]=2,tbl_SeqLib[[#This Row],[Avg for col]],"")</f>
        <v/>
      </c>
      <c r="V68" s="35" t="str">
        <f>IF(tbl_SeqLib[[#This Row],[entry]]=2,AVERAGE(tbl_SeqLib[Exact]),"")</f>
        <v/>
      </c>
      <c r="W68" s="35" t="str">
        <f>IF(tbl_SeqLib[[#This Row],[entry]]=2,MAX(tbl_SeqLib[Exact]),"")</f>
        <v/>
      </c>
      <c r="X68" s="35" t="str" cm="1">
        <f t="array" ref="X68">_xlfn.XLOOKUP(0,ABS(tbl_SeqLib[[#This Row],[Avg per plate]:[Max per plate]]-tbl_SeqLib[[#This Row],[Exact]]),tbl_SeqLib[[#This Row],[Avg per plate]:[Max per plate]],,1)</f>
        <v/>
      </c>
      <c r="Y6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8" s="73" t="str">
        <f>IF(tbl_SeqLib[[#This Row],[entry]]=1,ROUNDUP(AVERAGE(tbl_SeqLib[Exact]),1),"")</f>
        <v/>
      </c>
      <c r="AA68" s="73" t="str">
        <f>IF(tbl_SeqLib[[#This Row],[entry]]=1,ROUNDUP(AVERAGEIFS(tbl_SeqLib[Exact],tbl_SeqLib[Column],tbl_SeqLib[[#This Row],[Column]]),1),"")</f>
        <v/>
      </c>
      <c r="AB68" s="35" t="str">
        <f>IF(missing_qc_resolution=Reference!$E$49,tbl_SeqLib[[#This Row],[Avg per col (missing)]],tbl_SeqLib[[#This Row],[Avg per plate (missing)]])</f>
        <v/>
      </c>
      <c r="AC68" s="35" t="str">
        <f>IF(tbl_SeqLib[[#This Row],[entry]]=0,"",IF(tbl_SeqLib[[#This Row],[entry]]=1,tbl_SeqLib[[#This Row],[Not quantified]],IF(tbl_SeqLib[[#This Row],[entry]]=2,tbl_SeqLib[[#This Row],[Quantified]])))</f>
        <v/>
      </c>
      <c r="AD68" s="80"/>
      <c r="AE6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8" s="49" t="str">
        <f>IF(ISBLANK(tbl_SeqLib[[#This Row],[sWGA Identifier]]),"",CONCATENATE(exp_id,"_",tbl_SeqLib[[#This Row],[Well]]))</f>
        <v/>
      </c>
    </row>
    <row r="69" spans="1:32" ht="15.75" customHeight="1" x14ac:dyDescent="0.3">
      <c r="A69" s="48">
        <v>67</v>
      </c>
      <c r="B69" s="37" t="str">
        <f>RIGHT(tbl_SeqLib[[#This Row],[Well]],LEN(tbl_SeqLib[[#This Row],[Well]])-1)</f>
        <v>9</v>
      </c>
      <c r="C69" s="36" t="s">
        <v>217</v>
      </c>
      <c r="D69" s="19"/>
      <c r="E69" s="21"/>
      <c r="F69" s="19"/>
      <c r="G69" s="29"/>
      <c r="H69" s="29"/>
      <c r="I69" s="29"/>
      <c r="J69" s="29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218</v>
      </c>
      <c r="M69" s="73">
        <f>IF(OR(ISBLANK(tbl_SeqLib[[#This Row],[Sample ID]]),ISBLANK(endrepair_targetmass)),0,IF(LEN(tbl_SeqLib[[#This Row],[PCR '[DNA'] (ng / µl)]])=0,1,2))</f>
        <v>0</v>
      </c>
      <c r="N6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35" t="str">
        <f>IF(tbl_SeqLib[[#This Row],[entry]]=2,ROUNDUP(_xlfn.MINIFS(tbl_SeqLib[Exact],tbl_SeqLib[Column],tbl_SeqLib[[#This Row],[Column]]),1),"")</f>
        <v/>
      </c>
      <c r="P69" s="35" t="str">
        <f>IF(tbl_SeqLib[[#This Row],[entry]]=2,ROUNDDOWN(_xlfn.MAXIFS(tbl_SeqLib[Exact],tbl_SeqLib[Column],tbl_SeqLib[[#This Row],[Column]]),1),"")</f>
        <v/>
      </c>
      <c r="Q69" s="35" t="str">
        <f>IF(tbl_SeqLib[[#This Row],[entry]]=2,ROUNDUP(AVERAGEIFS(tbl_SeqLib[Exact],tbl_SeqLib[Column],tbl_SeqLib[[#This Row],[Column]]),1),"")</f>
        <v/>
      </c>
      <c r="R69" s="35" t="str" cm="1">
        <f t="array" ref="R69">_xlfn.XLOOKUP(0,ABS(tbl_SeqLib[[#This Row],[Min for col]:[Avg for col]]-tbl_SeqLib[[#This Row],[Exact]]),tbl_SeqLib[[#This Row],[Min for col]:[Avg for col]],"",1)</f>
        <v/>
      </c>
      <c r="S69" s="35" t="str" cm="1">
        <f t="array" ref="S69">_xlfn.XLOOKUP(0,ABS(tbl_SeqLib[[#This Row],[Max for col]:[Avg for col]]-tbl_SeqLib[[#This Row],[Exact]]),tbl_SeqLib[[#This Row],[Max for col]:[Avg for col]],"",1)</f>
        <v/>
      </c>
      <c r="T69" s="35" t="str">
        <f>IF(tbl_SeqLib[[#This Row],[entry]]=2,tbl_SeqLib[[#This Row],[Max for col]],"")</f>
        <v/>
      </c>
      <c r="U69" s="35" t="str">
        <f>IF(tbl_SeqLib[[#This Row],[entry]]=2,tbl_SeqLib[[#This Row],[Avg for col]],"")</f>
        <v/>
      </c>
      <c r="V69" s="35" t="str">
        <f>IF(tbl_SeqLib[[#This Row],[entry]]=2,AVERAGE(tbl_SeqLib[Exact]),"")</f>
        <v/>
      </c>
      <c r="W69" s="35" t="str">
        <f>IF(tbl_SeqLib[[#This Row],[entry]]=2,MAX(tbl_SeqLib[Exact]),"")</f>
        <v/>
      </c>
      <c r="X69" s="35" t="str" cm="1">
        <f t="array" ref="X69">_xlfn.XLOOKUP(0,ABS(tbl_SeqLib[[#This Row],[Avg per plate]:[Max per plate]]-tbl_SeqLib[[#This Row],[Exact]]),tbl_SeqLib[[#This Row],[Avg per plate]:[Max per plate]],,1)</f>
        <v/>
      </c>
      <c r="Y6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9" s="73" t="str">
        <f>IF(tbl_SeqLib[[#This Row],[entry]]=1,ROUNDUP(AVERAGE(tbl_SeqLib[Exact]),1),"")</f>
        <v/>
      </c>
      <c r="AA69" s="73" t="str">
        <f>IF(tbl_SeqLib[[#This Row],[entry]]=1,ROUNDUP(AVERAGEIFS(tbl_SeqLib[Exact],tbl_SeqLib[Column],tbl_SeqLib[[#This Row],[Column]]),1),"")</f>
        <v/>
      </c>
      <c r="AB69" s="35" t="str">
        <f>IF(missing_qc_resolution=Reference!$E$49,tbl_SeqLib[[#This Row],[Avg per col (missing)]],tbl_SeqLib[[#This Row],[Avg per plate (missing)]])</f>
        <v/>
      </c>
      <c r="AC69" s="35" t="str">
        <f>IF(tbl_SeqLib[[#This Row],[entry]]=0,"",IF(tbl_SeqLib[[#This Row],[entry]]=1,tbl_SeqLib[[#This Row],[Not quantified]],IF(tbl_SeqLib[[#This Row],[entry]]=2,tbl_SeqLib[[#This Row],[Quantified]])))</f>
        <v/>
      </c>
      <c r="AD69" s="80"/>
      <c r="AE6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9" s="49" t="str">
        <f>IF(ISBLANK(tbl_SeqLib[[#This Row],[sWGA Identifier]]),"",CONCATENATE(exp_id,"_",tbl_SeqLib[[#This Row],[Well]]))</f>
        <v/>
      </c>
    </row>
    <row r="70" spans="1:32" ht="15.75" customHeight="1" x14ac:dyDescent="0.3">
      <c r="A70" s="48">
        <v>68</v>
      </c>
      <c r="B70" s="37" t="str">
        <f>RIGHT(tbl_SeqLib[[#This Row],[Well]],LEN(tbl_SeqLib[[#This Row],[Well]])-1)</f>
        <v>9</v>
      </c>
      <c r="C70" s="36" t="s">
        <v>219</v>
      </c>
      <c r="D70" s="19"/>
      <c r="E70" s="21"/>
      <c r="F70" s="19"/>
      <c r="G70" s="29"/>
      <c r="H70" s="29"/>
      <c r="I70" s="29"/>
      <c r="J70" s="29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220</v>
      </c>
      <c r="M70" s="73">
        <f>IF(OR(ISBLANK(tbl_SeqLib[[#This Row],[Sample ID]]),ISBLANK(endrepair_targetmass)),0,IF(LEN(tbl_SeqLib[[#This Row],[PCR '[DNA'] (ng / µl)]])=0,1,2))</f>
        <v>0</v>
      </c>
      <c r="N7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35" t="str">
        <f>IF(tbl_SeqLib[[#This Row],[entry]]=2,ROUNDUP(_xlfn.MINIFS(tbl_SeqLib[Exact],tbl_SeqLib[Column],tbl_SeqLib[[#This Row],[Column]]),1),"")</f>
        <v/>
      </c>
      <c r="P70" s="35" t="str">
        <f>IF(tbl_SeqLib[[#This Row],[entry]]=2,ROUNDDOWN(_xlfn.MAXIFS(tbl_SeqLib[Exact],tbl_SeqLib[Column],tbl_SeqLib[[#This Row],[Column]]),1),"")</f>
        <v/>
      </c>
      <c r="Q70" s="35" t="str">
        <f>IF(tbl_SeqLib[[#This Row],[entry]]=2,ROUNDUP(AVERAGEIFS(tbl_SeqLib[Exact],tbl_SeqLib[Column],tbl_SeqLib[[#This Row],[Column]]),1),"")</f>
        <v/>
      </c>
      <c r="R70" s="35" t="str" cm="1">
        <f t="array" ref="R70">_xlfn.XLOOKUP(0,ABS(tbl_SeqLib[[#This Row],[Min for col]:[Avg for col]]-tbl_SeqLib[[#This Row],[Exact]]),tbl_SeqLib[[#This Row],[Min for col]:[Avg for col]],"",1)</f>
        <v/>
      </c>
      <c r="S70" s="35" t="str" cm="1">
        <f t="array" ref="S70">_xlfn.XLOOKUP(0,ABS(tbl_SeqLib[[#This Row],[Max for col]:[Avg for col]]-tbl_SeqLib[[#This Row],[Exact]]),tbl_SeqLib[[#This Row],[Max for col]:[Avg for col]],"",1)</f>
        <v/>
      </c>
      <c r="T70" s="35" t="str">
        <f>IF(tbl_SeqLib[[#This Row],[entry]]=2,tbl_SeqLib[[#This Row],[Max for col]],"")</f>
        <v/>
      </c>
      <c r="U70" s="35" t="str">
        <f>IF(tbl_SeqLib[[#This Row],[entry]]=2,tbl_SeqLib[[#This Row],[Avg for col]],"")</f>
        <v/>
      </c>
      <c r="V70" s="35" t="str">
        <f>IF(tbl_SeqLib[[#This Row],[entry]]=2,AVERAGE(tbl_SeqLib[Exact]),"")</f>
        <v/>
      </c>
      <c r="W70" s="35" t="str">
        <f>IF(tbl_SeqLib[[#This Row],[entry]]=2,MAX(tbl_SeqLib[Exact]),"")</f>
        <v/>
      </c>
      <c r="X70" s="35" t="str" cm="1">
        <f t="array" ref="X70">_xlfn.XLOOKUP(0,ABS(tbl_SeqLib[[#This Row],[Avg per plate]:[Max per plate]]-tbl_SeqLib[[#This Row],[Exact]]),tbl_SeqLib[[#This Row],[Avg per plate]:[Max per plate]],,1)</f>
        <v/>
      </c>
      <c r="Y7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0" s="73" t="str">
        <f>IF(tbl_SeqLib[[#This Row],[entry]]=1,ROUNDUP(AVERAGE(tbl_SeqLib[Exact]),1),"")</f>
        <v/>
      </c>
      <c r="AA70" s="73" t="str">
        <f>IF(tbl_SeqLib[[#This Row],[entry]]=1,ROUNDUP(AVERAGEIFS(tbl_SeqLib[Exact],tbl_SeqLib[Column],tbl_SeqLib[[#This Row],[Column]]),1),"")</f>
        <v/>
      </c>
      <c r="AB70" s="35" t="str">
        <f>IF(missing_qc_resolution=Reference!$E$49,tbl_SeqLib[[#This Row],[Avg per col (missing)]],tbl_SeqLib[[#This Row],[Avg per plate (missing)]])</f>
        <v/>
      </c>
      <c r="AC70" s="35" t="str">
        <f>IF(tbl_SeqLib[[#This Row],[entry]]=0,"",IF(tbl_SeqLib[[#This Row],[entry]]=1,tbl_SeqLib[[#This Row],[Not quantified]],IF(tbl_SeqLib[[#This Row],[entry]]=2,tbl_SeqLib[[#This Row],[Quantified]])))</f>
        <v/>
      </c>
      <c r="AD70" s="80"/>
      <c r="AE7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0" s="49" t="str">
        <f>IF(ISBLANK(tbl_SeqLib[[#This Row],[sWGA Identifier]]),"",CONCATENATE(exp_id,"_",tbl_SeqLib[[#This Row],[Well]]))</f>
        <v/>
      </c>
    </row>
    <row r="71" spans="1:32" ht="15.75" customHeight="1" x14ac:dyDescent="0.3">
      <c r="A71" s="48">
        <v>69</v>
      </c>
      <c r="B71" s="37" t="str">
        <f>RIGHT(tbl_SeqLib[[#This Row],[Well]],LEN(tbl_SeqLib[[#This Row],[Well]])-1)</f>
        <v>9</v>
      </c>
      <c r="C71" s="36" t="s">
        <v>221</v>
      </c>
      <c r="D71" s="19"/>
      <c r="E71" s="21"/>
      <c r="F71" s="19"/>
      <c r="G71" s="29"/>
      <c r="H71" s="29"/>
      <c r="I71" s="29"/>
      <c r="J71" s="29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222</v>
      </c>
      <c r="M71" s="73">
        <f>IF(OR(ISBLANK(tbl_SeqLib[[#This Row],[Sample ID]]),ISBLANK(endrepair_targetmass)),0,IF(LEN(tbl_SeqLib[[#This Row],[PCR '[DNA'] (ng / µl)]])=0,1,2))</f>
        <v>0</v>
      </c>
      <c r="N7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35" t="str">
        <f>IF(tbl_SeqLib[[#This Row],[entry]]=2,ROUNDUP(_xlfn.MINIFS(tbl_SeqLib[Exact],tbl_SeqLib[Column],tbl_SeqLib[[#This Row],[Column]]),1),"")</f>
        <v/>
      </c>
      <c r="P71" s="35" t="str">
        <f>IF(tbl_SeqLib[[#This Row],[entry]]=2,ROUNDDOWN(_xlfn.MAXIFS(tbl_SeqLib[Exact],tbl_SeqLib[Column],tbl_SeqLib[[#This Row],[Column]]),1),"")</f>
        <v/>
      </c>
      <c r="Q71" s="35" t="str">
        <f>IF(tbl_SeqLib[[#This Row],[entry]]=2,ROUNDUP(AVERAGEIFS(tbl_SeqLib[Exact],tbl_SeqLib[Column],tbl_SeqLib[[#This Row],[Column]]),1),"")</f>
        <v/>
      </c>
      <c r="R71" s="35" t="str" cm="1">
        <f t="array" ref="R71">_xlfn.XLOOKUP(0,ABS(tbl_SeqLib[[#This Row],[Min for col]:[Avg for col]]-tbl_SeqLib[[#This Row],[Exact]]),tbl_SeqLib[[#This Row],[Min for col]:[Avg for col]],"",1)</f>
        <v/>
      </c>
      <c r="S71" s="35" t="str" cm="1">
        <f t="array" ref="S71">_xlfn.XLOOKUP(0,ABS(tbl_SeqLib[[#This Row],[Max for col]:[Avg for col]]-tbl_SeqLib[[#This Row],[Exact]]),tbl_SeqLib[[#This Row],[Max for col]:[Avg for col]],"",1)</f>
        <v/>
      </c>
      <c r="T71" s="35" t="str">
        <f>IF(tbl_SeqLib[[#This Row],[entry]]=2,tbl_SeqLib[[#This Row],[Max for col]],"")</f>
        <v/>
      </c>
      <c r="U71" s="35" t="str">
        <f>IF(tbl_SeqLib[[#This Row],[entry]]=2,tbl_SeqLib[[#This Row],[Avg for col]],"")</f>
        <v/>
      </c>
      <c r="V71" s="35" t="str">
        <f>IF(tbl_SeqLib[[#This Row],[entry]]=2,AVERAGE(tbl_SeqLib[Exact]),"")</f>
        <v/>
      </c>
      <c r="W71" s="35" t="str">
        <f>IF(tbl_SeqLib[[#This Row],[entry]]=2,MAX(tbl_SeqLib[Exact]),"")</f>
        <v/>
      </c>
      <c r="X71" s="35" t="str" cm="1">
        <f t="array" ref="X71">_xlfn.XLOOKUP(0,ABS(tbl_SeqLib[[#This Row],[Avg per plate]:[Max per plate]]-tbl_SeqLib[[#This Row],[Exact]]),tbl_SeqLib[[#This Row],[Avg per plate]:[Max per plate]],,1)</f>
        <v/>
      </c>
      <c r="Y7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1" s="73" t="str">
        <f>IF(tbl_SeqLib[[#This Row],[entry]]=1,ROUNDUP(AVERAGE(tbl_SeqLib[Exact]),1),"")</f>
        <v/>
      </c>
      <c r="AA71" s="73" t="str">
        <f>IF(tbl_SeqLib[[#This Row],[entry]]=1,ROUNDUP(AVERAGEIFS(tbl_SeqLib[Exact],tbl_SeqLib[Column],tbl_SeqLib[[#This Row],[Column]]),1),"")</f>
        <v/>
      </c>
      <c r="AB71" s="35" t="str">
        <f>IF(missing_qc_resolution=Reference!$E$49,tbl_SeqLib[[#This Row],[Avg per col (missing)]],tbl_SeqLib[[#This Row],[Avg per plate (missing)]])</f>
        <v/>
      </c>
      <c r="AC71" s="35" t="str">
        <f>IF(tbl_SeqLib[[#This Row],[entry]]=0,"",IF(tbl_SeqLib[[#This Row],[entry]]=1,tbl_SeqLib[[#This Row],[Not quantified]],IF(tbl_SeqLib[[#This Row],[entry]]=2,tbl_SeqLib[[#This Row],[Quantified]])))</f>
        <v/>
      </c>
      <c r="AD71" s="80"/>
      <c r="AE7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1" s="49" t="str">
        <f>IF(ISBLANK(tbl_SeqLib[[#This Row],[sWGA Identifier]]),"",CONCATENATE(exp_id,"_",tbl_SeqLib[[#This Row],[Well]]))</f>
        <v/>
      </c>
    </row>
    <row r="72" spans="1:32" ht="15.75" customHeight="1" x14ac:dyDescent="0.3">
      <c r="A72" s="48">
        <v>70</v>
      </c>
      <c r="B72" s="37" t="str">
        <f>RIGHT(tbl_SeqLib[[#This Row],[Well]],LEN(tbl_SeqLib[[#This Row],[Well]])-1)</f>
        <v>9</v>
      </c>
      <c r="C72" s="36" t="s">
        <v>223</v>
      </c>
      <c r="D72" s="19"/>
      <c r="E72" s="21"/>
      <c r="F72" s="19"/>
      <c r="G72" s="29"/>
      <c r="H72" s="29"/>
      <c r="I72" s="29"/>
      <c r="J72" s="29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224</v>
      </c>
      <c r="M72" s="73">
        <f>IF(OR(ISBLANK(tbl_SeqLib[[#This Row],[Sample ID]]),ISBLANK(endrepair_targetmass)),0,IF(LEN(tbl_SeqLib[[#This Row],[PCR '[DNA'] (ng / µl)]])=0,1,2))</f>
        <v>0</v>
      </c>
      <c r="N7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35" t="str">
        <f>IF(tbl_SeqLib[[#This Row],[entry]]=2,ROUNDUP(_xlfn.MINIFS(tbl_SeqLib[Exact],tbl_SeqLib[Column],tbl_SeqLib[[#This Row],[Column]]),1),"")</f>
        <v/>
      </c>
      <c r="P72" s="35" t="str">
        <f>IF(tbl_SeqLib[[#This Row],[entry]]=2,ROUNDDOWN(_xlfn.MAXIFS(tbl_SeqLib[Exact],tbl_SeqLib[Column],tbl_SeqLib[[#This Row],[Column]]),1),"")</f>
        <v/>
      </c>
      <c r="Q72" s="35" t="str">
        <f>IF(tbl_SeqLib[[#This Row],[entry]]=2,ROUNDUP(AVERAGEIFS(tbl_SeqLib[Exact],tbl_SeqLib[Column],tbl_SeqLib[[#This Row],[Column]]),1),"")</f>
        <v/>
      </c>
      <c r="R72" s="35" t="str" cm="1">
        <f t="array" ref="R72">_xlfn.XLOOKUP(0,ABS(tbl_SeqLib[[#This Row],[Min for col]:[Avg for col]]-tbl_SeqLib[[#This Row],[Exact]]),tbl_SeqLib[[#This Row],[Min for col]:[Avg for col]],"",1)</f>
        <v/>
      </c>
      <c r="S72" s="35" t="str" cm="1">
        <f t="array" ref="S72">_xlfn.XLOOKUP(0,ABS(tbl_SeqLib[[#This Row],[Max for col]:[Avg for col]]-tbl_SeqLib[[#This Row],[Exact]]),tbl_SeqLib[[#This Row],[Max for col]:[Avg for col]],"",1)</f>
        <v/>
      </c>
      <c r="T72" s="35" t="str">
        <f>IF(tbl_SeqLib[[#This Row],[entry]]=2,tbl_SeqLib[[#This Row],[Max for col]],"")</f>
        <v/>
      </c>
      <c r="U72" s="35" t="str">
        <f>IF(tbl_SeqLib[[#This Row],[entry]]=2,tbl_SeqLib[[#This Row],[Avg for col]],"")</f>
        <v/>
      </c>
      <c r="V72" s="35" t="str">
        <f>IF(tbl_SeqLib[[#This Row],[entry]]=2,AVERAGE(tbl_SeqLib[Exact]),"")</f>
        <v/>
      </c>
      <c r="W72" s="35" t="str">
        <f>IF(tbl_SeqLib[[#This Row],[entry]]=2,MAX(tbl_SeqLib[Exact]),"")</f>
        <v/>
      </c>
      <c r="X72" s="35" t="str" cm="1">
        <f t="array" ref="X72">_xlfn.XLOOKUP(0,ABS(tbl_SeqLib[[#This Row],[Avg per plate]:[Max per plate]]-tbl_SeqLib[[#This Row],[Exact]]),tbl_SeqLib[[#This Row],[Avg per plate]:[Max per plate]],,1)</f>
        <v/>
      </c>
      <c r="Y7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2" s="73" t="str">
        <f>IF(tbl_SeqLib[[#This Row],[entry]]=1,ROUNDUP(AVERAGE(tbl_SeqLib[Exact]),1),"")</f>
        <v/>
      </c>
      <c r="AA72" s="73" t="str">
        <f>IF(tbl_SeqLib[[#This Row],[entry]]=1,ROUNDUP(AVERAGEIFS(tbl_SeqLib[Exact],tbl_SeqLib[Column],tbl_SeqLib[[#This Row],[Column]]),1),"")</f>
        <v/>
      </c>
      <c r="AB72" s="35" t="str">
        <f>IF(missing_qc_resolution=Reference!$E$49,tbl_SeqLib[[#This Row],[Avg per col (missing)]],tbl_SeqLib[[#This Row],[Avg per plate (missing)]])</f>
        <v/>
      </c>
      <c r="AC72" s="35" t="str">
        <f>IF(tbl_SeqLib[[#This Row],[entry]]=0,"",IF(tbl_SeqLib[[#This Row],[entry]]=1,tbl_SeqLib[[#This Row],[Not quantified]],IF(tbl_SeqLib[[#This Row],[entry]]=2,tbl_SeqLib[[#This Row],[Quantified]])))</f>
        <v/>
      </c>
      <c r="AD72" s="80"/>
      <c r="AE7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2" s="49" t="str">
        <f>IF(ISBLANK(tbl_SeqLib[[#This Row],[sWGA Identifier]]),"",CONCATENATE(exp_id,"_",tbl_SeqLib[[#This Row],[Well]]))</f>
        <v/>
      </c>
    </row>
    <row r="73" spans="1:32" ht="15.75" customHeight="1" x14ac:dyDescent="0.3">
      <c r="A73" s="48">
        <v>71</v>
      </c>
      <c r="B73" s="37" t="str">
        <f>RIGHT(tbl_SeqLib[[#This Row],[Well]],LEN(tbl_SeqLib[[#This Row],[Well]])-1)</f>
        <v>9</v>
      </c>
      <c r="C73" s="36" t="s">
        <v>225</v>
      </c>
      <c r="D73" s="19"/>
      <c r="E73" s="21"/>
      <c r="F73" s="19"/>
      <c r="G73" s="29"/>
      <c r="H73" s="29"/>
      <c r="I73" s="29"/>
      <c r="J73" s="29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226</v>
      </c>
      <c r="M73" s="73">
        <f>IF(OR(ISBLANK(tbl_SeqLib[[#This Row],[Sample ID]]),ISBLANK(endrepair_targetmass)),0,IF(LEN(tbl_SeqLib[[#This Row],[PCR '[DNA'] (ng / µl)]])=0,1,2))</f>
        <v>0</v>
      </c>
      <c r="N7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35" t="str">
        <f>IF(tbl_SeqLib[[#This Row],[entry]]=2,ROUNDUP(_xlfn.MINIFS(tbl_SeqLib[Exact],tbl_SeqLib[Column],tbl_SeqLib[[#This Row],[Column]]),1),"")</f>
        <v/>
      </c>
      <c r="P73" s="35" t="str">
        <f>IF(tbl_SeqLib[[#This Row],[entry]]=2,ROUNDDOWN(_xlfn.MAXIFS(tbl_SeqLib[Exact],tbl_SeqLib[Column],tbl_SeqLib[[#This Row],[Column]]),1),"")</f>
        <v/>
      </c>
      <c r="Q73" s="35" t="str">
        <f>IF(tbl_SeqLib[[#This Row],[entry]]=2,ROUNDUP(AVERAGEIFS(tbl_SeqLib[Exact],tbl_SeqLib[Column],tbl_SeqLib[[#This Row],[Column]]),1),"")</f>
        <v/>
      </c>
      <c r="R73" s="35" t="str" cm="1">
        <f t="array" ref="R73">_xlfn.XLOOKUP(0,ABS(tbl_SeqLib[[#This Row],[Min for col]:[Avg for col]]-tbl_SeqLib[[#This Row],[Exact]]),tbl_SeqLib[[#This Row],[Min for col]:[Avg for col]],"",1)</f>
        <v/>
      </c>
      <c r="S73" s="35" t="str" cm="1">
        <f t="array" ref="S73">_xlfn.XLOOKUP(0,ABS(tbl_SeqLib[[#This Row],[Max for col]:[Avg for col]]-tbl_SeqLib[[#This Row],[Exact]]),tbl_SeqLib[[#This Row],[Max for col]:[Avg for col]],"",1)</f>
        <v/>
      </c>
      <c r="T73" s="35" t="str">
        <f>IF(tbl_SeqLib[[#This Row],[entry]]=2,tbl_SeqLib[[#This Row],[Max for col]],"")</f>
        <v/>
      </c>
      <c r="U73" s="35" t="str">
        <f>IF(tbl_SeqLib[[#This Row],[entry]]=2,tbl_SeqLib[[#This Row],[Avg for col]],"")</f>
        <v/>
      </c>
      <c r="V73" s="35" t="str">
        <f>IF(tbl_SeqLib[[#This Row],[entry]]=2,AVERAGE(tbl_SeqLib[Exact]),"")</f>
        <v/>
      </c>
      <c r="W73" s="35" t="str">
        <f>IF(tbl_SeqLib[[#This Row],[entry]]=2,MAX(tbl_SeqLib[Exact]),"")</f>
        <v/>
      </c>
      <c r="X73" s="35" t="str" cm="1">
        <f t="array" ref="X73">_xlfn.XLOOKUP(0,ABS(tbl_SeqLib[[#This Row],[Avg per plate]:[Max per plate]]-tbl_SeqLib[[#This Row],[Exact]]),tbl_SeqLib[[#This Row],[Avg per plate]:[Max per plate]],,1)</f>
        <v/>
      </c>
      <c r="Y7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3" s="73" t="str">
        <f>IF(tbl_SeqLib[[#This Row],[entry]]=1,ROUNDUP(AVERAGE(tbl_SeqLib[Exact]),1),"")</f>
        <v/>
      </c>
      <c r="AA73" s="73" t="str">
        <f>IF(tbl_SeqLib[[#This Row],[entry]]=1,ROUNDUP(AVERAGEIFS(tbl_SeqLib[Exact],tbl_SeqLib[Column],tbl_SeqLib[[#This Row],[Column]]),1),"")</f>
        <v/>
      </c>
      <c r="AB73" s="35" t="str">
        <f>IF(missing_qc_resolution=Reference!$E$49,tbl_SeqLib[[#This Row],[Avg per col (missing)]],tbl_SeqLib[[#This Row],[Avg per plate (missing)]])</f>
        <v/>
      </c>
      <c r="AC73" s="35" t="str">
        <f>IF(tbl_SeqLib[[#This Row],[entry]]=0,"",IF(tbl_SeqLib[[#This Row],[entry]]=1,tbl_SeqLib[[#This Row],[Not quantified]],IF(tbl_SeqLib[[#This Row],[entry]]=2,tbl_SeqLib[[#This Row],[Quantified]])))</f>
        <v/>
      </c>
      <c r="AD73" s="80"/>
      <c r="AE7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3" s="49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50">
        <v>72</v>
      </c>
      <c r="B74" s="51" t="str">
        <f>RIGHT(tbl_SeqLib[[#This Row],[Well]],LEN(tbl_SeqLib[[#This Row],[Well]])-1)</f>
        <v>9</v>
      </c>
      <c r="C74" s="59" t="s">
        <v>227</v>
      </c>
      <c r="D74" s="52"/>
      <c r="E74" s="53"/>
      <c r="F74" s="52"/>
      <c r="G74" s="54"/>
      <c r="H74" s="54"/>
      <c r="I74" s="54"/>
      <c r="J74" s="54"/>
      <c r="K74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6" t="s">
        <v>228</v>
      </c>
      <c r="M74" s="74">
        <f>IF(OR(ISBLANK(tbl_SeqLib[[#This Row],[Sample ID]]),ISBLANK(endrepair_targetmass)),0,IF(LEN(tbl_SeqLib[[#This Row],[PCR '[DNA'] (ng / µl)]])=0,1,2))</f>
        <v>0</v>
      </c>
      <c r="N74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57" t="str">
        <f>IF(tbl_SeqLib[[#This Row],[entry]]=2,ROUNDUP(_xlfn.MINIFS(tbl_SeqLib[Exact],tbl_SeqLib[Column],tbl_SeqLib[[#This Row],[Column]]),1),"")</f>
        <v/>
      </c>
      <c r="P74" s="57" t="str">
        <f>IF(tbl_SeqLib[[#This Row],[entry]]=2,ROUNDDOWN(_xlfn.MAXIFS(tbl_SeqLib[Exact],tbl_SeqLib[Column],tbl_SeqLib[[#This Row],[Column]]),1),"")</f>
        <v/>
      </c>
      <c r="Q74" s="57" t="str">
        <f>IF(tbl_SeqLib[[#This Row],[entry]]=2,ROUNDUP(AVERAGEIFS(tbl_SeqLib[Exact],tbl_SeqLib[Column],tbl_SeqLib[[#This Row],[Column]]),1),"")</f>
        <v/>
      </c>
      <c r="R74" s="57" t="str" cm="1">
        <f t="array" ref="R74">_xlfn.XLOOKUP(0,ABS(tbl_SeqLib[[#This Row],[Min for col]:[Avg for col]]-tbl_SeqLib[[#This Row],[Exact]]),tbl_SeqLib[[#This Row],[Min for col]:[Avg for col]],"",1)</f>
        <v/>
      </c>
      <c r="S74" s="57" t="str" cm="1">
        <f t="array" ref="S74">_xlfn.XLOOKUP(0,ABS(tbl_SeqLib[[#This Row],[Max for col]:[Avg for col]]-tbl_SeqLib[[#This Row],[Exact]]),tbl_SeqLib[[#This Row],[Max for col]:[Avg for col]],"",1)</f>
        <v/>
      </c>
      <c r="T74" s="57" t="str">
        <f>IF(tbl_SeqLib[[#This Row],[entry]]=2,tbl_SeqLib[[#This Row],[Max for col]],"")</f>
        <v/>
      </c>
      <c r="U74" s="57" t="str">
        <f>IF(tbl_SeqLib[[#This Row],[entry]]=2,tbl_SeqLib[[#This Row],[Avg for col]],"")</f>
        <v/>
      </c>
      <c r="V74" s="57" t="str">
        <f>IF(tbl_SeqLib[[#This Row],[entry]]=2,AVERAGE(tbl_SeqLib[Exact]),"")</f>
        <v/>
      </c>
      <c r="W74" s="57" t="str">
        <f>IF(tbl_SeqLib[[#This Row],[entry]]=2,MAX(tbl_SeqLib[Exact]),"")</f>
        <v/>
      </c>
      <c r="X74" s="57" t="str" cm="1">
        <f t="array" ref="X74">_xlfn.XLOOKUP(0,ABS(tbl_SeqLib[[#This Row],[Avg per plate]:[Max per plate]]-tbl_SeqLib[[#This Row],[Exact]]),tbl_SeqLib[[#This Row],[Avg per plate]:[Max per plate]],,1)</f>
        <v/>
      </c>
      <c r="Y74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4" s="74" t="str">
        <f>IF(tbl_SeqLib[[#This Row],[entry]]=1,ROUNDUP(AVERAGE(tbl_SeqLib[Exact]),1),"")</f>
        <v/>
      </c>
      <c r="AA74" s="74" t="str">
        <f>IF(tbl_SeqLib[[#This Row],[entry]]=1,ROUNDUP(AVERAGEIFS(tbl_SeqLib[Exact],tbl_SeqLib[Column],tbl_SeqLib[[#This Row],[Column]]),1),"")</f>
        <v/>
      </c>
      <c r="AB74" s="57" t="str">
        <f>IF(missing_qc_resolution=Reference!$E$49,tbl_SeqLib[[#This Row],[Avg per col (missing)]],tbl_SeqLib[[#This Row],[Avg per plate (missing)]])</f>
        <v/>
      </c>
      <c r="AC74" s="57" t="str">
        <f>IF(tbl_SeqLib[[#This Row],[entry]]=0,"",IF(tbl_SeqLib[[#This Row],[entry]]=1,tbl_SeqLib[[#This Row],[Not quantified]],IF(tbl_SeqLib[[#This Row],[entry]]=2,tbl_SeqLib[[#This Row],[Quantified]])))</f>
        <v/>
      </c>
      <c r="AD74" s="81"/>
      <c r="AE74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4" s="58" t="str">
        <f>IF(ISBLANK(tbl_SeqLib[[#This Row],[sWGA Identifier]]),"",CONCATENATE(exp_id,"_",tbl_SeqLib[[#This Row],[Well]]))</f>
        <v/>
      </c>
    </row>
    <row r="75" spans="1:32" ht="15.75" customHeight="1" x14ac:dyDescent="0.3">
      <c r="A75" s="41">
        <v>73</v>
      </c>
      <c r="B75" s="42" t="str">
        <f>RIGHT(tbl_SeqLib[[#This Row],[Well]],LEN(tbl_SeqLib[[#This Row],[Well]])-1)</f>
        <v>10</v>
      </c>
      <c r="C75" s="42" t="s">
        <v>229</v>
      </c>
      <c r="D75" s="43"/>
      <c r="E75" s="45"/>
      <c r="F75" s="43"/>
      <c r="G75" s="43"/>
      <c r="H75" s="43"/>
      <c r="I75" s="43"/>
      <c r="J75" s="43"/>
      <c r="K75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5" t="s">
        <v>230</v>
      </c>
      <c r="M75" s="72">
        <f>IF(OR(ISBLANK(tbl_SeqLib[[#This Row],[Sample ID]]),ISBLANK(endrepair_targetmass)),0,IF(LEN(tbl_SeqLib[[#This Row],[PCR '[DNA'] (ng / µl)]])=0,1,2))</f>
        <v>0</v>
      </c>
      <c r="N75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46" t="str">
        <f>IF(tbl_SeqLib[[#This Row],[entry]]=2,ROUNDUP(_xlfn.MINIFS(tbl_SeqLib[Exact],tbl_SeqLib[Column],tbl_SeqLib[[#This Row],[Column]]),1),"")</f>
        <v/>
      </c>
      <c r="P75" s="46" t="str">
        <f>IF(tbl_SeqLib[[#This Row],[entry]]=2,ROUNDDOWN(_xlfn.MAXIFS(tbl_SeqLib[Exact],tbl_SeqLib[Column],tbl_SeqLib[[#This Row],[Column]]),1),"")</f>
        <v/>
      </c>
      <c r="Q75" s="46" t="str">
        <f>IF(tbl_SeqLib[[#This Row],[entry]]=2,ROUNDUP(AVERAGEIFS(tbl_SeqLib[Exact],tbl_SeqLib[Column],tbl_SeqLib[[#This Row],[Column]]),1),"")</f>
        <v/>
      </c>
      <c r="R75" s="46" t="str" cm="1">
        <f t="array" ref="R75">_xlfn.XLOOKUP(0,ABS(tbl_SeqLib[[#This Row],[Min for col]:[Avg for col]]-tbl_SeqLib[[#This Row],[Exact]]),tbl_SeqLib[[#This Row],[Min for col]:[Avg for col]],"",1)</f>
        <v/>
      </c>
      <c r="S75" s="46" t="str" cm="1">
        <f t="array" ref="S75">_xlfn.XLOOKUP(0,ABS(tbl_SeqLib[[#This Row],[Max for col]:[Avg for col]]-tbl_SeqLib[[#This Row],[Exact]]),tbl_SeqLib[[#This Row],[Max for col]:[Avg for col]],"",1)</f>
        <v/>
      </c>
      <c r="T75" s="46" t="str">
        <f>IF(tbl_SeqLib[[#This Row],[entry]]=2,tbl_SeqLib[[#This Row],[Max for col]],"")</f>
        <v/>
      </c>
      <c r="U75" s="46" t="str">
        <f>IF(tbl_SeqLib[[#This Row],[entry]]=2,tbl_SeqLib[[#This Row],[Avg for col]],"")</f>
        <v/>
      </c>
      <c r="V75" s="46" t="str">
        <f>IF(tbl_SeqLib[[#This Row],[entry]]=2,AVERAGE(tbl_SeqLib[Exact]),"")</f>
        <v/>
      </c>
      <c r="W75" s="46" t="str">
        <f>IF(tbl_SeqLib[[#This Row],[entry]]=2,MAX(tbl_SeqLib[Exact]),"")</f>
        <v/>
      </c>
      <c r="X75" s="46" t="str" cm="1">
        <f t="array" ref="X75">_xlfn.XLOOKUP(0,ABS(tbl_SeqLib[[#This Row],[Avg per plate]:[Max per plate]]-tbl_SeqLib[[#This Row],[Exact]]),tbl_SeqLib[[#This Row],[Avg per plate]:[Max per plate]],,1)</f>
        <v/>
      </c>
      <c r="Y75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5" s="72" t="str">
        <f>IF(tbl_SeqLib[[#This Row],[entry]]=1,ROUNDUP(AVERAGE(tbl_SeqLib[Exact]),1),"")</f>
        <v/>
      </c>
      <c r="AA75" s="72" t="str">
        <f>IF(tbl_SeqLib[[#This Row],[entry]]=1,ROUNDUP(AVERAGEIFS(tbl_SeqLib[Exact],tbl_SeqLib[Column],tbl_SeqLib[[#This Row],[Column]]),1),"")</f>
        <v/>
      </c>
      <c r="AB75" s="46" t="str">
        <f>IF(missing_qc_resolution=Reference!$E$49,tbl_SeqLib[[#This Row],[Avg per col (missing)]],tbl_SeqLib[[#This Row],[Avg per plate (missing)]])</f>
        <v/>
      </c>
      <c r="AC75" s="46" t="str">
        <f>IF(tbl_SeqLib[[#This Row],[entry]]=0,"",IF(tbl_SeqLib[[#This Row],[entry]]=1,tbl_SeqLib[[#This Row],[Not quantified]],IF(tbl_SeqLib[[#This Row],[entry]]=2,tbl_SeqLib[[#This Row],[Quantified]])))</f>
        <v/>
      </c>
      <c r="AD75" s="79"/>
      <c r="AE75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5" s="47" t="str">
        <f>IF(ISBLANK(tbl_SeqLib[[#This Row],[sWGA Identifier]]),"",CONCATENATE(exp_id,"_",tbl_SeqLib[[#This Row],[Well]]))</f>
        <v/>
      </c>
    </row>
    <row r="76" spans="1:32" ht="15.75" customHeight="1" x14ac:dyDescent="0.3">
      <c r="A76" s="48">
        <v>74</v>
      </c>
      <c r="B76" s="37" t="str">
        <f>RIGHT(tbl_SeqLib[[#This Row],[Well]],LEN(tbl_SeqLib[[#This Row],[Well]])-1)</f>
        <v>10</v>
      </c>
      <c r="C76" s="36" t="s">
        <v>231</v>
      </c>
      <c r="D76" s="19"/>
      <c r="E76" s="21"/>
      <c r="F76" s="19"/>
      <c r="G76" s="29"/>
      <c r="H76" s="29"/>
      <c r="I76" s="29"/>
      <c r="J76" s="29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232</v>
      </c>
      <c r="M76" s="73">
        <f>IF(OR(ISBLANK(tbl_SeqLib[[#This Row],[Sample ID]]),ISBLANK(endrepair_targetmass)),0,IF(LEN(tbl_SeqLib[[#This Row],[PCR '[DNA'] (ng / µl)]])=0,1,2))</f>
        <v>0</v>
      </c>
      <c r="N7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35" t="str">
        <f>IF(tbl_SeqLib[[#This Row],[entry]]=2,ROUNDUP(_xlfn.MINIFS(tbl_SeqLib[Exact],tbl_SeqLib[Column],tbl_SeqLib[[#This Row],[Column]]),1),"")</f>
        <v/>
      </c>
      <c r="P76" s="35" t="str">
        <f>IF(tbl_SeqLib[[#This Row],[entry]]=2,ROUNDDOWN(_xlfn.MAXIFS(tbl_SeqLib[Exact],tbl_SeqLib[Column],tbl_SeqLib[[#This Row],[Column]]),1),"")</f>
        <v/>
      </c>
      <c r="Q76" s="35" t="str">
        <f>IF(tbl_SeqLib[[#This Row],[entry]]=2,ROUNDUP(AVERAGEIFS(tbl_SeqLib[Exact],tbl_SeqLib[Column],tbl_SeqLib[[#This Row],[Column]]),1),"")</f>
        <v/>
      </c>
      <c r="R76" s="35" t="str" cm="1">
        <f t="array" ref="R76">_xlfn.XLOOKUP(0,ABS(tbl_SeqLib[[#This Row],[Min for col]:[Avg for col]]-tbl_SeqLib[[#This Row],[Exact]]),tbl_SeqLib[[#This Row],[Min for col]:[Avg for col]],"",1)</f>
        <v/>
      </c>
      <c r="S76" s="35" t="str" cm="1">
        <f t="array" ref="S76">_xlfn.XLOOKUP(0,ABS(tbl_SeqLib[[#This Row],[Max for col]:[Avg for col]]-tbl_SeqLib[[#This Row],[Exact]]),tbl_SeqLib[[#This Row],[Max for col]:[Avg for col]],"",1)</f>
        <v/>
      </c>
      <c r="T76" s="35" t="str">
        <f>IF(tbl_SeqLib[[#This Row],[entry]]=2,tbl_SeqLib[[#This Row],[Max for col]],"")</f>
        <v/>
      </c>
      <c r="U76" s="35" t="str">
        <f>IF(tbl_SeqLib[[#This Row],[entry]]=2,tbl_SeqLib[[#This Row],[Avg for col]],"")</f>
        <v/>
      </c>
      <c r="V76" s="35" t="str">
        <f>IF(tbl_SeqLib[[#This Row],[entry]]=2,AVERAGE(tbl_SeqLib[Exact]),"")</f>
        <v/>
      </c>
      <c r="W76" s="35" t="str">
        <f>IF(tbl_SeqLib[[#This Row],[entry]]=2,MAX(tbl_SeqLib[Exact]),"")</f>
        <v/>
      </c>
      <c r="X76" s="35" t="str" cm="1">
        <f t="array" ref="X76">_xlfn.XLOOKUP(0,ABS(tbl_SeqLib[[#This Row],[Avg per plate]:[Max per plate]]-tbl_SeqLib[[#This Row],[Exact]]),tbl_SeqLib[[#This Row],[Avg per plate]:[Max per plate]],,1)</f>
        <v/>
      </c>
      <c r="Y7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6" s="73" t="str">
        <f>IF(tbl_SeqLib[[#This Row],[entry]]=1,ROUNDUP(AVERAGE(tbl_SeqLib[Exact]),1),"")</f>
        <v/>
      </c>
      <c r="AA76" s="73" t="str">
        <f>IF(tbl_SeqLib[[#This Row],[entry]]=1,ROUNDUP(AVERAGEIFS(tbl_SeqLib[Exact],tbl_SeqLib[Column],tbl_SeqLib[[#This Row],[Column]]),1),"")</f>
        <v/>
      </c>
      <c r="AB76" s="35" t="str">
        <f>IF(missing_qc_resolution=Reference!$E$49,tbl_SeqLib[[#This Row],[Avg per col (missing)]],tbl_SeqLib[[#This Row],[Avg per plate (missing)]])</f>
        <v/>
      </c>
      <c r="AC76" s="35" t="str">
        <f>IF(tbl_SeqLib[[#This Row],[entry]]=0,"",IF(tbl_SeqLib[[#This Row],[entry]]=1,tbl_SeqLib[[#This Row],[Not quantified]],IF(tbl_SeqLib[[#This Row],[entry]]=2,tbl_SeqLib[[#This Row],[Quantified]])))</f>
        <v/>
      </c>
      <c r="AD76" s="80"/>
      <c r="AE7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6" s="49" t="str">
        <f>IF(ISBLANK(tbl_SeqLib[[#This Row],[sWGA Identifier]]),"",CONCATENATE(exp_id,"_",tbl_SeqLib[[#This Row],[Well]]))</f>
        <v/>
      </c>
    </row>
    <row r="77" spans="1:32" ht="15.75" customHeight="1" x14ac:dyDescent="0.3">
      <c r="A77" s="48">
        <v>75</v>
      </c>
      <c r="B77" s="37" t="str">
        <f>RIGHT(tbl_SeqLib[[#This Row],[Well]],LEN(tbl_SeqLib[[#This Row],[Well]])-1)</f>
        <v>10</v>
      </c>
      <c r="C77" s="36" t="s">
        <v>233</v>
      </c>
      <c r="D77" s="19"/>
      <c r="E77" s="21"/>
      <c r="F77" s="19"/>
      <c r="G77" s="29"/>
      <c r="H77" s="29"/>
      <c r="I77" s="29"/>
      <c r="J77" s="29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234</v>
      </c>
      <c r="M77" s="73">
        <f>IF(OR(ISBLANK(tbl_SeqLib[[#This Row],[Sample ID]]),ISBLANK(endrepair_targetmass)),0,IF(LEN(tbl_SeqLib[[#This Row],[PCR '[DNA'] (ng / µl)]])=0,1,2))</f>
        <v>0</v>
      </c>
      <c r="N7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35" t="str">
        <f>IF(tbl_SeqLib[[#This Row],[entry]]=2,ROUNDUP(_xlfn.MINIFS(tbl_SeqLib[Exact],tbl_SeqLib[Column],tbl_SeqLib[[#This Row],[Column]]),1),"")</f>
        <v/>
      </c>
      <c r="P77" s="35" t="str">
        <f>IF(tbl_SeqLib[[#This Row],[entry]]=2,ROUNDDOWN(_xlfn.MAXIFS(tbl_SeqLib[Exact],tbl_SeqLib[Column],tbl_SeqLib[[#This Row],[Column]]),1),"")</f>
        <v/>
      </c>
      <c r="Q77" s="35" t="str">
        <f>IF(tbl_SeqLib[[#This Row],[entry]]=2,ROUNDUP(AVERAGEIFS(tbl_SeqLib[Exact],tbl_SeqLib[Column],tbl_SeqLib[[#This Row],[Column]]),1),"")</f>
        <v/>
      </c>
      <c r="R77" s="35" t="str" cm="1">
        <f t="array" ref="R77">_xlfn.XLOOKUP(0,ABS(tbl_SeqLib[[#This Row],[Min for col]:[Avg for col]]-tbl_SeqLib[[#This Row],[Exact]]),tbl_SeqLib[[#This Row],[Min for col]:[Avg for col]],"",1)</f>
        <v/>
      </c>
      <c r="S77" s="35" t="str" cm="1">
        <f t="array" ref="S77">_xlfn.XLOOKUP(0,ABS(tbl_SeqLib[[#This Row],[Max for col]:[Avg for col]]-tbl_SeqLib[[#This Row],[Exact]]),tbl_SeqLib[[#This Row],[Max for col]:[Avg for col]],"",1)</f>
        <v/>
      </c>
      <c r="T77" s="35" t="str">
        <f>IF(tbl_SeqLib[[#This Row],[entry]]=2,tbl_SeqLib[[#This Row],[Max for col]],"")</f>
        <v/>
      </c>
      <c r="U77" s="35" t="str">
        <f>IF(tbl_SeqLib[[#This Row],[entry]]=2,tbl_SeqLib[[#This Row],[Avg for col]],"")</f>
        <v/>
      </c>
      <c r="V77" s="35" t="str">
        <f>IF(tbl_SeqLib[[#This Row],[entry]]=2,AVERAGE(tbl_SeqLib[Exact]),"")</f>
        <v/>
      </c>
      <c r="W77" s="35" t="str">
        <f>IF(tbl_SeqLib[[#This Row],[entry]]=2,MAX(tbl_SeqLib[Exact]),"")</f>
        <v/>
      </c>
      <c r="X77" s="35" t="str" cm="1">
        <f t="array" ref="X77">_xlfn.XLOOKUP(0,ABS(tbl_SeqLib[[#This Row],[Avg per plate]:[Max per plate]]-tbl_SeqLib[[#This Row],[Exact]]),tbl_SeqLib[[#This Row],[Avg per plate]:[Max per plate]],,1)</f>
        <v/>
      </c>
      <c r="Y7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7" s="73" t="str">
        <f>IF(tbl_SeqLib[[#This Row],[entry]]=1,ROUNDUP(AVERAGE(tbl_SeqLib[Exact]),1),"")</f>
        <v/>
      </c>
      <c r="AA77" s="73" t="str">
        <f>IF(tbl_SeqLib[[#This Row],[entry]]=1,ROUNDUP(AVERAGEIFS(tbl_SeqLib[Exact],tbl_SeqLib[Column],tbl_SeqLib[[#This Row],[Column]]),1),"")</f>
        <v/>
      </c>
      <c r="AB77" s="35" t="str">
        <f>IF(missing_qc_resolution=Reference!$E$49,tbl_SeqLib[[#This Row],[Avg per col (missing)]],tbl_SeqLib[[#This Row],[Avg per plate (missing)]])</f>
        <v/>
      </c>
      <c r="AC77" s="35" t="str">
        <f>IF(tbl_SeqLib[[#This Row],[entry]]=0,"",IF(tbl_SeqLib[[#This Row],[entry]]=1,tbl_SeqLib[[#This Row],[Not quantified]],IF(tbl_SeqLib[[#This Row],[entry]]=2,tbl_SeqLib[[#This Row],[Quantified]])))</f>
        <v/>
      </c>
      <c r="AD77" s="80"/>
      <c r="AE7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7" s="49" t="str">
        <f>IF(ISBLANK(tbl_SeqLib[[#This Row],[sWGA Identifier]]),"",CONCATENATE(exp_id,"_",tbl_SeqLib[[#This Row],[Well]]))</f>
        <v/>
      </c>
    </row>
    <row r="78" spans="1:32" ht="15.75" customHeight="1" x14ac:dyDescent="0.3">
      <c r="A78" s="48">
        <v>76</v>
      </c>
      <c r="B78" s="37" t="str">
        <f>RIGHT(tbl_SeqLib[[#This Row],[Well]],LEN(tbl_SeqLib[[#This Row],[Well]])-1)</f>
        <v>10</v>
      </c>
      <c r="C78" s="36" t="s">
        <v>235</v>
      </c>
      <c r="D78" s="19"/>
      <c r="E78" s="21"/>
      <c r="F78" s="19"/>
      <c r="G78" s="29"/>
      <c r="H78" s="29"/>
      <c r="I78" s="29"/>
      <c r="J78" s="29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236</v>
      </c>
      <c r="M78" s="73">
        <f>IF(OR(ISBLANK(tbl_SeqLib[[#This Row],[Sample ID]]),ISBLANK(endrepair_targetmass)),0,IF(LEN(tbl_SeqLib[[#This Row],[PCR '[DNA'] (ng / µl)]])=0,1,2))</f>
        <v>0</v>
      </c>
      <c r="N7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35" t="str">
        <f>IF(tbl_SeqLib[[#This Row],[entry]]=2,ROUNDUP(_xlfn.MINIFS(tbl_SeqLib[Exact],tbl_SeqLib[Column],tbl_SeqLib[[#This Row],[Column]]),1),"")</f>
        <v/>
      </c>
      <c r="P78" s="35" t="str">
        <f>IF(tbl_SeqLib[[#This Row],[entry]]=2,ROUNDDOWN(_xlfn.MAXIFS(tbl_SeqLib[Exact],tbl_SeqLib[Column],tbl_SeqLib[[#This Row],[Column]]),1),"")</f>
        <v/>
      </c>
      <c r="Q78" s="35" t="str">
        <f>IF(tbl_SeqLib[[#This Row],[entry]]=2,ROUNDUP(AVERAGEIFS(tbl_SeqLib[Exact],tbl_SeqLib[Column],tbl_SeqLib[[#This Row],[Column]]),1),"")</f>
        <v/>
      </c>
      <c r="R78" s="35" t="str" cm="1">
        <f t="array" ref="R78">_xlfn.XLOOKUP(0,ABS(tbl_SeqLib[[#This Row],[Min for col]:[Avg for col]]-tbl_SeqLib[[#This Row],[Exact]]),tbl_SeqLib[[#This Row],[Min for col]:[Avg for col]],"",1)</f>
        <v/>
      </c>
      <c r="S78" s="35" t="str" cm="1">
        <f t="array" ref="S78">_xlfn.XLOOKUP(0,ABS(tbl_SeqLib[[#This Row],[Max for col]:[Avg for col]]-tbl_SeqLib[[#This Row],[Exact]]),tbl_SeqLib[[#This Row],[Max for col]:[Avg for col]],"",1)</f>
        <v/>
      </c>
      <c r="T78" s="35" t="str">
        <f>IF(tbl_SeqLib[[#This Row],[entry]]=2,tbl_SeqLib[[#This Row],[Max for col]],"")</f>
        <v/>
      </c>
      <c r="U78" s="35" t="str">
        <f>IF(tbl_SeqLib[[#This Row],[entry]]=2,tbl_SeqLib[[#This Row],[Avg for col]],"")</f>
        <v/>
      </c>
      <c r="V78" s="35" t="str">
        <f>IF(tbl_SeqLib[[#This Row],[entry]]=2,AVERAGE(tbl_SeqLib[Exact]),"")</f>
        <v/>
      </c>
      <c r="W78" s="35" t="str">
        <f>IF(tbl_SeqLib[[#This Row],[entry]]=2,MAX(tbl_SeqLib[Exact]),"")</f>
        <v/>
      </c>
      <c r="X78" s="35" t="str" cm="1">
        <f t="array" ref="X78">_xlfn.XLOOKUP(0,ABS(tbl_SeqLib[[#This Row],[Avg per plate]:[Max per plate]]-tbl_SeqLib[[#This Row],[Exact]]),tbl_SeqLib[[#This Row],[Avg per plate]:[Max per plate]],,1)</f>
        <v/>
      </c>
      <c r="Y7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8" s="73" t="str">
        <f>IF(tbl_SeqLib[[#This Row],[entry]]=1,ROUNDUP(AVERAGE(tbl_SeqLib[Exact]),1),"")</f>
        <v/>
      </c>
      <c r="AA78" s="73" t="str">
        <f>IF(tbl_SeqLib[[#This Row],[entry]]=1,ROUNDUP(AVERAGEIFS(tbl_SeqLib[Exact],tbl_SeqLib[Column],tbl_SeqLib[[#This Row],[Column]]),1),"")</f>
        <v/>
      </c>
      <c r="AB78" s="35" t="str">
        <f>IF(missing_qc_resolution=Reference!$E$49,tbl_SeqLib[[#This Row],[Avg per col (missing)]],tbl_SeqLib[[#This Row],[Avg per plate (missing)]])</f>
        <v/>
      </c>
      <c r="AC78" s="35" t="str">
        <f>IF(tbl_SeqLib[[#This Row],[entry]]=0,"",IF(tbl_SeqLib[[#This Row],[entry]]=1,tbl_SeqLib[[#This Row],[Not quantified]],IF(tbl_SeqLib[[#This Row],[entry]]=2,tbl_SeqLib[[#This Row],[Quantified]])))</f>
        <v/>
      </c>
      <c r="AD78" s="80"/>
      <c r="AE7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8" s="49" t="str">
        <f>IF(ISBLANK(tbl_SeqLib[[#This Row],[sWGA Identifier]]),"",CONCATENATE(exp_id,"_",tbl_SeqLib[[#This Row],[Well]]))</f>
        <v/>
      </c>
    </row>
    <row r="79" spans="1:32" ht="15.75" customHeight="1" x14ac:dyDescent="0.3">
      <c r="A79" s="48">
        <v>77</v>
      </c>
      <c r="B79" s="37" t="str">
        <f>RIGHT(tbl_SeqLib[[#This Row],[Well]],LEN(tbl_SeqLib[[#This Row],[Well]])-1)</f>
        <v>10</v>
      </c>
      <c r="C79" s="36" t="s">
        <v>237</v>
      </c>
      <c r="D79" s="19"/>
      <c r="E79" s="21"/>
      <c r="F79" s="19"/>
      <c r="G79" s="29"/>
      <c r="H79" s="29"/>
      <c r="I79" s="29"/>
      <c r="J79" s="29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238</v>
      </c>
      <c r="M79" s="73">
        <f>IF(OR(ISBLANK(tbl_SeqLib[[#This Row],[Sample ID]]),ISBLANK(endrepair_targetmass)),0,IF(LEN(tbl_SeqLib[[#This Row],[PCR '[DNA'] (ng / µl)]])=0,1,2))</f>
        <v>0</v>
      </c>
      <c r="N7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35" t="str">
        <f>IF(tbl_SeqLib[[#This Row],[entry]]=2,ROUNDUP(_xlfn.MINIFS(tbl_SeqLib[Exact],tbl_SeqLib[Column],tbl_SeqLib[[#This Row],[Column]]),1),"")</f>
        <v/>
      </c>
      <c r="P79" s="35" t="str">
        <f>IF(tbl_SeqLib[[#This Row],[entry]]=2,ROUNDDOWN(_xlfn.MAXIFS(tbl_SeqLib[Exact],tbl_SeqLib[Column],tbl_SeqLib[[#This Row],[Column]]),1),"")</f>
        <v/>
      </c>
      <c r="Q79" s="35" t="str">
        <f>IF(tbl_SeqLib[[#This Row],[entry]]=2,ROUNDUP(AVERAGEIFS(tbl_SeqLib[Exact],tbl_SeqLib[Column],tbl_SeqLib[[#This Row],[Column]]),1),"")</f>
        <v/>
      </c>
      <c r="R79" s="35" t="str" cm="1">
        <f t="array" ref="R79">_xlfn.XLOOKUP(0,ABS(tbl_SeqLib[[#This Row],[Min for col]:[Avg for col]]-tbl_SeqLib[[#This Row],[Exact]]),tbl_SeqLib[[#This Row],[Min for col]:[Avg for col]],"",1)</f>
        <v/>
      </c>
      <c r="S79" s="35" t="str" cm="1">
        <f t="array" ref="S79">_xlfn.XLOOKUP(0,ABS(tbl_SeqLib[[#This Row],[Max for col]:[Avg for col]]-tbl_SeqLib[[#This Row],[Exact]]),tbl_SeqLib[[#This Row],[Max for col]:[Avg for col]],"",1)</f>
        <v/>
      </c>
      <c r="T79" s="35" t="str">
        <f>IF(tbl_SeqLib[[#This Row],[entry]]=2,tbl_SeqLib[[#This Row],[Max for col]],"")</f>
        <v/>
      </c>
      <c r="U79" s="35" t="str">
        <f>IF(tbl_SeqLib[[#This Row],[entry]]=2,tbl_SeqLib[[#This Row],[Avg for col]],"")</f>
        <v/>
      </c>
      <c r="V79" s="35" t="str">
        <f>IF(tbl_SeqLib[[#This Row],[entry]]=2,AVERAGE(tbl_SeqLib[Exact]),"")</f>
        <v/>
      </c>
      <c r="W79" s="35" t="str">
        <f>IF(tbl_SeqLib[[#This Row],[entry]]=2,MAX(tbl_SeqLib[Exact]),"")</f>
        <v/>
      </c>
      <c r="X79" s="35" t="str" cm="1">
        <f t="array" ref="X79">_xlfn.XLOOKUP(0,ABS(tbl_SeqLib[[#This Row],[Avg per plate]:[Max per plate]]-tbl_SeqLib[[#This Row],[Exact]]),tbl_SeqLib[[#This Row],[Avg per plate]:[Max per plate]],,1)</f>
        <v/>
      </c>
      <c r="Y7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9" s="73" t="str">
        <f>IF(tbl_SeqLib[[#This Row],[entry]]=1,ROUNDUP(AVERAGE(tbl_SeqLib[Exact]),1),"")</f>
        <v/>
      </c>
      <c r="AA79" s="73" t="str">
        <f>IF(tbl_SeqLib[[#This Row],[entry]]=1,ROUNDUP(AVERAGEIFS(tbl_SeqLib[Exact],tbl_SeqLib[Column],tbl_SeqLib[[#This Row],[Column]]),1),"")</f>
        <v/>
      </c>
      <c r="AB79" s="35" t="str">
        <f>IF(missing_qc_resolution=Reference!$E$49,tbl_SeqLib[[#This Row],[Avg per col (missing)]],tbl_SeqLib[[#This Row],[Avg per plate (missing)]])</f>
        <v/>
      </c>
      <c r="AC79" s="35" t="str">
        <f>IF(tbl_SeqLib[[#This Row],[entry]]=0,"",IF(tbl_SeqLib[[#This Row],[entry]]=1,tbl_SeqLib[[#This Row],[Not quantified]],IF(tbl_SeqLib[[#This Row],[entry]]=2,tbl_SeqLib[[#This Row],[Quantified]])))</f>
        <v/>
      </c>
      <c r="AD79" s="80"/>
      <c r="AE7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9" s="49" t="str">
        <f>IF(ISBLANK(tbl_SeqLib[[#This Row],[sWGA Identifier]]),"",CONCATENATE(exp_id,"_",tbl_SeqLib[[#This Row],[Well]]))</f>
        <v/>
      </c>
    </row>
    <row r="80" spans="1:32" ht="15.75" customHeight="1" x14ac:dyDescent="0.3">
      <c r="A80" s="48">
        <v>78</v>
      </c>
      <c r="B80" s="37" t="str">
        <f>RIGHT(tbl_SeqLib[[#This Row],[Well]],LEN(tbl_SeqLib[[#This Row],[Well]])-1)</f>
        <v>10</v>
      </c>
      <c r="C80" s="36" t="s">
        <v>239</v>
      </c>
      <c r="D80" s="19"/>
      <c r="E80" s="21"/>
      <c r="F80" s="19"/>
      <c r="G80" s="29"/>
      <c r="H80" s="29"/>
      <c r="I80" s="29"/>
      <c r="J80" s="29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240</v>
      </c>
      <c r="M80" s="73">
        <f>IF(OR(ISBLANK(tbl_SeqLib[[#This Row],[Sample ID]]),ISBLANK(endrepair_targetmass)),0,IF(LEN(tbl_SeqLib[[#This Row],[PCR '[DNA'] (ng / µl)]])=0,1,2))</f>
        <v>0</v>
      </c>
      <c r="N8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35" t="str">
        <f>IF(tbl_SeqLib[[#This Row],[entry]]=2,ROUNDUP(_xlfn.MINIFS(tbl_SeqLib[Exact],tbl_SeqLib[Column],tbl_SeqLib[[#This Row],[Column]]),1),"")</f>
        <v/>
      </c>
      <c r="P80" s="35" t="str">
        <f>IF(tbl_SeqLib[[#This Row],[entry]]=2,ROUNDDOWN(_xlfn.MAXIFS(tbl_SeqLib[Exact],tbl_SeqLib[Column],tbl_SeqLib[[#This Row],[Column]]),1),"")</f>
        <v/>
      </c>
      <c r="Q80" s="35" t="str">
        <f>IF(tbl_SeqLib[[#This Row],[entry]]=2,ROUNDUP(AVERAGEIFS(tbl_SeqLib[Exact],tbl_SeqLib[Column],tbl_SeqLib[[#This Row],[Column]]),1),"")</f>
        <v/>
      </c>
      <c r="R80" s="35" t="str" cm="1">
        <f t="array" ref="R80">_xlfn.XLOOKUP(0,ABS(tbl_SeqLib[[#This Row],[Min for col]:[Avg for col]]-tbl_SeqLib[[#This Row],[Exact]]),tbl_SeqLib[[#This Row],[Min for col]:[Avg for col]],"",1)</f>
        <v/>
      </c>
      <c r="S80" s="35" t="str" cm="1">
        <f t="array" ref="S80">_xlfn.XLOOKUP(0,ABS(tbl_SeqLib[[#This Row],[Max for col]:[Avg for col]]-tbl_SeqLib[[#This Row],[Exact]]),tbl_SeqLib[[#This Row],[Max for col]:[Avg for col]],"",1)</f>
        <v/>
      </c>
      <c r="T80" s="35" t="str">
        <f>IF(tbl_SeqLib[[#This Row],[entry]]=2,tbl_SeqLib[[#This Row],[Max for col]],"")</f>
        <v/>
      </c>
      <c r="U80" s="35" t="str">
        <f>IF(tbl_SeqLib[[#This Row],[entry]]=2,tbl_SeqLib[[#This Row],[Avg for col]],"")</f>
        <v/>
      </c>
      <c r="V80" s="35" t="str">
        <f>IF(tbl_SeqLib[[#This Row],[entry]]=2,AVERAGE(tbl_SeqLib[Exact]),"")</f>
        <v/>
      </c>
      <c r="W80" s="35" t="str">
        <f>IF(tbl_SeqLib[[#This Row],[entry]]=2,MAX(tbl_SeqLib[Exact]),"")</f>
        <v/>
      </c>
      <c r="X80" s="35" t="str" cm="1">
        <f t="array" ref="X80">_xlfn.XLOOKUP(0,ABS(tbl_SeqLib[[#This Row],[Avg per plate]:[Max per plate]]-tbl_SeqLib[[#This Row],[Exact]]),tbl_SeqLib[[#This Row],[Avg per plate]:[Max per plate]],,1)</f>
        <v/>
      </c>
      <c r="Y8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0" s="73" t="str">
        <f>IF(tbl_SeqLib[[#This Row],[entry]]=1,ROUNDUP(AVERAGE(tbl_SeqLib[Exact]),1),"")</f>
        <v/>
      </c>
      <c r="AA80" s="73" t="str">
        <f>IF(tbl_SeqLib[[#This Row],[entry]]=1,ROUNDUP(AVERAGEIFS(tbl_SeqLib[Exact],tbl_SeqLib[Column],tbl_SeqLib[[#This Row],[Column]]),1),"")</f>
        <v/>
      </c>
      <c r="AB80" s="35" t="str">
        <f>IF(missing_qc_resolution=Reference!$E$49,tbl_SeqLib[[#This Row],[Avg per col (missing)]],tbl_SeqLib[[#This Row],[Avg per plate (missing)]])</f>
        <v/>
      </c>
      <c r="AC80" s="35" t="str">
        <f>IF(tbl_SeqLib[[#This Row],[entry]]=0,"",IF(tbl_SeqLib[[#This Row],[entry]]=1,tbl_SeqLib[[#This Row],[Not quantified]],IF(tbl_SeqLib[[#This Row],[entry]]=2,tbl_SeqLib[[#This Row],[Quantified]])))</f>
        <v/>
      </c>
      <c r="AD80" s="80"/>
      <c r="AE8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0" s="49" t="str">
        <f>IF(ISBLANK(tbl_SeqLib[[#This Row],[sWGA Identifier]]),"",CONCATENATE(exp_id,"_",tbl_SeqLib[[#This Row],[Well]]))</f>
        <v/>
      </c>
    </row>
    <row r="81" spans="1:32" ht="15.75" customHeight="1" x14ac:dyDescent="0.3">
      <c r="A81" s="48">
        <v>79</v>
      </c>
      <c r="B81" s="37" t="str">
        <f>RIGHT(tbl_SeqLib[[#This Row],[Well]],LEN(tbl_SeqLib[[#This Row],[Well]])-1)</f>
        <v>10</v>
      </c>
      <c r="C81" s="36" t="s">
        <v>241</v>
      </c>
      <c r="D81" s="19"/>
      <c r="E81" s="21"/>
      <c r="F81" s="19"/>
      <c r="G81" s="29"/>
      <c r="H81" s="29"/>
      <c r="I81" s="29"/>
      <c r="J81" s="29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242</v>
      </c>
      <c r="M81" s="73">
        <f>IF(OR(ISBLANK(tbl_SeqLib[[#This Row],[Sample ID]]),ISBLANK(endrepair_targetmass)),0,IF(LEN(tbl_SeqLib[[#This Row],[PCR '[DNA'] (ng / µl)]])=0,1,2))</f>
        <v>0</v>
      </c>
      <c r="N8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35" t="str">
        <f>IF(tbl_SeqLib[[#This Row],[entry]]=2,ROUNDUP(_xlfn.MINIFS(tbl_SeqLib[Exact],tbl_SeqLib[Column],tbl_SeqLib[[#This Row],[Column]]),1),"")</f>
        <v/>
      </c>
      <c r="P81" s="35" t="str">
        <f>IF(tbl_SeqLib[[#This Row],[entry]]=2,ROUNDDOWN(_xlfn.MAXIFS(tbl_SeqLib[Exact],tbl_SeqLib[Column],tbl_SeqLib[[#This Row],[Column]]),1),"")</f>
        <v/>
      </c>
      <c r="Q81" s="35" t="str">
        <f>IF(tbl_SeqLib[[#This Row],[entry]]=2,ROUNDUP(AVERAGEIFS(tbl_SeqLib[Exact],tbl_SeqLib[Column],tbl_SeqLib[[#This Row],[Column]]),1),"")</f>
        <v/>
      </c>
      <c r="R81" s="35" t="str" cm="1">
        <f t="array" ref="R81">_xlfn.XLOOKUP(0,ABS(tbl_SeqLib[[#This Row],[Min for col]:[Avg for col]]-tbl_SeqLib[[#This Row],[Exact]]),tbl_SeqLib[[#This Row],[Min for col]:[Avg for col]],"",1)</f>
        <v/>
      </c>
      <c r="S81" s="35" t="str" cm="1">
        <f t="array" ref="S81">_xlfn.XLOOKUP(0,ABS(tbl_SeqLib[[#This Row],[Max for col]:[Avg for col]]-tbl_SeqLib[[#This Row],[Exact]]),tbl_SeqLib[[#This Row],[Max for col]:[Avg for col]],"",1)</f>
        <v/>
      </c>
      <c r="T81" s="35" t="str">
        <f>IF(tbl_SeqLib[[#This Row],[entry]]=2,tbl_SeqLib[[#This Row],[Max for col]],"")</f>
        <v/>
      </c>
      <c r="U81" s="35" t="str">
        <f>IF(tbl_SeqLib[[#This Row],[entry]]=2,tbl_SeqLib[[#This Row],[Avg for col]],"")</f>
        <v/>
      </c>
      <c r="V81" s="35" t="str">
        <f>IF(tbl_SeqLib[[#This Row],[entry]]=2,AVERAGE(tbl_SeqLib[Exact]),"")</f>
        <v/>
      </c>
      <c r="W81" s="35" t="str">
        <f>IF(tbl_SeqLib[[#This Row],[entry]]=2,MAX(tbl_SeqLib[Exact]),"")</f>
        <v/>
      </c>
      <c r="X81" s="35" t="str" cm="1">
        <f t="array" ref="X81">_xlfn.XLOOKUP(0,ABS(tbl_SeqLib[[#This Row],[Avg per plate]:[Max per plate]]-tbl_SeqLib[[#This Row],[Exact]]),tbl_SeqLib[[#This Row],[Avg per plate]:[Max per plate]],,1)</f>
        <v/>
      </c>
      <c r="Y8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1" s="73" t="str">
        <f>IF(tbl_SeqLib[[#This Row],[entry]]=1,ROUNDUP(AVERAGE(tbl_SeqLib[Exact]),1),"")</f>
        <v/>
      </c>
      <c r="AA81" s="73" t="str">
        <f>IF(tbl_SeqLib[[#This Row],[entry]]=1,ROUNDUP(AVERAGEIFS(tbl_SeqLib[Exact],tbl_SeqLib[Column],tbl_SeqLib[[#This Row],[Column]]),1),"")</f>
        <v/>
      </c>
      <c r="AB81" s="35" t="str">
        <f>IF(missing_qc_resolution=Reference!$E$49,tbl_SeqLib[[#This Row],[Avg per col (missing)]],tbl_SeqLib[[#This Row],[Avg per plate (missing)]])</f>
        <v/>
      </c>
      <c r="AC81" s="35" t="str">
        <f>IF(tbl_SeqLib[[#This Row],[entry]]=0,"",IF(tbl_SeqLib[[#This Row],[entry]]=1,tbl_SeqLib[[#This Row],[Not quantified]],IF(tbl_SeqLib[[#This Row],[entry]]=2,tbl_SeqLib[[#This Row],[Quantified]])))</f>
        <v/>
      </c>
      <c r="AD81" s="80"/>
      <c r="AE8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1" s="49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50">
        <v>80</v>
      </c>
      <c r="B82" s="51" t="str">
        <f>RIGHT(tbl_SeqLib[[#This Row],[Well]],LEN(tbl_SeqLib[[#This Row],[Well]])-1)</f>
        <v>10</v>
      </c>
      <c r="C82" s="59" t="s">
        <v>243</v>
      </c>
      <c r="D82" s="52"/>
      <c r="E82" s="53"/>
      <c r="F82" s="52"/>
      <c r="G82" s="54"/>
      <c r="H82" s="54"/>
      <c r="I82" s="54"/>
      <c r="J82" s="54"/>
      <c r="K8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6" t="s">
        <v>244</v>
      </c>
      <c r="M82" s="74">
        <f>IF(OR(ISBLANK(tbl_SeqLib[[#This Row],[Sample ID]]),ISBLANK(endrepair_targetmass)),0,IF(LEN(tbl_SeqLib[[#This Row],[PCR '[DNA'] (ng / µl)]])=0,1,2))</f>
        <v>0</v>
      </c>
      <c r="N8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57" t="str">
        <f>IF(tbl_SeqLib[[#This Row],[entry]]=2,ROUNDUP(_xlfn.MINIFS(tbl_SeqLib[Exact],tbl_SeqLib[Column],tbl_SeqLib[[#This Row],[Column]]),1),"")</f>
        <v/>
      </c>
      <c r="P82" s="57" t="str">
        <f>IF(tbl_SeqLib[[#This Row],[entry]]=2,ROUNDDOWN(_xlfn.MAXIFS(tbl_SeqLib[Exact],tbl_SeqLib[Column],tbl_SeqLib[[#This Row],[Column]]),1),"")</f>
        <v/>
      </c>
      <c r="Q82" s="57" t="str">
        <f>IF(tbl_SeqLib[[#This Row],[entry]]=2,ROUNDUP(AVERAGEIFS(tbl_SeqLib[Exact],tbl_SeqLib[Column],tbl_SeqLib[[#This Row],[Column]]),1),"")</f>
        <v/>
      </c>
      <c r="R82" s="57" t="str" cm="1">
        <f t="array" ref="R82">_xlfn.XLOOKUP(0,ABS(tbl_SeqLib[[#This Row],[Min for col]:[Avg for col]]-tbl_SeqLib[[#This Row],[Exact]]),tbl_SeqLib[[#This Row],[Min for col]:[Avg for col]],"",1)</f>
        <v/>
      </c>
      <c r="S82" s="57" t="str" cm="1">
        <f t="array" ref="S82">_xlfn.XLOOKUP(0,ABS(tbl_SeqLib[[#This Row],[Max for col]:[Avg for col]]-tbl_SeqLib[[#This Row],[Exact]]),tbl_SeqLib[[#This Row],[Max for col]:[Avg for col]],"",1)</f>
        <v/>
      </c>
      <c r="T82" s="57" t="str">
        <f>IF(tbl_SeqLib[[#This Row],[entry]]=2,tbl_SeqLib[[#This Row],[Max for col]],"")</f>
        <v/>
      </c>
      <c r="U82" s="57" t="str">
        <f>IF(tbl_SeqLib[[#This Row],[entry]]=2,tbl_SeqLib[[#This Row],[Avg for col]],"")</f>
        <v/>
      </c>
      <c r="V82" s="57" t="str">
        <f>IF(tbl_SeqLib[[#This Row],[entry]]=2,AVERAGE(tbl_SeqLib[Exact]),"")</f>
        <v/>
      </c>
      <c r="W82" s="57" t="str">
        <f>IF(tbl_SeqLib[[#This Row],[entry]]=2,MAX(tbl_SeqLib[Exact]),"")</f>
        <v/>
      </c>
      <c r="X82" s="57" t="str" cm="1">
        <f t="array" ref="X82">_xlfn.XLOOKUP(0,ABS(tbl_SeqLib[[#This Row],[Avg per plate]:[Max per plate]]-tbl_SeqLib[[#This Row],[Exact]]),tbl_SeqLib[[#This Row],[Avg per plate]:[Max per plate]],,1)</f>
        <v/>
      </c>
      <c r="Y8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2" s="74" t="str">
        <f>IF(tbl_SeqLib[[#This Row],[entry]]=1,ROUNDUP(AVERAGE(tbl_SeqLib[Exact]),1),"")</f>
        <v/>
      </c>
      <c r="AA82" s="74" t="str">
        <f>IF(tbl_SeqLib[[#This Row],[entry]]=1,ROUNDUP(AVERAGEIFS(tbl_SeqLib[Exact],tbl_SeqLib[Column],tbl_SeqLib[[#This Row],[Column]]),1),"")</f>
        <v/>
      </c>
      <c r="AB82" s="57" t="str">
        <f>IF(missing_qc_resolution=Reference!$E$49,tbl_SeqLib[[#This Row],[Avg per col (missing)]],tbl_SeqLib[[#This Row],[Avg per plate (missing)]])</f>
        <v/>
      </c>
      <c r="AC82" s="57" t="str">
        <f>IF(tbl_SeqLib[[#This Row],[entry]]=0,"",IF(tbl_SeqLib[[#This Row],[entry]]=1,tbl_SeqLib[[#This Row],[Not quantified]],IF(tbl_SeqLib[[#This Row],[entry]]=2,tbl_SeqLib[[#This Row],[Quantified]])))</f>
        <v/>
      </c>
      <c r="AD82" s="81"/>
      <c r="AE8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2" s="58" t="str">
        <f>IF(ISBLANK(tbl_SeqLib[[#This Row],[sWGA Identifier]]),"",CONCATENATE(exp_id,"_",tbl_SeqLib[[#This Row],[Well]]))</f>
        <v/>
      </c>
    </row>
    <row r="83" spans="1:32" ht="15.75" customHeight="1" x14ac:dyDescent="0.3">
      <c r="A83" s="41">
        <v>81</v>
      </c>
      <c r="B83" s="42" t="str">
        <f>RIGHT(tbl_SeqLib[[#This Row],[Well]],LEN(tbl_SeqLib[[#This Row],[Well]])-1)</f>
        <v>11</v>
      </c>
      <c r="C83" s="42" t="s">
        <v>245</v>
      </c>
      <c r="D83" s="43"/>
      <c r="E83" s="45"/>
      <c r="F83" s="43"/>
      <c r="G83" s="43"/>
      <c r="H83" s="43"/>
      <c r="I83" s="43"/>
      <c r="J83" s="43"/>
      <c r="K8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5" t="s">
        <v>246</v>
      </c>
      <c r="M83" s="72">
        <f>IF(OR(ISBLANK(tbl_SeqLib[[#This Row],[Sample ID]]),ISBLANK(endrepair_targetmass)),0,IF(LEN(tbl_SeqLib[[#This Row],[PCR '[DNA'] (ng / µl)]])=0,1,2))</f>
        <v>0</v>
      </c>
      <c r="N8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46" t="str">
        <f>IF(tbl_SeqLib[[#This Row],[entry]]=2,ROUNDUP(_xlfn.MINIFS(tbl_SeqLib[Exact],tbl_SeqLib[Column],tbl_SeqLib[[#This Row],[Column]]),1),"")</f>
        <v/>
      </c>
      <c r="P83" s="46" t="str">
        <f>IF(tbl_SeqLib[[#This Row],[entry]]=2,ROUNDDOWN(_xlfn.MAXIFS(tbl_SeqLib[Exact],tbl_SeqLib[Column],tbl_SeqLib[[#This Row],[Column]]),1),"")</f>
        <v/>
      </c>
      <c r="Q83" s="46" t="str">
        <f>IF(tbl_SeqLib[[#This Row],[entry]]=2,ROUNDUP(AVERAGEIFS(tbl_SeqLib[Exact],tbl_SeqLib[Column],tbl_SeqLib[[#This Row],[Column]]),1),"")</f>
        <v/>
      </c>
      <c r="R83" s="46" t="str" cm="1">
        <f t="array" ref="R83">_xlfn.XLOOKUP(0,ABS(tbl_SeqLib[[#This Row],[Min for col]:[Avg for col]]-tbl_SeqLib[[#This Row],[Exact]]),tbl_SeqLib[[#This Row],[Min for col]:[Avg for col]],"",1)</f>
        <v/>
      </c>
      <c r="S83" s="46" t="str" cm="1">
        <f t="array" ref="S83">_xlfn.XLOOKUP(0,ABS(tbl_SeqLib[[#This Row],[Max for col]:[Avg for col]]-tbl_SeqLib[[#This Row],[Exact]]),tbl_SeqLib[[#This Row],[Max for col]:[Avg for col]],"",1)</f>
        <v/>
      </c>
      <c r="T83" s="46" t="str">
        <f>IF(tbl_SeqLib[[#This Row],[entry]]=2,tbl_SeqLib[[#This Row],[Max for col]],"")</f>
        <v/>
      </c>
      <c r="U83" s="46" t="str">
        <f>IF(tbl_SeqLib[[#This Row],[entry]]=2,tbl_SeqLib[[#This Row],[Avg for col]],"")</f>
        <v/>
      </c>
      <c r="V83" s="46" t="str">
        <f>IF(tbl_SeqLib[[#This Row],[entry]]=2,AVERAGE(tbl_SeqLib[Exact]),"")</f>
        <v/>
      </c>
      <c r="W83" s="46" t="str">
        <f>IF(tbl_SeqLib[[#This Row],[entry]]=2,MAX(tbl_SeqLib[Exact]),"")</f>
        <v/>
      </c>
      <c r="X83" s="46" t="str" cm="1">
        <f t="array" ref="X83">_xlfn.XLOOKUP(0,ABS(tbl_SeqLib[[#This Row],[Avg per plate]:[Max per plate]]-tbl_SeqLib[[#This Row],[Exact]]),tbl_SeqLib[[#This Row],[Avg per plate]:[Max per plate]],,1)</f>
        <v/>
      </c>
      <c r="Y8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3" s="72" t="str">
        <f>IF(tbl_SeqLib[[#This Row],[entry]]=1,ROUNDUP(AVERAGE(tbl_SeqLib[Exact]),1),"")</f>
        <v/>
      </c>
      <c r="AA83" s="72" t="str">
        <f>IF(tbl_SeqLib[[#This Row],[entry]]=1,ROUNDUP(AVERAGEIFS(tbl_SeqLib[Exact],tbl_SeqLib[Column],tbl_SeqLib[[#This Row],[Column]]),1),"")</f>
        <v/>
      </c>
      <c r="AB83" s="46" t="str">
        <f>IF(missing_qc_resolution=Reference!$E$49,tbl_SeqLib[[#This Row],[Avg per col (missing)]],tbl_SeqLib[[#This Row],[Avg per plate (missing)]])</f>
        <v/>
      </c>
      <c r="AC83" s="46" t="str">
        <f>IF(tbl_SeqLib[[#This Row],[entry]]=0,"",IF(tbl_SeqLib[[#This Row],[entry]]=1,tbl_SeqLib[[#This Row],[Not quantified]],IF(tbl_SeqLib[[#This Row],[entry]]=2,tbl_SeqLib[[#This Row],[Quantified]])))</f>
        <v/>
      </c>
      <c r="AD83" s="79"/>
      <c r="AE8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3" s="47" t="str">
        <f>IF(ISBLANK(tbl_SeqLib[[#This Row],[sWGA Identifier]]),"",CONCATENATE(exp_id,"_",tbl_SeqLib[[#This Row],[Well]]))</f>
        <v/>
      </c>
    </row>
    <row r="84" spans="1:32" ht="15.75" customHeight="1" x14ac:dyDescent="0.3">
      <c r="A84" s="48">
        <v>82</v>
      </c>
      <c r="B84" s="37" t="str">
        <f>RIGHT(tbl_SeqLib[[#This Row],[Well]],LEN(tbl_SeqLib[[#This Row],[Well]])-1)</f>
        <v>11</v>
      </c>
      <c r="C84" s="36" t="s">
        <v>247</v>
      </c>
      <c r="D84" s="19"/>
      <c r="E84" s="21"/>
      <c r="F84" s="19"/>
      <c r="G84" s="29"/>
      <c r="H84" s="29"/>
      <c r="I84" s="29"/>
      <c r="J84" s="29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248</v>
      </c>
      <c r="M84" s="73">
        <f>IF(OR(ISBLANK(tbl_SeqLib[[#This Row],[Sample ID]]),ISBLANK(endrepair_targetmass)),0,IF(LEN(tbl_SeqLib[[#This Row],[PCR '[DNA'] (ng / µl)]])=0,1,2))</f>
        <v>0</v>
      </c>
      <c r="N8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35" t="str">
        <f>IF(tbl_SeqLib[[#This Row],[entry]]=2,ROUNDUP(_xlfn.MINIFS(tbl_SeqLib[Exact],tbl_SeqLib[Column],tbl_SeqLib[[#This Row],[Column]]),1),"")</f>
        <v/>
      </c>
      <c r="P84" s="35" t="str">
        <f>IF(tbl_SeqLib[[#This Row],[entry]]=2,ROUNDDOWN(_xlfn.MAXIFS(tbl_SeqLib[Exact],tbl_SeqLib[Column],tbl_SeqLib[[#This Row],[Column]]),1),"")</f>
        <v/>
      </c>
      <c r="Q84" s="35" t="str">
        <f>IF(tbl_SeqLib[[#This Row],[entry]]=2,ROUNDUP(AVERAGEIFS(tbl_SeqLib[Exact],tbl_SeqLib[Column],tbl_SeqLib[[#This Row],[Column]]),1),"")</f>
        <v/>
      </c>
      <c r="R84" s="35" t="str" cm="1">
        <f t="array" ref="R84">_xlfn.XLOOKUP(0,ABS(tbl_SeqLib[[#This Row],[Min for col]:[Avg for col]]-tbl_SeqLib[[#This Row],[Exact]]),tbl_SeqLib[[#This Row],[Min for col]:[Avg for col]],"",1)</f>
        <v/>
      </c>
      <c r="S84" s="35" t="str" cm="1">
        <f t="array" ref="S84">_xlfn.XLOOKUP(0,ABS(tbl_SeqLib[[#This Row],[Max for col]:[Avg for col]]-tbl_SeqLib[[#This Row],[Exact]]),tbl_SeqLib[[#This Row],[Max for col]:[Avg for col]],"",1)</f>
        <v/>
      </c>
      <c r="T84" s="35" t="str">
        <f>IF(tbl_SeqLib[[#This Row],[entry]]=2,tbl_SeqLib[[#This Row],[Max for col]],"")</f>
        <v/>
      </c>
      <c r="U84" s="35" t="str">
        <f>IF(tbl_SeqLib[[#This Row],[entry]]=2,tbl_SeqLib[[#This Row],[Avg for col]],"")</f>
        <v/>
      </c>
      <c r="V84" s="35" t="str">
        <f>IF(tbl_SeqLib[[#This Row],[entry]]=2,AVERAGE(tbl_SeqLib[Exact]),"")</f>
        <v/>
      </c>
      <c r="W84" s="35" t="str">
        <f>IF(tbl_SeqLib[[#This Row],[entry]]=2,MAX(tbl_SeqLib[Exact]),"")</f>
        <v/>
      </c>
      <c r="X84" s="35" t="str" cm="1">
        <f t="array" ref="X84">_xlfn.XLOOKUP(0,ABS(tbl_SeqLib[[#This Row],[Avg per plate]:[Max per plate]]-tbl_SeqLib[[#This Row],[Exact]]),tbl_SeqLib[[#This Row],[Avg per plate]:[Max per plate]],,1)</f>
        <v/>
      </c>
      <c r="Y8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4" s="73" t="str">
        <f>IF(tbl_SeqLib[[#This Row],[entry]]=1,ROUNDUP(AVERAGE(tbl_SeqLib[Exact]),1),"")</f>
        <v/>
      </c>
      <c r="AA84" s="73" t="str">
        <f>IF(tbl_SeqLib[[#This Row],[entry]]=1,ROUNDUP(AVERAGEIFS(tbl_SeqLib[Exact],tbl_SeqLib[Column],tbl_SeqLib[[#This Row],[Column]]),1),"")</f>
        <v/>
      </c>
      <c r="AB84" s="35" t="str">
        <f>IF(missing_qc_resolution=Reference!$E$49,tbl_SeqLib[[#This Row],[Avg per col (missing)]],tbl_SeqLib[[#This Row],[Avg per plate (missing)]])</f>
        <v/>
      </c>
      <c r="AC84" s="35" t="str">
        <f>IF(tbl_SeqLib[[#This Row],[entry]]=0,"",IF(tbl_SeqLib[[#This Row],[entry]]=1,tbl_SeqLib[[#This Row],[Not quantified]],IF(tbl_SeqLib[[#This Row],[entry]]=2,tbl_SeqLib[[#This Row],[Quantified]])))</f>
        <v/>
      </c>
      <c r="AD84" s="80"/>
      <c r="AE8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4" s="49" t="str">
        <f>IF(ISBLANK(tbl_SeqLib[[#This Row],[sWGA Identifier]]),"",CONCATENATE(exp_id,"_",tbl_SeqLib[[#This Row],[Well]]))</f>
        <v/>
      </c>
    </row>
    <row r="85" spans="1:32" ht="15.75" customHeight="1" x14ac:dyDescent="0.3">
      <c r="A85" s="48">
        <v>83</v>
      </c>
      <c r="B85" s="37" t="str">
        <f>RIGHT(tbl_SeqLib[[#This Row],[Well]],LEN(tbl_SeqLib[[#This Row],[Well]])-1)</f>
        <v>11</v>
      </c>
      <c r="C85" s="36" t="s">
        <v>249</v>
      </c>
      <c r="D85" s="19"/>
      <c r="E85" s="21"/>
      <c r="F85" s="19"/>
      <c r="G85" s="29"/>
      <c r="H85" s="29"/>
      <c r="I85" s="29"/>
      <c r="J85" s="29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250</v>
      </c>
      <c r="M85" s="73">
        <f>IF(OR(ISBLANK(tbl_SeqLib[[#This Row],[Sample ID]]),ISBLANK(endrepair_targetmass)),0,IF(LEN(tbl_SeqLib[[#This Row],[PCR '[DNA'] (ng / µl)]])=0,1,2))</f>
        <v>0</v>
      </c>
      <c r="N8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35" t="str">
        <f>IF(tbl_SeqLib[[#This Row],[entry]]=2,ROUNDUP(_xlfn.MINIFS(tbl_SeqLib[Exact],tbl_SeqLib[Column],tbl_SeqLib[[#This Row],[Column]]),1),"")</f>
        <v/>
      </c>
      <c r="P85" s="35" t="str">
        <f>IF(tbl_SeqLib[[#This Row],[entry]]=2,ROUNDDOWN(_xlfn.MAXIFS(tbl_SeqLib[Exact],tbl_SeqLib[Column],tbl_SeqLib[[#This Row],[Column]]),1),"")</f>
        <v/>
      </c>
      <c r="Q85" s="35" t="str">
        <f>IF(tbl_SeqLib[[#This Row],[entry]]=2,ROUNDUP(AVERAGEIFS(tbl_SeqLib[Exact],tbl_SeqLib[Column],tbl_SeqLib[[#This Row],[Column]]),1),"")</f>
        <v/>
      </c>
      <c r="R85" s="35" t="str" cm="1">
        <f t="array" ref="R85">_xlfn.XLOOKUP(0,ABS(tbl_SeqLib[[#This Row],[Min for col]:[Avg for col]]-tbl_SeqLib[[#This Row],[Exact]]),tbl_SeqLib[[#This Row],[Min for col]:[Avg for col]],"",1)</f>
        <v/>
      </c>
      <c r="S85" s="35" t="str" cm="1">
        <f t="array" ref="S85">_xlfn.XLOOKUP(0,ABS(tbl_SeqLib[[#This Row],[Max for col]:[Avg for col]]-tbl_SeqLib[[#This Row],[Exact]]),tbl_SeqLib[[#This Row],[Max for col]:[Avg for col]],"",1)</f>
        <v/>
      </c>
      <c r="T85" s="35" t="str">
        <f>IF(tbl_SeqLib[[#This Row],[entry]]=2,tbl_SeqLib[[#This Row],[Max for col]],"")</f>
        <v/>
      </c>
      <c r="U85" s="35" t="str">
        <f>IF(tbl_SeqLib[[#This Row],[entry]]=2,tbl_SeqLib[[#This Row],[Avg for col]],"")</f>
        <v/>
      </c>
      <c r="V85" s="35" t="str">
        <f>IF(tbl_SeqLib[[#This Row],[entry]]=2,AVERAGE(tbl_SeqLib[Exact]),"")</f>
        <v/>
      </c>
      <c r="W85" s="35" t="str">
        <f>IF(tbl_SeqLib[[#This Row],[entry]]=2,MAX(tbl_SeqLib[Exact]),"")</f>
        <v/>
      </c>
      <c r="X85" s="35" t="str" cm="1">
        <f t="array" ref="X85">_xlfn.XLOOKUP(0,ABS(tbl_SeqLib[[#This Row],[Avg per plate]:[Max per plate]]-tbl_SeqLib[[#This Row],[Exact]]),tbl_SeqLib[[#This Row],[Avg per plate]:[Max per plate]],,1)</f>
        <v/>
      </c>
      <c r="Y8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5" s="73" t="str">
        <f>IF(tbl_SeqLib[[#This Row],[entry]]=1,ROUNDUP(AVERAGE(tbl_SeqLib[Exact]),1),"")</f>
        <v/>
      </c>
      <c r="AA85" s="73" t="str">
        <f>IF(tbl_SeqLib[[#This Row],[entry]]=1,ROUNDUP(AVERAGEIFS(tbl_SeqLib[Exact],tbl_SeqLib[Column],tbl_SeqLib[[#This Row],[Column]]),1),"")</f>
        <v/>
      </c>
      <c r="AB85" s="35" t="str">
        <f>IF(missing_qc_resolution=Reference!$E$49,tbl_SeqLib[[#This Row],[Avg per col (missing)]],tbl_SeqLib[[#This Row],[Avg per plate (missing)]])</f>
        <v/>
      </c>
      <c r="AC85" s="35" t="str">
        <f>IF(tbl_SeqLib[[#This Row],[entry]]=0,"",IF(tbl_SeqLib[[#This Row],[entry]]=1,tbl_SeqLib[[#This Row],[Not quantified]],IF(tbl_SeqLib[[#This Row],[entry]]=2,tbl_SeqLib[[#This Row],[Quantified]])))</f>
        <v/>
      </c>
      <c r="AD85" s="80"/>
      <c r="AE8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5" s="49" t="str">
        <f>IF(ISBLANK(tbl_SeqLib[[#This Row],[sWGA Identifier]]),"",CONCATENATE(exp_id,"_",tbl_SeqLib[[#This Row],[Well]]))</f>
        <v/>
      </c>
    </row>
    <row r="86" spans="1:32" ht="15.75" customHeight="1" x14ac:dyDescent="0.3">
      <c r="A86" s="48">
        <v>84</v>
      </c>
      <c r="B86" s="37" t="str">
        <f>RIGHT(tbl_SeqLib[[#This Row],[Well]],LEN(tbl_SeqLib[[#This Row],[Well]])-1)</f>
        <v>11</v>
      </c>
      <c r="C86" s="36" t="s">
        <v>251</v>
      </c>
      <c r="D86" s="19"/>
      <c r="E86" s="21"/>
      <c r="F86" s="19"/>
      <c r="G86" s="29"/>
      <c r="H86" s="29"/>
      <c r="I86" s="29"/>
      <c r="J86" s="29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252</v>
      </c>
      <c r="M86" s="73">
        <f>IF(OR(ISBLANK(tbl_SeqLib[[#This Row],[Sample ID]]),ISBLANK(endrepair_targetmass)),0,IF(LEN(tbl_SeqLib[[#This Row],[PCR '[DNA'] (ng / µl)]])=0,1,2))</f>
        <v>0</v>
      </c>
      <c r="N8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35" t="str">
        <f>IF(tbl_SeqLib[[#This Row],[entry]]=2,ROUNDUP(_xlfn.MINIFS(tbl_SeqLib[Exact],tbl_SeqLib[Column],tbl_SeqLib[[#This Row],[Column]]),1),"")</f>
        <v/>
      </c>
      <c r="P86" s="35" t="str">
        <f>IF(tbl_SeqLib[[#This Row],[entry]]=2,ROUNDDOWN(_xlfn.MAXIFS(tbl_SeqLib[Exact],tbl_SeqLib[Column],tbl_SeqLib[[#This Row],[Column]]),1),"")</f>
        <v/>
      </c>
      <c r="Q86" s="35" t="str">
        <f>IF(tbl_SeqLib[[#This Row],[entry]]=2,ROUNDUP(AVERAGEIFS(tbl_SeqLib[Exact],tbl_SeqLib[Column],tbl_SeqLib[[#This Row],[Column]]),1),"")</f>
        <v/>
      </c>
      <c r="R86" s="35" t="str" cm="1">
        <f t="array" ref="R86">_xlfn.XLOOKUP(0,ABS(tbl_SeqLib[[#This Row],[Min for col]:[Avg for col]]-tbl_SeqLib[[#This Row],[Exact]]),tbl_SeqLib[[#This Row],[Min for col]:[Avg for col]],"",1)</f>
        <v/>
      </c>
      <c r="S86" s="35" t="str" cm="1">
        <f t="array" ref="S86">_xlfn.XLOOKUP(0,ABS(tbl_SeqLib[[#This Row],[Max for col]:[Avg for col]]-tbl_SeqLib[[#This Row],[Exact]]),tbl_SeqLib[[#This Row],[Max for col]:[Avg for col]],"",1)</f>
        <v/>
      </c>
      <c r="T86" s="35" t="str">
        <f>IF(tbl_SeqLib[[#This Row],[entry]]=2,tbl_SeqLib[[#This Row],[Max for col]],"")</f>
        <v/>
      </c>
      <c r="U86" s="35" t="str">
        <f>IF(tbl_SeqLib[[#This Row],[entry]]=2,tbl_SeqLib[[#This Row],[Avg for col]],"")</f>
        <v/>
      </c>
      <c r="V86" s="35" t="str">
        <f>IF(tbl_SeqLib[[#This Row],[entry]]=2,AVERAGE(tbl_SeqLib[Exact]),"")</f>
        <v/>
      </c>
      <c r="W86" s="35" t="str">
        <f>IF(tbl_SeqLib[[#This Row],[entry]]=2,MAX(tbl_SeqLib[Exact]),"")</f>
        <v/>
      </c>
      <c r="X86" s="35" t="str" cm="1">
        <f t="array" ref="X86">_xlfn.XLOOKUP(0,ABS(tbl_SeqLib[[#This Row],[Avg per plate]:[Max per plate]]-tbl_SeqLib[[#This Row],[Exact]]),tbl_SeqLib[[#This Row],[Avg per plate]:[Max per plate]],,1)</f>
        <v/>
      </c>
      <c r="Y8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6" s="73" t="str">
        <f>IF(tbl_SeqLib[[#This Row],[entry]]=1,ROUNDUP(AVERAGE(tbl_SeqLib[Exact]),1),"")</f>
        <v/>
      </c>
      <c r="AA86" s="73" t="str">
        <f>IF(tbl_SeqLib[[#This Row],[entry]]=1,ROUNDUP(AVERAGEIFS(tbl_SeqLib[Exact],tbl_SeqLib[Column],tbl_SeqLib[[#This Row],[Column]]),1),"")</f>
        <v/>
      </c>
      <c r="AB86" s="35" t="str">
        <f>IF(missing_qc_resolution=Reference!$E$49,tbl_SeqLib[[#This Row],[Avg per col (missing)]],tbl_SeqLib[[#This Row],[Avg per plate (missing)]])</f>
        <v/>
      </c>
      <c r="AC86" s="35" t="str">
        <f>IF(tbl_SeqLib[[#This Row],[entry]]=0,"",IF(tbl_SeqLib[[#This Row],[entry]]=1,tbl_SeqLib[[#This Row],[Not quantified]],IF(tbl_SeqLib[[#This Row],[entry]]=2,tbl_SeqLib[[#This Row],[Quantified]])))</f>
        <v/>
      </c>
      <c r="AD86" s="80"/>
      <c r="AE8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6" s="49" t="str">
        <f>IF(ISBLANK(tbl_SeqLib[[#This Row],[sWGA Identifier]]),"",CONCATENATE(exp_id,"_",tbl_SeqLib[[#This Row],[Well]]))</f>
        <v/>
      </c>
    </row>
    <row r="87" spans="1:32" ht="15.75" customHeight="1" x14ac:dyDescent="0.3">
      <c r="A87" s="48">
        <v>85</v>
      </c>
      <c r="B87" s="37" t="str">
        <f>RIGHT(tbl_SeqLib[[#This Row],[Well]],LEN(tbl_SeqLib[[#This Row],[Well]])-1)</f>
        <v>11</v>
      </c>
      <c r="C87" s="36" t="s">
        <v>253</v>
      </c>
      <c r="D87" s="19"/>
      <c r="E87" s="21"/>
      <c r="F87" s="19"/>
      <c r="G87" s="29"/>
      <c r="H87" s="29"/>
      <c r="I87" s="29"/>
      <c r="J87" s="29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254</v>
      </c>
      <c r="M87" s="73">
        <f>IF(OR(ISBLANK(tbl_SeqLib[[#This Row],[Sample ID]]),ISBLANK(endrepair_targetmass)),0,IF(LEN(tbl_SeqLib[[#This Row],[PCR '[DNA'] (ng / µl)]])=0,1,2))</f>
        <v>0</v>
      </c>
      <c r="N8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35" t="str">
        <f>IF(tbl_SeqLib[[#This Row],[entry]]=2,ROUNDUP(_xlfn.MINIFS(tbl_SeqLib[Exact],tbl_SeqLib[Column],tbl_SeqLib[[#This Row],[Column]]),1),"")</f>
        <v/>
      </c>
      <c r="P87" s="35" t="str">
        <f>IF(tbl_SeqLib[[#This Row],[entry]]=2,ROUNDDOWN(_xlfn.MAXIFS(tbl_SeqLib[Exact],tbl_SeqLib[Column],tbl_SeqLib[[#This Row],[Column]]),1),"")</f>
        <v/>
      </c>
      <c r="Q87" s="35" t="str">
        <f>IF(tbl_SeqLib[[#This Row],[entry]]=2,ROUNDUP(AVERAGEIFS(tbl_SeqLib[Exact],tbl_SeqLib[Column],tbl_SeqLib[[#This Row],[Column]]),1),"")</f>
        <v/>
      </c>
      <c r="R87" s="35" t="str" cm="1">
        <f t="array" ref="R87">_xlfn.XLOOKUP(0,ABS(tbl_SeqLib[[#This Row],[Min for col]:[Avg for col]]-tbl_SeqLib[[#This Row],[Exact]]),tbl_SeqLib[[#This Row],[Min for col]:[Avg for col]],"",1)</f>
        <v/>
      </c>
      <c r="S87" s="35" t="str" cm="1">
        <f t="array" ref="S87">_xlfn.XLOOKUP(0,ABS(tbl_SeqLib[[#This Row],[Max for col]:[Avg for col]]-tbl_SeqLib[[#This Row],[Exact]]),tbl_SeqLib[[#This Row],[Max for col]:[Avg for col]],"",1)</f>
        <v/>
      </c>
      <c r="T87" s="35" t="str">
        <f>IF(tbl_SeqLib[[#This Row],[entry]]=2,tbl_SeqLib[[#This Row],[Max for col]],"")</f>
        <v/>
      </c>
      <c r="U87" s="35" t="str">
        <f>IF(tbl_SeqLib[[#This Row],[entry]]=2,tbl_SeqLib[[#This Row],[Avg for col]],"")</f>
        <v/>
      </c>
      <c r="V87" s="35" t="str">
        <f>IF(tbl_SeqLib[[#This Row],[entry]]=2,AVERAGE(tbl_SeqLib[Exact]),"")</f>
        <v/>
      </c>
      <c r="W87" s="35" t="str">
        <f>IF(tbl_SeqLib[[#This Row],[entry]]=2,MAX(tbl_SeqLib[Exact]),"")</f>
        <v/>
      </c>
      <c r="X87" s="35" t="str" cm="1">
        <f t="array" ref="X87">_xlfn.XLOOKUP(0,ABS(tbl_SeqLib[[#This Row],[Avg per plate]:[Max per plate]]-tbl_SeqLib[[#This Row],[Exact]]),tbl_SeqLib[[#This Row],[Avg per plate]:[Max per plate]],,1)</f>
        <v/>
      </c>
      <c r="Y8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7" s="73" t="str">
        <f>IF(tbl_SeqLib[[#This Row],[entry]]=1,ROUNDUP(AVERAGE(tbl_SeqLib[Exact]),1),"")</f>
        <v/>
      </c>
      <c r="AA87" s="73" t="str">
        <f>IF(tbl_SeqLib[[#This Row],[entry]]=1,ROUNDUP(AVERAGEIFS(tbl_SeqLib[Exact],tbl_SeqLib[Column],tbl_SeqLib[[#This Row],[Column]]),1),"")</f>
        <v/>
      </c>
      <c r="AB87" s="35" t="str">
        <f>IF(missing_qc_resolution=Reference!$E$49,tbl_SeqLib[[#This Row],[Avg per col (missing)]],tbl_SeqLib[[#This Row],[Avg per plate (missing)]])</f>
        <v/>
      </c>
      <c r="AC87" s="35" t="str">
        <f>IF(tbl_SeqLib[[#This Row],[entry]]=0,"",IF(tbl_SeqLib[[#This Row],[entry]]=1,tbl_SeqLib[[#This Row],[Not quantified]],IF(tbl_SeqLib[[#This Row],[entry]]=2,tbl_SeqLib[[#This Row],[Quantified]])))</f>
        <v/>
      </c>
      <c r="AD87" s="80"/>
      <c r="AE8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7" s="49" t="str">
        <f>IF(ISBLANK(tbl_SeqLib[[#This Row],[sWGA Identifier]]),"",CONCATENATE(exp_id,"_",tbl_SeqLib[[#This Row],[Well]]))</f>
        <v/>
      </c>
    </row>
    <row r="88" spans="1:32" ht="15.75" customHeight="1" x14ac:dyDescent="0.3">
      <c r="A88" s="48">
        <v>86</v>
      </c>
      <c r="B88" s="37" t="str">
        <f>RIGHT(tbl_SeqLib[[#This Row],[Well]],LEN(tbl_SeqLib[[#This Row],[Well]])-1)</f>
        <v>11</v>
      </c>
      <c r="C88" s="36" t="s">
        <v>255</v>
      </c>
      <c r="D88" s="19"/>
      <c r="E88" s="21"/>
      <c r="F88" s="19"/>
      <c r="G88" s="29"/>
      <c r="H88" s="29"/>
      <c r="I88" s="29"/>
      <c r="J88" s="29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256</v>
      </c>
      <c r="M88" s="73">
        <f>IF(OR(ISBLANK(tbl_SeqLib[[#This Row],[Sample ID]]),ISBLANK(endrepair_targetmass)),0,IF(LEN(tbl_SeqLib[[#This Row],[PCR '[DNA'] (ng / µl)]])=0,1,2))</f>
        <v>0</v>
      </c>
      <c r="N8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35" t="str">
        <f>IF(tbl_SeqLib[[#This Row],[entry]]=2,ROUNDUP(_xlfn.MINIFS(tbl_SeqLib[Exact],tbl_SeqLib[Column],tbl_SeqLib[[#This Row],[Column]]),1),"")</f>
        <v/>
      </c>
      <c r="P88" s="35" t="str">
        <f>IF(tbl_SeqLib[[#This Row],[entry]]=2,ROUNDDOWN(_xlfn.MAXIFS(tbl_SeqLib[Exact],tbl_SeqLib[Column],tbl_SeqLib[[#This Row],[Column]]),1),"")</f>
        <v/>
      </c>
      <c r="Q88" s="35" t="str">
        <f>IF(tbl_SeqLib[[#This Row],[entry]]=2,ROUNDUP(AVERAGEIFS(tbl_SeqLib[Exact],tbl_SeqLib[Column],tbl_SeqLib[[#This Row],[Column]]),1),"")</f>
        <v/>
      </c>
      <c r="R88" s="35" t="str" cm="1">
        <f t="array" ref="R88">_xlfn.XLOOKUP(0,ABS(tbl_SeqLib[[#This Row],[Min for col]:[Avg for col]]-tbl_SeqLib[[#This Row],[Exact]]),tbl_SeqLib[[#This Row],[Min for col]:[Avg for col]],"",1)</f>
        <v/>
      </c>
      <c r="S88" s="35" t="str" cm="1">
        <f t="array" ref="S88">_xlfn.XLOOKUP(0,ABS(tbl_SeqLib[[#This Row],[Max for col]:[Avg for col]]-tbl_SeqLib[[#This Row],[Exact]]),tbl_SeqLib[[#This Row],[Max for col]:[Avg for col]],"",1)</f>
        <v/>
      </c>
      <c r="T88" s="35" t="str">
        <f>IF(tbl_SeqLib[[#This Row],[entry]]=2,tbl_SeqLib[[#This Row],[Max for col]],"")</f>
        <v/>
      </c>
      <c r="U88" s="35" t="str">
        <f>IF(tbl_SeqLib[[#This Row],[entry]]=2,tbl_SeqLib[[#This Row],[Avg for col]],"")</f>
        <v/>
      </c>
      <c r="V88" s="35" t="str">
        <f>IF(tbl_SeqLib[[#This Row],[entry]]=2,AVERAGE(tbl_SeqLib[Exact]),"")</f>
        <v/>
      </c>
      <c r="W88" s="35" t="str">
        <f>IF(tbl_SeqLib[[#This Row],[entry]]=2,MAX(tbl_SeqLib[Exact]),"")</f>
        <v/>
      </c>
      <c r="X88" s="35" t="str" cm="1">
        <f t="array" ref="X88">_xlfn.XLOOKUP(0,ABS(tbl_SeqLib[[#This Row],[Avg per plate]:[Max per plate]]-tbl_SeqLib[[#This Row],[Exact]]),tbl_SeqLib[[#This Row],[Avg per plate]:[Max per plate]],,1)</f>
        <v/>
      </c>
      <c r="Y8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8" s="73" t="str">
        <f>IF(tbl_SeqLib[[#This Row],[entry]]=1,ROUNDUP(AVERAGE(tbl_SeqLib[Exact]),1),"")</f>
        <v/>
      </c>
      <c r="AA88" s="73" t="str">
        <f>IF(tbl_SeqLib[[#This Row],[entry]]=1,ROUNDUP(AVERAGEIFS(tbl_SeqLib[Exact],tbl_SeqLib[Column],tbl_SeqLib[[#This Row],[Column]]),1),"")</f>
        <v/>
      </c>
      <c r="AB88" s="35" t="str">
        <f>IF(missing_qc_resolution=Reference!$E$49,tbl_SeqLib[[#This Row],[Avg per col (missing)]],tbl_SeqLib[[#This Row],[Avg per plate (missing)]])</f>
        <v/>
      </c>
      <c r="AC88" s="35" t="str">
        <f>IF(tbl_SeqLib[[#This Row],[entry]]=0,"",IF(tbl_SeqLib[[#This Row],[entry]]=1,tbl_SeqLib[[#This Row],[Not quantified]],IF(tbl_SeqLib[[#This Row],[entry]]=2,tbl_SeqLib[[#This Row],[Quantified]])))</f>
        <v/>
      </c>
      <c r="AD88" s="80"/>
      <c r="AE8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8" s="49" t="str">
        <f>IF(ISBLANK(tbl_SeqLib[[#This Row],[sWGA Identifier]]),"",CONCATENATE(exp_id,"_",tbl_SeqLib[[#This Row],[Well]]))</f>
        <v/>
      </c>
    </row>
    <row r="89" spans="1:32" ht="15.75" customHeight="1" x14ac:dyDescent="0.3">
      <c r="A89" s="48">
        <v>87</v>
      </c>
      <c r="B89" s="37" t="str">
        <f>RIGHT(tbl_SeqLib[[#This Row],[Well]],LEN(tbl_SeqLib[[#This Row],[Well]])-1)</f>
        <v>11</v>
      </c>
      <c r="C89" s="36" t="s">
        <v>257</v>
      </c>
      <c r="D89" s="19"/>
      <c r="E89" s="21"/>
      <c r="F89" s="19"/>
      <c r="G89" s="29"/>
      <c r="H89" s="29"/>
      <c r="I89" s="29"/>
      <c r="J89" s="29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258</v>
      </c>
      <c r="M89" s="73">
        <f>IF(OR(ISBLANK(tbl_SeqLib[[#This Row],[Sample ID]]),ISBLANK(endrepair_targetmass)),0,IF(LEN(tbl_SeqLib[[#This Row],[PCR '[DNA'] (ng / µl)]])=0,1,2))</f>
        <v>0</v>
      </c>
      <c r="N8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35" t="str">
        <f>IF(tbl_SeqLib[[#This Row],[entry]]=2,ROUNDUP(_xlfn.MINIFS(tbl_SeqLib[Exact],tbl_SeqLib[Column],tbl_SeqLib[[#This Row],[Column]]),1),"")</f>
        <v/>
      </c>
      <c r="P89" s="35" t="str">
        <f>IF(tbl_SeqLib[[#This Row],[entry]]=2,ROUNDDOWN(_xlfn.MAXIFS(tbl_SeqLib[Exact],tbl_SeqLib[Column],tbl_SeqLib[[#This Row],[Column]]),1),"")</f>
        <v/>
      </c>
      <c r="Q89" s="35" t="str">
        <f>IF(tbl_SeqLib[[#This Row],[entry]]=2,ROUNDUP(AVERAGEIFS(tbl_SeqLib[Exact],tbl_SeqLib[Column],tbl_SeqLib[[#This Row],[Column]]),1),"")</f>
        <v/>
      </c>
      <c r="R89" s="35" t="str" cm="1">
        <f t="array" ref="R89">_xlfn.XLOOKUP(0,ABS(tbl_SeqLib[[#This Row],[Min for col]:[Avg for col]]-tbl_SeqLib[[#This Row],[Exact]]),tbl_SeqLib[[#This Row],[Min for col]:[Avg for col]],"",1)</f>
        <v/>
      </c>
      <c r="S89" s="35" t="str" cm="1">
        <f t="array" ref="S89">_xlfn.XLOOKUP(0,ABS(tbl_SeqLib[[#This Row],[Max for col]:[Avg for col]]-tbl_SeqLib[[#This Row],[Exact]]),tbl_SeqLib[[#This Row],[Max for col]:[Avg for col]],"",1)</f>
        <v/>
      </c>
      <c r="T89" s="35" t="str">
        <f>IF(tbl_SeqLib[[#This Row],[entry]]=2,tbl_SeqLib[[#This Row],[Max for col]],"")</f>
        <v/>
      </c>
      <c r="U89" s="35" t="str">
        <f>IF(tbl_SeqLib[[#This Row],[entry]]=2,tbl_SeqLib[[#This Row],[Avg for col]],"")</f>
        <v/>
      </c>
      <c r="V89" s="35" t="str">
        <f>IF(tbl_SeqLib[[#This Row],[entry]]=2,AVERAGE(tbl_SeqLib[Exact]),"")</f>
        <v/>
      </c>
      <c r="W89" s="35" t="str">
        <f>IF(tbl_SeqLib[[#This Row],[entry]]=2,MAX(tbl_SeqLib[Exact]),"")</f>
        <v/>
      </c>
      <c r="X89" s="35" t="str" cm="1">
        <f t="array" ref="X89">_xlfn.XLOOKUP(0,ABS(tbl_SeqLib[[#This Row],[Avg per plate]:[Max per plate]]-tbl_SeqLib[[#This Row],[Exact]]),tbl_SeqLib[[#This Row],[Avg per plate]:[Max per plate]],,1)</f>
        <v/>
      </c>
      <c r="Y8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9" s="73" t="str">
        <f>IF(tbl_SeqLib[[#This Row],[entry]]=1,ROUNDUP(AVERAGE(tbl_SeqLib[Exact]),1),"")</f>
        <v/>
      </c>
      <c r="AA89" s="73" t="str">
        <f>IF(tbl_SeqLib[[#This Row],[entry]]=1,ROUNDUP(AVERAGEIFS(tbl_SeqLib[Exact],tbl_SeqLib[Column],tbl_SeqLib[[#This Row],[Column]]),1),"")</f>
        <v/>
      </c>
      <c r="AB89" s="35" t="str">
        <f>IF(missing_qc_resolution=Reference!$E$49,tbl_SeqLib[[#This Row],[Avg per col (missing)]],tbl_SeqLib[[#This Row],[Avg per plate (missing)]])</f>
        <v/>
      </c>
      <c r="AC89" s="35" t="str">
        <f>IF(tbl_SeqLib[[#This Row],[entry]]=0,"",IF(tbl_SeqLib[[#This Row],[entry]]=1,tbl_SeqLib[[#This Row],[Not quantified]],IF(tbl_SeqLib[[#This Row],[entry]]=2,tbl_SeqLib[[#This Row],[Quantified]])))</f>
        <v/>
      </c>
      <c r="AD89" s="80"/>
      <c r="AE8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9" s="49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50">
        <v>88</v>
      </c>
      <c r="B90" s="51" t="str">
        <f>RIGHT(tbl_SeqLib[[#This Row],[Well]],LEN(tbl_SeqLib[[#This Row],[Well]])-1)</f>
        <v>11</v>
      </c>
      <c r="C90" s="59" t="s">
        <v>259</v>
      </c>
      <c r="D90" s="52"/>
      <c r="E90" s="53"/>
      <c r="F90" s="52"/>
      <c r="G90" s="54"/>
      <c r="H90" s="54"/>
      <c r="I90" s="54"/>
      <c r="J90" s="54"/>
      <c r="K9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6" t="s">
        <v>260</v>
      </c>
      <c r="M90" s="74">
        <f>IF(OR(ISBLANK(tbl_SeqLib[[#This Row],[Sample ID]]),ISBLANK(endrepair_targetmass)),0,IF(LEN(tbl_SeqLib[[#This Row],[PCR '[DNA'] (ng / µl)]])=0,1,2))</f>
        <v>0</v>
      </c>
      <c r="N9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57" t="str">
        <f>IF(tbl_SeqLib[[#This Row],[entry]]=2,ROUNDUP(_xlfn.MINIFS(tbl_SeqLib[Exact],tbl_SeqLib[Column],tbl_SeqLib[[#This Row],[Column]]),1),"")</f>
        <v/>
      </c>
      <c r="P90" s="57" t="str">
        <f>IF(tbl_SeqLib[[#This Row],[entry]]=2,ROUNDDOWN(_xlfn.MAXIFS(tbl_SeqLib[Exact],tbl_SeqLib[Column],tbl_SeqLib[[#This Row],[Column]]),1),"")</f>
        <v/>
      </c>
      <c r="Q90" s="57" t="str">
        <f>IF(tbl_SeqLib[[#This Row],[entry]]=2,ROUNDUP(AVERAGEIFS(tbl_SeqLib[Exact],tbl_SeqLib[Column],tbl_SeqLib[[#This Row],[Column]]),1),"")</f>
        <v/>
      </c>
      <c r="R90" s="57" t="str" cm="1">
        <f t="array" ref="R90">_xlfn.XLOOKUP(0,ABS(tbl_SeqLib[[#This Row],[Min for col]:[Avg for col]]-tbl_SeqLib[[#This Row],[Exact]]),tbl_SeqLib[[#This Row],[Min for col]:[Avg for col]],"",1)</f>
        <v/>
      </c>
      <c r="S90" s="57" t="str" cm="1">
        <f t="array" ref="S90">_xlfn.XLOOKUP(0,ABS(tbl_SeqLib[[#This Row],[Max for col]:[Avg for col]]-tbl_SeqLib[[#This Row],[Exact]]),tbl_SeqLib[[#This Row],[Max for col]:[Avg for col]],"",1)</f>
        <v/>
      </c>
      <c r="T90" s="57" t="str">
        <f>IF(tbl_SeqLib[[#This Row],[entry]]=2,tbl_SeqLib[[#This Row],[Max for col]],"")</f>
        <v/>
      </c>
      <c r="U90" s="57" t="str">
        <f>IF(tbl_SeqLib[[#This Row],[entry]]=2,tbl_SeqLib[[#This Row],[Avg for col]],"")</f>
        <v/>
      </c>
      <c r="V90" s="57" t="str">
        <f>IF(tbl_SeqLib[[#This Row],[entry]]=2,AVERAGE(tbl_SeqLib[Exact]),"")</f>
        <v/>
      </c>
      <c r="W90" s="57" t="str">
        <f>IF(tbl_SeqLib[[#This Row],[entry]]=2,MAX(tbl_SeqLib[Exact]),"")</f>
        <v/>
      </c>
      <c r="X90" s="57" t="str" cm="1">
        <f t="array" ref="X90">_xlfn.XLOOKUP(0,ABS(tbl_SeqLib[[#This Row],[Avg per plate]:[Max per plate]]-tbl_SeqLib[[#This Row],[Exact]]),tbl_SeqLib[[#This Row],[Avg per plate]:[Max per plate]],,1)</f>
        <v/>
      </c>
      <c r="Y9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0" s="74" t="str">
        <f>IF(tbl_SeqLib[[#This Row],[entry]]=1,ROUNDUP(AVERAGE(tbl_SeqLib[Exact]),1),"")</f>
        <v/>
      </c>
      <c r="AA90" s="74" t="str">
        <f>IF(tbl_SeqLib[[#This Row],[entry]]=1,ROUNDUP(AVERAGEIFS(tbl_SeqLib[Exact],tbl_SeqLib[Column],tbl_SeqLib[[#This Row],[Column]]),1),"")</f>
        <v/>
      </c>
      <c r="AB90" s="57" t="str">
        <f>IF(missing_qc_resolution=Reference!$E$49,tbl_SeqLib[[#This Row],[Avg per col (missing)]],tbl_SeqLib[[#This Row],[Avg per plate (missing)]])</f>
        <v/>
      </c>
      <c r="AC90" s="57" t="str">
        <f>IF(tbl_SeqLib[[#This Row],[entry]]=0,"",IF(tbl_SeqLib[[#This Row],[entry]]=1,tbl_SeqLib[[#This Row],[Not quantified]],IF(tbl_SeqLib[[#This Row],[entry]]=2,tbl_SeqLib[[#This Row],[Quantified]])))</f>
        <v/>
      </c>
      <c r="AD90" s="81"/>
      <c r="AE9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0" s="58" t="str">
        <f>IF(ISBLANK(tbl_SeqLib[[#This Row],[sWGA Identifier]]),"",CONCATENATE(exp_id,"_",tbl_SeqLib[[#This Row],[Well]]))</f>
        <v/>
      </c>
    </row>
    <row r="91" spans="1:32" ht="15.75" customHeight="1" x14ac:dyDescent="0.3">
      <c r="A91" s="41">
        <v>89</v>
      </c>
      <c r="B91" s="42" t="str">
        <f>RIGHT(tbl_SeqLib[[#This Row],[Well]],LEN(tbl_SeqLib[[#This Row],[Well]])-1)</f>
        <v>12</v>
      </c>
      <c r="C91" s="42" t="s">
        <v>261</v>
      </c>
      <c r="D91" s="43"/>
      <c r="E91" s="45"/>
      <c r="F91" s="43"/>
      <c r="G91" s="43"/>
      <c r="H91" s="43"/>
      <c r="I91" s="43"/>
      <c r="J91" s="43"/>
      <c r="K9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5" t="s">
        <v>262</v>
      </c>
      <c r="M91" s="72">
        <f>IF(OR(ISBLANK(tbl_SeqLib[[#This Row],[Sample ID]]),ISBLANK(endrepair_targetmass)),0,IF(LEN(tbl_SeqLib[[#This Row],[PCR '[DNA'] (ng / µl)]])=0,1,2))</f>
        <v>0</v>
      </c>
      <c r="N9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46" t="str">
        <f>IF(tbl_SeqLib[[#This Row],[entry]]=2,ROUNDUP(_xlfn.MINIFS(tbl_SeqLib[Exact],tbl_SeqLib[Column],tbl_SeqLib[[#This Row],[Column]]),1),"")</f>
        <v/>
      </c>
      <c r="P91" s="46" t="str">
        <f>IF(tbl_SeqLib[[#This Row],[entry]]=2,ROUNDDOWN(_xlfn.MAXIFS(tbl_SeqLib[Exact],tbl_SeqLib[Column],tbl_SeqLib[[#This Row],[Column]]),1),"")</f>
        <v/>
      </c>
      <c r="Q91" s="46" t="str">
        <f>IF(tbl_SeqLib[[#This Row],[entry]]=2,ROUNDUP(AVERAGEIFS(tbl_SeqLib[Exact],tbl_SeqLib[Column],tbl_SeqLib[[#This Row],[Column]]),1),"")</f>
        <v/>
      </c>
      <c r="R91" s="46" t="str" cm="1">
        <f t="array" ref="R91">_xlfn.XLOOKUP(0,ABS(tbl_SeqLib[[#This Row],[Min for col]:[Avg for col]]-tbl_SeqLib[[#This Row],[Exact]]),tbl_SeqLib[[#This Row],[Min for col]:[Avg for col]],"",1)</f>
        <v/>
      </c>
      <c r="S91" s="46" t="str" cm="1">
        <f t="array" ref="S91">_xlfn.XLOOKUP(0,ABS(tbl_SeqLib[[#This Row],[Max for col]:[Avg for col]]-tbl_SeqLib[[#This Row],[Exact]]),tbl_SeqLib[[#This Row],[Max for col]:[Avg for col]],"",1)</f>
        <v/>
      </c>
      <c r="T91" s="46" t="str">
        <f>IF(tbl_SeqLib[[#This Row],[entry]]=2,tbl_SeqLib[[#This Row],[Max for col]],"")</f>
        <v/>
      </c>
      <c r="U91" s="46" t="str">
        <f>IF(tbl_SeqLib[[#This Row],[entry]]=2,tbl_SeqLib[[#This Row],[Avg for col]],"")</f>
        <v/>
      </c>
      <c r="V91" s="46" t="str">
        <f>IF(tbl_SeqLib[[#This Row],[entry]]=2,AVERAGE(tbl_SeqLib[Exact]),"")</f>
        <v/>
      </c>
      <c r="W91" s="46" t="str">
        <f>IF(tbl_SeqLib[[#This Row],[entry]]=2,MAX(tbl_SeqLib[Exact]),"")</f>
        <v/>
      </c>
      <c r="X91" s="46" t="str" cm="1">
        <f t="array" ref="X91">_xlfn.XLOOKUP(0,ABS(tbl_SeqLib[[#This Row],[Avg per plate]:[Max per plate]]-tbl_SeqLib[[#This Row],[Exact]]),tbl_SeqLib[[#This Row],[Avg per plate]:[Max per plate]],,1)</f>
        <v/>
      </c>
      <c r="Y9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1" s="72" t="str">
        <f>IF(tbl_SeqLib[[#This Row],[entry]]=1,ROUNDUP(AVERAGE(tbl_SeqLib[Exact]),1),"")</f>
        <v/>
      </c>
      <c r="AA91" s="72" t="str">
        <f>IF(tbl_SeqLib[[#This Row],[entry]]=1,ROUNDUP(AVERAGEIFS(tbl_SeqLib[Exact],tbl_SeqLib[Column],tbl_SeqLib[[#This Row],[Column]]),1),"")</f>
        <v/>
      </c>
      <c r="AB91" s="46" t="str">
        <f>IF(missing_qc_resolution=Reference!$E$49,tbl_SeqLib[[#This Row],[Avg per col (missing)]],tbl_SeqLib[[#This Row],[Avg per plate (missing)]])</f>
        <v/>
      </c>
      <c r="AC91" s="46" t="str">
        <f>IF(tbl_SeqLib[[#This Row],[entry]]=0,"",IF(tbl_SeqLib[[#This Row],[entry]]=1,tbl_SeqLib[[#This Row],[Not quantified]],IF(tbl_SeqLib[[#This Row],[entry]]=2,tbl_SeqLib[[#This Row],[Quantified]])))</f>
        <v/>
      </c>
      <c r="AD91" s="79"/>
      <c r="AE9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1" s="47" t="str">
        <f>IF(ISBLANK(tbl_SeqLib[[#This Row],[sWGA Identifier]]),"",CONCATENATE(exp_id,"_",tbl_SeqLib[[#This Row],[Well]]))</f>
        <v/>
      </c>
    </row>
    <row r="92" spans="1:32" ht="15.75" customHeight="1" x14ac:dyDescent="0.3">
      <c r="A92" s="48">
        <v>90</v>
      </c>
      <c r="B92" s="37" t="str">
        <f>RIGHT(tbl_SeqLib[[#This Row],[Well]],LEN(tbl_SeqLib[[#This Row],[Well]])-1)</f>
        <v>12</v>
      </c>
      <c r="C92" s="36" t="s">
        <v>263</v>
      </c>
      <c r="D92" s="19"/>
      <c r="E92" s="21"/>
      <c r="F92" s="19"/>
      <c r="G92" s="29"/>
      <c r="H92" s="29"/>
      <c r="I92" s="29"/>
      <c r="J92" s="29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264</v>
      </c>
      <c r="M92" s="73">
        <f>IF(OR(ISBLANK(tbl_SeqLib[[#This Row],[Sample ID]]),ISBLANK(endrepair_targetmass)),0,IF(LEN(tbl_SeqLib[[#This Row],[PCR '[DNA'] (ng / µl)]])=0,1,2))</f>
        <v>0</v>
      </c>
      <c r="N9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35" t="str">
        <f>IF(tbl_SeqLib[[#This Row],[entry]]=2,ROUNDUP(_xlfn.MINIFS(tbl_SeqLib[Exact],tbl_SeqLib[Column],tbl_SeqLib[[#This Row],[Column]]),1),"")</f>
        <v/>
      </c>
      <c r="P92" s="35" t="str">
        <f>IF(tbl_SeqLib[[#This Row],[entry]]=2,ROUNDDOWN(_xlfn.MAXIFS(tbl_SeqLib[Exact],tbl_SeqLib[Column],tbl_SeqLib[[#This Row],[Column]]),1),"")</f>
        <v/>
      </c>
      <c r="Q92" s="35" t="str">
        <f>IF(tbl_SeqLib[[#This Row],[entry]]=2,ROUNDUP(AVERAGEIFS(tbl_SeqLib[Exact],tbl_SeqLib[Column],tbl_SeqLib[[#This Row],[Column]]),1),"")</f>
        <v/>
      </c>
      <c r="R92" s="35" t="str" cm="1">
        <f t="array" ref="R92">_xlfn.XLOOKUP(0,ABS(tbl_SeqLib[[#This Row],[Min for col]:[Avg for col]]-tbl_SeqLib[[#This Row],[Exact]]),tbl_SeqLib[[#This Row],[Min for col]:[Avg for col]],"",1)</f>
        <v/>
      </c>
      <c r="S92" s="35" t="str" cm="1">
        <f t="array" ref="S92">_xlfn.XLOOKUP(0,ABS(tbl_SeqLib[[#This Row],[Max for col]:[Avg for col]]-tbl_SeqLib[[#This Row],[Exact]]),tbl_SeqLib[[#This Row],[Max for col]:[Avg for col]],"",1)</f>
        <v/>
      </c>
      <c r="T92" s="35" t="str">
        <f>IF(tbl_SeqLib[[#This Row],[entry]]=2,tbl_SeqLib[[#This Row],[Max for col]],"")</f>
        <v/>
      </c>
      <c r="U92" s="35" t="str">
        <f>IF(tbl_SeqLib[[#This Row],[entry]]=2,tbl_SeqLib[[#This Row],[Avg for col]],"")</f>
        <v/>
      </c>
      <c r="V92" s="35" t="str">
        <f>IF(tbl_SeqLib[[#This Row],[entry]]=2,AVERAGE(tbl_SeqLib[Exact]),"")</f>
        <v/>
      </c>
      <c r="W92" s="35" t="str">
        <f>IF(tbl_SeqLib[[#This Row],[entry]]=2,MAX(tbl_SeqLib[Exact]),"")</f>
        <v/>
      </c>
      <c r="X92" s="35" t="str" cm="1">
        <f t="array" ref="X92">_xlfn.XLOOKUP(0,ABS(tbl_SeqLib[[#This Row],[Avg per plate]:[Max per plate]]-tbl_SeqLib[[#This Row],[Exact]]),tbl_SeqLib[[#This Row],[Avg per plate]:[Max per plate]],,1)</f>
        <v/>
      </c>
      <c r="Y9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2" s="73" t="str">
        <f>IF(tbl_SeqLib[[#This Row],[entry]]=1,ROUNDUP(AVERAGE(tbl_SeqLib[Exact]),1),"")</f>
        <v/>
      </c>
      <c r="AA92" s="73" t="str">
        <f>IF(tbl_SeqLib[[#This Row],[entry]]=1,ROUNDUP(AVERAGEIFS(tbl_SeqLib[Exact],tbl_SeqLib[Column],tbl_SeqLib[[#This Row],[Column]]),1),"")</f>
        <v/>
      </c>
      <c r="AB92" s="35" t="str">
        <f>IF(missing_qc_resolution=Reference!$E$49,tbl_SeqLib[[#This Row],[Avg per col (missing)]],tbl_SeqLib[[#This Row],[Avg per plate (missing)]])</f>
        <v/>
      </c>
      <c r="AC92" s="35" t="str">
        <f>IF(tbl_SeqLib[[#This Row],[entry]]=0,"",IF(tbl_SeqLib[[#This Row],[entry]]=1,tbl_SeqLib[[#This Row],[Not quantified]],IF(tbl_SeqLib[[#This Row],[entry]]=2,tbl_SeqLib[[#This Row],[Quantified]])))</f>
        <v/>
      </c>
      <c r="AD92" s="80"/>
      <c r="AE9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2" s="49" t="str">
        <f>IF(ISBLANK(tbl_SeqLib[[#This Row],[sWGA Identifier]]),"",CONCATENATE(exp_id,"_",tbl_SeqLib[[#This Row],[Well]]))</f>
        <v/>
      </c>
    </row>
    <row r="93" spans="1:32" ht="15.75" customHeight="1" x14ac:dyDescent="0.3">
      <c r="A93" s="48">
        <v>91</v>
      </c>
      <c r="B93" s="37" t="str">
        <f>RIGHT(tbl_SeqLib[[#This Row],[Well]],LEN(tbl_SeqLib[[#This Row],[Well]])-1)</f>
        <v>12</v>
      </c>
      <c r="C93" s="36" t="s">
        <v>265</v>
      </c>
      <c r="D93" s="19"/>
      <c r="E93" s="21"/>
      <c r="F93" s="19"/>
      <c r="G93" s="29"/>
      <c r="H93" s="29"/>
      <c r="I93" s="29"/>
      <c r="J93" s="29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266</v>
      </c>
      <c r="M93" s="73">
        <f>IF(OR(ISBLANK(tbl_SeqLib[[#This Row],[Sample ID]]),ISBLANK(endrepair_targetmass)),0,IF(LEN(tbl_SeqLib[[#This Row],[PCR '[DNA'] (ng / µl)]])=0,1,2))</f>
        <v>0</v>
      </c>
      <c r="N9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35" t="str">
        <f>IF(tbl_SeqLib[[#This Row],[entry]]=2,ROUNDUP(_xlfn.MINIFS(tbl_SeqLib[Exact],tbl_SeqLib[Column],tbl_SeqLib[[#This Row],[Column]]),1),"")</f>
        <v/>
      </c>
      <c r="P93" s="35" t="str">
        <f>IF(tbl_SeqLib[[#This Row],[entry]]=2,ROUNDDOWN(_xlfn.MAXIFS(tbl_SeqLib[Exact],tbl_SeqLib[Column],tbl_SeqLib[[#This Row],[Column]]),1),"")</f>
        <v/>
      </c>
      <c r="Q93" s="35" t="str">
        <f>IF(tbl_SeqLib[[#This Row],[entry]]=2,ROUNDUP(AVERAGEIFS(tbl_SeqLib[Exact],tbl_SeqLib[Column],tbl_SeqLib[[#This Row],[Column]]),1),"")</f>
        <v/>
      </c>
      <c r="R93" s="35" t="str" cm="1">
        <f t="array" ref="R93">_xlfn.XLOOKUP(0,ABS(tbl_SeqLib[[#This Row],[Min for col]:[Avg for col]]-tbl_SeqLib[[#This Row],[Exact]]),tbl_SeqLib[[#This Row],[Min for col]:[Avg for col]],"",1)</f>
        <v/>
      </c>
      <c r="S93" s="35" t="str" cm="1">
        <f t="array" ref="S93">_xlfn.XLOOKUP(0,ABS(tbl_SeqLib[[#This Row],[Max for col]:[Avg for col]]-tbl_SeqLib[[#This Row],[Exact]]),tbl_SeqLib[[#This Row],[Max for col]:[Avg for col]],"",1)</f>
        <v/>
      </c>
      <c r="T93" s="35" t="str">
        <f>IF(tbl_SeqLib[[#This Row],[entry]]=2,tbl_SeqLib[[#This Row],[Max for col]],"")</f>
        <v/>
      </c>
      <c r="U93" s="35" t="str">
        <f>IF(tbl_SeqLib[[#This Row],[entry]]=2,tbl_SeqLib[[#This Row],[Avg for col]],"")</f>
        <v/>
      </c>
      <c r="V93" s="35" t="str">
        <f>IF(tbl_SeqLib[[#This Row],[entry]]=2,AVERAGE(tbl_SeqLib[Exact]),"")</f>
        <v/>
      </c>
      <c r="W93" s="35" t="str">
        <f>IF(tbl_SeqLib[[#This Row],[entry]]=2,MAX(tbl_SeqLib[Exact]),"")</f>
        <v/>
      </c>
      <c r="X93" s="35" t="str" cm="1">
        <f t="array" ref="X93">_xlfn.XLOOKUP(0,ABS(tbl_SeqLib[[#This Row],[Avg per plate]:[Max per plate]]-tbl_SeqLib[[#This Row],[Exact]]),tbl_SeqLib[[#This Row],[Avg per plate]:[Max per plate]],,1)</f>
        <v/>
      </c>
      <c r="Y9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3" s="73" t="str">
        <f>IF(tbl_SeqLib[[#This Row],[entry]]=1,ROUNDUP(AVERAGE(tbl_SeqLib[Exact]),1),"")</f>
        <v/>
      </c>
      <c r="AA93" s="73" t="str">
        <f>IF(tbl_SeqLib[[#This Row],[entry]]=1,ROUNDUP(AVERAGEIFS(tbl_SeqLib[Exact],tbl_SeqLib[Column],tbl_SeqLib[[#This Row],[Column]]),1),"")</f>
        <v/>
      </c>
      <c r="AB93" s="35" t="str">
        <f>IF(missing_qc_resolution=Reference!$E$49,tbl_SeqLib[[#This Row],[Avg per col (missing)]],tbl_SeqLib[[#This Row],[Avg per plate (missing)]])</f>
        <v/>
      </c>
      <c r="AC93" s="35" t="str">
        <f>IF(tbl_SeqLib[[#This Row],[entry]]=0,"",IF(tbl_SeqLib[[#This Row],[entry]]=1,tbl_SeqLib[[#This Row],[Not quantified]],IF(tbl_SeqLib[[#This Row],[entry]]=2,tbl_SeqLib[[#This Row],[Quantified]])))</f>
        <v/>
      </c>
      <c r="AD93" s="80"/>
      <c r="AE9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3" s="49" t="str">
        <f>IF(ISBLANK(tbl_SeqLib[[#This Row],[sWGA Identifier]]),"",CONCATENATE(exp_id,"_",tbl_SeqLib[[#This Row],[Well]]))</f>
        <v/>
      </c>
    </row>
    <row r="94" spans="1:32" ht="15.75" customHeight="1" x14ac:dyDescent="0.3">
      <c r="A94" s="48">
        <v>92</v>
      </c>
      <c r="B94" s="37" t="str">
        <f>RIGHT(tbl_SeqLib[[#This Row],[Well]],LEN(tbl_SeqLib[[#This Row],[Well]])-1)</f>
        <v>12</v>
      </c>
      <c r="C94" s="36" t="s">
        <v>267</v>
      </c>
      <c r="D94" s="19"/>
      <c r="E94" s="21"/>
      <c r="F94" s="19"/>
      <c r="G94" s="29"/>
      <c r="H94" s="29"/>
      <c r="I94" s="29"/>
      <c r="J94" s="29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268</v>
      </c>
      <c r="M94" s="73">
        <f>IF(OR(ISBLANK(tbl_SeqLib[[#This Row],[Sample ID]]),ISBLANK(endrepair_targetmass)),0,IF(LEN(tbl_SeqLib[[#This Row],[PCR '[DNA'] (ng / µl)]])=0,1,2))</f>
        <v>0</v>
      </c>
      <c r="N9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35" t="str">
        <f>IF(tbl_SeqLib[[#This Row],[entry]]=2,ROUNDUP(_xlfn.MINIFS(tbl_SeqLib[Exact],tbl_SeqLib[Column],tbl_SeqLib[[#This Row],[Column]]),1),"")</f>
        <v/>
      </c>
      <c r="P94" s="35" t="str">
        <f>IF(tbl_SeqLib[[#This Row],[entry]]=2,ROUNDDOWN(_xlfn.MAXIFS(tbl_SeqLib[Exact],tbl_SeqLib[Column],tbl_SeqLib[[#This Row],[Column]]),1),"")</f>
        <v/>
      </c>
      <c r="Q94" s="35" t="str">
        <f>IF(tbl_SeqLib[[#This Row],[entry]]=2,ROUNDUP(AVERAGEIFS(tbl_SeqLib[Exact],tbl_SeqLib[Column],tbl_SeqLib[[#This Row],[Column]]),1),"")</f>
        <v/>
      </c>
      <c r="R94" s="35" t="str" cm="1">
        <f t="array" ref="R94">_xlfn.XLOOKUP(0,ABS(tbl_SeqLib[[#This Row],[Min for col]:[Avg for col]]-tbl_SeqLib[[#This Row],[Exact]]),tbl_SeqLib[[#This Row],[Min for col]:[Avg for col]],"",1)</f>
        <v/>
      </c>
      <c r="S94" s="35" t="str" cm="1">
        <f t="array" ref="S94">_xlfn.XLOOKUP(0,ABS(tbl_SeqLib[[#This Row],[Max for col]:[Avg for col]]-tbl_SeqLib[[#This Row],[Exact]]),tbl_SeqLib[[#This Row],[Max for col]:[Avg for col]],"",1)</f>
        <v/>
      </c>
      <c r="T94" s="35" t="str">
        <f>IF(tbl_SeqLib[[#This Row],[entry]]=2,tbl_SeqLib[[#This Row],[Max for col]],"")</f>
        <v/>
      </c>
      <c r="U94" s="35" t="str">
        <f>IF(tbl_SeqLib[[#This Row],[entry]]=2,tbl_SeqLib[[#This Row],[Avg for col]],"")</f>
        <v/>
      </c>
      <c r="V94" s="35" t="str">
        <f>IF(tbl_SeqLib[[#This Row],[entry]]=2,AVERAGE(tbl_SeqLib[Exact]),"")</f>
        <v/>
      </c>
      <c r="W94" s="35" t="str">
        <f>IF(tbl_SeqLib[[#This Row],[entry]]=2,MAX(tbl_SeqLib[Exact]),"")</f>
        <v/>
      </c>
      <c r="X94" s="35" t="str" cm="1">
        <f t="array" ref="X94">_xlfn.XLOOKUP(0,ABS(tbl_SeqLib[[#This Row],[Avg per plate]:[Max per plate]]-tbl_SeqLib[[#This Row],[Exact]]),tbl_SeqLib[[#This Row],[Avg per plate]:[Max per plate]],,1)</f>
        <v/>
      </c>
      <c r="Y9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4" s="73" t="str">
        <f>IF(tbl_SeqLib[[#This Row],[entry]]=1,ROUNDUP(AVERAGE(tbl_SeqLib[Exact]),1),"")</f>
        <v/>
      </c>
      <c r="AA94" s="73" t="str">
        <f>IF(tbl_SeqLib[[#This Row],[entry]]=1,ROUNDUP(AVERAGEIFS(tbl_SeqLib[Exact],tbl_SeqLib[Column],tbl_SeqLib[[#This Row],[Column]]),1),"")</f>
        <v/>
      </c>
      <c r="AB94" s="35" t="str">
        <f>IF(missing_qc_resolution=Reference!$E$49,tbl_SeqLib[[#This Row],[Avg per col (missing)]],tbl_SeqLib[[#This Row],[Avg per plate (missing)]])</f>
        <v/>
      </c>
      <c r="AC94" s="35" t="str">
        <f>IF(tbl_SeqLib[[#This Row],[entry]]=0,"",IF(tbl_SeqLib[[#This Row],[entry]]=1,tbl_SeqLib[[#This Row],[Not quantified]],IF(tbl_SeqLib[[#This Row],[entry]]=2,tbl_SeqLib[[#This Row],[Quantified]])))</f>
        <v/>
      </c>
      <c r="AD94" s="80"/>
      <c r="AE9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4" s="49" t="str">
        <f>IF(ISBLANK(tbl_SeqLib[[#This Row],[sWGA Identifier]]),"",CONCATENATE(exp_id,"_",tbl_SeqLib[[#This Row],[Well]]))</f>
        <v/>
      </c>
    </row>
    <row r="95" spans="1:32" ht="15.75" customHeight="1" x14ac:dyDescent="0.3">
      <c r="A95" s="48">
        <v>93</v>
      </c>
      <c r="B95" s="37" t="str">
        <f>RIGHT(tbl_SeqLib[[#This Row],[Well]],LEN(tbl_SeqLib[[#This Row],[Well]])-1)</f>
        <v>12</v>
      </c>
      <c r="C95" s="36" t="s">
        <v>269</v>
      </c>
      <c r="D95" s="19"/>
      <c r="E95" s="21"/>
      <c r="F95" s="19"/>
      <c r="G95" s="29"/>
      <c r="H95" s="29"/>
      <c r="I95" s="29"/>
      <c r="J95" s="29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270</v>
      </c>
      <c r="M95" s="73">
        <f>IF(OR(ISBLANK(tbl_SeqLib[[#This Row],[Sample ID]]),ISBLANK(endrepair_targetmass)),0,IF(LEN(tbl_SeqLib[[#This Row],[PCR '[DNA'] (ng / µl)]])=0,1,2))</f>
        <v>0</v>
      </c>
      <c r="N9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35" t="str">
        <f>IF(tbl_SeqLib[[#This Row],[entry]]=2,ROUNDUP(_xlfn.MINIFS(tbl_SeqLib[Exact],tbl_SeqLib[Column],tbl_SeqLib[[#This Row],[Column]]),1),"")</f>
        <v/>
      </c>
      <c r="P95" s="35" t="str">
        <f>IF(tbl_SeqLib[[#This Row],[entry]]=2,ROUNDDOWN(_xlfn.MAXIFS(tbl_SeqLib[Exact],tbl_SeqLib[Column],tbl_SeqLib[[#This Row],[Column]]),1),"")</f>
        <v/>
      </c>
      <c r="Q95" s="35" t="str">
        <f>IF(tbl_SeqLib[[#This Row],[entry]]=2,ROUNDUP(AVERAGEIFS(tbl_SeqLib[Exact],tbl_SeqLib[Column],tbl_SeqLib[[#This Row],[Column]]),1),"")</f>
        <v/>
      </c>
      <c r="R95" s="35" t="str" cm="1">
        <f t="array" ref="R95">_xlfn.XLOOKUP(0,ABS(tbl_SeqLib[[#This Row],[Min for col]:[Avg for col]]-tbl_SeqLib[[#This Row],[Exact]]),tbl_SeqLib[[#This Row],[Min for col]:[Avg for col]],"",1)</f>
        <v/>
      </c>
      <c r="S95" s="35" t="str" cm="1">
        <f t="array" ref="S95">_xlfn.XLOOKUP(0,ABS(tbl_SeqLib[[#This Row],[Max for col]:[Avg for col]]-tbl_SeqLib[[#This Row],[Exact]]),tbl_SeqLib[[#This Row],[Max for col]:[Avg for col]],"",1)</f>
        <v/>
      </c>
      <c r="T95" s="35" t="str">
        <f>IF(tbl_SeqLib[[#This Row],[entry]]=2,tbl_SeqLib[[#This Row],[Max for col]],"")</f>
        <v/>
      </c>
      <c r="U95" s="35" t="str">
        <f>IF(tbl_SeqLib[[#This Row],[entry]]=2,tbl_SeqLib[[#This Row],[Avg for col]],"")</f>
        <v/>
      </c>
      <c r="V95" s="35" t="str">
        <f>IF(tbl_SeqLib[[#This Row],[entry]]=2,AVERAGE(tbl_SeqLib[Exact]),"")</f>
        <v/>
      </c>
      <c r="W95" s="35" t="str">
        <f>IF(tbl_SeqLib[[#This Row],[entry]]=2,MAX(tbl_SeqLib[Exact]),"")</f>
        <v/>
      </c>
      <c r="X95" s="35" t="str" cm="1">
        <f t="array" ref="X95">_xlfn.XLOOKUP(0,ABS(tbl_SeqLib[[#This Row],[Avg per plate]:[Max per plate]]-tbl_SeqLib[[#This Row],[Exact]]),tbl_SeqLib[[#This Row],[Avg per plate]:[Max per plate]],,1)</f>
        <v/>
      </c>
      <c r="Y9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5" s="73" t="str">
        <f>IF(tbl_SeqLib[[#This Row],[entry]]=1,ROUNDUP(AVERAGE(tbl_SeqLib[Exact]),1),"")</f>
        <v/>
      </c>
      <c r="AA95" s="73" t="str">
        <f>IF(tbl_SeqLib[[#This Row],[entry]]=1,ROUNDUP(AVERAGEIFS(tbl_SeqLib[Exact],tbl_SeqLib[Column],tbl_SeqLib[[#This Row],[Column]]),1),"")</f>
        <v/>
      </c>
      <c r="AB95" s="35" t="str">
        <f>IF(missing_qc_resolution=Reference!$E$49,tbl_SeqLib[[#This Row],[Avg per col (missing)]],tbl_SeqLib[[#This Row],[Avg per plate (missing)]])</f>
        <v/>
      </c>
      <c r="AC95" s="35" t="str">
        <f>IF(tbl_SeqLib[[#This Row],[entry]]=0,"",IF(tbl_SeqLib[[#This Row],[entry]]=1,tbl_SeqLib[[#This Row],[Not quantified]],IF(tbl_SeqLib[[#This Row],[entry]]=2,tbl_SeqLib[[#This Row],[Quantified]])))</f>
        <v/>
      </c>
      <c r="AD95" s="80"/>
      <c r="AE9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5" s="49" t="str">
        <f>IF(ISBLANK(tbl_SeqLib[[#This Row],[sWGA Identifier]]),"",CONCATENATE(exp_id,"_",tbl_SeqLib[[#This Row],[Well]]))</f>
        <v/>
      </c>
    </row>
    <row r="96" spans="1:32" ht="15.75" customHeight="1" x14ac:dyDescent="0.3">
      <c r="A96" s="48">
        <v>94</v>
      </c>
      <c r="B96" s="37" t="str">
        <f>RIGHT(tbl_SeqLib[[#This Row],[Well]],LEN(tbl_SeqLib[[#This Row],[Well]])-1)</f>
        <v>12</v>
      </c>
      <c r="C96" s="36" t="s">
        <v>271</v>
      </c>
      <c r="D96" s="19"/>
      <c r="E96" s="21"/>
      <c r="F96" s="19"/>
      <c r="G96" s="29"/>
      <c r="H96" s="29"/>
      <c r="I96" s="29"/>
      <c r="J96" s="29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272</v>
      </c>
      <c r="M96" s="73">
        <f>IF(OR(ISBLANK(tbl_SeqLib[[#This Row],[Sample ID]]),ISBLANK(endrepair_targetmass)),0,IF(LEN(tbl_SeqLib[[#This Row],[PCR '[DNA'] (ng / µl)]])=0,1,2))</f>
        <v>0</v>
      </c>
      <c r="N9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35" t="str">
        <f>IF(tbl_SeqLib[[#This Row],[entry]]=2,ROUNDUP(_xlfn.MINIFS(tbl_SeqLib[Exact],tbl_SeqLib[Column],tbl_SeqLib[[#This Row],[Column]]),1),"")</f>
        <v/>
      </c>
      <c r="P96" s="35" t="str">
        <f>IF(tbl_SeqLib[[#This Row],[entry]]=2,ROUNDDOWN(_xlfn.MAXIFS(tbl_SeqLib[Exact],tbl_SeqLib[Column],tbl_SeqLib[[#This Row],[Column]]),1),"")</f>
        <v/>
      </c>
      <c r="Q96" s="35" t="str">
        <f>IF(tbl_SeqLib[[#This Row],[entry]]=2,ROUNDUP(AVERAGEIFS(tbl_SeqLib[Exact],tbl_SeqLib[Column],tbl_SeqLib[[#This Row],[Column]]),1),"")</f>
        <v/>
      </c>
      <c r="R96" s="35" t="str" cm="1">
        <f t="array" ref="R96">_xlfn.XLOOKUP(0,ABS(tbl_SeqLib[[#This Row],[Min for col]:[Avg for col]]-tbl_SeqLib[[#This Row],[Exact]]),tbl_SeqLib[[#This Row],[Min for col]:[Avg for col]],"",1)</f>
        <v/>
      </c>
      <c r="S96" s="35" t="str" cm="1">
        <f t="array" ref="S96">_xlfn.XLOOKUP(0,ABS(tbl_SeqLib[[#This Row],[Max for col]:[Avg for col]]-tbl_SeqLib[[#This Row],[Exact]]),tbl_SeqLib[[#This Row],[Max for col]:[Avg for col]],"",1)</f>
        <v/>
      </c>
      <c r="T96" s="35" t="str">
        <f>IF(tbl_SeqLib[[#This Row],[entry]]=2,tbl_SeqLib[[#This Row],[Max for col]],"")</f>
        <v/>
      </c>
      <c r="U96" s="35" t="str">
        <f>IF(tbl_SeqLib[[#This Row],[entry]]=2,tbl_SeqLib[[#This Row],[Avg for col]],"")</f>
        <v/>
      </c>
      <c r="V96" s="35" t="str">
        <f>IF(tbl_SeqLib[[#This Row],[entry]]=2,AVERAGE(tbl_SeqLib[Exact]),"")</f>
        <v/>
      </c>
      <c r="W96" s="35" t="str">
        <f>IF(tbl_SeqLib[[#This Row],[entry]]=2,MAX(tbl_SeqLib[Exact]),"")</f>
        <v/>
      </c>
      <c r="X96" s="35" t="str" cm="1">
        <f t="array" ref="X96">_xlfn.XLOOKUP(0,ABS(tbl_SeqLib[[#This Row],[Avg per plate]:[Max per plate]]-tbl_SeqLib[[#This Row],[Exact]]),tbl_SeqLib[[#This Row],[Avg per plate]:[Max per plate]],,1)</f>
        <v/>
      </c>
      <c r="Y9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6" s="73" t="str">
        <f>IF(tbl_SeqLib[[#This Row],[entry]]=1,ROUNDUP(AVERAGE(tbl_SeqLib[Exact]),1),"")</f>
        <v/>
      </c>
      <c r="AA96" s="73" t="str">
        <f>IF(tbl_SeqLib[[#This Row],[entry]]=1,ROUNDUP(AVERAGEIFS(tbl_SeqLib[Exact],tbl_SeqLib[Column],tbl_SeqLib[[#This Row],[Column]]),1),"")</f>
        <v/>
      </c>
      <c r="AB96" s="35" t="str">
        <f>IF(missing_qc_resolution=Reference!$E$49,tbl_SeqLib[[#This Row],[Avg per col (missing)]],tbl_SeqLib[[#This Row],[Avg per plate (missing)]])</f>
        <v/>
      </c>
      <c r="AC96" s="35" t="str">
        <f>IF(tbl_SeqLib[[#This Row],[entry]]=0,"",IF(tbl_SeqLib[[#This Row],[entry]]=1,tbl_SeqLib[[#This Row],[Not quantified]],IF(tbl_SeqLib[[#This Row],[entry]]=2,tbl_SeqLib[[#This Row],[Quantified]])))</f>
        <v/>
      </c>
      <c r="AD96" s="80"/>
      <c r="AE9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6" s="49" t="str">
        <f>IF(ISBLANK(tbl_SeqLib[[#This Row],[sWGA Identifier]]),"",CONCATENATE(exp_id,"_",tbl_SeqLib[[#This Row],[Well]]))</f>
        <v/>
      </c>
    </row>
    <row r="97" spans="1:32" ht="15.75" customHeight="1" x14ac:dyDescent="0.3">
      <c r="A97" s="48">
        <v>95</v>
      </c>
      <c r="B97" s="37" t="str">
        <f>RIGHT(tbl_SeqLib[[#This Row],[Well]],LEN(tbl_SeqLib[[#This Row],[Well]])-1)</f>
        <v>12</v>
      </c>
      <c r="C97" s="36" t="s">
        <v>273</v>
      </c>
      <c r="D97" s="19"/>
      <c r="E97" s="21"/>
      <c r="F97" s="19"/>
      <c r="G97" s="29"/>
      <c r="H97" s="29"/>
      <c r="I97" s="29"/>
      <c r="J97" s="29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274</v>
      </c>
      <c r="M97" s="73">
        <f>IF(OR(ISBLANK(tbl_SeqLib[[#This Row],[Sample ID]]),ISBLANK(endrepair_targetmass)),0,IF(LEN(tbl_SeqLib[[#This Row],[PCR '[DNA'] (ng / µl)]])=0,1,2))</f>
        <v>0</v>
      </c>
      <c r="N9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35" t="str">
        <f>IF(tbl_SeqLib[[#This Row],[entry]]=2,ROUNDUP(_xlfn.MINIFS(tbl_SeqLib[Exact],tbl_SeqLib[Column],tbl_SeqLib[[#This Row],[Column]]),1),"")</f>
        <v/>
      </c>
      <c r="P97" s="35" t="str">
        <f>IF(tbl_SeqLib[[#This Row],[entry]]=2,ROUNDDOWN(_xlfn.MAXIFS(tbl_SeqLib[Exact],tbl_SeqLib[Column],tbl_SeqLib[[#This Row],[Column]]),1),"")</f>
        <v/>
      </c>
      <c r="Q97" s="35" t="str">
        <f>IF(tbl_SeqLib[[#This Row],[entry]]=2,ROUNDUP(AVERAGEIFS(tbl_SeqLib[Exact],tbl_SeqLib[Column],tbl_SeqLib[[#This Row],[Column]]),1),"")</f>
        <v/>
      </c>
      <c r="R97" s="35" t="str" cm="1">
        <f t="array" ref="R97">_xlfn.XLOOKUP(0,ABS(tbl_SeqLib[[#This Row],[Min for col]:[Avg for col]]-tbl_SeqLib[[#This Row],[Exact]]),tbl_SeqLib[[#This Row],[Min for col]:[Avg for col]],"",1)</f>
        <v/>
      </c>
      <c r="S97" s="35" t="str" cm="1">
        <f t="array" ref="S97">_xlfn.XLOOKUP(0,ABS(tbl_SeqLib[[#This Row],[Max for col]:[Avg for col]]-tbl_SeqLib[[#This Row],[Exact]]),tbl_SeqLib[[#This Row],[Max for col]:[Avg for col]],"",1)</f>
        <v/>
      </c>
      <c r="T97" s="35" t="str">
        <f>IF(tbl_SeqLib[[#This Row],[entry]]=2,tbl_SeqLib[[#This Row],[Max for col]],"")</f>
        <v/>
      </c>
      <c r="U97" s="35" t="str">
        <f>IF(tbl_SeqLib[[#This Row],[entry]]=2,tbl_SeqLib[[#This Row],[Avg for col]],"")</f>
        <v/>
      </c>
      <c r="V97" s="35" t="str">
        <f>IF(tbl_SeqLib[[#This Row],[entry]]=2,AVERAGE(tbl_SeqLib[Exact]),"")</f>
        <v/>
      </c>
      <c r="W97" s="35" t="str">
        <f>IF(tbl_SeqLib[[#This Row],[entry]]=2,MAX(tbl_SeqLib[Exact]),"")</f>
        <v/>
      </c>
      <c r="X97" s="35" t="str" cm="1">
        <f t="array" ref="X97">_xlfn.XLOOKUP(0,ABS(tbl_SeqLib[[#This Row],[Avg per plate]:[Max per plate]]-tbl_SeqLib[[#This Row],[Exact]]),tbl_SeqLib[[#This Row],[Avg per plate]:[Max per plate]],,1)</f>
        <v/>
      </c>
      <c r="Y9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7" s="73" t="str">
        <f>IF(tbl_SeqLib[[#This Row],[entry]]=1,ROUNDUP(AVERAGE(tbl_SeqLib[Exact]),1),"")</f>
        <v/>
      </c>
      <c r="AA97" s="73" t="str">
        <f>IF(tbl_SeqLib[[#This Row],[entry]]=1,ROUNDUP(AVERAGEIFS(tbl_SeqLib[Exact],tbl_SeqLib[Column],tbl_SeqLib[[#This Row],[Column]]),1),"")</f>
        <v/>
      </c>
      <c r="AB97" s="35" t="str">
        <f>IF(missing_qc_resolution=Reference!$E$49,tbl_SeqLib[[#This Row],[Avg per col (missing)]],tbl_SeqLib[[#This Row],[Avg per plate (missing)]])</f>
        <v/>
      </c>
      <c r="AC97" s="35" t="str">
        <f>IF(tbl_SeqLib[[#This Row],[entry]]=0,"",IF(tbl_SeqLib[[#This Row],[entry]]=1,tbl_SeqLib[[#This Row],[Not quantified]],IF(tbl_SeqLib[[#This Row],[entry]]=2,tbl_SeqLib[[#This Row],[Quantified]])))</f>
        <v/>
      </c>
      <c r="AD97" s="80"/>
      <c r="AE9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7" s="49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50">
        <v>96</v>
      </c>
      <c r="B98" s="51" t="str">
        <f>RIGHT(tbl_SeqLib[[#This Row],[Well]],LEN(tbl_SeqLib[[#This Row],[Well]])-1)</f>
        <v>12</v>
      </c>
      <c r="C98" s="59" t="s">
        <v>275</v>
      </c>
      <c r="D98" s="52"/>
      <c r="E98" s="53"/>
      <c r="F98" s="52"/>
      <c r="G98" s="54"/>
      <c r="H98" s="54"/>
      <c r="I98" s="54"/>
      <c r="J98" s="54"/>
      <c r="K9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6" t="s">
        <v>276</v>
      </c>
      <c r="M98" s="74">
        <f>IF(OR(ISBLANK(tbl_SeqLib[[#This Row],[Sample ID]]),ISBLANK(endrepair_targetmass)),0,IF(LEN(tbl_SeqLib[[#This Row],[PCR '[DNA'] (ng / µl)]])=0,1,2))</f>
        <v>0</v>
      </c>
      <c r="N9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57" t="str">
        <f>IF(tbl_SeqLib[[#This Row],[entry]]=2,ROUNDUP(_xlfn.MINIFS(tbl_SeqLib[Exact],tbl_SeqLib[Column],tbl_SeqLib[[#This Row],[Column]]),1),"")</f>
        <v/>
      </c>
      <c r="P98" s="57" t="str">
        <f>IF(tbl_SeqLib[[#This Row],[entry]]=2,ROUNDDOWN(_xlfn.MAXIFS(tbl_SeqLib[Exact],tbl_SeqLib[Column],tbl_SeqLib[[#This Row],[Column]]),1),"")</f>
        <v/>
      </c>
      <c r="Q98" s="57" t="str">
        <f>IF(tbl_SeqLib[[#This Row],[entry]]=2,ROUNDUP(AVERAGEIFS(tbl_SeqLib[Exact],tbl_SeqLib[Column],tbl_SeqLib[[#This Row],[Column]]),1),"")</f>
        <v/>
      </c>
      <c r="R98" s="57" t="str" cm="1">
        <f t="array" ref="R98">_xlfn.XLOOKUP(0,ABS(tbl_SeqLib[[#This Row],[Min for col]:[Avg for col]]-tbl_SeqLib[[#This Row],[Exact]]),tbl_SeqLib[[#This Row],[Min for col]:[Avg for col]],"",1)</f>
        <v/>
      </c>
      <c r="S98" s="57" t="str" cm="1">
        <f t="array" ref="S98">_xlfn.XLOOKUP(0,ABS(tbl_SeqLib[[#This Row],[Max for col]:[Avg for col]]-tbl_SeqLib[[#This Row],[Exact]]),tbl_SeqLib[[#This Row],[Max for col]:[Avg for col]],"",1)</f>
        <v/>
      </c>
      <c r="T98" s="57" t="str">
        <f>IF(tbl_SeqLib[[#This Row],[entry]]=2,tbl_SeqLib[[#This Row],[Max for col]],"")</f>
        <v/>
      </c>
      <c r="U98" s="57" t="str">
        <f>IF(tbl_SeqLib[[#This Row],[entry]]=2,tbl_SeqLib[[#This Row],[Avg for col]],"")</f>
        <v/>
      </c>
      <c r="V98" s="57" t="str">
        <f>IF(tbl_SeqLib[[#This Row],[entry]]=2,AVERAGE(tbl_SeqLib[Exact]),"")</f>
        <v/>
      </c>
      <c r="W98" s="57" t="str">
        <f>IF(tbl_SeqLib[[#This Row],[entry]]=2,MAX(tbl_SeqLib[Exact]),"")</f>
        <v/>
      </c>
      <c r="X98" s="57" t="str" cm="1">
        <f t="array" ref="X98">_xlfn.XLOOKUP(0,ABS(tbl_SeqLib[[#This Row],[Avg per plate]:[Max per plate]]-tbl_SeqLib[[#This Row],[Exact]]),tbl_SeqLib[[#This Row],[Avg per plate]:[Max per plate]],,1)</f>
        <v/>
      </c>
      <c r="Y9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8" s="74" t="str">
        <f>IF(tbl_SeqLib[[#This Row],[entry]]=1,ROUNDUP(AVERAGE(tbl_SeqLib[Exact]),1),"")</f>
        <v/>
      </c>
      <c r="AA98" s="74" t="str">
        <f>IF(tbl_SeqLib[[#This Row],[entry]]=1,ROUNDUP(AVERAGEIFS(tbl_SeqLib[Exact],tbl_SeqLib[Column],tbl_SeqLib[[#This Row],[Column]]),1),"")</f>
        <v/>
      </c>
      <c r="AB98" s="57" t="str">
        <f>IF(missing_qc_resolution=Reference!$E$49,tbl_SeqLib[[#This Row],[Avg per col (missing)]],tbl_SeqLib[[#This Row],[Avg per plate (missing)]])</f>
        <v/>
      </c>
      <c r="AC98" s="57" t="str">
        <f>IF(tbl_SeqLib[[#This Row],[entry]]=0,"",IF(tbl_SeqLib[[#This Row],[entry]]=1,tbl_SeqLib[[#This Row],[Not quantified]],IF(tbl_SeqLib[[#This Row],[entry]]=2,tbl_SeqLib[[#This Row],[Quantified]])))</f>
        <v/>
      </c>
      <c r="AD98" s="81"/>
      <c r="AE9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8" s="58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 formatColumns="0"/>
  <mergeCells count="3">
    <mergeCell ref="D1:F1"/>
    <mergeCell ref="H1:K1"/>
    <mergeCell ref="L1:AF1"/>
  </mergeCells>
  <phoneticPr fontId="15" type="noConversion"/>
  <conditionalFormatting sqref="D1:F98 I3:J98 L3:L98">
    <cfRule type="expression" dxfId="3" priority="5">
      <formula>COUNTIF(D1,"")</formula>
    </cfRule>
  </conditionalFormatting>
  <conditionalFormatting sqref="K3:K98">
    <cfRule type="expression" dxfId="2" priority="1">
      <formula>COUNTIF(K3,"")</formula>
    </cfRule>
    <cfRule type="cellIs" dxfId="1" priority="2" operator="greaterThanOrEqual">
      <formula>Post_PCR_target_DNA_conc</formula>
    </cfRule>
    <cfRule type="cellIs" dxfId="0" priority="3" operator="between">
      <formula>0</formula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Reference!$E$61:$E$63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63"/>
  <sheetViews>
    <sheetView zoomScaleNormal="100" workbookViewId="0">
      <selection activeCell="I20" sqref="I20:J23"/>
    </sheetView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2" ht="46.2" x14ac:dyDescent="0.85">
      <c r="A1" s="33" t="s">
        <v>330</v>
      </c>
      <c r="B1" s="88"/>
    </row>
    <row r="2" spans="1:12" ht="33.6" x14ac:dyDescent="0.65">
      <c r="A2" s="86" t="s">
        <v>423</v>
      </c>
      <c r="B2" s="88"/>
    </row>
    <row r="3" spans="1:12" ht="33.6" x14ac:dyDescent="0.65">
      <c r="A3" s="86" t="s">
        <v>418</v>
      </c>
      <c r="B3" s="88"/>
    </row>
    <row r="4" spans="1:12" ht="33.6" x14ac:dyDescent="0.65">
      <c r="A4" s="86"/>
      <c r="B4" s="88"/>
    </row>
    <row r="5" spans="1:12" ht="33.6" x14ac:dyDescent="0.65">
      <c r="A5" s="89" t="s">
        <v>331</v>
      </c>
      <c r="B5" s="88"/>
    </row>
    <row r="6" spans="1:12" ht="31.2" x14ac:dyDescent="0.6">
      <c r="A6" s="34" t="s">
        <v>419</v>
      </c>
      <c r="B6" s="88"/>
    </row>
    <row r="7" spans="1:12" ht="33.6" x14ac:dyDescent="0.65">
      <c r="A7" s="87" t="s">
        <v>420</v>
      </c>
      <c r="B7" s="88"/>
    </row>
    <row r="8" spans="1:12" ht="33.6" x14ac:dyDescent="0.65">
      <c r="A8" s="86" t="s">
        <v>421</v>
      </c>
      <c r="B8" s="88"/>
    </row>
    <row r="14" spans="1:12" ht="46.2" x14ac:dyDescent="0.85">
      <c r="A14" s="33" t="s">
        <v>422</v>
      </c>
    </row>
    <row r="15" spans="1:12" ht="18" x14ac:dyDescent="0.35">
      <c r="A15" s="66" t="s">
        <v>277</v>
      </c>
      <c r="C15" s="24"/>
      <c r="D15" s="24"/>
      <c r="E15" s="66" t="s">
        <v>278</v>
      </c>
      <c r="F15" s="66"/>
      <c r="I15" s="66" t="s">
        <v>279</v>
      </c>
    </row>
    <row r="16" spans="1:12" ht="16.2" thickBot="1" x14ac:dyDescent="0.35">
      <c r="A16" s="67" t="s">
        <v>280</v>
      </c>
      <c r="B16" s="68"/>
      <c r="C16" s="68"/>
      <c r="E16" s="68" t="s">
        <v>281</v>
      </c>
      <c r="F16" s="69"/>
      <c r="I16" s="90" t="s">
        <v>282</v>
      </c>
      <c r="J16" s="90" t="s">
        <v>283</v>
      </c>
      <c r="L16" s="90" t="s">
        <v>284</v>
      </c>
    </row>
    <row r="17" spans="1:17" x14ac:dyDescent="0.3">
      <c r="A17" s="15" t="s">
        <v>286</v>
      </c>
      <c r="B17" s="38">
        <v>10</v>
      </c>
      <c r="C17" t="s">
        <v>287</v>
      </c>
      <c r="D17" s="24"/>
      <c r="E17" t="s">
        <v>285</v>
      </c>
      <c r="I17" s="38" t="s">
        <v>426</v>
      </c>
      <c r="J17" s="38" t="s">
        <v>427</v>
      </c>
      <c r="L17" s="38" t="s">
        <v>432</v>
      </c>
    </row>
    <row r="18" spans="1:17" x14ac:dyDescent="0.3">
      <c r="A18" s="15" t="s">
        <v>289</v>
      </c>
      <c r="B18">
        <f>IF(adaptlig_rxn_vol=100,65,30)</f>
        <v>30</v>
      </c>
      <c r="C18" t="s">
        <v>287</v>
      </c>
      <c r="D18" s="24"/>
      <c r="E18" t="s">
        <v>288</v>
      </c>
      <c r="I18" s="38" t="s">
        <v>428</v>
      </c>
      <c r="J18" s="38" t="s">
        <v>429</v>
      </c>
      <c r="L18" s="38"/>
    </row>
    <row r="19" spans="1:17" x14ac:dyDescent="0.3">
      <c r="A19" s="15" t="s">
        <v>290</v>
      </c>
      <c r="B19" s="38">
        <v>12</v>
      </c>
      <c r="C19" t="s">
        <v>287</v>
      </c>
      <c r="I19" s="38" t="s">
        <v>430</v>
      </c>
      <c r="J19" s="38" t="s">
        <v>431</v>
      </c>
      <c r="L19" s="38"/>
    </row>
    <row r="20" spans="1:17" ht="16.2" thickBot="1" x14ac:dyDescent="0.35">
      <c r="A20" s="15" t="s">
        <v>409</v>
      </c>
      <c r="B20">
        <f>ROUND(SUM(flowcell_targetmass/flowcell_maxvol),0)</f>
        <v>67</v>
      </c>
      <c r="C20" t="s">
        <v>410</v>
      </c>
      <c r="E20" s="68" t="s">
        <v>329</v>
      </c>
      <c r="F20" s="69"/>
      <c r="I20" s="38"/>
      <c r="J20" s="38"/>
      <c r="L20" s="38"/>
    </row>
    <row r="21" spans="1:17" x14ac:dyDescent="0.3">
      <c r="A21" t="s">
        <v>411</v>
      </c>
      <c r="B21">
        <v>30</v>
      </c>
      <c r="C21" s="83" t="s">
        <v>410</v>
      </c>
      <c r="E21">
        <v>100</v>
      </c>
      <c r="I21" s="38"/>
      <c r="J21" s="38"/>
      <c r="L21" s="38"/>
    </row>
    <row r="22" spans="1:17" x14ac:dyDescent="0.3">
      <c r="A22" s="15" t="s">
        <v>340</v>
      </c>
      <c r="B22" s="39" t="s">
        <v>385</v>
      </c>
      <c r="C22" t="s">
        <v>354</v>
      </c>
      <c r="E22">
        <v>50</v>
      </c>
      <c r="I22" s="38"/>
      <c r="J22" s="38"/>
      <c r="L22" s="38"/>
    </row>
    <row r="23" spans="1:17" x14ac:dyDescent="0.3">
      <c r="A23" s="15" t="s">
        <v>363</v>
      </c>
      <c r="B23" s="39" t="s">
        <v>364</v>
      </c>
      <c r="C23" t="s">
        <v>369</v>
      </c>
      <c r="I23" s="38"/>
      <c r="J23" s="38"/>
      <c r="L23" s="38"/>
    </row>
    <row r="24" spans="1:17" ht="16.2" thickBot="1" x14ac:dyDescent="0.35">
      <c r="E24" s="68" t="s">
        <v>332</v>
      </c>
      <c r="F24" s="69"/>
      <c r="I24" s="70"/>
    </row>
    <row r="25" spans="1:17" ht="16.2" thickBot="1" x14ac:dyDescent="0.35">
      <c r="A25" s="67" t="s">
        <v>291</v>
      </c>
      <c r="B25" s="68"/>
      <c r="C25" s="68"/>
      <c r="E25" t="s">
        <v>58</v>
      </c>
      <c r="I25" s="70"/>
    </row>
    <row r="26" spans="1:17" x14ac:dyDescent="0.3">
      <c r="A26" s="15" t="s">
        <v>292</v>
      </c>
      <c r="B26" t="s">
        <v>293</v>
      </c>
      <c r="E26" t="s">
        <v>333</v>
      </c>
      <c r="I26" s="70"/>
      <c r="N26" s="24"/>
      <c r="O26" s="24"/>
      <c r="P26" s="24"/>
      <c r="Q26" s="24"/>
    </row>
    <row r="27" spans="1:17" x14ac:dyDescent="0.3">
      <c r="A27" s="15" t="s">
        <v>412</v>
      </c>
      <c r="B27" t="s">
        <v>413</v>
      </c>
      <c r="E27" t="s">
        <v>417</v>
      </c>
      <c r="I27" s="70"/>
    </row>
    <row r="28" spans="1:17" x14ac:dyDescent="0.3">
      <c r="A28" s="15" t="s">
        <v>294</v>
      </c>
      <c r="B28">
        <v>10</v>
      </c>
      <c r="E28" t="s">
        <v>334</v>
      </c>
      <c r="I28" s="70"/>
    </row>
    <row r="29" spans="1:17" x14ac:dyDescent="0.3">
      <c r="E29" t="s">
        <v>335</v>
      </c>
    </row>
    <row r="30" spans="1:17" ht="16.2" thickBot="1" x14ac:dyDescent="0.35">
      <c r="A30" s="67" t="s">
        <v>325</v>
      </c>
      <c r="E30" s="15" t="s">
        <v>336</v>
      </c>
      <c r="F30" s="15"/>
    </row>
    <row r="31" spans="1:17" x14ac:dyDescent="0.3">
      <c r="A31" s="15" t="s">
        <v>414</v>
      </c>
    </row>
    <row r="32" spans="1:17" ht="16.2" thickBot="1" x14ac:dyDescent="0.35">
      <c r="A32" s="15" t="s">
        <v>424</v>
      </c>
      <c r="E32" s="68" t="s">
        <v>337</v>
      </c>
      <c r="F32" s="69"/>
    </row>
    <row r="33" spans="1:10" ht="31.2" x14ac:dyDescent="0.3">
      <c r="A33" s="15" t="s">
        <v>425</v>
      </c>
      <c r="E33" t="s">
        <v>338</v>
      </c>
      <c r="G33" s="15"/>
      <c r="H33" s="15"/>
    </row>
    <row r="34" spans="1:10" x14ac:dyDescent="0.3">
      <c r="E34" t="s">
        <v>64</v>
      </c>
    </row>
    <row r="36" spans="1:10" ht="16.2" thickBot="1" x14ac:dyDescent="0.35">
      <c r="E36" s="71" t="s">
        <v>347</v>
      </c>
      <c r="F36" s="69"/>
    </row>
    <row r="37" spans="1:10" x14ac:dyDescent="0.3">
      <c r="E37" s="69" t="s">
        <v>348</v>
      </c>
      <c r="F37" s="69" t="s">
        <v>280</v>
      </c>
    </row>
    <row r="38" spans="1:10" x14ac:dyDescent="0.3">
      <c r="E38" t="s">
        <v>341</v>
      </c>
      <c r="F38" t="s">
        <v>349</v>
      </c>
      <c r="I38" s="15"/>
    </row>
    <row r="39" spans="1:10" x14ac:dyDescent="0.3">
      <c r="E39" t="s">
        <v>385</v>
      </c>
      <c r="F39" t="s">
        <v>350</v>
      </c>
      <c r="I39" s="15"/>
    </row>
    <row r="40" spans="1:10" x14ac:dyDescent="0.3">
      <c r="E40" t="s">
        <v>386</v>
      </c>
      <c r="F40" t="s">
        <v>381</v>
      </c>
      <c r="J40" s="15"/>
    </row>
    <row r="41" spans="1:10" x14ac:dyDescent="0.3">
      <c r="E41" t="s">
        <v>342</v>
      </c>
      <c r="F41" t="s">
        <v>379</v>
      </c>
    </row>
    <row r="42" spans="1:10" x14ac:dyDescent="0.3">
      <c r="E42" t="s">
        <v>343</v>
      </c>
      <c r="F42" t="s">
        <v>380</v>
      </c>
    </row>
    <row r="43" spans="1:10" x14ac:dyDescent="0.3">
      <c r="E43" t="s">
        <v>345</v>
      </c>
      <c r="F43" t="s">
        <v>351</v>
      </c>
    </row>
    <row r="44" spans="1:10" x14ac:dyDescent="0.3">
      <c r="E44" t="s">
        <v>344</v>
      </c>
      <c r="F44" t="s">
        <v>352</v>
      </c>
    </row>
    <row r="45" spans="1:10" x14ac:dyDescent="0.3">
      <c r="E45" t="s">
        <v>346</v>
      </c>
      <c r="F45" t="s">
        <v>353</v>
      </c>
    </row>
    <row r="47" spans="1:10" ht="16.2" thickBot="1" x14ac:dyDescent="0.35">
      <c r="E47" s="71" t="s">
        <v>347</v>
      </c>
      <c r="F47" s="69"/>
    </row>
    <row r="48" spans="1:10" x14ac:dyDescent="0.3">
      <c r="E48" s="69" t="s">
        <v>348</v>
      </c>
      <c r="F48" s="69" t="s">
        <v>280</v>
      </c>
    </row>
    <row r="49" spans="5:6" x14ac:dyDescent="0.3">
      <c r="E49" t="s">
        <v>364</v>
      </c>
      <c r="F49" t="s">
        <v>366</v>
      </c>
    </row>
    <row r="50" spans="5:6" x14ac:dyDescent="0.3">
      <c r="E50" t="s">
        <v>365</v>
      </c>
      <c r="F50" t="s">
        <v>367</v>
      </c>
    </row>
    <row r="52" spans="5:6" ht="16.2" thickBot="1" x14ac:dyDescent="0.35">
      <c r="E52" s="71" t="s">
        <v>401</v>
      </c>
      <c r="F52" s="69" t="s">
        <v>399</v>
      </c>
    </row>
    <row r="53" spans="5:6" x14ac:dyDescent="0.3">
      <c r="E53" s="38">
        <v>700</v>
      </c>
      <c r="F53" t="s">
        <v>398</v>
      </c>
    </row>
    <row r="54" spans="5:6" x14ac:dyDescent="0.3">
      <c r="E54" s="38">
        <v>200</v>
      </c>
      <c r="F54" t="s">
        <v>402</v>
      </c>
    </row>
    <row r="56" spans="5:6" ht="16.2" thickBot="1" x14ac:dyDescent="0.35">
      <c r="E56" s="71" t="s">
        <v>400</v>
      </c>
      <c r="F56" s="69" t="s">
        <v>399</v>
      </c>
    </row>
    <row r="57" spans="5:6" x14ac:dyDescent="0.3">
      <c r="E57" s="38">
        <v>35</v>
      </c>
      <c r="F57" t="s">
        <v>398</v>
      </c>
    </row>
    <row r="58" spans="5:6" x14ac:dyDescent="0.3">
      <c r="E58" s="38">
        <v>70</v>
      </c>
      <c r="F58" t="s">
        <v>403</v>
      </c>
    </row>
    <row r="60" spans="5:6" ht="16.2" thickBot="1" x14ac:dyDescent="0.35">
      <c r="E60" s="82" t="s">
        <v>405</v>
      </c>
    </row>
    <row r="61" spans="5:6" x14ac:dyDescent="0.3">
      <c r="E61" t="s">
        <v>406</v>
      </c>
    </row>
    <row r="62" spans="5:6" x14ac:dyDescent="0.3">
      <c r="E62" t="s">
        <v>407</v>
      </c>
    </row>
    <row r="63" spans="5:6" x14ac:dyDescent="0.3">
      <c r="E63" t="s">
        <v>408</v>
      </c>
    </row>
  </sheetData>
  <sheetProtection sheet="1" objects="1" scenarios="1" selectLockedCells="1"/>
  <dataValidations count="2">
    <dataValidation type="list" allowBlank="1" showInputMessage="1" showErrorMessage="1" sqref="B22" xr:uid="{5103F0B0-5A7D-4213-9279-0C438FB60721}">
      <formula1>$E$38:$E$45</formula1>
    </dataValidation>
    <dataValidation type="list" allowBlank="1" showInputMessage="1" showErrorMessage="1" sqref="B23" xr:uid="{BFF87161-9E78-439F-9B63-F620B9F8A837}">
      <formula1>$E$49:$E$50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295</v>
      </c>
      <c r="B1" s="15" t="s">
        <v>296</v>
      </c>
      <c r="C1" s="15" t="s">
        <v>297</v>
      </c>
      <c r="D1" s="15" t="s">
        <v>298</v>
      </c>
      <c r="E1" s="15" t="s">
        <v>299</v>
      </c>
      <c r="F1" s="15" t="s">
        <v>300</v>
      </c>
      <c r="G1" s="15" t="s">
        <v>301</v>
      </c>
      <c r="H1" s="15" t="s">
        <v>302</v>
      </c>
      <c r="I1" s="15" t="s">
        <v>303</v>
      </c>
      <c r="J1" s="15" t="s">
        <v>304</v>
      </c>
      <c r="K1" s="15" t="s">
        <v>305</v>
      </c>
      <c r="L1" s="15" t="s">
        <v>306</v>
      </c>
      <c r="M1" s="15" t="s">
        <v>307</v>
      </c>
      <c r="N1" s="15" t="s">
        <v>359</v>
      </c>
      <c r="O1" s="15" t="s">
        <v>308</v>
      </c>
      <c r="P1" s="15" t="s">
        <v>309</v>
      </c>
      <c r="Q1" s="15" t="s">
        <v>310</v>
      </c>
      <c r="R1" s="15" t="s">
        <v>311</v>
      </c>
      <c r="S1" s="15" t="s">
        <v>312</v>
      </c>
      <c r="T1" s="15" t="s">
        <v>313</v>
      </c>
      <c r="U1" s="15" t="s">
        <v>314</v>
      </c>
      <c r="V1" s="15" t="s">
        <v>315</v>
      </c>
      <c r="W1" s="15" t="s">
        <v>316</v>
      </c>
      <c r="X1" s="15" t="s">
        <v>317</v>
      </c>
    </row>
    <row r="2" spans="1:24" x14ac:dyDescent="0.3">
      <c r="A2" t="str">
        <f>IF(LEN(exp_id)=0,"",exp_id)</f>
        <v>SLJS034</v>
      </c>
      <c r="B2" t="str">
        <f>IF(LEN(exp_date)=0,"",exp_date)</f>
        <v>2024-01-15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10</v>
      </c>
      <c r="F2" t="str">
        <f>IF(LEN(exp_notes)=0,"",exp_notes)</f>
        <v>Nice looking library with clean controls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800</v>
      </c>
      <c r="M2">
        <f>IF(adaptlig_dna_maxvol=0,"",adaptlig_dna_maxvol)</f>
        <v>30</v>
      </c>
      <c r="N2" t="str">
        <f>IF(LEN(library_washbuffer)&gt;0,library_washbuffer,"")</f>
        <v>LFB</v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>FAO54637</v>
      </c>
      <c r="T2" t="str">
        <f>IF(LEN(flowcell_chemisty)=0,"",flowcell_chemisty)</f>
        <v>R10.4.1</v>
      </c>
      <c r="U2" t="str">
        <f>IF(LEN(flowcell_status)=0,"",flowcell_status)</f>
        <v>Used</v>
      </c>
      <c r="V2">
        <f>IF(LEN(flowcell_checkpores)=0,"",flowcell_checkpores)</f>
        <v>476</v>
      </c>
      <c r="W2">
        <f>IF(LEN(flowcell_runduration)=0,"",flowcell_runduration)</f>
        <v>10</v>
      </c>
      <c r="X2">
        <f>IF(LEN(flowcell_usage_hrs)=0,"",flowcell_usage_hrs)</f>
        <v>10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318</v>
      </c>
      <c r="B1" t="s">
        <v>319</v>
      </c>
      <c r="C1" t="s">
        <v>404</v>
      </c>
      <c r="D1" t="s">
        <v>295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 spans="1:9" x14ac:dyDescent="0.3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SLJS034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SLJS034_A1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3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SLJS034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SLJS034_B1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3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SLJS034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SLJS034_C1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3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SLJS034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SLJS034_D1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3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SLJS034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SLJS034_E1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3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SLJS034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SLJS034_F1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3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SLJS034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SLJS034_G1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3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SLJS034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SLJS034_H1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3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SLJS034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SLJS034_A2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3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SLJS034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SLJS034_B2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3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SLJS034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SLJS034_C2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3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SLJS034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SLJS034_D2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3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SLJS034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SLJS034_E2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3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SLJS034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SLJS034_F2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3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SLJS034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SLJS034_G2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3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SLJS034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SLJS034_H2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3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SLJS034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SLJS034_A3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3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SLJS034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SLJS034_B3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3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SLJS034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SLJS034_C3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3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SLJS034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SLJS034_D3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3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SLJS034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SLJS034_E3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3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SLJS034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SLJS034_F3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3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SLJS034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SLJS034_G3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3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SLJS034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SLJS034_H3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3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SLJS034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SLJS034_A4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3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SLJS034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SLJS034_B4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3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SLJS034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SLJS034_C4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3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SLJS034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SLJS034_D4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3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SLJS034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SLJS034_E4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3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SLJS034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SLJS034_F4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3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SLJS034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SLJS034_G4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3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SLJS034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SLJS034_H4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3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SLJS034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SLJS034_A5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3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SLJS034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SLJS034_B5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Assay</vt:lpstr>
      <vt:lpstr>Library</vt:lpstr>
      <vt:lpstr>Reference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Minimum_final_pooled_DNA_conc</vt:lpstr>
      <vt:lpstr>missing_qc_resolution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2025-07-28T19:06:04Z</dcterms:modified>
  <dc:language>en-GB</dc:language>
</cp:coreProperties>
</file>