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bridges\Desktop\"/>
    </mc:Choice>
  </mc:AlternateContent>
  <xr:revisionPtr revIDLastSave="0" documentId="13_ncr:1_{021EDAE5-0F47-4940-B7B7-0B60B2E802BB}" xr6:coauthVersionLast="47" xr6:coauthVersionMax="47" xr10:uidLastSave="{00000000-0000-0000-0000-000000000000}"/>
  <bookViews>
    <workbookView xWindow="-120" yWindow="-120" windowWidth="34080" windowHeight="22200" xr2:uid="{202E2ACC-7D07-5944-B6D6-A1D8A2363375}"/>
  </bookViews>
  <sheets>
    <sheet name="Assay" sheetId="6" r:id="rId1"/>
    <sheet name="PCR" sheetId="1" r:id="rId2"/>
    <sheet name="Gel" sheetId="8" r:id="rId3"/>
    <sheet name="Instructions" sheetId="9" r:id="rId4"/>
    <sheet name="reference" sheetId="7" r:id="rId5"/>
    <sheet name="expt_metadata" sheetId="10" r:id="rId6"/>
    <sheet name="rxn_metadata" sheetId="11" r:id="rId7"/>
  </sheets>
  <definedNames>
    <definedName name="_xlnm._FilterDatabase" localSheetId="3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dna_source">Assay!$H$19</definedName>
    <definedName name="pcr_enzyme">Assay!$A$22</definedName>
    <definedName name="pcr_primers">Assay!$C$13</definedName>
    <definedName name="pcr_primersource">Assay!$C$14</definedName>
    <definedName name="pcr_targetpanel">Assay!$C$12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0" i="6"/>
  <c r="C9" i="6"/>
  <c r="H2" i="10" s="1"/>
  <c r="C5" i="6"/>
  <c r="C6" i="6" s="1"/>
  <c r="D25" i="6"/>
  <c r="F25" i="6" s="1"/>
  <c r="D24" i="6"/>
  <c r="D23" i="6"/>
  <c r="D22" i="6"/>
  <c r="A22" i="6"/>
  <c r="D21" i="6"/>
  <c r="A21" i="6"/>
  <c r="M2" i="10"/>
  <c r="K2" i="10"/>
  <c r="G2" i="10"/>
  <c r="C10" i="6" l="1"/>
  <c r="A23" i="6"/>
  <c r="F23" i="6"/>
  <c r="A24" i="6"/>
  <c r="F24" i="6"/>
  <c r="D26" i="6"/>
  <c r="F27" i="6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F2" i="10" l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I2" i="10"/>
  <c r="E2" i="10"/>
  <c r="D2" i="10"/>
  <c r="C2" i="10"/>
  <c r="B2" i="10"/>
  <c r="C13" i="6"/>
  <c r="J2" i="10" s="1"/>
  <c r="C12" i="6"/>
  <c r="L2" i="10" s="1"/>
  <c r="A2" i="10" l="1"/>
  <c r="M35" i="6"/>
  <c r="M36" i="6"/>
  <c r="M37" i="6"/>
  <c r="M38" i="6"/>
  <c r="M39" i="6"/>
  <c r="M40" i="6"/>
  <c r="M41" i="6"/>
  <c r="L35" i="6"/>
  <c r="L36" i="6"/>
  <c r="L37" i="6"/>
  <c r="L38" i="6"/>
  <c r="L39" i="6"/>
  <c r="L40" i="6"/>
  <c r="L41" i="6"/>
  <c r="M34" i="6"/>
  <c r="K35" i="6"/>
  <c r="K36" i="6"/>
  <c r="K37" i="6"/>
  <c r="K38" i="6"/>
  <c r="K39" i="6"/>
  <c r="K40" i="6"/>
  <c r="K41" i="6"/>
  <c r="L34" i="6"/>
  <c r="J35" i="6"/>
  <c r="J36" i="6"/>
  <c r="J37" i="6"/>
  <c r="J38" i="6"/>
  <c r="J39" i="6"/>
  <c r="J40" i="6"/>
  <c r="J41" i="6"/>
  <c r="K34" i="6"/>
  <c r="I35" i="6"/>
  <c r="I36" i="6"/>
  <c r="I37" i="6"/>
  <c r="I38" i="6"/>
  <c r="I39" i="6"/>
  <c r="I40" i="6"/>
  <c r="I41" i="6"/>
  <c r="J34" i="6"/>
  <c r="H35" i="6"/>
  <c r="H36" i="6"/>
  <c r="H37" i="6"/>
  <c r="H38" i="6"/>
  <c r="H39" i="6"/>
  <c r="H40" i="6"/>
  <c r="H41" i="6"/>
  <c r="I34" i="6"/>
  <c r="F37" i="6"/>
  <c r="F38" i="6"/>
  <c r="F39" i="6"/>
  <c r="F40" i="6"/>
  <c r="F41" i="6"/>
  <c r="G34" i="6"/>
  <c r="G35" i="6"/>
  <c r="G36" i="6"/>
  <c r="G37" i="6"/>
  <c r="G38" i="6"/>
  <c r="G39" i="6"/>
  <c r="G40" i="6"/>
  <c r="G41" i="6"/>
  <c r="H34" i="6"/>
  <c r="B35" i="6"/>
  <c r="B36" i="6"/>
  <c r="B37" i="6"/>
  <c r="B38" i="6"/>
  <c r="B39" i="6"/>
  <c r="B40" i="6"/>
  <c r="B41" i="6"/>
  <c r="C34" i="6"/>
  <c r="C35" i="6"/>
  <c r="C36" i="6"/>
  <c r="C37" i="6"/>
  <c r="C38" i="6"/>
  <c r="C39" i="6"/>
  <c r="C40" i="6"/>
  <c r="C41" i="6"/>
  <c r="D34" i="6"/>
  <c r="D35" i="6"/>
  <c r="D36" i="6"/>
  <c r="D37" i="6"/>
  <c r="D38" i="6"/>
  <c r="D39" i="6"/>
  <c r="D40" i="6"/>
  <c r="D41" i="6"/>
  <c r="E34" i="6"/>
  <c r="E35" i="6"/>
  <c r="E36" i="6"/>
  <c r="E37" i="6"/>
  <c r="E38" i="6"/>
  <c r="E39" i="6"/>
  <c r="E40" i="6"/>
  <c r="E41" i="6"/>
  <c r="F34" i="6"/>
  <c r="F35" i="6"/>
  <c r="F36" i="6"/>
  <c r="B34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I3" i="1"/>
  <c r="F2" i="11" s="1"/>
  <c r="F26" i="6" l="1"/>
  <c r="F22" i="6"/>
  <c r="D27" i="6"/>
</calcChain>
</file>

<file path=xl/sharedStrings.xml><?xml version="1.0" encoding="utf-8"?>
<sst xmlns="http://schemas.openxmlformats.org/spreadsheetml/2006/main" count="373" uniqueCount="333">
  <si>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</si>
  <si>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</si>
  <si>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</si>
  <si>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</si>
  <si>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</si>
  <si>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</si>
  <si>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</si>
  <si>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</si>
  <si>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</si>
  <si>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</si>
  <si>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</si>
  <si>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</si>
  <si>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</si>
  <si>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</si>
  <si>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</si>
  <si>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</si>
  <si>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</si>
  <si>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</si>
  <si>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</si>
  <si>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</si>
  <si>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</si>
  <si>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</si>
  <si>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</si>
  <si>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</si>
  <si>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</si>
  <si>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</si>
  <si>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</si>
  <si>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</si>
  <si>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</si>
  <si>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</si>
  <si>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</si>
  <si>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</si>
  <si>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</si>
  <si>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</si>
  <si>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</si>
  <si>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</si>
  <si>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</si>
  <si>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</si>
  <si>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</si>
  <si>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</si>
  <si>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</si>
  <si>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</si>
  <si>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</si>
  <si>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</si>
  <si>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</si>
  <si>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</si>
  <si>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</si>
  <si>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</si>
  <si>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</si>
  <si>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</si>
  <si>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</si>
  <si>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</si>
  <si>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</si>
  <si>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</si>
  <si>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</si>
  <si>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</si>
  <si>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</si>
  <si>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</si>
  <si>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</si>
  <si>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</si>
  <si>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</si>
  <si>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</si>
  <si>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</si>
  <si>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</si>
  <si>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</si>
  <si>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</si>
  <si>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</si>
  <si>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</si>
  <si>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</si>
  <si>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</si>
  <si>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</si>
  <si>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</si>
  <si>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</si>
  <si>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</si>
  <si>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</si>
  <si>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</si>
  <si>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</si>
  <si>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</si>
  <si>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</si>
  <si>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</si>
  <si>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</si>
  <si>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</si>
  <si>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</si>
  <si>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</si>
  <si>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</si>
  <si>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</si>
  <si>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</si>
  <si>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</si>
  <si>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</si>
  <si>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</si>
  <si>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</si>
  <si>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</si>
  <si>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</si>
  <si>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</si>
  <si>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</si>
  <si>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</si>
  <si>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</si>
  <si>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</si>
  <si>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</si>
  <si>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</si>
  <si>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</si>
  <si>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</si>
  <si>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</si>
  <si>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</si>
  <si>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</si>
  <si>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</si>
  <si>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</si>
  <si>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</si>
  <si>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</si>
  <si>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</si>
  <si>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</si>
  <si>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</si>
  <si>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</si>
  <si>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</si>
  <si>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</si>
  <si>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</si>
  <si>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</si>
  <si>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</si>
  <si>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</si>
  <si>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</si>
  <si>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</si>
  <si>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</si>
  <si>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</si>
  <si>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</si>
  <si>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</si>
  <si>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</si>
  <si>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</si>
  <si>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</si>
  <si>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</si>
  <si>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</si>
  <si>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</si>
  <si>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</si>
  <si>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</si>
  <si>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</si>
  <si>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</si>
  <si>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</si>
  <si>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</si>
  <si>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</si>
  <si>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</si>
  <si>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</si>
  <si>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</si>
  <si>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</si>
  <si>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</si>
  <si>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</si>
  <si>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</si>
  <si>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</si>
  <si>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</si>
  <si>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</si>
  <si>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</si>
  <si>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</si>
  <si>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</si>
  <si>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</si>
  <si>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</si>
  <si>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</si>
  <si>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</si>
  <si>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</si>
  <si>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</si>
  <si>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</si>
  <si>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</si>
  <si>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</si>
  <si>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</si>
  <si>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</si>
  <si>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</si>
  <si>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</si>
  <si>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</si>
  <si>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Instructions:</t>
  </si>
  <si>
    <t>Once PCR is completed, copy outputs from the PCR tab as follows:</t>
  </si>
  <si>
    <r>
      <t>1. Filter '</t>
    </r>
    <r>
      <rPr>
        <b/>
        <sz val="11"/>
        <color rgb="FF000000"/>
        <rFont val="Calibri"/>
        <family val="2"/>
      </rPr>
      <t>Proceed with library prep</t>
    </r>
    <r>
      <rPr>
        <sz val="11"/>
        <color rgb="FF000000"/>
        <rFont val="Calibri"/>
        <family val="2"/>
      </rPr>
      <t>' column to entries with a '</t>
    </r>
    <r>
      <rPr>
        <b/>
        <sz val="11"/>
        <color rgb="FF000000"/>
        <rFont val="Calibri"/>
        <family val="2"/>
      </rPr>
      <t>Yes</t>
    </r>
    <r>
      <rPr>
        <sz val="11"/>
        <color rgb="FF000000"/>
        <rFont val="Calibri"/>
        <family val="2"/>
      </rPr>
      <t>'</t>
    </r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</si>
  <si>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</si>
  <si>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</si>
  <si>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</si>
  <si>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</si>
  <si>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</si>
  <si>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</si>
  <si>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</si>
  <si>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</si>
  <si>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</si>
  <si>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</si>
  <si>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</si>
  <si>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</si>
  <si>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</si>
  <si>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This template is to be used to record PCR experiments as part of a NOMADS sequencing run. There are three tabs to complete:</t>
  </si>
  <si>
    <t>Assay</t>
  </si>
  <si>
    <t>Gel</t>
  </si>
  <si>
    <t>A simplified list of assay steps / componentes including master mix calculations and plate layouts</t>
  </si>
  <si>
    <t>Sample level details associated with the PCR procedure</t>
  </si>
  <si>
    <t>Storage location for the post-PCR  annotated gel picture</t>
  </si>
  <si>
    <t>reference</t>
  </si>
  <si>
    <t>The following tabs should not need to be altered, except for potentially adding user names</t>
  </si>
  <si>
    <t>Contains experiment level metadata for export</t>
  </si>
  <si>
    <t>sample_id</t>
  </si>
  <si>
    <t>extraction_id</t>
  </si>
  <si>
    <t>Contains rxn level metadata for export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</si>
  <si>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</si>
  <si>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</si>
  <si>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</si>
  <si>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</si>
  <si>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</si>
  <si>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</si>
  <si>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</si>
  <si>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r>
      <t>2. Copy all '</t>
    </r>
    <r>
      <rPr>
        <b/>
        <sz val="11"/>
        <color rgb="FF000000"/>
        <rFont val="Calibri"/>
        <family val="2"/>
      </rPr>
      <t>Sample Information</t>
    </r>
    <r>
      <rPr>
        <sz val="11"/>
        <color rgb="FF000000"/>
        <rFont val="Calibri"/>
        <family val="2"/>
      </rPr>
      <t>', '</t>
    </r>
    <r>
      <rPr>
        <b/>
        <sz val="11"/>
        <color rgb="FF000000"/>
        <rFont val="Calibri"/>
        <family val="2"/>
      </rPr>
      <t>sWGA Identifier</t>
    </r>
    <r>
      <rPr>
        <sz val="11"/>
        <color rgb="FF000000"/>
        <rFont val="Calibri"/>
        <family val="2"/>
      </rPr>
      <t>' and '</t>
    </r>
    <r>
      <rPr>
        <b/>
        <sz val="11"/>
        <color rgb="FF000000"/>
        <rFont val="Calibri"/>
        <family val="2"/>
      </rPr>
      <t>PCR Identifier</t>
    </r>
    <r>
      <rPr>
        <sz val="11"/>
        <color rgb="FF000000"/>
        <rFont val="Calibri"/>
        <family val="2"/>
      </rPr>
      <t>' columns and paste into the library worksheet</t>
    </r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</si>
  <si>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</si>
  <si>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</si>
  <si>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</si>
  <si>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</si>
  <si>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</si>
  <si>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</si>
  <si>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</si>
  <si>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</si>
  <si>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</si>
  <si>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</si>
  <si>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</si>
  <si>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</si>
  <si>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</si>
  <si>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</si>
  <si>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</si>
  <si>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</si>
  <si>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</si>
  <si>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expt_metadata</t>
  </si>
  <si>
    <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</rPr>
      <t>warehouse.py</t>
    </r>
    <r>
      <rPr>
        <sz val="11"/>
        <color rgb="FF000000"/>
        <rFont val="Calibri"/>
        <family val="2"/>
      </rPr>
      <t xml:space="preserve"> script in this repository:</t>
    </r>
  </si>
  <si>
    <t>User-defined</t>
  </si>
  <si>
    <t>John Smith</t>
  </si>
  <si>
    <t>JS</t>
  </si>
  <si>
    <t>Fiona Waiting</t>
  </si>
  <si>
    <t>FW</t>
  </si>
  <si>
    <t>Terence Broad</t>
  </si>
  <si>
    <t>TB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</si>
  <si>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</si>
  <si>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</si>
  <si>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</si>
  <si>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</si>
  <si>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contains look-up tables, assumptions etc. Edit the entries in green according to your needs</t>
  </si>
  <si>
    <t>1. Select a complete entry i.e. for names you would highlight two cells e.g. I5 and J5</t>
  </si>
  <si>
    <t>Project</t>
  </si>
  <si>
    <t>NOMADS_MVP</t>
  </si>
  <si>
    <t>N003</t>
  </si>
  <si>
    <t>Pf-03-9</t>
  </si>
  <si>
    <t>pcr_enzyme</t>
  </si>
  <si>
    <t>KAPA</t>
  </si>
  <si>
    <t>Changelog from previous version</t>
  </si>
  <si>
    <t>Added selection of PCR enzyme and capture to expt_metadata</t>
  </si>
  <si>
    <t>Addded MVP to list of assays</t>
  </si>
  <si>
    <t>DNA Source:</t>
  </si>
  <si>
    <t>Add DNA Source info</t>
  </si>
  <si>
    <t>Template</t>
  </si>
  <si>
    <t>Enzyme</t>
  </si>
  <si>
    <t>Q5 Master Mix</t>
  </si>
  <si>
    <t>Enzyme Vol</t>
  </si>
  <si>
    <t>Template Volume</t>
  </si>
  <si>
    <t>Primer Pool vol</t>
  </si>
  <si>
    <t>dNTP</t>
  </si>
  <si>
    <t>Buffer</t>
  </si>
  <si>
    <t>SWGA product (KAPA)</t>
  </si>
  <si>
    <t>DNA Extract (Q5)</t>
  </si>
  <si>
    <t>Changed all CONCAT refs to CONCATENATE for translations</t>
  </si>
  <si>
    <t>Project A</t>
  </si>
  <si>
    <t>Project B</t>
  </si>
  <si>
    <t>Project C</t>
  </si>
  <si>
    <t>2024-01-10</t>
  </si>
  <si>
    <t>142</t>
  </si>
  <si>
    <t>AB</t>
  </si>
  <si>
    <t>TB001a</t>
  </si>
  <si>
    <t>2nd and 3rd batched samples</t>
  </si>
  <si>
    <t>MIS1011</t>
  </si>
  <si>
    <t>MJ001</t>
  </si>
  <si>
    <t>SWJS032_A1</t>
  </si>
  <si>
    <t>MIS1012</t>
  </si>
  <si>
    <t>MJ002</t>
  </si>
  <si>
    <t>SWJS032_B1</t>
  </si>
  <si>
    <t>MIS1013</t>
  </si>
  <si>
    <t>MJ003</t>
  </si>
  <si>
    <t>SWJS032_C1</t>
  </si>
  <si>
    <t>MIS1014</t>
  </si>
  <si>
    <t>MJ004</t>
  </si>
  <si>
    <t>SWJS032_D1</t>
  </si>
  <si>
    <t>MIS1015</t>
  </si>
  <si>
    <t>MJ005</t>
  </si>
  <si>
    <t>SWJS032_E1</t>
  </si>
  <si>
    <t>MIS1016</t>
  </si>
  <si>
    <t>MJ006</t>
  </si>
  <si>
    <t>SWJS032_F1</t>
  </si>
  <si>
    <t>MIS1017</t>
  </si>
  <si>
    <t>MJ007</t>
  </si>
  <si>
    <t>SWJS032_G1</t>
  </si>
  <si>
    <t>MIS1018</t>
  </si>
  <si>
    <t>MJ008</t>
  </si>
  <si>
    <t>SWJS032_H1</t>
  </si>
  <si>
    <t>MIS1019</t>
  </si>
  <si>
    <t>MJ009</t>
  </si>
  <si>
    <t>SWJS032_A2</t>
  </si>
  <si>
    <t>MIS1020</t>
  </si>
  <si>
    <t>MJ010</t>
  </si>
  <si>
    <t>SWJS032_B2</t>
  </si>
  <si>
    <t>3D7</t>
  </si>
  <si>
    <t>3D7_01a</t>
  </si>
  <si>
    <t>SWJS032_C2</t>
  </si>
  <si>
    <t>Dd2</t>
  </si>
  <si>
    <t>Dd2_01a</t>
  </si>
  <si>
    <t>SWJS032_D2</t>
  </si>
  <si>
    <t>NTC</t>
  </si>
  <si>
    <t>NTC_SWJS032</t>
  </si>
  <si>
    <t>SWJS032_E2</t>
  </si>
  <si>
    <t>MIS1021</t>
  </si>
  <si>
    <t>SWFW094_A1</t>
  </si>
  <si>
    <t>MIS1022</t>
  </si>
  <si>
    <t>MJ011</t>
  </si>
  <si>
    <t>SWFW094_B1</t>
  </si>
  <si>
    <t>MIS1023</t>
  </si>
  <si>
    <t>MJ012</t>
  </si>
  <si>
    <t>SWFW094_C1</t>
  </si>
  <si>
    <t>MIS1025</t>
  </si>
  <si>
    <t>MJ014</t>
  </si>
  <si>
    <t>SWFW094_E1</t>
  </si>
  <si>
    <t>MIS1026</t>
  </si>
  <si>
    <t>MJ015</t>
  </si>
  <si>
    <t>SWFW094_F1</t>
  </si>
  <si>
    <t>MIS1027</t>
  </si>
  <si>
    <t>MJ016</t>
  </si>
  <si>
    <t>SWFW094_G1</t>
  </si>
  <si>
    <t>MIS1028</t>
  </si>
  <si>
    <t>MJ017</t>
  </si>
  <si>
    <t>SWFW094_H1</t>
  </si>
  <si>
    <t>MIS1029</t>
  </si>
  <si>
    <t>MJ018</t>
  </si>
  <si>
    <t>SWFW094_A2</t>
  </si>
  <si>
    <t>SWFW094_C2</t>
  </si>
  <si>
    <t>SWFW094_D2</t>
  </si>
  <si>
    <t>NTC_SWFW094</t>
  </si>
  <si>
    <t>SWFW094_E2</t>
  </si>
  <si>
    <t>NTC_PCTB142</t>
  </si>
  <si>
    <t>NA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</si>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</sst>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 wrapText="1"/>
    </xf>
    <xf numFmtId="164" fontId="0" fillId="5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2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6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6" borderId="0" xfId="0" applyFill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>
      <alignment horizontal="left" vertical="top" wrapText="1"/>
    </xf>
    <xf numFmtId="1" fontId="7" fillId="0" borderId="0" xfId="5" applyNumberFormat="1" applyFont="1" applyAlignment="1">
      <alignment horizontal="center" vertical="center" wrapText="1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" fontId="7" fillId="10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28" headerRowBorderDxfId="27" tableBorderDxfId="26" totalsRowBorderDxfId="25">
  <autoFilter ref="A2:J98" xr:uid="{4C103716-E393-43AA-872A-215BD28108E4}"/>
  <tableColumns count="10">
    <tableColumn id="1" xr3:uid="{AFEE5217-53A1-450F-B6A8-E87D945E0FAE}" name="#" dataDxfId="24"/>
    <tableColumn id="6" xr3:uid="{0CF8190A-662E-422B-8BDD-34F3D27B34F2}" name="Well" dataDxfId="23"/>
    <tableColumn id="2" xr3:uid="{CE61E1E1-E9B3-4D58-9DFE-1AB6DDFCD05A}" name="Sample ID" dataDxfId="22"/>
    <tableColumn id="3" xr3:uid="{9795EF0E-2DE1-455A-A3FF-0804F7CBA8C3}" name="Extraction ID" dataDxfId="21"/>
    <tableColumn id="5" xr3:uid="{B3E809FC-AA96-4329-8BC3-6D3188F7C694}" name="sWGA identifier" dataDxfId="20">
      <calculatedColumnFormula>IF(pcr_dna_source="DNA Extract (Q5)","Direct DNA","")</calculatedColumnFormula>
    </tableColumn>
    <tableColumn id="8" xr3:uid="{59846CDB-FD66-45CD-A212-013D460992B1}" name="PCR Identifier" dataDxfId="19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18"/>
    <tableColumn id="11" xr3:uid="{D2BFD013-75EF-450B-A4E3-95DAB8A07EC6}" name="PCR Dilution Factor" dataDxfId="17"/>
    <tableColumn id="12" xr3:uid="{96ADB29E-A594-4912-850A-45B8B3904B4D}" name="PCR [DNA] (ng / µl)" dataDxfId="16">
      <calculatedColumnFormula>IF(OR(G3="",H3=""),"",SUM(G3*H3))</calculatedColumnFormula>
    </tableColumn>
    <tableColumn id="13" xr3:uid="{87CC627F-41F3-42EC-BA06-893DB14E3545}" name="Proceed with library prep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5" totalsRowShown="0" headerRowDxfId="14" dataDxfId="13">
  <autoFilter ref="E2:G5" xr:uid="{488B678F-87F5-452A-9808-8C26D87C6316}"/>
  <tableColumns count="3">
    <tableColumn id="1" xr3:uid="{981BF5AE-121F-4AF8-855F-49DE509E86E1}" name="Assay Name" dataDxfId="12"/>
    <tableColumn id="3" xr3:uid="{AECC9098-A69C-44D7-87A5-086086FD999D}" name="Targets" dataDxfId="11"/>
    <tableColumn id="4" xr3:uid="{20A98561-A069-41FD-A7B3-766B6336516C}" name="Primer Set" dataDxfId="10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7A94C-B56B-4F54-BD7F-5F341857DAB8}" name="tbl_template" displayName="tbl_template" ref="E7:K9" totalsRowShown="0">
  <autoFilter ref="E7:K9" xr:uid="{7577A94C-B56B-4F54-BD7F-5F341857DAB8}"/>
  <tableColumns count="7">
    <tableColumn id="1" xr3:uid="{F4C3F9A8-1008-4F6B-840D-280BD6FE787E}" name="Template"/>
    <tableColumn id="7" xr3:uid="{70C3F764-E116-465A-8CFC-BDB26F364548}" name="Template Volume"/>
    <tableColumn id="3" xr3:uid="{0AB3E7D5-4939-40E7-8577-579B3E261745}" name="Enzyme"/>
    <tableColumn id="6" xr3:uid="{E21139B7-C5FD-477D-8ED9-A828F15844D3}" name="Enzyme Vol"/>
    <tableColumn id="9" xr3:uid="{42A353D5-649E-4805-AE81-B1A0E3D3F82F}" name="dNTP"/>
    <tableColumn id="10" xr3:uid="{C045F082-D561-44DC-ABE8-861FE1ADD211}" name="Buffer"/>
    <tableColumn id="2" xr3:uid="{BB3BE399-3A7A-4A3F-B979-8000C6923CAB}" name="Primer Pool vol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M2" totalsRowShown="0">
  <autoFilter ref="A1:M2" xr:uid="{1F7724E8-27D2-44E9-85B4-57378D47D280}"/>
  <tableColumns count="13">
    <tableColumn id="1" xr3:uid="{CF92ACF9-25F8-4BAA-B9F1-567A722EDD10}" name="expt_id">
      <calculatedColumnFormula>exp_id</calculatedColumnFormula>
    </tableColumn>
    <tableColumn id="2" xr3:uid="{6EA97D5F-2525-4210-8AAC-60A494A0DFF1}" name="expt_date">
      <calculatedColumnFormula>exp_date</calculatedColumnFormula>
    </tableColumn>
    <tableColumn id="3" xr3:uid="{37EAA599-0FB5-4C4E-A2E5-CF226F56282F}" name="expt_user">
      <calculatedColumnFormula>exp_user</calculatedColumnFormula>
    </tableColumn>
    <tableColumn id="5" xr3:uid="{EB901222-05A0-4B82-8F19-7C8FB81E6845}" name="expt_type">
      <calculatedColumnFormula>exp_type</calculatedColumnFormula>
    </tableColumn>
    <tableColumn id="6" xr3:uid="{C3E991BE-2EA8-4C17-B604-89438F1D8ACB}" name="expt_version">
      <calculatedColumnFormula>exp_version</calculatedColumnFormula>
    </tableColumn>
    <tableColumn id="10" xr3:uid="{5CF880EF-3D5D-4639-8388-68004687285B}" name="expt_assay">
      <calculatedColumnFormula>exp_assay</calculatedColumnFormula>
    </tableColumn>
    <tableColumn id="4" xr3:uid="{4DBD4096-EC40-4740-9004-468D1BAFC9A3}" name="expt_notes">
      <calculatedColumnFormula>exp_notes</calculatedColumnFormula>
    </tableColumn>
    <tableColumn id="12" xr3:uid="{2FE13B56-1ED7-4086-B940-91993E2B4501}" name="expt_summary">
      <calculatedColumnFormula>exp_summary</calculatedColumnFormula>
    </tableColumn>
    <tableColumn id="7" xr3:uid="{46F54692-7EB9-4C47-A454-DE67C0C7DE8A}" name="expt_rxns">
      <calculatedColumnFormula>exp_rxns</calculatedColumnFormula>
    </tableColumn>
    <tableColumn id="8" xr3:uid="{FE7702DC-D303-43C9-B4DB-2CFBAD430766}" name="pcr_primers">
      <calculatedColumnFormula>pcr_primers</calculatedColumnFormula>
    </tableColumn>
    <tableColumn id="11" xr3:uid="{622177FB-F0FE-41FA-AB87-E15E9ECEE0B9}" name="pcr_primersource">
      <calculatedColumnFormula>pcr_primersource</calculatedColumnFormula>
    </tableColumn>
    <tableColumn id="9" xr3:uid="{5C17D014-189E-43E2-A899-4574390B7A58}" name="pcr_targetpanel">
      <calculatedColumnFormula>pcr_targetpanel</calculatedColumnFormula>
    </tableColumn>
    <tableColumn id="13" xr3:uid="{4786D324-56A9-420B-A7CB-8083E29E50BD}" name="pcr_enzyme">
      <calculatedColumnFormula>pcr_enzyme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9">
      <calculatedColumnFormula>IF(LEN(PCR!C3),PCR!C3,"")</calculatedColumnFormula>
    </tableColumn>
    <tableColumn id="3" xr3:uid="{3FFBD26A-1339-451E-AF0C-51A92B0387C9}" name="extraction_id" dataDxfId="8">
      <calculatedColumnFormula>IF(LEN(PCR!D3),PCR!D3,"")</calculatedColumnFormula>
    </tableColumn>
    <tableColumn id="5" xr3:uid="{5545E98D-0544-4375-81E6-330418C07C1D}" name="expt_id" dataDxfId="7">
      <calculatedColumnFormula>IF(LEN(PCR!E3)=0,"",exp_id)</calculatedColumnFormula>
    </tableColumn>
    <tableColumn id="4" xr3:uid="{EA58F3D6-4DB3-46FB-B1A4-0E7CBCBBBC84}" name="swga_identifier" dataDxfId="6">
      <calculatedColumnFormula>IF(LEN(PCR!E3),PCR!E3,"")</calculatedColumnFormula>
    </tableColumn>
    <tableColumn id="1" xr3:uid="{0E0D5C67-8A41-4FE0-9D6C-4C0D6A331B2E}" name="pcr_identifier" dataDxfId="5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2"/>
  <sheetViews>
    <sheetView tabSelected="1" workbookViewId="0">
      <selection activeCell="I29" sqref="I29"/>
    </sheetView>
  </sheetViews>
  <sheetFormatPr defaultRowHeight="15.75" x14ac:dyDescent="0.25"/>
  <cols>
    <col min="1" max="8" width="9" style="8" customWidth="1"/>
  </cols>
  <sheetData>
    <row r="1" spans="1:13" x14ac:dyDescent="0.25">
      <c r="A1" s="70" t="s">
        <v>161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5.75" customHeight="1" x14ac:dyDescent="0.25">
      <c r="A2" s="72" t="s">
        <v>135</v>
      </c>
      <c r="B2" s="73"/>
      <c r="C2" s="76" t="s">
        <v>258</v>
      </c>
      <c r="D2" s="76"/>
      <c r="E2" s="76"/>
      <c r="F2" s="76"/>
      <c r="G2" s="71" t="s">
        <v>140</v>
      </c>
      <c r="H2" s="71"/>
      <c r="K2" s="63" t="s">
        <v>139</v>
      </c>
      <c r="L2" s="63"/>
    </row>
    <row r="3" spans="1:13" ht="15.75" customHeight="1" x14ac:dyDescent="0.25">
      <c r="A3" s="72" t="s">
        <v>151</v>
      </c>
      <c r="B3" s="73"/>
      <c r="C3" s="77" t="s">
        <v>225</v>
      </c>
      <c r="D3" s="77"/>
      <c r="E3" s="77"/>
      <c r="F3" s="77"/>
      <c r="G3" t="s">
        <v>156</v>
      </c>
      <c r="K3" s="61" t="s">
        <v>3</v>
      </c>
      <c r="L3" s="61"/>
    </row>
    <row r="4" spans="1:13" x14ac:dyDescent="0.25">
      <c r="A4" s="72" t="s">
        <v>159</v>
      </c>
      <c r="B4" s="73"/>
      <c r="C4" s="93" t="s">
        <v>259</v>
      </c>
      <c r="D4" s="93"/>
      <c r="E4" s="93"/>
      <c r="F4" s="93"/>
      <c r="G4" s="40" t="s">
        <v>155</v>
      </c>
      <c r="K4" s="62" t="s">
        <v>4</v>
      </c>
      <c r="L4" s="62"/>
    </row>
    <row r="5" spans="1:13" x14ac:dyDescent="0.25">
      <c r="A5" s="74" t="s">
        <v>154</v>
      </c>
      <c r="B5" s="75"/>
      <c r="C5" s="78" t="str">
        <f>IF(OR(ISBLANK(C3),ISBLANK(C4)),"",CONCATENATE("PC",VLOOKUP(C3,reference!M3:N5,2,FALSE),C4))</f>
        <v>PCTB142</v>
      </c>
      <c r="D5" s="78"/>
      <c r="E5" s="78"/>
      <c r="F5" s="78"/>
      <c r="G5" s="21" t="s">
        <v>168</v>
      </c>
      <c r="K5" s="68" t="s">
        <v>210</v>
      </c>
      <c r="L5" s="68"/>
    </row>
    <row r="6" spans="1:13" ht="15.75" customHeight="1" x14ac:dyDescent="0.25">
      <c r="A6" s="74" t="s">
        <v>136</v>
      </c>
      <c r="B6" s="75"/>
      <c r="C6" s="79" t="str">
        <f>IF(OR(ISBLANK(C2),ISBLANK(C3),LEN(C5)=0),"",CONCATENATE(C2,"_PCR_",C5))</f>
        <v>2024-01-10_PCR_PCTB142</v>
      </c>
      <c r="D6" s="79"/>
      <c r="E6" s="79"/>
      <c r="F6" s="79"/>
      <c r="G6" s="37"/>
      <c r="K6" s="68"/>
      <c r="L6" s="68"/>
    </row>
    <row r="7" spans="1:13" ht="15.75" customHeight="1" x14ac:dyDescent="0.25">
      <c r="A7" s="87" t="s">
        <v>211</v>
      </c>
      <c r="B7" s="87"/>
      <c r="C7" s="85" t="s">
        <v>255</v>
      </c>
      <c r="D7" s="85"/>
      <c r="E7" s="85"/>
      <c r="F7" s="85"/>
      <c r="G7" t="s">
        <v>156</v>
      </c>
    </row>
    <row r="8" spans="1:13" ht="15.75" customHeight="1" x14ac:dyDescent="0.25">
      <c r="A8" s="87" t="s">
        <v>212</v>
      </c>
      <c r="B8" s="87"/>
      <c r="C8" s="85" t="s">
        <v>260</v>
      </c>
      <c r="D8" s="85"/>
      <c r="E8" s="85"/>
      <c r="F8" s="85"/>
      <c r="G8" t="s">
        <v>213</v>
      </c>
    </row>
    <row r="9" spans="1:13" ht="15.75" customHeight="1" x14ac:dyDescent="0.25">
      <c r="A9" s="91" t="s">
        <v>207</v>
      </c>
      <c r="B9" s="91"/>
      <c r="C9" s="86" t="str">
        <f>IF(OR(LEN(C7)=0, LEN(C8)=0),"",CONCATENATE(C7,"_Batch",C8))</f>
        <v>Project A_BatchAB</v>
      </c>
      <c r="D9" s="86"/>
      <c r="E9" s="86"/>
      <c r="F9" s="86"/>
      <c r="G9" s="21" t="s">
        <v>217</v>
      </c>
    </row>
    <row r="10" spans="1:13" ht="15.75" customHeight="1" x14ac:dyDescent="0.25">
      <c r="A10" s="91" t="s">
        <v>216</v>
      </c>
      <c r="B10" s="91"/>
      <c r="C10" s="92" t="str">
        <f>IF(OR(LEN(C6)=0,LEN(exp_summary)=0),"",CONCATENATE(C6,"_",exp_summary,".xlsx"))</f>
        <v>2024-01-10_PCR_PCTB142_Project A_BatchAB.xlsx</v>
      </c>
      <c r="D10" s="92"/>
      <c r="E10" s="92"/>
      <c r="F10" s="92"/>
      <c r="G10" s="92"/>
      <c r="H10" s="92"/>
    </row>
    <row r="11" spans="1:13" x14ac:dyDescent="0.25">
      <c r="A11" s="72" t="s">
        <v>150</v>
      </c>
      <c r="B11" s="73"/>
      <c r="C11" s="80" t="s">
        <v>147</v>
      </c>
      <c r="D11" s="80"/>
      <c r="E11" s="80"/>
      <c r="F11" s="80"/>
      <c r="G11" t="s">
        <v>156</v>
      </c>
    </row>
    <row r="12" spans="1:13" x14ac:dyDescent="0.25">
      <c r="A12" s="74" t="s">
        <v>169</v>
      </c>
      <c r="B12" s="75"/>
      <c r="C12" s="81" t="str">
        <f>IF(ISBLANK(C11),"",VLOOKUP(C11,tbl_Assays[],2,FALSE))</f>
        <v>Pf-02-16</v>
      </c>
      <c r="D12" s="81"/>
      <c r="E12" s="81"/>
      <c r="F12" s="81"/>
      <c r="G12" s="21" t="s">
        <v>214</v>
      </c>
    </row>
    <row r="13" spans="1:13" x14ac:dyDescent="0.25">
      <c r="A13" s="74" t="s">
        <v>170</v>
      </c>
      <c r="B13" s="75"/>
      <c r="C13" s="81" t="str">
        <f>IF(ISBLANK(C11),"",VLOOKUP(C11,tbl_Assays[],3,FALSE))</f>
        <v>N002</v>
      </c>
      <c r="D13" s="81"/>
      <c r="E13" s="81"/>
      <c r="F13" s="81"/>
      <c r="G13" s="21" t="s">
        <v>215</v>
      </c>
    </row>
    <row r="14" spans="1:13" x14ac:dyDescent="0.25">
      <c r="A14" s="72" t="s">
        <v>203</v>
      </c>
      <c r="B14" s="73"/>
      <c r="C14" s="85" t="s">
        <v>261</v>
      </c>
      <c r="D14" s="85"/>
      <c r="E14" s="85"/>
      <c r="F14" s="85"/>
      <c r="G14" s="21" t="s">
        <v>204</v>
      </c>
    </row>
    <row r="15" spans="1:13" x14ac:dyDescent="0.25">
      <c r="A15" s="72" t="s">
        <v>137</v>
      </c>
      <c r="B15" s="73"/>
      <c r="C15" s="85">
        <v>22</v>
      </c>
      <c r="D15" s="85"/>
      <c r="E15" s="85"/>
      <c r="F15" s="85"/>
      <c r="G15" s="21"/>
    </row>
    <row r="16" spans="1:13" x14ac:dyDescent="0.25">
      <c r="A16" s="72" t="s">
        <v>201</v>
      </c>
      <c r="B16" s="73"/>
      <c r="C16" s="84" t="s">
        <v>262</v>
      </c>
      <c r="D16" s="84"/>
      <c r="E16" s="84"/>
      <c r="F16" s="84"/>
      <c r="G16" s="84"/>
      <c r="H16" s="84"/>
      <c r="I16" s="84"/>
      <c r="J16" s="84"/>
      <c r="K16" s="84"/>
    </row>
    <row r="17" spans="1:14" x14ac:dyDescent="0.25">
      <c r="A17" s="52"/>
      <c r="B17" s="18"/>
      <c r="C17" s="84"/>
      <c r="D17" s="84"/>
      <c r="E17" s="84"/>
      <c r="F17" s="84"/>
      <c r="G17" s="84"/>
      <c r="H17" s="84"/>
      <c r="I17" s="84"/>
      <c r="J17" s="84"/>
      <c r="K17" s="84"/>
    </row>
    <row r="18" spans="1:14" x14ac:dyDescent="0.25">
      <c r="A18" s="9"/>
      <c r="C18" s="10"/>
      <c r="D18" s="9"/>
      <c r="E18" s="9"/>
      <c r="F18" s="9"/>
      <c r="G18" s="9"/>
      <c r="H18" s="9"/>
      <c r="N18" s="9"/>
    </row>
    <row r="19" spans="1:14" x14ac:dyDescent="0.25">
      <c r="A19" s="12" t="s">
        <v>160</v>
      </c>
      <c r="B19" s="9"/>
      <c r="C19" s="18" t="s">
        <v>24</v>
      </c>
      <c r="D19" s="17">
        <v>0.1</v>
      </c>
      <c r="G19" s="8" t="s">
        <v>242</v>
      </c>
      <c r="H19" s="67" t="s">
        <v>252</v>
      </c>
      <c r="I19" s="67"/>
    </row>
    <row r="20" spans="1:14" x14ac:dyDescent="0.25">
      <c r="A20" s="83" t="s">
        <v>6</v>
      </c>
      <c r="B20" s="83"/>
      <c r="C20" s="83"/>
      <c r="D20" s="94" t="s">
        <v>7</v>
      </c>
      <c r="E20" s="94"/>
      <c r="F20" s="94" t="str">
        <f>CONCATENATE("MM x",exp_rxns, " (µl)")</f>
        <v>MM x22 (µl)</v>
      </c>
      <c r="G20" s="94"/>
      <c r="H20" s="9"/>
      <c r="J20" s="82" t="s">
        <v>8</v>
      </c>
      <c r="K20" s="82"/>
      <c r="L20" s="13" t="s">
        <v>14</v>
      </c>
      <c r="M20" s="13" t="s">
        <v>10</v>
      </c>
    </row>
    <row r="21" spans="1:14" x14ac:dyDescent="0.25">
      <c r="A21" s="67" t="str">
        <f>pcr_dna_source</f>
        <v>SWGA product (KAPA)</v>
      </c>
      <c r="B21" s="67"/>
      <c r="C21" s="67"/>
      <c r="D21" s="66">
        <f>IFERROR(VLOOKUP(pcr_dna_source,tbl_template[],2,FALSE),0)</f>
        <v>1</v>
      </c>
      <c r="E21" s="66"/>
      <c r="F21" s="95" t="s">
        <v>9</v>
      </c>
      <c r="G21" s="95"/>
      <c r="H21" s="58"/>
      <c r="I21" s="58"/>
      <c r="J21" s="64">
        <v>93</v>
      </c>
      <c r="K21" s="64"/>
      <c r="L21" s="11" t="s">
        <v>15</v>
      </c>
      <c r="M21" s="11"/>
    </row>
    <row r="22" spans="1:14" x14ac:dyDescent="0.25">
      <c r="A22" s="90" t="str">
        <f>IFERROR(VLOOKUP(pcr_dna_source,tbl_template[],3,FALSE),0)</f>
        <v>KAPA</v>
      </c>
      <c r="B22" s="90"/>
      <c r="C22" s="90"/>
      <c r="D22" s="66">
        <f>IFERROR(VLOOKUP(pcr_dna_source,tbl_template[],4,FALSE),0)</f>
        <v>0.3</v>
      </c>
      <c r="E22" s="66"/>
      <c r="F22" s="89">
        <f>SUM(D22*exp_rxns*(1+$D$19))</f>
        <v>7.26</v>
      </c>
      <c r="G22" s="89"/>
      <c r="H22" s="58"/>
      <c r="I22" s="58"/>
      <c r="J22" s="65">
        <v>98</v>
      </c>
      <c r="K22" s="65"/>
      <c r="L22" s="11" t="s">
        <v>16</v>
      </c>
      <c r="M22" s="69" t="s">
        <v>11</v>
      </c>
    </row>
    <row r="23" spans="1:14" x14ac:dyDescent="0.25">
      <c r="A23" s="90" t="str">
        <f>IF(D23=0,"-","10mM dNTPs")</f>
        <v>10mM dNTPs</v>
      </c>
      <c r="B23" s="90"/>
      <c r="C23" s="90"/>
      <c r="D23" s="66">
        <f>IFERROR(VLOOKUP(pcr_dna_source,tbl_template[],5,FALSE),0)</f>
        <v>2</v>
      </c>
      <c r="E23" s="66"/>
      <c r="F23" s="89">
        <f>IF(D23=0,"",SUM(D23*exp_rxns*(1+$D$19)))</f>
        <v>48.400000000000006</v>
      </c>
      <c r="G23" s="89"/>
      <c r="H23" s="58"/>
      <c r="I23" s="58"/>
      <c r="J23" s="66">
        <v>50</v>
      </c>
      <c r="K23" s="66"/>
      <c r="L23" s="11" t="s">
        <v>17</v>
      </c>
      <c r="M23" s="69"/>
    </row>
    <row r="24" spans="1:14" x14ac:dyDescent="0.25">
      <c r="A24" s="90" t="str">
        <f>IF(D24=0,"-","Buffer")</f>
        <v>Buffer</v>
      </c>
      <c r="B24" s="90"/>
      <c r="C24" s="90"/>
      <c r="D24" s="66">
        <f>IFERROR(VLOOKUP(pcr_dna_source,tbl_template[],6,FALSE),0)</f>
        <v>5</v>
      </c>
      <c r="E24" s="66"/>
      <c r="F24" s="89">
        <f>IF(D24=0,"",SUM(D24*exp_rxns*(1+$D$19)))</f>
        <v>121.00000000000001</v>
      </c>
      <c r="G24" s="89"/>
      <c r="H24" s="58"/>
      <c r="I24" s="58"/>
      <c r="J24" s="67">
        <v>60</v>
      </c>
      <c r="K24" s="67"/>
      <c r="L24" s="11" t="s">
        <v>18</v>
      </c>
      <c r="M24" s="69"/>
    </row>
    <row r="25" spans="1:14" x14ac:dyDescent="0.25">
      <c r="A25" s="90" t="s">
        <v>12</v>
      </c>
      <c r="B25" s="90"/>
      <c r="C25" s="90"/>
      <c r="D25" s="66">
        <f>IFERROR(VLOOKUP(pcr_dna_source,tbl_template[],7,FALSE),0)</f>
        <v>1.5</v>
      </c>
      <c r="E25" s="66"/>
      <c r="F25" s="89">
        <f>IF(D25=0,"",SUM(D25*exp_rxns*(1+$D$19)))</f>
        <v>36.300000000000004</v>
      </c>
      <c r="G25" s="89"/>
      <c r="H25" s="58"/>
      <c r="I25" s="58"/>
      <c r="J25" s="66">
        <v>60</v>
      </c>
      <c r="K25" s="66"/>
      <c r="L25" s="11" t="s">
        <v>19</v>
      </c>
      <c r="M25" s="11"/>
    </row>
    <row r="26" spans="1:14" x14ac:dyDescent="0.25">
      <c r="A26" s="90" t="s">
        <v>13</v>
      </c>
      <c r="B26" s="90"/>
      <c r="C26" s="90"/>
      <c r="D26" s="90">
        <f>SUM(25-SUM(D21:E25))</f>
        <v>15.2</v>
      </c>
      <c r="E26" s="90"/>
      <c r="F26" s="89">
        <f>SUM(D26*exp_rxns*(1+$D$19))</f>
        <v>367.84000000000003</v>
      </c>
      <c r="G26" s="89"/>
      <c r="H26" s="9"/>
      <c r="J26" s="66"/>
      <c r="K26" s="66"/>
    </row>
    <row r="27" spans="1:14" x14ac:dyDescent="0.25">
      <c r="D27" s="88">
        <f>SUM(D21:D26)</f>
        <v>25</v>
      </c>
      <c r="E27" s="88"/>
      <c r="F27" s="15" t="str">
        <f>CONCATENATE("Add ",SUM(D22:D26)," µl of MM to each well")</f>
        <v>Add 24 µl of MM to each well</v>
      </c>
      <c r="G27" s="11"/>
      <c r="H27" s="9"/>
    </row>
    <row r="28" spans="1:14" ht="15.75" customHeight="1" x14ac:dyDescent="0.25">
      <c r="A28" s="14" t="s">
        <v>162</v>
      </c>
      <c r="B28"/>
      <c r="C28"/>
      <c r="D28"/>
      <c r="E28"/>
      <c r="F28"/>
      <c r="G28"/>
      <c r="H28"/>
      <c r="K28" s="59" t="s">
        <v>163</v>
      </c>
      <c r="L28" s="59"/>
      <c r="M28" s="59"/>
    </row>
    <row r="29" spans="1:14" ht="15.75" customHeight="1" x14ac:dyDescent="0.25">
      <c r="A29" s="71" t="s">
        <v>25</v>
      </c>
      <c r="B29" s="71"/>
      <c r="C29" s="71"/>
      <c r="D29" s="71"/>
      <c r="E29" s="71"/>
      <c r="F29" s="71"/>
      <c r="G29" s="71"/>
      <c r="H29" s="9"/>
    </row>
    <row r="30" spans="1:14" ht="15.75" customHeight="1" x14ac:dyDescent="0.35">
      <c r="A30" s="21" t="s">
        <v>138</v>
      </c>
      <c r="B30" s="21"/>
      <c r="C30" s="21"/>
      <c r="D30" s="21"/>
      <c r="E30" s="21"/>
      <c r="F30" s="21"/>
      <c r="G30" s="21"/>
      <c r="H30" s="9"/>
      <c r="K30" s="60" t="s">
        <v>164</v>
      </c>
      <c r="L30" s="60"/>
      <c r="M30" s="60"/>
    </row>
    <row r="31" spans="1:14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14" ht="15.75" customHeight="1" x14ac:dyDescent="0.25">
      <c r="A32" s="22" t="s">
        <v>23</v>
      </c>
      <c r="B32"/>
      <c r="C32"/>
      <c r="D32"/>
      <c r="E32"/>
      <c r="F32"/>
      <c r="G32"/>
      <c r="H32"/>
    </row>
    <row r="33" spans="1:13" ht="15.75" customHeight="1" x14ac:dyDescent="0.25">
      <c r="A33"/>
      <c r="B33" s="45">
        <v>1</v>
      </c>
      <c r="C33" s="45">
        <v>2</v>
      </c>
      <c r="D33" s="45">
        <v>3</v>
      </c>
      <c r="E33" s="45">
        <v>4</v>
      </c>
      <c r="F33" s="45">
        <v>5</v>
      </c>
      <c r="G33" s="45">
        <v>6</v>
      </c>
      <c r="H33" s="45">
        <v>7</v>
      </c>
      <c r="I33" s="45">
        <v>8</v>
      </c>
      <c r="J33" s="45">
        <v>9</v>
      </c>
      <c r="K33" s="45">
        <v>10</v>
      </c>
      <c r="L33" s="45">
        <v>11</v>
      </c>
      <c r="M33" s="45">
        <v>12</v>
      </c>
    </row>
    <row r="34" spans="1:13" ht="15.75" customHeight="1" x14ac:dyDescent="0.25">
      <c r="A34" s="46" t="s">
        <v>27</v>
      </c>
      <c r="B34" s="44" t="str">
        <f>IF(ISBLANK(PCR!D3), "",PCR!D3)</f>
        <v>MJ001</v>
      </c>
      <c r="C34" s="44" t="str">
        <f>IF(ISBLANK(PCR!D11), "",PCR!D11)</f>
        <v>MJ009</v>
      </c>
      <c r="D34" s="44" t="str">
        <f>IF(ISBLANK(PCR!D19), "",PCR!D19)</f>
        <v>MJ014</v>
      </c>
      <c r="E34" s="44" t="str">
        <f>IF(ISBLANK(PCR!D27), "",PCR!D27)</f>
        <v>NTC_PCTB142</v>
      </c>
      <c r="F34" s="44" t="str">
        <f>IF(ISBLANK(PCR!D35), "",PCR!D35)</f>
        <v/>
      </c>
      <c r="G34" s="44" t="str">
        <f>IF(ISBLANK(PCR!D43), "",PCR!D43)</f>
        <v/>
      </c>
      <c r="H34" s="44" t="str">
        <f>IF(ISBLANK(PCR!D51), "",PCR!D51)</f>
        <v/>
      </c>
      <c r="I34" s="44" t="str">
        <f>IF(ISBLANK(PCR!D59), "",PCR!D59)</f>
        <v/>
      </c>
      <c r="J34" s="44" t="str">
        <f>IF(ISBLANK(PCR!D67), "",PCR!D67)</f>
        <v/>
      </c>
      <c r="K34" s="44" t="str">
        <f>IF(ISBLANK(PCR!D75), "",PCR!D75)</f>
        <v/>
      </c>
      <c r="L34" s="44" t="str">
        <f>IF(ISBLANK(PCR!D83), "",PCR!D83)</f>
        <v/>
      </c>
      <c r="M34" s="44" t="str">
        <f>IF(ISBLANK(PCR!D91), "",PCR!D91)</f>
        <v/>
      </c>
    </row>
    <row r="35" spans="1:13" ht="15.75" customHeight="1" x14ac:dyDescent="0.25">
      <c r="A35" s="46" t="s">
        <v>28</v>
      </c>
      <c r="B35" s="44" t="str">
        <f>IF(ISBLANK(PCR!D4), "",PCR!D4)</f>
        <v>MJ002</v>
      </c>
      <c r="C35" s="44" t="str">
        <f>IF(ISBLANK(PCR!D12), "",PCR!D12)</f>
        <v>MJ010</v>
      </c>
      <c r="D35" s="44" t="str">
        <f>IF(ISBLANK(PCR!D20), "",PCR!D20)</f>
        <v>MJ015</v>
      </c>
      <c r="E35" s="44" t="str">
        <f>IF(ISBLANK(PCR!D28), "",PCR!D28)</f>
        <v/>
      </c>
      <c r="F35" s="44" t="str">
        <f>IF(ISBLANK(PCR!D36), "",PCR!D36)</f>
        <v/>
      </c>
      <c r="G35" s="44" t="str">
        <f>IF(ISBLANK(PCR!D44), "",PCR!D44)</f>
        <v/>
      </c>
      <c r="H35" s="44" t="str">
        <f>IF(ISBLANK(PCR!D52), "",PCR!D52)</f>
        <v/>
      </c>
      <c r="I35" s="44" t="str">
        <f>IF(ISBLANK(PCR!D60), "",PCR!D60)</f>
        <v/>
      </c>
      <c r="J35" s="44" t="str">
        <f>IF(ISBLANK(PCR!D68), "",PCR!D68)</f>
        <v/>
      </c>
      <c r="K35" s="44" t="str">
        <f>IF(ISBLANK(PCR!D76), "",PCR!D76)</f>
        <v/>
      </c>
      <c r="L35" s="44" t="str">
        <f>IF(ISBLANK(PCR!D84), "",PCR!D84)</f>
        <v/>
      </c>
      <c r="M35" s="44" t="str">
        <f>IF(ISBLANK(PCR!D92), "",PCR!D92)</f>
        <v/>
      </c>
    </row>
    <row r="36" spans="1:13" ht="15.75" customHeight="1" x14ac:dyDescent="0.25">
      <c r="A36" s="46" t="s">
        <v>29</v>
      </c>
      <c r="B36" s="44" t="str">
        <f>IF(ISBLANK(PCR!D5), "",PCR!D5)</f>
        <v>MJ003</v>
      </c>
      <c r="C36" s="44" t="str">
        <f>IF(ISBLANK(PCR!D13), "",PCR!D13)</f>
        <v>3D7_01a</v>
      </c>
      <c r="D36" s="44" t="str">
        <f>IF(ISBLANK(PCR!D21), "",PCR!D21)</f>
        <v>MJ016</v>
      </c>
      <c r="E36" s="44" t="str">
        <f>IF(ISBLANK(PCR!D29), "",PCR!D29)</f>
        <v/>
      </c>
      <c r="F36" s="44" t="str">
        <f>IF(ISBLANK(PCR!D37), "",PCR!D37)</f>
        <v/>
      </c>
      <c r="G36" s="44" t="str">
        <f>IF(ISBLANK(PCR!D45), "",PCR!D45)</f>
        <v/>
      </c>
      <c r="H36" s="44" t="str">
        <f>IF(ISBLANK(PCR!D53), "",PCR!D53)</f>
        <v/>
      </c>
      <c r="I36" s="44" t="str">
        <f>IF(ISBLANK(PCR!D61), "",PCR!D61)</f>
        <v/>
      </c>
      <c r="J36" s="44" t="str">
        <f>IF(ISBLANK(PCR!D69), "",PCR!D69)</f>
        <v/>
      </c>
      <c r="K36" s="44" t="str">
        <f>IF(ISBLANK(PCR!D77), "",PCR!D77)</f>
        <v/>
      </c>
      <c r="L36" s="44" t="str">
        <f>IF(ISBLANK(PCR!D85), "",PCR!D85)</f>
        <v/>
      </c>
      <c r="M36" s="44" t="str">
        <f>IF(ISBLANK(PCR!D93), "",PCR!D93)</f>
        <v/>
      </c>
    </row>
    <row r="37" spans="1:13" ht="15.75" customHeight="1" x14ac:dyDescent="0.25">
      <c r="A37" s="46" t="s">
        <v>30</v>
      </c>
      <c r="B37" s="44" t="str">
        <f>IF(ISBLANK(PCR!D6), "",PCR!D6)</f>
        <v>MJ004</v>
      </c>
      <c r="C37" s="44" t="str">
        <f>IF(ISBLANK(PCR!D14), "",PCR!D14)</f>
        <v>Dd2_01a</v>
      </c>
      <c r="D37" s="44" t="str">
        <f>IF(ISBLANK(PCR!D22), "",PCR!D22)</f>
        <v>MJ017</v>
      </c>
      <c r="E37" s="44" t="str">
        <f>IF(ISBLANK(PCR!D30), "",PCR!D30)</f>
        <v/>
      </c>
      <c r="F37" s="44" t="str">
        <f>IF(ISBLANK(PCR!D38), "",PCR!D38)</f>
        <v/>
      </c>
      <c r="G37" s="44" t="str">
        <f>IF(ISBLANK(PCR!D46), "",PCR!D46)</f>
        <v/>
      </c>
      <c r="H37" s="44" t="str">
        <f>IF(ISBLANK(PCR!D54), "",PCR!D54)</f>
        <v/>
      </c>
      <c r="I37" s="44" t="str">
        <f>IF(ISBLANK(PCR!D62), "",PCR!D62)</f>
        <v/>
      </c>
      <c r="J37" s="44" t="str">
        <f>IF(ISBLANK(PCR!D70), "",PCR!D70)</f>
        <v/>
      </c>
      <c r="K37" s="44" t="str">
        <f>IF(ISBLANK(PCR!D78), "",PCR!D78)</f>
        <v/>
      </c>
      <c r="L37" s="44" t="str">
        <f>IF(ISBLANK(PCR!D86), "",PCR!D86)</f>
        <v/>
      </c>
      <c r="M37" s="44" t="str">
        <f>IF(ISBLANK(PCR!D94), "",PCR!D94)</f>
        <v/>
      </c>
    </row>
    <row r="38" spans="1:13" ht="15.75" customHeight="1" x14ac:dyDescent="0.25">
      <c r="A38" s="46" t="s">
        <v>31</v>
      </c>
      <c r="B38" s="44" t="str">
        <f>IF(ISBLANK(PCR!D7), "",PCR!D7)</f>
        <v>MJ005</v>
      </c>
      <c r="C38" s="44" t="str">
        <f>IF(ISBLANK(PCR!D15), "",PCR!D15)</f>
        <v>NTC_SWJS032</v>
      </c>
      <c r="D38" s="44" t="str">
        <f>IF(ISBLANK(PCR!D23), "",PCR!D23)</f>
        <v>MJ018</v>
      </c>
      <c r="E38" s="44" t="str">
        <f>IF(ISBLANK(PCR!D31), "",PCR!D31)</f>
        <v/>
      </c>
      <c r="F38" s="44" t="str">
        <f>IF(ISBLANK(PCR!D39), "",PCR!D39)</f>
        <v/>
      </c>
      <c r="G38" s="44" t="str">
        <f>IF(ISBLANK(PCR!D47), "",PCR!D47)</f>
        <v/>
      </c>
      <c r="H38" s="44" t="str">
        <f>IF(ISBLANK(PCR!D55), "",PCR!D55)</f>
        <v/>
      </c>
      <c r="I38" s="44" t="str">
        <f>IF(ISBLANK(PCR!D63), "",PCR!D63)</f>
        <v/>
      </c>
      <c r="J38" s="44" t="str">
        <f>IF(ISBLANK(PCR!D71), "",PCR!D71)</f>
        <v/>
      </c>
      <c r="K38" s="44" t="str">
        <f>IF(ISBLANK(PCR!D79), "",PCR!D79)</f>
        <v/>
      </c>
      <c r="L38" s="44" t="str">
        <f>IF(ISBLANK(PCR!D87), "",PCR!D87)</f>
        <v/>
      </c>
      <c r="M38" s="44" t="str">
        <f>IF(ISBLANK(PCR!D95), "",PCR!D95)</f>
        <v/>
      </c>
    </row>
    <row r="39" spans="1:13" ht="15.75" customHeight="1" x14ac:dyDescent="0.25">
      <c r="A39" s="46" t="s">
        <v>32</v>
      </c>
      <c r="B39" s="44" t="str">
        <f>IF(ISBLANK(PCR!D8), "",PCR!D8)</f>
        <v>MJ006</v>
      </c>
      <c r="C39" s="44" t="str">
        <f>IF(ISBLANK(PCR!D16), "",PCR!D16)</f>
        <v>MJ010</v>
      </c>
      <c r="D39" s="44" t="str">
        <f>IF(ISBLANK(PCR!D24), "",PCR!D24)</f>
        <v>3D7_01a</v>
      </c>
      <c r="E39" s="44" t="str">
        <f>IF(ISBLANK(PCR!D32), "",PCR!D32)</f>
        <v/>
      </c>
      <c r="F39" s="44" t="str">
        <f>IF(ISBLANK(PCR!D40), "",PCR!D40)</f>
        <v/>
      </c>
      <c r="G39" s="44" t="str">
        <f>IF(ISBLANK(PCR!D48), "",PCR!D48)</f>
        <v/>
      </c>
      <c r="H39" s="44" t="str">
        <f>IF(ISBLANK(PCR!D56), "",PCR!D56)</f>
        <v/>
      </c>
      <c r="I39" s="44" t="str">
        <f>IF(ISBLANK(PCR!D64), "",PCR!D64)</f>
        <v/>
      </c>
      <c r="J39" s="44" t="str">
        <f>IF(ISBLANK(PCR!D72), "",PCR!D72)</f>
        <v/>
      </c>
      <c r="K39" s="44" t="str">
        <f>IF(ISBLANK(PCR!D80), "",PCR!D80)</f>
        <v/>
      </c>
      <c r="L39" s="44" t="str">
        <f>IF(ISBLANK(PCR!D88), "",PCR!D88)</f>
        <v/>
      </c>
      <c r="M39" s="44" t="str">
        <f>IF(ISBLANK(PCR!D96), "",PCR!D96)</f>
        <v/>
      </c>
    </row>
    <row r="40" spans="1:13" ht="15.75" customHeight="1" x14ac:dyDescent="0.25">
      <c r="A40" s="46" t="s">
        <v>33</v>
      </c>
      <c r="B40" s="44" t="str">
        <f>IF(ISBLANK(PCR!D9), "",PCR!D9)</f>
        <v>MJ007</v>
      </c>
      <c r="C40" s="44" t="str">
        <f>IF(ISBLANK(PCR!D17), "",PCR!D17)</f>
        <v>MJ011</v>
      </c>
      <c r="D40" s="44" t="str">
        <f>IF(ISBLANK(PCR!D25), "",PCR!D25)</f>
        <v>Dd2_01a</v>
      </c>
      <c r="E40" s="44" t="str">
        <f>IF(ISBLANK(PCR!D33), "",PCR!D33)</f>
        <v/>
      </c>
      <c r="F40" s="44" t="str">
        <f>IF(ISBLANK(PCR!D41), "",PCR!D41)</f>
        <v/>
      </c>
      <c r="G40" s="44" t="str">
        <f>IF(ISBLANK(PCR!D49), "",PCR!D49)</f>
        <v/>
      </c>
      <c r="H40" s="44" t="str">
        <f>IF(ISBLANK(PCR!D57), "",PCR!D57)</f>
        <v/>
      </c>
      <c r="I40" s="44" t="str">
        <f>IF(ISBLANK(PCR!D65), "",PCR!D65)</f>
        <v/>
      </c>
      <c r="J40" s="44" t="str">
        <f>IF(ISBLANK(PCR!D73), "",PCR!D73)</f>
        <v/>
      </c>
      <c r="K40" s="44" t="str">
        <f>IF(ISBLANK(PCR!D81), "",PCR!D81)</f>
        <v/>
      </c>
      <c r="L40" s="44" t="str">
        <f>IF(ISBLANK(PCR!D89), "",PCR!D89)</f>
        <v/>
      </c>
      <c r="M40" s="44" t="str">
        <f>IF(ISBLANK(PCR!D97), "",PCR!D97)</f>
        <v/>
      </c>
    </row>
    <row r="41" spans="1:13" ht="15.75" customHeight="1" x14ac:dyDescent="0.25">
      <c r="A41" s="46" t="s">
        <v>34</v>
      </c>
      <c r="B41" s="44" t="str">
        <f>IF(ISBLANK(PCR!D10), "",PCR!D10)</f>
        <v>MJ008</v>
      </c>
      <c r="C41" s="44" t="str">
        <f>IF(ISBLANK(PCR!D18), "",PCR!D18)</f>
        <v>MJ012</v>
      </c>
      <c r="D41" s="44" t="str">
        <f>IF(ISBLANK(PCR!D26), "",PCR!D26)</f>
        <v>NTC_SWFW094</v>
      </c>
      <c r="E41" s="44" t="str">
        <f>IF(ISBLANK(PCR!D34), "",PCR!D34)</f>
        <v/>
      </c>
      <c r="F41" s="44" t="str">
        <f>IF(ISBLANK(PCR!D42), "",PCR!D42)</f>
        <v/>
      </c>
      <c r="G41" s="44" t="str">
        <f>IF(ISBLANK(PCR!D50), "",PCR!D50)</f>
        <v/>
      </c>
      <c r="H41" s="44" t="str">
        <f>IF(ISBLANK(PCR!D58), "",PCR!D58)</f>
        <v/>
      </c>
      <c r="I41" s="44" t="str">
        <f>IF(ISBLANK(PCR!D66), "",PCR!D66)</f>
        <v/>
      </c>
      <c r="J41" s="44" t="str">
        <f>IF(ISBLANK(PCR!D74), "",PCR!D74)</f>
        <v/>
      </c>
      <c r="K41" s="44" t="str">
        <f>IF(ISBLANK(PCR!D82), "",PCR!D82)</f>
        <v/>
      </c>
      <c r="L41" s="44" t="str">
        <f>IF(ISBLANK(PCR!D90), "",PCR!D90)</f>
        <v/>
      </c>
      <c r="M41" s="44" t="str">
        <f>IF(ISBLANK(PCR!D98), "",PCR!D98)</f>
        <v/>
      </c>
    </row>
    <row r="42" spans="1:13" ht="15.75" customHeight="1" x14ac:dyDescent="0.25">
      <c r="A42" s="9"/>
    </row>
  </sheetData>
  <mergeCells count="70">
    <mergeCell ref="F22:G22"/>
    <mergeCell ref="F21:G21"/>
    <mergeCell ref="D20:E20"/>
    <mergeCell ref="D21:E21"/>
    <mergeCell ref="D22:E22"/>
    <mergeCell ref="A29:G29"/>
    <mergeCell ref="A2:B2"/>
    <mergeCell ref="A11:B11"/>
    <mergeCell ref="A5:B5"/>
    <mergeCell ref="A15:B15"/>
    <mergeCell ref="A12:B12"/>
    <mergeCell ref="A23:C23"/>
    <mergeCell ref="A24:C24"/>
    <mergeCell ref="A4:B4"/>
    <mergeCell ref="C4:F4"/>
    <mergeCell ref="F20:G20"/>
    <mergeCell ref="A25:C25"/>
    <mergeCell ref="A26:C26"/>
    <mergeCell ref="A21:C21"/>
    <mergeCell ref="A22:C22"/>
    <mergeCell ref="C8:F8"/>
    <mergeCell ref="C9:F9"/>
    <mergeCell ref="A7:B7"/>
    <mergeCell ref="C7:F7"/>
    <mergeCell ref="A8:B8"/>
    <mergeCell ref="D27:E27"/>
    <mergeCell ref="F26:G26"/>
    <mergeCell ref="F25:G25"/>
    <mergeCell ref="F24:G24"/>
    <mergeCell ref="F23:G23"/>
    <mergeCell ref="D25:E25"/>
    <mergeCell ref="D26:E26"/>
    <mergeCell ref="D23:E23"/>
    <mergeCell ref="D24:E24"/>
    <mergeCell ref="A9:B9"/>
    <mergeCell ref="A10:B10"/>
    <mergeCell ref="C10:H10"/>
    <mergeCell ref="C11:F11"/>
    <mergeCell ref="C12:F12"/>
    <mergeCell ref="J20:K20"/>
    <mergeCell ref="A20:C20"/>
    <mergeCell ref="A13:B13"/>
    <mergeCell ref="C13:F13"/>
    <mergeCell ref="A16:B16"/>
    <mergeCell ref="C16:K17"/>
    <mergeCell ref="A14:B14"/>
    <mergeCell ref="C14:F14"/>
    <mergeCell ref="C15:F15"/>
    <mergeCell ref="H19:I19"/>
    <mergeCell ref="A1:M1"/>
    <mergeCell ref="G2:H2"/>
    <mergeCell ref="A3:B3"/>
    <mergeCell ref="A6:B6"/>
    <mergeCell ref="C2:F2"/>
    <mergeCell ref="C3:F3"/>
    <mergeCell ref="C5:F5"/>
    <mergeCell ref="C6:F6"/>
    <mergeCell ref="K28:M28"/>
    <mergeCell ref="K30:M30"/>
    <mergeCell ref="K3:L3"/>
    <mergeCell ref="K4:L4"/>
    <mergeCell ref="K2:L2"/>
    <mergeCell ref="J21:K21"/>
    <mergeCell ref="J22:K22"/>
    <mergeCell ref="J23:K23"/>
    <mergeCell ref="J24:K24"/>
    <mergeCell ref="J25:K25"/>
    <mergeCell ref="J26:K26"/>
    <mergeCell ref="K5:L6"/>
    <mergeCell ref="M22:M24"/>
  </mergeCells>
  <conditionalFormatting sqref="C2:C4">
    <cfRule type="expression" dxfId="4" priority="1">
      <formula>COUNTIF(C2,"")</formula>
    </cfRule>
  </conditionalFormatting>
  <conditionalFormatting sqref="C7:C8">
    <cfRule type="expression" dxfId="3" priority="2">
      <formula>COUNTIF(C7,"")</formula>
    </cfRule>
  </conditionalFormatting>
  <conditionalFormatting sqref="C11 C14:C16 H19">
    <cfRule type="expression" dxfId="2" priority="12">
      <formula>COUNTIF(C11,"")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DC75C9-791B-4E82-A9A3-D2BDFD36107F}">
          <x14:formula1>
            <xm:f>reference!$P$3:$P$5</xm:f>
          </x14:formula1>
          <xm:sqref>C7:F7</xm:sqref>
        </x14:dataValidation>
        <x14:dataValidation type="list" allowBlank="1" showInputMessage="1" showErrorMessage="1" xr:uid="{A7FF4FB8-46D6-44CC-B8C5-ADFDB2C0B6F7}">
          <x14:formula1>
            <xm:f>reference!$E$8:$E$9</xm:f>
          </x14:formula1>
          <xm:sqref>H19:I19</xm:sqref>
        </x14:dataValidation>
        <x14:dataValidation type="list" allowBlank="1" showInputMessage="1" showErrorMessage="1" xr:uid="{58C9E0CC-D820-49E0-B8FE-F2C4BD08D2E5}">
          <x14:formula1>
            <xm:f>reference!$E$3:$E$5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F23" sqref="F23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C1" s="96" t="s">
        <v>20</v>
      </c>
      <c r="D1" s="97"/>
      <c r="E1" s="41" t="s">
        <v>1</v>
      </c>
      <c r="F1" s="98" t="s">
        <v>2</v>
      </c>
      <c r="G1" s="99"/>
      <c r="H1" s="99"/>
      <c r="I1" s="99"/>
      <c r="J1" s="100"/>
    </row>
    <row r="2" spans="1:10" s="2" customFormat="1" ht="47.25" x14ac:dyDescent="0.25">
      <c r="A2" s="28" t="s">
        <v>35</v>
      </c>
      <c r="B2" s="28" t="s">
        <v>133</v>
      </c>
      <c r="C2" s="29" t="s">
        <v>5</v>
      </c>
      <c r="D2" s="29" t="s">
        <v>21</v>
      </c>
      <c r="E2" s="30" t="s">
        <v>196</v>
      </c>
      <c r="F2" s="31" t="s">
        <v>197</v>
      </c>
      <c r="G2" s="31" t="s">
        <v>157</v>
      </c>
      <c r="H2" s="31" t="s">
        <v>134</v>
      </c>
      <c r="I2" s="31" t="s">
        <v>158</v>
      </c>
      <c r="J2" s="31" t="s">
        <v>36</v>
      </c>
    </row>
    <row r="3" spans="1:10" ht="15.75" customHeight="1" x14ac:dyDescent="0.25">
      <c r="A3" s="23">
        <v>1</v>
      </c>
      <c r="B3" s="35" t="s">
        <v>37</v>
      </c>
      <c r="C3" s="49" t="s">
        <v>263</v>
      </c>
      <c r="D3" s="49" t="s">
        <v>264</v>
      </c>
      <c r="E3" s="45" t="s">
        <v>265</v>
      </c>
      <c r="F3" s="32" t="str">
        <f>IF(LEN(tbl_PCR[[#This Row],[sWGA identifier]])=0,"",CONCATENATE(exp_id,"_",tbl_PCR[[#This Row],[Well]]))</f>
        <v>PCTB142_A1</v>
      </c>
      <c r="G3" s="33">
        <v>70</v>
      </c>
      <c r="H3" s="33">
        <v>1</v>
      </c>
      <c r="I3" s="36">
        <f t="shared" ref="I3:I67" si="0">IF(OR(G3="",H3=""),"",SUM(G3*H3))</f>
        <v>70</v>
      </c>
      <c r="J3" s="32" t="s">
        <v>332</v>
      </c>
    </row>
    <row r="4" spans="1:10" ht="15.75" customHeight="1" x14ac:dyDescent="0.25">
      <c r="A4" s="23">
        <v>2</v>
      </c>
      <c r="B4" s="35" t="s">
        <v>49</v>
      </c>
      <c r="C4" s="49" t="s">
        <v>266</v>
      </c>
      <c r="D4" s="49" t="s">
        <v>267</v>
      </c>
      <c r="E4" s="45" t="s">
        <v>268</v>
      </c>
      <c r="F4" s="16" t="str">
        <f>IF(LEN(tbl_PCR[[#This Row],[sWGA identifier]])=0,"",CONCATENATE(exp_id,"_",tbl_PCR[[#This Row],[Well]]))</f>
        <v>PCTB142_B1</v>
      </c>
      <c r="G4" s="3">
        <v>48.6</v>
      </c>
      <c r="H4" s="33">
        <v>1</v>
      </c>
      <c r="I4" s="4">
        <f t="shared" si="0"/>
        <v>48.6</v>
      </c>
      <c r="J4" s="32" t="s">
        <v>332</v>
      </c>
    </row>
    <row r="5" spans="1:10" ht="15.75" customHeight="1" x14ac:dyDescent="0.25">
      <c r="A5" s="23">
        <v>3</v>
      </c>
      <c r="B5" s="35" t="s">
        <v>58</v>
      </c>
      <c r="C5" s="49" t="s">
        <v>269</v>
      </c>
      <c r="D5" s="49" t="s">
        <v>270</v>
      </c>
      <c r="E5" s="45" t="s">
        <v>271</v>
      </c>
      <c r="F5" s="16" t="str">
        <f>IF(LEN(tbl_PCR[[#This Row],[sWGA identifier]])=0,"",CONCATENATE(exp_id,"_",tbl_PCR[[#This Row],[Well]]))</f>
        <v>PCTB142_C1</v>
      </c>
      <c r="G5" s="33">
        <v>40.200000000000003</v>
      </c>
      <c r="H5" s="33">
        <v>1</v>
      </c>
      <c r="I5" s="4">
        <f t="shared" si="0"/>
        <v>40.200000000000003</v>
      </c>
      <c r="J5" s="32" t="s">
        <v>332</v>
      </c>
    </row>
    <row r="6" spans="1:10" ht="15.75" customHeight="1" x14ac:dyDescent="0.25">
      <c r="A6" s="23">
        <v>4</v>
      </c>
      <c r="B6" s="35" t="s">
        <v>60</v>
      </c>
      <c r="C6" s="49" t="s">
        <v>272</v>
      </c>
      <c r="D6" s="49" t="s">
        <v>273</v>
      </c>
      <c r="E6" s="45" t="s">
        <v>274</v>
      </c>
      <c r="F6" s="16" t="str">
        <f>IF(LEN(tbl_PCR[[#This Row],[sWGA identifier]])=0,"",CONCATENATE(exp_id,"_",tbl_PCR[[#This Row],[Well]]))</f>
        <v>PCTB142_D1</v>
      </c>
      <c r="G6" s="3">
        <v>42.2</v>
      </c>
      <c r="H6" s="33">
        <v>1</v>
      </c>
      <c r="I6" s="4">
        <f t="shared" si="0"/>
        <v>42.2</v>
      </c>
      <c r="J6" s="32" t="s">
        <v>332</v>
      </c>
    </row>
    <row r="7" spans="1:10" ht="15.75" customHeight="1" x14ac:dyDescent="0.25">
      <c r="A7" s="23">
        <v>5</v>
      </c>
      <c r="B7" s="35" t="s">
        <v>62</v>
      </c>
      <c r="C7" s="49" t="s">
        <v>275</v>
      </c>
      <c r="D7" s="49" t="s">
        <v>276</v>
      </c>
      <c r="E7" s="45" t="s">
        <v>277</v>
      </c>
      <c r="F7" s="16" t="str">
        <f>IF(LEN(tbl_PCR[[#This Row],[sWGA identifier]])=0,"",CONCATENATE(exp_id,"_",tbl_PCR[[#This Row],[Well]]))</f>
        <v>PCTB142_E1</v>
      </c>
      <c r="G7" s="33">
        <v>41.2</v>
      </c>
      <c r="H7" s="33">
        <v>1</v>
      </c>
      <c r="I7" s="4">
        <f t="shared" si="0"/>
        <v>41.2</v>
      </c>
      <c r="J7" s="32" t="s">
        <v>332</v>
      </c>
    </row>
    <row r="8" spans="1:10" ht="15.75" customHeight="1" x14ac:dyDescent="0.25">
      <c r="A8" s="23">
        <v>6</v>
      </c>
      <c r="B8" s="35" t="s">
        <v>63</v>
      </c>
      <c r="C8" s="49" t="s">
        <v>278</v>
      </c>
      <c r="D8" s="49" t="s">
        <v>279</v>
      </c>
      <c r="E8" s="45" t="s">
        <v>280</v>
      </c>
      <c r="F8" s="16" t="str">
        <f>IF(LEN(tbl_PCR[[#This Row],[sWGA identifier]])=0,"",CONCATENATE(exp_id,"_",tbl_PCR[[#This Row],[Well]]))</f>
        <v>PCTB142_F1</v>
      </c>
      <c r="G8" s="3">
        <v>7.3</v>
      </c>
      <c r="H8" s="33">
        <v>1</v>
      </c>
      <c r="I8" s="4">
        <f t="shared" si="0"/>
        <v>7.3</v>
      </c>
      <c r="J8" s="32" t="s">
        <v>331</v>
      </c>
    </row>
    <row r="9" spans="1:10" ht="15.75" customHeight="1" x14ac:dyDescent="0.25">
      <c r="A9" s="23">
        <v>7</v>
      </c>
      <c r="B9" s="35" t="s">
        <v>64</v>
      </c>
      <c r="C9" s="49" t="s">
        <v>281</v>
      </c>
      <c r="D9" s="49" t="s">
        <v>282</v>
      </c>
      <c r="E9" s="45" t="s">
        <v>283</v>
      </c>
      <c r="F9" s="16" t="str">
        <f>IF(LEN(tbl_PCR[[#This Row],[sWGA identifier]])=0,"",CONCATENATE(exp_id,"_",tbl_PCR[[#This Row],[Well]]))</f>
        <v>PCTB142_G1</v>
      </c>
      <c r="G9" s="33">
        <v>37.799999999999997</v>
      </c>
      <c r="H9" s="33">
        <v>1</v>
      </c>
      <c r="I9" s="4">
        <f t="shared" si="0"/>
        <v>37.799999999999997</v>
      </c>
      <c r="J9" s="32" t="s">
        <v>332</v>
      </c>
    </row>
    <row r="10" spans="1:10" ht="15.75" customHeight="1" x14ac:dyDescent="0.25">
      <c r="A10" s="23">
        <v>8</v>
      </c>
      <c r="B10" s="35" t="s">
        <v>65</v>
      </c>
      <c r="C10" s="49" t="s">
        <v>284</v>
      </c>
      <c r="D10" s="49" t="s">
        <v>285</v>
      </c>
      <c r="E10" s="50" t="s">
        <v>286</v>
      </c>
      <c r="F10" s="16" t="str">
        <f>IF(LEN(tbl_PCR[[#This Row],[sWGA identifier]])=0,"",CONCATENATE(exp_id,"_",tbl_PCR[[#This Row],[Well]]))</f>
        <v>PCTB142_H1</v>
      </c>
      <c r="G10" s="3">
        <v>22.2</v>
      </c>
      <c r="H10" s="33">
        <v>1</v>
      </c>
      <c r="I10" s="4">
        <f t="shared" si="0"/>
        <v>22.2</v>
      </c>
      <c r="J10" s="32" t="s">
        <v>332</v>
      </c>
    </row>
    <row r="11" spans="1:10" ht="15.75" customHeight="1" x14ac:dyDescent="0.25">
      <c r="A11" s="23">
        <v>9</v>
      </c>
      <c r="B11" s="35" t="s">
        <v>38</v>
      </c>
      <c r="C11" s="49" t="s">
        <v>287</v>
      </c>
      <c r="D11" s="34" t="s">
        <v>288</v>
      </c>
      <c r="E11" s="50" t="s">
        <v>289</v>
      </c>
      <c r="F11" s="16" t="str">
        <f>IF(LEN(tbl_PCR[[#This Row],[sWGA identifier]])=0,"",CONCATENATE(exp_id,"_",tbl_PCR[[#This Row],[Well]]))</f>
        <v>PCTB142_A2</v>
      </c>
      <c r="G11" s="3">
        <v>65.599999999999994</v>
      </c>
      <c r="H11" s="3">
        <v>1</v>
      </c>
      <c r="I11" s="4">
        <f t="shared" si="0"/>
        <v>65.599999999999994</v>
      </c>
      <c r="J11" s="32" t="s">
        <v>332</v>
      </c>
    </row>
    <row r="12" spans="1:10" ht="15.75" customHeight="1" x14ac:dyDescent="0.25">
      <c r="A12" s="23">
        <v>10</v>
      </c>
      <c r="B12" s="35" t="s">
        <v>50</v>
      </c>
      <c r="C12" s="49" t="s">
        <v>290</v>
      </c>
      <c r="D12" s="34" t="s">
        <v>291</v>
      </c>
      <c r="E12" s="50" t="s">
        <v>292</v>
      </c>
      <c r="F12" s="16" t="str">
        <f>IF(LEN(tbl_PCR[[#This Row],[sWGA identifier]])=0,"",CONCATENATE(exp_id,"_",tbl_PCR[[#This Row],[Well]]))</f>
        <v>PCTB142_B2</v>
      </c>
      <c r="G12" s="3">
        <v>54.4</v>
      </c>
      <c r="H12" s="3">
        <v>1</v>
      </c>
      <c r="I12" s="4">
        <f t="shared" si="0"/>
        <v>54.4</v>
      </c>
      <c r="J12" s="32" t="s">
        <v>332</v>
      </c>
    </row>
    <row r="13" spans="1:10" ht="15.75" customHeight="1" x14ac:dyDescent="0.25">
      <c r="A13" s="23">
        <v>11</v>
      </c>
      <c r="B13" s="35" t="s">
        <v>59</v>
      </c>
      <c r="C13" s="49" t="s">
        <v>293</v>
      </c>
      <c r="D13" s="34" t="s">
        <v>294</v>
      </c>
      <c r="E13" s="50" t="s">
        <v>295</v>
      </c>
      <c r="F13" s="16" t="str">
        <f>IF(LEN(tbl_PCR[[#This Row],[sWGA identifier]])=0,"",CONCATENATE(exp_id,"_",tbl_PCR[[#This Row],[Well]]))</f>
        <v>PCTB142_C2</v>
      </c>
      <c r="G13" s="3">
        <v>121</v>
      </c>
      <c r="H13" s="3">
        <v>1</v>
      </c>
      <c r="I13" s="4">
        <f t="shared" si="0"/>
        <v>121</v>
      </c>
      <c r="J13" s="32" t="s">
        <v>332</v>
      </c>
    </row>
    <row r="14" spans="1:10" ht="15.75" customHeight="1" x14ac:dyDescent="0.25">
      <c r="A14" s="23">
        <v>12</v>
      </c>
      <c r="B14" s="35" t="s">
        <v>61</v>
      </c>
      <c r="C14" s="49" t="s">
        <v>296</v>
      </c>
      <c r="D14" s="34" t="s">
        <v>297</v>
      </c>
      <c r="E14" s="50" t="s">
        <v>298</v>
      </c>
      <c r="F14" s="16" t="str">
        <f>IF(LEN(tbl_PCR[[#This Row],[sWGA identifier]])=0,"",CONCATENATE(exp_id,"_",tbl_PCR[[#This Row],[Well]]))</f>
        <v>PCTB142_D2</v>
      </c>
      <c r="G14" s="3">
        <v>94.6</v>
      </c>
      <c r="H14" s="3">
        <v>1</v>
      </c>
      <c r="I14" s="4">
        <f t="shared" si="0"/>
        <v>94.6</v>
      </c>
      <c r="J14" s="32" t="s">
        <v>332</v>
      </c>
    </row>
    <row r="15" spans="1:10" ht="15.75" customHeight="1" x14ac:dyDescent="0.25">
      <c r="A15" s="23">
        <v>13</v>
      </c>
      <c r="B15" s="35" t="s">
        <v>66</v>
      </c>
      <c r="C15" s="49" t="s">
        <v>299</v>
      </c>
      <c r="D15" s="34" t="s">
        <v>300</v>
      </c>
      <c r="E15" s="50" t="s">
        <v>301</v>
      </c>
      <c r="F15" s="16" t="str">
        <f>IF(LEN(tbl_PCR[[#This Row],[sWGA identifier]])=0,"",CONCATENATE(exp_id,"_",tbl_PCR[[#This Row],[Well]]))</f>
        <v>PCTB142_E2</v>
      </c>
      <c r="G15" s="3">
        <v>1.4</v>
      </c>
      <c r="H15" s="3">
        <v>1</v>
      </c>
      <c r="I15" s="4">
        <f t="shared" si="0"/>
        <v>1.4</v>
      </c>
      <c r="J15" s="32" t="s">
        <v>332</v>
      </c>
    </row>
    <row r="16" spans="1:10" ht="15.75" customHeight="1" x14ac:dyDescent="0.25">
      <c r="A16" s="23">
        <v>14</v>
      </c>
      <c r="B16" s="35" t="s">
        <v>67</v>
      </c>
      <c r="C16" s="49" t="s">
        <v>302</v>
      </c>
      <c r="D16" s="34" t="s">
        <v>291</v>
      </c>
      <c r="E16" s="50" t="s">
        <v>303</v>
      </c>
      <c r="F16" s="16" t="str">
        <f>IF(LEN(tbl_PCR[[#This Row],[sWGA identifier]])=0,"",CONCATENATE(exp_id,"_",tbl_PCR[[#This Row],[Well]]))</f>
        <v>PCTB142_F2</v>
      </c>
      <c r="G16" s="3">
        <v>2.66</v>
      </c>
      <c r="H16" s="3">
        <v>1</v>
      </c>
      <c r="I16" s="4">
        <f t="shared" si="0"/>
        <v>2.66</v>
      </c>
      <c r="J16" s="32" t="s">
        <v>331</v>
      </c>
    </row>
    <row r="17" spans="1:10" ht="15.75" customHeight="1" x14ac:dyDescent="0.25">
      <c r="A17" s="23">
        <v>15</v>
      </c>
      <c r="B17" s="35" t="s">
        <v>68</v>
      </c>
      <c r="C17" s="49" t="s">
        <v>304</v>
      </c>
      <c r="D17" s="34" t="s">
        <v>305</v>
      </c>
      <c r="E17" s="50" t="s">
        <v>306</v>
      </c>
      <c r="F17" s="16" t="str">
        <f>IF(LEN(tbl_PCR[[#This Row],[sWGA identifier]])=0,"",CONCATENATE(exp_id,"_",tbl_PCR[[#This Row],[Well]]))</f>
        <v>PCTB142_G2</v>
      </c>
      <c r="G17" s="3">
        <v>20.2</v>
      </c>
      <c r="H17" s="3">
        <v>1</v>
      </c>
      <c r="I17" s="4">
        <f t="shared" si="0"/>
        <v>20.2</v>
      </c>
      <c r="J17" s="32" t="s">
        <v>332</v>
      </c>
    </row>
    <row r="18" spans="1:10" ht="15.75" customHeight="1" x14ac:dyDescent="0.25">
      <c r="A18" s="23">
        <v>16</v>
      </c>
      <c r="B18" s="35" t="s">
        <v>69</v>
      </c>
      <c r="C18" s="49" t="s">
        <v>307</v>
      </c>
      <c r="D18" s="34" t="s">
        <v>308</v>
      </c>
      <c r="E18" s="50" t="s">
        <v>309</v>
      </c>
      <c r="F18" s="16" t="str">
        <f>IF(LEN(tbl_PCR[[#This Row],[sWGA identifier]])=0,"",CONCATENATE(exp_id,"_",tbl_PCR[[#This Row],[Well]]))</f>
        <v>PCTB142_H2</v>
      </c>
      <c r="G18" s="3">
        <v>22.4</v>
      </c>
      <c r="H18" s="3">
        <v>1</v>
      </c>
      <c r="I18" s="4">
        <f t="shared" si="0"/>
        <v>22.4</v>
      </c>
      <c r="J18" s="32" t="s">
        <v>332</v>
      </c>
    </row>
    <row r="19" spans="1:10" ht="15.75" customHeight="1" x14ac:dyDescent="0.25">
      <c r="A19" s="23">
        <v>17</v>
      </c>
      <c r="B19" s="35" t="s">
        <v>39</v>
      </c>
      <c r="C19" s="49" t="s">
        <v>310</v>
      </c>
      <c r="D19" s="34" t="s">
        <v>311</v>
      </c>
      <c r="E19" s="50" t="s">
        <v>312</v>
      </c>
      <c r="F19" s="16" t="str">
        <f>IF(LEN(tbl_PCR[[#This Row],[sWGA identifier]])=0,"",CONCATENATE(exp_id,"_",tbl_PCR[[#This Row],[Well]]))</f>
        <v>PCTB142_A3</v>
      </c>
      <c r="G19" s="3">
        <v>51.4</v>
      </c>
      <c r="H19" s="3">
        <v>1</v>
      </c>
      <c r="I19" s="4">
        <f t="shared" si="0"/>
        <v>51.4</v>
      </c>
      <c r="J19" s="32" t="s">
        <v>332</v>
      </c>
    </row>
    <row r="20" spans="1:10" ht="15.75" customHeight="1" x14ac:dyDescent="0.25">
      <c r="A20" s="23">
        <v>18</v>
      </c>
      <c r="B20" s="35" t="s">
        <v>51</v>
      </c>
      <c r="C20" s="49" t="s">
        <v>313</v>
      </c>
      <c r="D20" s="34" t="s">
        <v>314</v>
      </c>
      <c r="E20" s="50" t="s">
        <v>315</v>
      </c>
      <c r="F20" s="16" t="str">
        <f>IF(LEN(tbl_PCR[[#This Row],[sWGA identifier]])=0,"",CONCATENATE(exp_id,"_",tbl_PCR[[#This Row],[Well]]))</f>
        <v>PCTB142_B3</v>
      </c>
      <c r="G20" s="3">
        <v>14.2</v>
      </c>
      <c r="H20" s="3">
        <v>1</v>
      </c>
      <c r="I20" s="4">
        <f t="shared" si="0"/>
        <v>14.2</v>
      </c>
      <c r="J20" s="32" t="s">
        <v>332</v>
      </c>
    </row>
    <row r="21" spans="1:10" ht="15.75" customHeight="1" x14ac:dyDescent="0.25">
      <c r="A21" s="23">
        <v>19</v>
      </c>
      <c r="B21" s="35" t="s">
        <v>70</v>
      </c>
      <c r="C21" s="49" t="s">
        <v>316</v>
      </c>
      <c r="D21" s="34" t="s">
        <v>317</v>
      </c>
      <c r="E21" s="50" t="s">
        <v>318</v>
      </c>
      <c r="F21" s="16" t="str">
        <f>IF(LEN(tbl_PCR[[#This Row],[sWGA identifier]])=0,"",CONCATENATE(exp_id,"_",tbl_PCR[[#This Row],[Well]]))</f>
        <v>PCTB142_C3</v>
      </c>
      <c r="G21" s="3">
        <v>21.6</v>
      </c>
      <c r="H21" s="3">
        <v>1</v>
      </c>
      <c r="I21" s="4">
        <f t="shared" si="0"/>
        <v>21.6</v>
      </c>
      <c r="J21" s="32" t="s">
        <v>332</v>
      </c>
    </row>
    <row r="22" spans="1:10" ht="15.75" customHeight="1" x14ac:dyDescent="0.25">
      <c r="A22" s="23">
        <v>20</v>
      </c>
      <c r="B22" s="23" t="s">
        <v>71</v>
      </c>
      <c r="C22" s="49" t="s">
        <v>319</v>
      </c>
      <c r="D22" s="34" t="s">
        <v>320</v>
      </c>
      <c r="E22" s="50" t="s">
        <v>321</v>
      </c>
      <c r="F22" s="16" t="str">
        <f>IF(LEN(tbl_PCR[[#This Row],[sWGA identifier]])=0,"",CONCATENATE(exp_id,"_",tbl_PCR[[#This Row],[Well]]))</f>
        <v>PCTB142_D3</v>
      </c>
      <c r="G22" s="3">
        <v>43.8</v>
      </c>
      <c r="H22" s="3">
        <v>1</v>
      </c>
      <c r="I22" s="4">
        <f t="shared" si="0"/>
        <v>43.8</v>
      </c>
      <c r="J22" s="32" t="s">
        <v>332</v>
      </c>
    </row>
    <row r="23" spans="1:10" ht="15.75" customHeight="1" x14ac:dyDescent="0.25">
      <c r="A23" s="23">
        <v>21</v>
      </c>
      <c r="B23" s="23" t="s">
        <v>72</v>
      </c>
      <c r="C23" s="49" t="s">
        <v>322</v>
      </c>
      <c r="D23" s="34" t="s">
        <v>323</v>
      </c>
      <c r="E23" s="50" t="s">
        <v>324</v>
      </c>
      <c r="F23" s="16" t="str">
        <f>IF(LEN(tbl_PCR[[#This Row],[sWGA identifier]])=0,"",CONCATENATE(exp_id,"_",tbl_PCR[[#This Row],[Well]]))</f>
        <v>PCTB142_E3</v>
      </c>
      <c r="G23" s="3">
        <v>28.8</v>
      </c>
      <c r="H23" s="3">
        <v>1</v>
      </c>
      <c r="I23" s="4">
        <f t="shared" si="0"/>
        <v>28.8</v>
      </c>
      <c r="J23" s="32" t="s">
        <v>332</v>
      </c>
    </row>
    <row r="24" spans="1:10" ht="15.75" customHeight="1" x14ac:dyDescent="0.25">
      <c r="A24" s="23">
        <v>22</v>
      </c>
      <c r="B24" s="23" t="s">
        <v>73</v>
      </c>
      <c r="C24" s="49" t="s">
        <v>293</v>
      </c>
      <c r="D24" s="34" t="s">
        <v>294</v>
      </c>
      <c r="E24" s="50" t="s">
        <v>325</v>
      </c>
      <c r="F24" s="16" t="str">
        <f>IF(LEN(tbl_PCR[[#This Row],[sWGA identifier]])=0,"",CONCATENATE(exp_id,"_",tbl_PCR[[#This Row],[Well]]))</f>
        <v>PCTB142_F3</v>
      </c>
      <c r="G24" s="3">
        <v>145.30000000000001</v>
      </c>
      <c r="H24" s="3">
        <v>1</v>
      </c>
      <c r="I24" s="4">
        <f t="shared" si="0"/>
        <v>145.30000000000001</v>
      </c>
      <c r="J24" s="32" t="s">
        <v>332</v>
      </c>
    </row>
    <row r="25" spans="1:10" ht="15.75" customHeight="1" x14ac:dyDescent="0.25">
      <c r="A25" s="23">
        <v>23</v>
      </c>
      <c r="B25" s="23" t="s">
        <v>74</v>
      </c>
      <c r="C25" s="49" t="s">
        <v>296</v>
      </c>
      <c r="D25" s="34" t="s">
        <v>297</v>
      </c>
      <c r="E25" s="50" t="s">
        <v>326</v>
      </c>
      <c r="F25" s="16" t="str">
        <f>IF(LEN(tbl_PCR[[#This Row],[sWGA identifier]])=0,"",CONCATENATE(exp_id,"_",tbl_PCR[[#This Row],[Well]]))</f>
        <v>PCTB142_G3</v>
      </c>
      <c r="G25" s="3">
        <v>154.30000000000001</v>
      </c>
      <c r="H25" s="3">
        <v>1</v>
      </c>
      <c r="I25" s="4">
        <f t="shared" si="0"/>
        <v>154.30000000000001</v>
      </c>
      <c r="J25" s="32" t="s">
        <v>332</v>
      </c>
    </row>
    <row r="26" spans="1:10" ht="15.75" customHeight="1" x14ac:dyDescent="0.25">
      <c r="A26" s="23">
        <v>24</v>
      </c>
      <c r="B26" s="23" t="s">
        <v>75</v>
      </c>
      <c r="C26" s="49" t="s">
        <v>299</v>
      </c>
      <c r="D26" s="34" t="s">
        <v>327</v>
      </c>
      <c r="E26" s="50" t="s">
        <v>328</v>
      </c>
      <c r="F26" s="16" t="str">
        <f>IF(LEN(tbl_PCR[[#This Row],[sWGA identifier]])=0,"",CONCATENATE(exp_id,"_",tbl_PCR[[#This Row],[Well]]))</f>
        <v>PCTB142_H3</v>
      </c>
      <c r="G26" s="3">
        <v>8.1999999999999993</v>
      </c>
      <c r="H26" s="3">
        <v>1</v>
      </c>
      <c r="I26" s="4">
        <f t="shared" si="0"/>
        <v>8.1999999999999993</v>
      </c>
      <c r="J26" s="32" t="s">
        <v>332</v>
      </c>
    </row>
    <row r="27" spans="1:10" ht="15.75" customHeight="1" x14ac:dyDescent="0.25">
      <c r="A27" s="23">
        <v>25</v>
      </c>
      <c r="B27" s="23" t="s">
        <v>40</v>
      </c>
      <c r="C27" s="49" t="s">
        <v>299</v>
      </c>
      <c r="D27" s="34" t="s">
        <v>329</v>
      </c>
      <c r="E27" s="50" t="s">
        <v>330</v>
      </c>
      <c r="F27" s="16" t="str">
        <f>IF(LEN(tbl_PCR[[#This Row],[sWGA identifier]])=0,"",CONCATENATE(exp_id,"_",tbl_PCR[[#This Row],[Well]]))</f>
        <v>PCTB142_A4</v>
      </c>
      <c r="G27" s="3">
        <v>1.2</v>
      </c>
      <c r="H27" s="3">
        <v>1</v>
      </c>
      <c r="I27" s="4">
        <f t="shared" si="0"/>
        <v>1.2</v>
      </c>
      <c r="J27" s="32" t="s">
        <v>332</v>
      </c>
    </row>
    <row r="28" spans="1:10" ht="15.75" customHeight="1" x14ac:dyDescent="0.25">
      <c r="A28" s="23">
        <v>26</v>
      </c>
      <c r="B28" s="23" t="s">
        <v>52</v>
      </c>
      <c r="C28" s="49"/>
      <c r="D28" s="34"/>
      <c r="E28" s="50" t="str">
        <f t="shared" ref="E28:E34" si="1">IF(pcr_dna_source="DNA Extract (Q5)","Direct DNA","")</f>
        <v/>
      </c>
      <c r="F28" s="16" t="str">
        <f>IF(LEN(tbl_PCR[[#This Row],[sWGA identifier]])=0,"",CONCATENATE(exp_id,"_",tbl_PCR[[#This Row],[Well]]))</f>
        <v/>
      </c>
      <c r="G28" s="3"/>
      <c r="H28" s="3"/>
      <c r="I28" s="4" t="str">
        <f t="shared" si="0"/>
        <v/>
      </c>
      <c r="J28" s="32"/>
    </row>
    <row r="29" spans="1:10" ht="15.75" customHeight="1" x14ac:dyDescent="0.25">
      <c r="A29" s="23">
        <v>27</v>
      </c>
      <c r="B29" s="23" t="s">
        <v>76</v>
      </c>
      <c r="C29" s="49"/>
      <c r="D29" s="34"/>
      <c r="E29" s="50" t="str">
        <f t="shared" si="1"/>
        <v/>
      </c>
      <c r="F29" s="16" t="str">
        <f>IF(LEN(tbl_PCR[[#This Row],[sWGA identifier]])=0,"",CONCATENATE(exp_id,"_",tbl_PCR[[#This Row],[Well]]))</f>
        <v/>
      </c>
      <c r="G29" s="3"/>
      <c r="H29" s="3"/>
      <c r="I29" s="4" t="str">
        <f t="shared" si="0"/>
        <v/>
      </c>
      <c r="J29" s="32"/>
    </row>
    <row r="30" spans="1:10" ht="15.75" customHeight="1" x14ac:dyDescent="0.25">
      <c r="A30" s="23">
        <v>28</v>
      </c>
      <c r="B30" s="23" t="s">
        <v>77</v>
      </c>
      <c r="C30" s="49"/>
      <c r="D30" s="34"/>
      <c r="E30" s="50" t="str">
        <f t="shared" si="1"/>
        <v/>
      </c>
      <c r="F30" s="16" t="str">
        <f>IF(LEN(tbl_PCR[[#This Row],[sWGA identifier]])=0,"",CONCATENATE(exp_id,"_",tbl_PCR[[#This Row],[Well]]))</f>
        <v/>
      </c>
      <c r="G30" s="3"/>
      <c r="H30" s="3"/>
      <c r="I30" s="4" t="str">
        <f t="shared" si="0"/>
        <v/>
      </c>
      <c r="J30" s="32"/>
    </row>
    <row r="31" spans="1:10" ht="15.75" customHeight="1" x14ac:dyDescent="0.25">
      <c r="A31" s="23">
        <v>29</v>
      </c>
      <c r="B31" s="23" t="s">
        <v>78</v>
      </c>
      <c r="C31" s="49"/>
      <c r="D31" s="34"/>
      <c r="E31" s="50" t="str">
        <f t="shared" si="1"/>
        <v/>
      </c>
      <c r="F31" s="16" t="str">
        <f>IF(LEN(tbl_PCR[[#This Row],[sWGA identifier]])=0,"",CONCATENATE(exp_id,"_",tbl_PCR[[#This Row],[Well]]))</f>
        <v/>
      </c>
      <c r="G31" s="3"/>
      <c r="H31" s="3"/>
      <c r="I31" s="4" t="str">
        <f t="shared" si="0"/>
        <v/>
      </c>
      <c r="J31" s="32"/>
    </row>
    <row r="32" spans="1:10" ht="15.75" customHeight="1" x14ac:dyDescent="0.25">
      <c r="A32" s="23">
        <v>30</v>
      </c>
      <c r="B32" s="23" t="s">
        <v>79</v>
      </c>
      <c r="C32" s="49"/>
      <c r="D32" s="34"/>
      <c r="E32" s="50" t="str">
        <f t="shared" si="1"/>
        <v/>
      </c>
      <c r="F32" s="16" t="str">
        <f>IF(LEN(tbl_PCR[[#This Row],[sWGA identifier]])=0,"",CONCATENATE(exp_id,"_",tbl_PCR[[#This Row],[Well]]))</f>
        <v/>
      </c>
      <c r="G32" s="3"/>
      <c r="H32" s="3"/>
      <c r="I32" s="4" t="str">
        <f t="shared" si="0"/>
        <v/>
      </c>
      <c r="J32" s="32"/>
    </row>
    <row r="33" spans="1:10" ht="15.75" customHeight="1" x14ac:dyDescent="0.25">
      <c r="A33" s="23">
        <v>31</v>
      </c>
      <c r="B33" s="23" t="s">
        <v>80</v>
      </c>
      <c r="C33" s="49"/>
      <c r="D33" s="34"/>
      <c r="E33" s="50" t="str">
        <f t="shared" si="1"/>
        <v/>
      </c>
      <c r="F33" s="16" t="str">
        <f>IF(LEN(tbl_PCR[[#This Row],[sWGA identifier]])=0,"",CONCATENATE(exp_id,"_",tbl_PCR[[#This Row],[Well]]))</f>
        <v/>
      </c>
      <c r="G33" s="3"/>
      <c r="H33" s="3"/>
      <c r="I33" s="4" t="str">
        <f t="shared" si="0"/>
        <v/>
      </c>
      <c r="J33" s="32"/>
    </row>
    <row r="34" spans="1:10" ht="15.75" customHeight="1" x14ac:dyDescent="0.25">
      <c r="A34" s="23">
        <v>32</v>
      </c>
      <c r="B34" s="23" t="s">
        <v>81</v>
      </c>
      <c r="C34" s="49"/>
      <c r="D34" s="34"/>
      <c r="E34" s="50" t="str">
        <f t="shared" si="1"/>
        <v/>
      </c>
      <c r="F34" s="16" t="str">
        <f>IF(LEN(tbl_PCR[[#This Row],[sWGA identifier]])=0,"",CONCATENATE(exp_id,"_",tbl_PCR[[#This Row],[Well]]))</f>
        <v/>
      </c>
      <c r="G34" s="3"/>
      <c r="H34" s="3"/>
      <c r="I34" s="4" t="str">
        <f t="shared" si="0"/>
        <v/>
      </c>
      <c r="J34" s="32"/>
    </row>
    <row r="35" spans="1:10" ht="15.75" customHeight="1" x14ac:dyDescent="0.25">
      <c r="A35" s="23">
        <v>33</v>
      </c>
      <c r="B35" s="23" t="s">
        <v>41</v>
      </c>
      <c r="C35" s="49"/>
      <c r="D35" s="34"/>
      <c r="E35" s="50" t="str">
        <f t="shared" ref="E35:E66" si="2">IF(pcr_dna_source="DNA Extract (Q5)","Direct DNA","")</f>
        <v/>
      </c>
      <c r="F35" s="16" t="str">
        <f>IF(LEN(tbl_PCR[[#This Row],[sWGA identifier]])=0,"",CONCATENATE(exp_id,"_",tbl_PCR[[#This Row],[Well]]))</f>
        <v/>
      </c>
      <c r="G35" s="3"/>
      <c r="H35" s="3"/>
      <c r="I35" s="4" t="str">
        <f t="shared" si="0"/>
        <v/>
      </c>
      <c r="J35" s="32"/>
    </row>
    <row r="36" spans="1:10" ht="15.75" customHeight="1" x14ac:dyDescent="0.25">
      <c r="A36" s="23">
        <v>34</v>
      </c>
      <c r="B36" s="23" t="s">
        <v>53</v>
      </c>
      <c r="C36" s="49"/>
      <c r="D36" s="34"/>
      <c r="E36" s="50" t="str">
        <f t="shared" si="2"/>
        <v/>
      </c>
      <c r="F36" s="16" t="str">
        <f>IF(LEN(tbl_PCR[[#This Row],[sWGA identifier]])=0,"",CONCATENATE(exp_id,"_",tbl_PCR[[#This Row],[Well]]))</f>
        <v/>
      </c>
      <c r="G36" s="3"/>
      <c r="H36" s="3"/>
      <c r="I36" s="4" t="str">
        <f t="shared" si="0"/>
        <v/>
      </c>
      <c r="J36" s="32"/>
    </row>
    <row r="37" spans="1:10" ht="15.75" customHeight="1" x14ac:dyDescent="0.25">
      <c r="A37" s="23">
        <v>35</v>
      </c>
      <c r="B37" s="23" t="s">
        <v>82</v>
      </c>
      <c r="C37" s="49"/>
      <c r="D37" s="34"/>
      <c r="E37" s="50" t="str">
        <f t="shared" si="2"/>
        <v/>
      </c>
      <c r="F37" s="16" t="str">
        <f>IF(LEN(tbl_PCR[[#This Row],[sWGA identifier]])=0,"",CONCATENATE(exp_id,"_",tbl_PCR[[#This Row],[Well]]))</f>
        <v/>
      </c>
      <c r="G37" s="3"/>
      <c r="H37" s="3"/>
      <c r="I37" s="4" t="str">
        <f t="shared" si="0"/>
        <v/>
      </c>
      <c r="J37" s="32"/>
    </row>
    <row r="38" spans="1:10" ht="15.75" customHeight="1" x14ac:dyDescent="0.25">
      <c r="A38" s="23">
        <v>36</v>
      </c>
      <c r="B38" s="23" t="s">
        <v>83</v>
      </c>
      <c r="C38" s="49"/>
      <c r="D38" s="34"/>
      <c r="E38" s="50" t="str">
        <f t="shared" si="2"/>
        <v/>
      </c>
      <c r="F38" s="16" t="str">
        <f>IF(LEN(tbl_PCR[[#This Row],[sWGA identifier]])=0,"",CONCATENATE(exp_id,"_",tbl_PCR[[#This Row],[Well]]))</f>
        <v/>
      </c>
      <c r="G38" s="3"/>
      <c r="H38" s="3"/>
      <c r="I38" s="4" t="str">
        <f t="shared" si="0"/>
        <v/>
      </c>
      <c r="J38" s="32"/>
    </row>
    <row r="39" spans="1:10" ht="15.75" customHeight="1" x14ac:dyDescent="0.25">
      <c r="A39" s="23">
        <v>37</v>
      </c>
      <c r="B39" s="23" t="s">
        <v>84</v>
      </c>
      <c r="C39" s="49"/>
      <c r="D39" s="34"/>
      <c r="E39" s="50" t="str">
        <f t="shared" si="2"/>
        <v/>
      </c>
      <c r="F39" s="16" t="str">
        <f>IF(LEN(tbl_PCR[[#This Row],[sWGA identifier]])=0,"",CONCATENATE(exp_id,"_",tbl_PCR[[#This Row],[Well]]))</f>
        <v/>
      </c>
      <c r="G39" s="3"/>
      <c r="H39" s="3"/>
      <c r="I39" s="4" t="str">
        <f t="shared" si="0"/>
        <v/>
      </c>
      <c r="J39" s="32"/>
    </row>
    <row r="40" spans="1:10" ht="15.75" customHeight="1" x14ac:dyDescent="0.25">
      <c r="A40" s="23">
        <v>38</v>
      </c>
      <c r="B40" s="23" t="s">
        <v>85</v>
      </c>
      <c r="C40" s="49"/>
      <c r="D40" s="34"/>
      <c r="E40" s="50" t="str">
        <f t="shared" si="2"/>
        <v/>
      </c>
      <c r="F40" s="16" t="str">
        <f>IF(LEN(tbl_PCR[[#This Row],[sWGA identifier]])=0,"",CONCATENATE(exp_id,"_",tbl_PCR[[#This Row],[Well]]))</f>
        <v/>
      </c>
      <c r="G40" s="3"/>
      <c r="H40" s="3"/>
      <c r="I40" s="4" t="str">
        <f t="shared" si="0"/>
        <v/>
      </c>
      <c r="J40" s="32"/>
    </row>
    <row r="41" spans="1:10" ht="15.75" customHeight="1" x14ac:dyDescent="0.25">
      <c r="A41" s="23">
        <v>39</v>
      </c>
      <c r="B41" s="23" t="s">
        <v>86</v>
      </c>
      <c r="C41" s="49"/>
      <c r="D41" s="34"/>
      <c r="E41" s="50" t="str">
        <f t="shared" si="2"/>
        <v/>
      </c>
      <c r="F41" s="16" t="str">
        <f>IF(LEN(tbl_PCR[[#This Row],[sWGA identifier]])=0,"",CONCATENATE(exp_id,"_",tbl_PCR[[#This Row],[Well]]))</f>
        <v/>
      </c>
      <c r="G41" s="3"/>
      <c r="H41" s="3"/>
      <c r="I41" s="4" t="str">
        <f t="shared" si="0"/>
        <v/>
      </c>
      <c r="J41" s="32"/>
    </row>
    <row r="42" spans="1:10" ht="15.75" customHeight="1" x14ac:dyDescent="0.25">
      <c r="A42" s="23">
        <v>40</v>
      </c>
      <c r="B42" s="23" t="s">
        <v>87</v>
      </c>
      <c r="C42" s="49"/>
      <c r="D42" s="34"/>
      <c r="E42" s="50" t="str">
        <f t="shared" si="2"/>
        <v/>
      </c>
      <c r="F42" s="16" t="str">
        <f>IF(LEN(tbl_PCR[[#This Row],[sWGA identifier]])=0,"",CONCATENATE(exp_id,"_",tbl_PCR[[#This Row],[Well]]))</f>
        <v/>
      </c>
      <c r="G42" s="3"/>
      <c r="H42" s="3"/>
      <c r="I42" s="4" t="str">
        <f t="shared" si="0"/>
        <v/>
      </c>
      <c r="J42" s="32"/>
    </row>
    <row r="43" spans="1:10" ht="15.75" customHeight="1" x14ac:dyDescent="0.25">
      <c r="A43" s="23">
        <v>41</v>
      </c>
      <c r="B43" s="23" t="s">
        <v>42</v>
      </c>
      <c r="C43" s="49"/>
      <c r="D43" s="34"/>
      <c r="E43" s="50" t="str">
        <f t="shared" si="2"/>
        <v/>
      </c>
      <c r="F43" s="16" t="str">
        <f>IF(LEN(tbl_PCR[[#This Row],[sWGA identifier]])=0,"",CONCATENATE(exp_id,"_",tbl_PCR[[#This Row],[Well]]))</f>
        <v/>
      </c>
      <c r="G43" s="3"/>
      <c r="H43" s="3"/>
      <c r="I43" s="4" t="str">
        <f t="shared" si="0"/>
        <v/>
      </c>
      <c r="J43" s="32"/>
    </row>
    <row r="44" spans="1:10" ht="15.75" customHeight="1" x14ac:dyDescent="0.25">
      <c r="A44" s="23">
        <v>42</v>
      </c>
      <c r="B44" s="23" t="s">
        <v>54</v>
      </c>
      <c r="C44" s="49"/>
      <c r="D44" s="34"/>
      <c r="E44" s="50" t="str">
        <f t="shared" si="2"/>
        <v/>
      </c>
      <c r="F44" s="16" t="str">
        <f>IF(LEN(tbl_PCR[[#This Row],[sWGA identifier]])=0,"",CONCATENATE(exp_id,"_",tbl_PCR[[#This Row],[Well]]))</f>
        <v/>
      </c>
      <c r="G44" s="3"/>
      <c r="H44" s="3"/>
      <c r="I44" s="4" t="str">
        <f t="shared" si="0"/>
        <v/>
      </c>
      <c r="J44" s="32"/>
    </row>
    <row r="45" spans="1:10" ht="15.75" customHeight="1" x14ac:dyDescent="0.25">
      <c r="A45" s="23">
        <v>43</v>
      </c>
      <c r="B45" s="23" t="s">
        <v>88</v>
      </c>
      <c r="C45" s="49"/>
      <c r="D45" s="34"/>
      <c r="E45" s="50" t="str">
        <f t="shared" si="2"/>
        <v/>
      </c>
      <c r="F45" s="16" t="str">
        <f>IF(LEN(tbl_PCR[[#This Row],[sWGA identifier]])=0,"",CONCATENATE(exp_id,"_",tbl_PCR[[#This Row],[Well]]))</f>
        <v/>
      </c>
      <c r="G45" s="3"/>
      <c r="H45" s="3"/>
      <c r="I45" s="4" t="str">
        <f t="shared" si="0"/>
        <v/>
      </c>
      <c r="J45" s="32"/>
    </row>
    <row r="46" spans="1:10" ht="15.75" customHeight="1" x14ac:dyDescent="0.25">
      <c r="A46" s="23">
        <v>44</v>
      </c>
      <c r="B46" s="23" t="s">
        <v>89</v>
      </c>
      <c r="C46" s="49"/>
      <c r="D46" s="34"/>
      <c r="E46" s="50" t="str">
        <f t="shared" si="2"/>
        <v/>
      </c>
      <c r="F46" s="16" t="str">
        <f>IF(LEN(tbl_PCR[[#This Row],[sWGA identifier]])=0,"",CONCATENATE(exp_id,"_",tbl_PCR[[#This Row],[Well]]))</f>
        <v/>
      </c>
      <c r="G46" s="3"/>
      <c r="H46" s="3"/>
      <c r="I46" s="4" t="str">
        <f t="shared" si="0"/>
        <v/>
      </c>
      <c r="J46" s="32"/>
    </row>
    <row r="47" spans="1:10" ht="15.75" customHeight="1" x14ac:dyDescent="0.25">
      <c r="A47" s="23">
        <v>45</v>
      </c>
      <c r="B47" s="23" t="s">
        <v>90</v>
      </c>
      <c r="C47" s="49"/>
      <c r="D47" s="34"/>
      <c r="E47" s="50" t="str">
        <f t="shared" si="2"/>
        <v/>
      </c>
      <c r="F47" s="16" t="str">
        <f>IF(LEN(tbl_PCR[[#This Row],[sWGA identifier]])=0,"",CONCATENATE(exp_id,"_",tbl_PCR[[#This Row],[Well]]))</f>
        <v/>
      </c>
      <c r="G47" s="3"/>
      <c r="H47" s="3"/>
      <c r="I47" s="4" t="str">
        <f t="shared" si="0"/>
        <v/>
      </c>
      <c r="J47" s="32"/>
    </row>
    <row r="48" spans="1:10" ht="15.75" customHeight="1" x14ac:dyDescent="0.25">
      <c r="A48" s="23">
        <v>46</v>
      </c>
      <c r="B48" s="23" t="s">
        <v>91</v>
      </c>
      <c r="C48" s="49"/>
      <c r="D48" s="34"/>
      <c r="E48" s="50" t="str">
        <f t="shared" si="2"/>
        <v/>
      </c>
      <c r="F48" s="16" t="str">
        <f>IF(LEN(tbl_PCR[[#This Row],[sWGA identifier]])=0,"",CONCATENATE(exp_id,"_",tbl_PCR[[#This Row],[Well]]))</f>
        <v/>
      </c>
      <c r="G48" s="3"/>
      <c r="H48" s="3"/>
      <c r="I48" s="4" t="str">
        <f t="shared" si="0"/>
        <v/>
      </c>
      <c r="J48" s="32"/>
    </row>
    <row r="49" spans="1:10" ht="15.75" customHeight="1" x14ac:dyDescent="0.25">
      <c r="A49" s="23">
        <v>47</v>
      </c>
      <c r="B49" s="23" t="s">
        <v>92</v>
      </c>
      <c r="C49" s="49"/>
      <c r="D49" s="34"/>
      <c r="E49" s="50" t="str">
        <f t="shared" si="2"/>
        <v/>
      </c>
      <c r="F49" s="16" t="str">
        <f>IF(LEN(tbl_PCR[[#This Row],[sWGA identifier]])=0,"",CONCATENATE(exp_id,"_",tbl_PCR[[#This Row],[Well]]))</f>
        <v/>
      </c>
      <c r="G49" s="3"/>
      <c r="H49" s="3"/>
      <c r="I49" s="4" t="str">
        <f t="shared" si="0"/>
        <v/>
      </c>
      <c r="J49" s="32"/>
    </row>
    <row r="50" spans="1:10" ht="15.75" customHeight="1" x14ac:dyDescent="0.25">
      <c r="A50" s="23">
        <v>48</v>
      </c>
      <c r="B50" s="23" t="s">
        <v>93</v>
      </c>
      <c r="C50" s="49"/>
      <c r="D50" s="34"/>
      <c r="E50" s="50" t="str">
        <f t="shared" si="2"/>
        <v/>
      </c>
      <c r="F50" s="16" t="str">
        <f>IF(LEN(tbl_PCR[[#This Row],[sWGA identifier]])=0,"",CONCATENATE(exp_id,"_",tbl_PCR[[#This Row],[Well]]))</f>
        <v/>
      </c>
      <c r="G50" s="3"/>
      <c r="H50" s="3"/>
      <c r="I50" s="4" t="str">
        <f t="shared" si="0"/>
        <v/>
      </c>
      <c r="J50" s="32"/>
    </row>
    <row r="51" spans="1:10" ht="15.75" customHeight="1" x14ac:dyDescent="0.25">
      <c r="A51" s="23">
        <v>49</v>
      </c>
      <c r="B51" s="23" t="s">
        <v>43</v>
      </c>
      <c r="C51" s="49"/>
      <c r="D51" s="34"/>
      <c r="E51" s="50" t="str">
        <f t="shared" si="2"/>
        <v/>
      </c>
      <c r="F51" s="16" t="str">
        <f>IF(LEN(tbl_PCR[[#This Row],[sWGA identifier]])=0,"",CONCATENATE(exp_id,"_",tbl_PCR[[#This Row],[Well]]))</f>
        <v/>
      </c>
      <c r="G51" s="3"/>
      <c r="H51" s="3"/>
      <c r="I51" s="4" t="str">
        <f t="shared" si="0"/>
        <v/>
      </c>
      <c r="J51" s="32"/>
    </row>
    <row r="52" spans="1:10" ht="15.75" customHeight="1" x14ac:dyDescent="0.25">
      <c r="A52" s="23">
        <v>50</v>
      </c>
      <c r="B52" s="23" t="s">
        <v>55</v>
      </c>
      <c r="C52" s="49"/>
      <c r="D52" s="34"/>
      <c r="E52" s="50" t="str">
        <f t="shared" si="2"/>
        <v/>
      </c>
      <c r="F52" s="16" t="str">
        <f>IF(LEN(tbl_PCR[[#This Row],[sWGA identifier]])=0,"",CONCATENATE(exp_id,"_",tbl_PCR[[#This Row],[Well]]))</f>
        <v/>
      </c>
      <c r="G52" s="3"/>
      <c r="H52" s="3"/>
      <c r="I52" s="4" t="str">
        <f t="shared" si="0"/>
        <v/>
      </c>
      <c r="J52" s="32"/>
    </row>
    <row r="53" spans="1:10" ht="15.75" customHeight="1" x14ac:dyDescent="0.25">
      <c r="A53" s="23">
        <v>51</v>
      </c>
      <c r="B53" s="23" t="s">
        <v>94</v>
      </c>
      <c r="C53" s="49"/>
      <c r="D53" s="34"/>
      <c r="E53" s="50" t="str">
        <f t="shared" si="2"/>
        <v/>
      </c>
      <c r="F53" s="16" t="str">
        <f>IF(LEN(tbl_PCR[[#This Row],[sWGA identifier]])=0,"",CONCATENATE(exp_id,"_",tbl_PCR[[#This Row],[Well]]))</f>
        <v/>
      </c>
      <c r="G53" s="3"/>
      <c r="H53" s="3"/>
      <c r="I53" s="4" t="str">
        <f t="shared" si="0"/>
        <v/>
      </c>
      <c r="J53" s="32"/>
    </row>
    <row r="54" spans="1:10" ht="15.75" customHeight="1" x14ac:dyDescent="0.25">
      <c r="A54" s="23">
        <v>52</v>
      </c>
      <c r="B54" s="23" t="s">
        <v>95</v>
      </c>
      <c r="C54" s="49"/>
      <c r="D54" s="34"/>
      <c r="E54" s="50" t="str">
        <f t="shared" si="2"/>
        <v/>
      </c>
      <c r="F54" s="16" t="str">
        <f>IF(LEN(tbl_PCR[[#This Row],[sWGA identifier]])=0,"",CONCATENATE(exp_id,"_",tbl_PCR[[#This Row],[Well]]))</f>
        <v/>
      </c>
      <c r="G54" s="3"/>
      <c r="H54" s="3"/>
      <c r="I54" s="4" t="str">
        <f t="shared" si="0"/>
        <v/>
      </c>
      <c r="J54" s="32"/>
    </row>
    <row r="55" spans="1:10" ht="15.75" customHeight="1" x14ac:dyDescent="0.25">
      <c r="A55" s="23">
        <v>53</v>
      </c>
      <c r="B55" s="23" t="s">
        <v>96</v>
      </c>
      <c r="C55" s="49"/>
      <c r="D55" s="34"/>
      <c r="E55" s="50" t="str">
        <f t="shared" si="2"/>
        <v/>
      </c>
      <c r="F55" s="16" t="str">
        <f>IF(LEN(tbl_PCR[[#This Row],[sWGA identifier]])=0,"",CONCATENATE(exp_id,"_",tbl_PCR[[#This Row],[Well]]))</f>
        <v/>
      </c>
      <c r="G55" s="3"/>
      <c r="H55" s="3"/>
      <c r="I55" s="4" t="str">
        <f t="shared" si="0"/>
        <v/>
      </c>
      <c r="J55" s="32"/>
    </row>
    <row r="56" spans="1:10" ht="15.75" customHeight="1" x14ac:dyDescent="0.25">
      <c r="A56" s="23">
        <v>54</v>
      </c>
      <c r="B56" s="23" t="s">
        <v>97</v>
      </c>
      <c r="C56" s="49"/>
      <c r="D56" s="34"/>
      <c r="E56" s="50" t="str">
        <f t="shared" si="2"/>
        <v/>
      </c>
      <c r="F56" s="16" t="str">
        <f>IF(LEN(tbl_PCR[[#This Row],[sWGA identifier]])=0,"",CONCATENATE(exp_id,"_",tbl_PCR[[#This Row],[Well]]))</f>
        <v/>
      </c>
      <c r="G56" s="3"/>
      <c r="H56" s="3"/>
      <c r="I56" s="4" t="str">
        <f t="shared" si="0"/>
        <v/>
      </c>
      <c r="J56" s="32"/>
    </row>
    <row r="57" spans="1:10" ht="15.75" customHeight="1" x14ac:dyDescent="0.25">
      <c r="A57" s="23">
        <v>55</v>
      </c>
      <c r="B57" s="23" t="s">
        <v>98</v>
      </c>
      <c r="C57" s="49"/>
      <c r="D57" s="34"/>
      <c r="E57" s="50" t="str">
        <f t="shared" si="2"/>
        <v/>
      </c>
      <c r="F57" s="16" t="str">
        <f>IF(LEN(tbl_PCR[[#This Row],[sWGA identifier]])=0,"",CONCATENATE(exp_id,"_",tbl_PCR[[#This Row],[Well]]))</f>
        <v/>
      </c>
      <c r="G57" s="3"/>
      <c r="H57" s="3"/>
      <c r="I57" s="4" t="str">
        <f t="shared" si="0"/>
        <v/>
      </c>
      <c r="J57" s="32"/>
    </row>
    <row r="58" spans="1:10" ht="15.75" customHeight="1" x14ac:dyDescent="0.25">
      <c r="A58" s="23">
        <v>56</v>
      </c>
      <c r="B58" s="23" t="s">
        <v>99</v>
      </c>
      <c r="C58" s="49"/>
      <c r="D58" s="34"/>
      <c r="E58" s="50" t="str">
        <f t="shared" si="2"/>
        <v/>
      </c>
      <c r="F58" s="16" t="str">
        <f>IF(LEN(tbl_PCR[[#This Row],[sWGA identifier]])=0,"",CONCATENATE(exp_id,"_",tbl_PCR[[#This Row],[Well]]))</f>
        <v/>
      </c>
      <c r="G58" s="3"/>
      <c r="H58" s="3"/>
      <c r="I58" s="4" t="str">
        <f t="shared" si="0"/>
        <v/>
      </c>
      <c r="J58" s="32"/>
    </row>
    <row r="59" spans="1:10" ht="15.75" customHeight="1" x14ac:dyDescent="0.25">
      <c r="A59" s="23">
        <v>57</v>
      </c>
      <c r="B59" s="23" t="s">
        <v>44</v>
      </c>
      <c r="C59" s="49"/>
      <c r="D59" s="34"/>
      <c r="E59" s="50" t="str">
        <f t="shared" si="2"/>
        <v/>
      </c>
      <c r="F59" s="16" t="str">
        <f>IF(LEN(tbl_PCR[[#This Row],[sWGA identifier]])=0,"",CONCATENATE(exp_id,"_",tbl_PCR[[#This Row],[Well]]))</f>
        <v/>
      </c>
      <c r="G59" s="3"/>
      <c r="H59" s="3"/>
      <c r="I59" s="4" t="str">
        <f t="shared" si="0"/>
        <v/>
      </c>
      <c r="J59" s="32"/>
    </row>
    <row r="60" spans="1:10" ht="15.75" customHeight="1" x14ac:dyDescent="0.25">
      <c r="A60" s="23">
        <v>58</v>
      </c>
      <c r="B60" s="23" t="s">
        <v>56</v>
      </c>
      <c r="C60" s="49"/>
      <c r="D60" s="34"/>
      <c r="E60" s="50" t="str">
        <f t="shared" si="2"/>
        <v/>
      </c>
      <c r="F60" s="16" t="str">
        <f>IF(LEN(tbl_PCR[[#This Row],[sWGA identifier]])=0,"",CONCATENATE(exp_id,"_",tbl_PCR[[#This Row],[Well]]))</f>
        <v/>
      </c>
      <c r="G60" s="3"/>
      <c r="H60" s="3"/>
      <c r="I60" s="4" t="str">
        <f t="shared" si="0"/>
        <v/>
      </c>
      <c r="J60" s="32"/>
    </row>
    <row r="61" spans="1:10" ht="15.75" customHeight="1" x14ac:dyDescent="0.25">
      <c r="A61" s="23">
        <v>59</v>
      </c>
      <c r="B61" s="23" t="s">
        <v>100</v>
      </c>
      <c r="C61" s="49"/>
      <c r="D61" s="34"/>
      <c r="E61" s="50" t="str">
        <f t="shared" si="2"/>
        <v/>
      </c>
      <c r="F61" s="16" t="str">
        <f>IF(LEN(tbl_PCR[[#This Row],[sWGA identifier]])=0,"",CONCATENATE(exp_id,"_",tbl_PCR[[#This Row],[Well]]))</f>
        <v/>
      </c>
      <c r="G61" s="3"/>
      <c r="H61" s="3"/>
      <c r="I61" s="4" t="str">
        <f t="shared" si="0"/>
        <v/>
      </c>
      <c r="J61" s="32"/>
    </row>
    <row r="62" spans="1:10" ht="15.75" customHeight="1" x14ac:dyDescent="0.25">
      <c r="A62" s="23">
        <v>60</v>
      </c>
      <c r="B62" s="23" t="s">
        <v>101</v>
      </c>
      <c r="C62" s="49"/>
      <c r="D62" s="34"/>
      <c r="E62" s="50" t="str">
        <f t="shared" si="2"/>
        <v/>
      </c>
      <c r="F62" s="16" t="str">
        <f>IF(LEN(tbl_PCR[[#This Row],[sWGA identifier]])=0,"",CONCATENATE(exp_id,"_",tbl_PCR[[#This Row],[Well]]))</f>
        <v/>
      </c>
      <c r="G62" s="3"/>
      <c r="H62" s="3"/>
      <c r="I62" s="4" t="str">
        <f t="shared" si="0"/>
        <v/>
      </c>
      <c r="J62" s="32"/>
    </row>
    <row r="63" spans="1:10" ht="15.75" customHeight="1" x14ac:dyDescent="0.25">
      <c r="A63" s="23">
        <v>61</v>
      </c>
      <c r="B63" s="23" t="s">
        <v>102</v>
      </c>
      <c r="C63" s="49"/>
      <c r="D63" s="34"/>
      <c r="E63" s="50" t="str">
        <f t="shared" si="2"/>
        <v/>
      </c>
      <c r="F63" s="16" t="str">
        <f>IF(LEN(tbl_PCR[[#This Row],[sWGA identifier]])=0,"",CONCATENATE(exp_id,"_",tbl_PCR[[#This Row],[Well]]))</f>
        <v/>
      </c>
      <c r="G63" s="3"/>
      <c r="H63" s="3"/>
      <c r="I63" s="4" t="str">
        <f t="shared" si="0"/>
        <v/>
      </c>
      <c r="J63" s="32"/>
    </row>
    <row r="64" spans="1:10" ht="15.75" customHeight="1" x14ac:dyDescent="0.25">
      <c r="A64" s="23">
        <v>62</v>
      </c>
      <c r="B64" s="23" t="s">
        <v>103</v>
      </c>
      <c r="C64" s="49"/>
      <c r="D64" s="34"/>
      <c r="E64" s="50" t="str">
        <f t="shared" si="2"/>
        <v/>
      </c>
      <c r="F64" s="16" t="str">
        <f>IF(LEN(tbl_PCR[[#This Row],[sWGA identifier]])=0,"",CONCATENATE(exp_id,"_",tbl_PCR[[#This Row],[Well]]))</f>
        <v/>
      </c>
      <c r="G64" s="3"/>
      <c r="H64" s="3"/>
      <c r="I64" s="4" t="str">
        <f t="shared" si="0"/>
        <v/>
      </c>
      <c r="J64" s="32"/>
    </row>
    <row r="65" spans="1:10" ht="15.75" customHeight="1" x14ac:dyDescent="0.25">
      <c r="A65" s="23">
        <v>63</v>
      </c>
      <c r="B65" s="23" t="s">
        <v>104</v>
      </c>
      <c r="C65" s="49"/>
      <c r="D65" s="34"/>
      <c r="E65" s="50" t="str">
        <f t="shared" si="2"/>
        <v/>
      </c>
      <c r="F65" s="16" t="str">
        <f>IF(LEN(tbl_PCR[[#This Row],[sWGA identifier]])=0,"",CONCATENATE(exp_id,"_",tbl_PCR[[#This Row],[Well]]))</f>
        <v/>
      </c>
      <c r="G65" s="3"/>
      <c r="H65" s="3"/>
      <c r="I65" s="4" t="str">
        <f t="shared" si="0"/>
        <v/>
      </c>
      <c r="J65" s="32"/>
    </row>
    <row r="66" spans="1:10" ht="15.75" customHeight="1" x14ac:dyDescent="0.25">
      <c r="A66" s="23">
        <v>64</v>
      </c>
      <c r="B66" s="23" t="s">
        <v>105</v>
      </c>
      <c r="C66" s="49"/>
      <c r="D66" s="34"/>
      <c r="E66" s="50" t="str">
        <f t="shared" si="2"/>
        <v/>
      </c>
      <c r="F66" s="16" t="str">
        <f>IF(LEN(tbl_PCR[[#This Row],[sWGA identifier]])=0,"",CONCATENATE(exp_id,"_",tbl_PCR[[#This Row],[Well]]))</f>
        <v/>
      </c>
      <c r="G66" s="3"/>
      <c r="H66" s="3"/>
      <c r="I66" s="4" t="str">
        <f t="shared" si="0"/>
        <v/>
      </c>
      <c r="J66" s="32"/>
    </row>
    <row r="67" spans="1:10" ht="15.75" customHeight="1" x14ac:dyDescent="0.25">
      <c r="A67" s="23">
        <v>65</v>
      </c>
      <c r="B67" s="23" t="s">
        <v>45</v>
      </c>
      <c r="C67" s="49"/>
      <c r="D67" s="34"/>
      <c r="E67" s="50" t="str">
        <f t="shared" ref="E67:E98" si="3">IF(pcr_dna_source="DNA Extract (Q5)","Direct DNA","")</f>
        <v/>
      </c>
      <c r="F67" s="16" t="str">
        <f>IF(LEN(tbl_PCR[[#This Row],[sWGA identifier]])=0,"",CONCATENATE(exp_id,"_",tbl_PCR[[#This Row],[Well]]))</f>
        <v/>
      </c>
      <c r="G67" s="3"/>
      <c r="H67" s="3"/>
      <c r="I67" s="4" t="str">
        <f t="shared" si="0"/>
        <v/>
      </c>
      <c r="J67" s="32"/>
    </row>
    <row r="68" spans="1:10" ht="15.75" customHeight="1" x14ac:dyDescent="0.25">
      <c r="A68" s="23">
        <v>66</v>
      </c>
      <c r="B68" s="23" t="s">
        <v>57</v>
      </c>
      <c r="C68" s="49"/>
      <c r="D68" s="34"/>
      <c r="E68" s="50" t="str">
        <f t="shared" si="3"/>
        <v/>
      </c>
      <c r="F68" s="16" t="str">
        <f>IF(LEN(tbl_PCR[[#This Row],[sWGA identifier]])=0,"",CONCATENATE(exp_id,"_",tbl_PCR[[#This Row],[Well]]))</f>
        <v/>
      </c>
      <c r="G68" s="3"/>
      <c r="H68" s="3"/>
      <c r="I68" s="4" t="str">
        <f t="shared" ref="I68:I98" si="4">IF(OR(G68="",H68=""),"",SUM(G68*H68))</f>
        <v/>
      </c>
      <c r="J68" s="32"/>
    </row>
    <row r="69" spans="1:10" ht="15.75" customHeight="1" x14ac:dyDescent="0.25">
      <c r="A69" s="23">
        <v>67</v>
      </c>
      <c r="B69" s="23" t="s">
        <v>106</v>
      </c>
      <c r="C69" s="49"/>
      <c r="D69" s="34"/>
      <c r="E69" s="50" t="str">
        <f t="shared" si="3"/>
        <v/>
      </c>
      <c r="F69" s="16" t="str">
        <f>IF(LEN(tbl_PCR[[#This Row],[sWGA identifier]])=0,"",CONCATENATE(exp_id,"_",tbl_PCR[[#This Row],[Well]]))</f>
        <v/>
      </c>
      <c r="G69" s="3"/>
      <c r="H69" s="3"/>
      <c r="I69" s="4" t="str">
        <f t="shared" si="4"/>
        <v/>
      </c>
      <c r="J69" s="32"/>
    </row>
    <row r="70" spans="1:10" ht="15.75" customHeight="1" x14ac:dyDescent="0.25">
      <c r="A70" s="23">
        <v>68</v>
      </c>
      <c r="B70" s="23" t="s">
        <v>107</v>
      </c>
      <c r="C70" s="49"/>
      <c r="D70" s="34"/>
      <c r="E70" s="50" t="str">
        <f t="shared" si="3"/>
        <v/>
      </c>
      <c r="F70" s="16" t="str">
        <f>IF(LEN(tbl_PCR[[#This Row],[sWGA identifier]])=0,"",CONCATENATE(exp_id,"_",tbl_PCR[[#This Row],[Well]]))</f>
        <v/>
      </c>
      <c r="G70" s="3"/>
      <c r="H70" s="3"/>
      <c r="I70" s="4" t="str">
        <f t="shared" si="4"/>
        <v/>
      </c>
      <c r="J70" s="32"/>
    </row>
    <row r="71" spans="1:10" ht="15.75" customHeight="1" x14ac:dyDescent="0.25">
      <c r="A71" s="23">
        <v>69</v>
      </c>
      <c r="B71" s="23" t="s">
        <v>108</v>
      </c>
      <c r="C71" s="49"/>
      <c r="D71" s="34"/>
      <c r="E71" s="50" t="str">
        <f t="shared" si="3"/>
        <v/>
      </c>
      <c r="F71" s="16" t="str">
        <f>IF(LEN(tbl_PCR[[#This Row],[sWGA identifier]])=0,"",CONCATENATE(exp_id,"_",tbl_PCR[[#This Row],[Well]]))</f>
        <v/>
      </c>
      <c r="G71" s="3"/>
      <c r="H71" s="3"/>
      <c r="I71" s="4" t="str">
        <f t="shared" si="4"/>
        <v/>
      </c>
      <c r="J71" s="32"/>
    </row>
    <row r="72" spans="1:10" ht="15.75" customHeight="1" x14ac:dyDescent="0.25">
      <c r="A72" s="23">
        <v>70</v>
      </c>
      <c r="B72" s="23" t="s">
        <v>109</v>
      </c>
      <c r="C72" s="49"/>
      <c r="D72" s="34"/>
      <c r="E72" s="50" t="str">
        <f t="shared" si="3"/>
        <v/>
      </c>
      <c r="F72" s="16" t="str">
        <f>IF(LEN(tbl_PCR[[#This Row],[sWGA identifier]])=0,"",CONCATENATE(exp_id,"_",tbl_PCR[[#This Row],[Well]]))</f>
        <v/>
      </c>
      <c r="G72" s="3"/>
      <c r="H72" s="3"/>
      <c r="I72" s="4" t="str">
        <f t="shared" si="4"/>
        <v/>
      </c>
      <c r="J72" s="32"/>
    </row>
    <row r="73" spans="1:10" ht="15.75" customHeight="1" x14ac:dyDescent="0.25">
      <c r="A73" s="23">
        <v>71</v>
      </c>
      <c r="B73" s="23" t="s">
        <v>110</v>
      </c>
      <c r="C73" s="49"/>
      <c r="D73" s="34"/>
      <c r="E73" s="50" t="str">
        <f t="shared" si="3"/>
        <v/>
      </c>
      <c r="F73" s="16" t="str">
        <f>IF(LEN(tbl_PCR[[#This Row],[sWGA identifier]])=0,"",CONCATENATE(exp_id,"_",tbl_PCR[[#This Row],[Well]]))</f>
        <v/>
      </c>
      <c r="G73" s="3"/>
      <c r="H73" s="3"/>
      <c r="I73" s="4" t="str">
        <f t="shared" si="4"/>
        <v/>
      </c>
      <c r="J73" s="32"/>
    </row>
    <row r="74" spans="1:10" ht="15.75" customHeight="1" x14ac:dyDescent="0.25">
      <c r="A74" s="23">
        <v>72</v>
      </c>
      <c r="B74" s="23" t="s">
        <v>111</v>
      </c>
      <c r="C74" s="49"/>
      <c r="D74" s="34"/>
      <c r="E74" s="50" t="str">
        <f t="shared" si="3"/>
        <v/>
      </c>
      <c r="F74" s="16" t="str">
        <f>IF(LEN(tbl_PCR[[#This Row],[sWGA identifier]])=0,"",CONCATENATE(exp_id,"_",tbl_PCR[[#This Row],[Well]]))</f>
        <v/>
      </c>
      <c r="G74" s="3"/>
      <c r="H74" s="3"/>
      <c r="I74" s="4" t="str">
        <f t="shared" si="4"/>
        <v/>
      </c>
      <c r="J74" s="32"/>
    </row>
    <row r="75" spans="1:10" ht="15.75" customHeight="1" x14ac:dyDescent="0.25">
      <c r="A75" s="23">
        <v>73</v>
      </c>
      <c r="B75" s="23" t="s">
        <v>46</v>
      </c>
      <c r="C75" s="49"/>
      <c r="D75" s="34"/>
      <c r="E75" s="50" t="str">
        <f t="shared" si="3"/>
        <v/>
      </c>
      <c r="F75" s="16" t="str">
        <f>IF(LEN(tbl_PCR[[#This Row],[sWGA identifier]])=0,"",CONCATENATE(exp_id,"_",tbl_PCR[[#This Row],[Well]]))</f>
        <v/>
      </c>
      <c r="G75" s="3"/>
      <c r="H75" s="3"/>
      <c r="I75" s="4" t="str">
        <f t="shared" si="4"/>
        <v/>
      </c>
      <c r="J75" s="32"/>
    </row>
    <row r="76" spans="1:10" ht="15.75" customHeight="1" x14ac:dyDescent="0.25">
      <c r="A76" s="23">
        <v>74</v>
      </c>
      <c r="B76" s="23" t="s">
        <v>112</v>
      </c>
      <c r="C76" s="49"/>
      <c r="D76" s="34"/>
      <c r="E76" s="50" t="str">
        <f t="shared" si="3"/>
        <v/>
      </c>
      <c r="F76" s="16" t="str">
        <f>IF(LEN(tbl_PCR[[#This Row],[sWGA identifier]])=0,"",CONCATENATE(exp_id,"_",tbl_PCR[[#This Row],[Well]]))</f>
        <v/>
      </c>
      <c r="G76" s="3"/>
      <c r="H76" s="3"/>
      <c r="I76" s="4" t="str">
        <f t="shared" si="4"/>
        <v/>
      </c>
      <c r="J76" s="32"/>
    </row>
    <row r="77" spans="1:10" ht="15.75" customHeight="1" x14ac:dyDescent="0.25">
      <c r="A77" s="23">
        <v>75</v>
      </c>
      <c r="B77" s="23" t="s">
        <v>113</v>
      </c>
      <c r="C77" s="49"/>
      <c r="D77" s="34"/>
      <c r="E77" s="50" t="str">
        <f t="shared" si="3"/>
        <v/>
      </c>
      <c r="F77" s="16" t="str">
        <f>IF(LEN(tbl_PCR[[#This Row],[sWGA identifier]])=0,"",CONCATENATE(exp_id,"_",tbl_PCR[[#This Row],[Well]]))</f>
        <v/>
      </c>
      <c r="G77" s="3"/>
      <c r="H77" s="3"/>
      <c r="I77" s="4" t="str">
        <f t="shared" si="4"/>
        <v/>
      </c>
      <c r="J77" s="32"/>
    </row>
    <row r="78" spans="1:10" ht="15.75" customHeight="1" x14ac:dyDescent="0.25">
      <c r="A78" s="23">
        <v>76</v>
      </c>
      <c r="B78" s="23" t="s">
        <v>114</v>
      </c>
      <c r="C78" s="49"/>
      <c r="D78" s="34"/>
      <c r="E78" s="50" t="str">
        <f t="shared" si="3"/>
        <v/>
      </c>
      <c r="F78" s="16" t="str">
        <f>IF(LEN(tbl_PCR[[#This Row],[sWGA identifier]])=0,"",CONCATENATE(exp_id,"_",tbl_PCR[[#This Row],[Well]]))</f>
        <v/>
      </c>
      <c r="G78" s="3"/>
      <c r="H78" s="3"/>
      <c r="I78" s="4" t="str">
        <f t="shared" si="4"/>
        <v/>
      </c>
      <c r="J78" s="32"/>
    </row>
    <row r="79" spans="1:10" ht="15.75" customHeight="1" x14ac:dyDescent="0.25">
      <c r="A79" s="23">
        <v>77</v>
      </c>
      <c r="B79" s="23" t="s">
        <v>115</v>
      </c>
      <c r="C79" s="49"/>
      <c r="D79" s="34"/>
      <c r="E79" s="50" t="str">
        <f t="shared" si="3"/>
        <v/>
      </c>
      <c r="F79" s="16" t="str">
        <f>IF(LEN(tbl_PCR[[#This Row],[sWGA identifier]])=0,"",CONCATENATE(exp_id,"_",tbl_PCR[[#This Row],[Well]]))</f>
        <v/>
      </c>
      <c r="G79" s="3"/>
      <c r="H79" s="3"/>
      <c r="I79" s="4" t="str">
        <f t="shared" si="4"/>
        <v/>
      </c>
      <c r="J79" s="32"/>
    </row>
    <row r="80" spans="1:10" ht="15.75" customHeight="1" x14ac:dyDescent="0.25">
      <c r="A80" s="23">
        <v>78</v>
      </c>
      <c r="B80" s="23" t="s">
        <v>116</v>
      </c>
      <c r="C80" s="49"/>
      <c r="D80" s="34"/>
      <c r="E80" s="50" t="str">
        <f t="shared" si="3"/>
        <v/>
      </c>
      <c r="F80" s="16" t="str">
        <f>IF(LEN(tbl_PCR[[#This Row],[sWGA identifier]])=0,"",CONCATENATE(exp_id,"_",tbl_PCR[[#This Row],[Well]]))</f>
        <v/>
      </c>
      <c r="G80" s="3"/>
      <c r="H80" s="3"/>
      <c r="I80" s="4" t="str">
        <f t="shared" si="4"/>
        <v/>
      </c>
      <c r="J80" s="32"/>
    </row>
    <row r="81" spans="1:10" ht="15.75" customHeight="1" x14ac:dyDescent="0.25">
      <c r="A81" s="23">
        <v>79</v>
      </c>
      <c r="B81" s="23" t="s">
        <v>117</v>
      </c>
      <c r="C81" s="49"/>
      <c r="D81" s="34"/>
      <c r="E81" s="50" t="str">
        <f t="shared" si="3"/>
        <v/>
      </c>
      <c r="F81" s="16" t="str">
        <f>IF(LEN(tbl_PCR[[#This Row],[sWGA identifier]])=0,"",CONCATENATE(exp_id,"_",tbl_PCR[[#This Row],[Well]]))</f>
        <v/>
      </c>
      <c r="G81" s="3"/>
      <c r="H81" s="3"/>
      <c r="I81" s="4" t="str">
        <f t="shared" si="4"/>
        <v/>
      </c>
      <c r="J81" s="32"/>
    </row>
    <row r="82" spans="1:10" ht="15.75" customHeight="1" x14ac:dyDescent="0.25">
      <c r="A82" s="23">
        <v>80</v>
      </c>
      <c r="B82" s="23" t="s">
        <v>118</v>
      </c>
      <c r="C82" s="49"/>
      <c r="D82" s="34"/>
      <c r="E82" s="50" t="str">
        <f t="shared" si="3"/>
        <v/>
      </c>
      <c r="F82" s="16" t="str">
        <f>IF(LEN(tbl_PCR[[#This Row],[sWGA identifier]])=0,"",CONCATENATE(exp_id,"_",tbl_PCR[[#This Row],[Well]]))</f>
        <v/>
      </c>
      <c r="G82" s="3"/>
      <c r="H82" s="3"/>
      <c r="I82" s="4" t="str">
        <f t="shared" si="4"/>
        <v/>
      </c>
      <c r="J82" s="32"/>
    </row>
    <row r="83" spans="1:10" ht="15.75" customHeight="1" x14ac:dyDescent="0.25">
      <c r="A83" s="23">
        <v>81</v>
      </c>
      <c r="B83" s="23" t="s">
        <v>47</v>
      </c>
      <c r="C83" s="49"/>
      <c r="D83" s="34"/>
      <c r="E83" s="50" t="str">
        <f t="shared" si="3"/>
        <v/>
      </c>
      <c r="F83" s="16" t="str">
        <f>IF(LEN(tbl_PCR[[#This Row],[sWGA identifier]])=0,"",CONCATENATE(exp_id,"_",tbl_PCR[[#This Row],[Well]]))</f>
        <v/>
      </c>
      <c r="G83" s="3"/>
      <c r="H83" s="3"/>
      <c r="I83" s="4" t="str">
        <f t="shared" si="4"/>
        <v/>
      </c>
      <c r="J83" s="32"/>
    </row>
    <row r="84" spans="1:10" ht="15.75" customHeight="1" x14ac:dyDescent="0.25">
      <c r="A84" s="23">
        <v>82</v>
      </c>
      <c r="B84" s="23" t="s">
        <v>119</v>
      </c>
      <c r="C84" s="49"/>
      <c r="D84" s="34"/>
      <c r="E84" s="50" t="str">
        <f t="shared" si="3"/>
        <v/>
      </c>
      <c r="F84" s="16" t="str">
        <f>IF(LEN(tbl_PCR[[#This Row],[sWGA identifier]])=0,"",CONCATENATE(exp_id,"_",tbl_PCR[[#This Row],[Well]]))</f>
        <v/>
      </c>
      <c r="G84" s="3"/>
      <c r="H84" s="3"/>
      <c r="I84" s="4" t="str">
        <f t="shared" si="4"/>
        <v/>
      </c>
      <c r="J84" s="32"/>
    </row>
    <row r="85" spans="1:10" ht="15.75" customHeight="1" x14ac:dyDescent="0.25">
      <c r="A85" s="23">
        <v>83</v>
      </c>
      <c r="B85" s="23" t="s">
        <v>120</v>
      </c>
      <c r="C85" s="49"/>
      <c r="D85" s="34"/>
      <c r="E85" s="50" t="str">
        <f t="shared" si="3"/>
        <v/>
      </c>
      <c r="F85" s="16" t="str">
        <f>IF(LEN(tbl_PCR[[#This Row],[sWGA identifier]])=0,"",CONCATENATE(exp_id,"_",tbl_PCR[[#This Row],[Well]]))</f>
        <v/>
      </c>
      <c r="G85" s="3"/>
      <c r="H85" s="3"/>
      <c r="I85" s="4" t="str">
        <f t="shared" si="4"/>
        <v/>
      </c>
      <c r="J85" s="32"/>
    </row>
    <row r="86" spans="1:10" ht="15.75" customHeight="1" x14ac:dyDescent="0.25">
      <c r="A86" s="23">
        <v>84</v>
      </c>
      <c r="B86" s="23" t="s">
        <v>121</v>
      </c>
      <c r="C86" s="49"/>
      <c r="D86" s="34"/>
      <c r="E86" s="50" t="str">
        <f t="shared" si="3"/>
        <v/>
      </c>
      <c r="F86" s="16" t="str">
        <f>IF(LEN(tbl_PCR[[#This Row],[sWGA identifier]])=0,"",CONCATENATE(exp_id,"_",tbl_PCR[[#This Row],[Well]]))</f>
        <v/>
      </c>
      <c r="G86" s="3"/>
      <c r="H86" s="3"/>
      <c r="I86" s="4" t="str">
        <f t="shared" si="4"/>
        <v/>
      </c>
      <c r="J86" s="32"/>
    </row>
    <row r="87" spans="1:10" ht="15.75" customHeight="1" x14ac:dyDescent="0.25">
      <c r="A87" s="23">
        <v>85</v>
      </c>
      <c r="B87" s="23" t="s">
        <v>122</v>
      </c>
      <c r="C87" s="49"/>
      <c r="D87" s="34"/>
      <c r="E87" s="50" t="str">
        <f t="shared" si="3"/>
        <v/>
      </c>
      <c r="F87" s="16" t="str">
        <f>IF(LEN(tbl_PCR[[#This Row],[sWGA identifier]])=0,"",CONCATENATE(exp_id,"_",tbl_PCR[[#This Row],[Well]]))</f>
        <v/>
      </c>
      <c r="G87" s="3"/>
      <c r="H87" s="3"/>
      <c r="I87" s="4" t="str">
        <f t="shared" si="4"/>
        <v/>
      </c>
      <c r="J87" s="32"/>
    </row>
    <row r="88" spans="1:10" ht="15.75" customHeight="1" x14ac:dyDescent="0.25">
      <c r="A88" s="23">
        <v>86</v>
      </c>
      <c r="B88" s="23" t="s">
        <v>123</v>
      </c>
      <c r="C88" s="49"/>
      <c r="D88" s="34"/>
      <c r="E88" s="50" t="str">
        <f t="shared" si="3"/>
        <v/>
      </c>
      <c r="F88" s="16" t="str">
        <f>IF(LEN(tbl_PCR[[#This Row],[sWGA identifier]])=0,"",CONCATENATE(exp_id,"_",tbl_PCR[[#This Row],[Well]]))</f>
        <v/>
      </c>
      <c r="G88" s="3"/>
      <c r="H88" s="3"/>
      <c r="I88" s="4" t="str">
        <f t="shared" si="4"/>
        <v/>
      </c>
      <c r="J88" s="32"/>
    </row>
    <row r="89" spans="1:10" ht="15.75" customHeight="1" x14ac:dyDescent="0.25">
      <c r="A89" s="23">
        <v>87</v>
      </c>
      <c r="B89" s="23" t="s">
        <v>124</v>
      </c>
      <c r="C89" s="49"/>
      <c r="D89" s="34"/>
      <c r="E89" s="50" t="str">
        <f t="shared" si="3"/>
        <v/>
      </c>
      <c r="F89" s="16" t="str">
        <f>IF(LEN(tbl_PCR[[#This Row],[sWGA identifier]])=0,"",CONCATENATE(exp_id,"_",tbl_PCR[[#This Row],[Well]]))</f>
        <v/>
      </c>
      <c r="G89" s="3"/>
      <c r="H89" s="3"/>
      <c r="I89" s="4" t="str">
        <f t="shared" si="4"/>
        <v/>
      </c>
      <c r="J89" s="32"/>
    </row>
    <row r="90" spans="1:10" ht="15.75" customHeight="1" x14ac:dyDescent="0.25">
      <c r="A90" s="23">
        <v>88</v>
      </c>
      <c r="B90" s="23" t="s">
        <v>125</v>
      </c>
      <c r="C90" s="49"/>
      <c r="D90" s="34"/>
      <c r="E90" s="50" t="str">
        <f t="shared" si="3"/>
        <v/>
      </c>
      <c r="F90" s="16" t="str">
        <f>IF(LEN(tbl_PCR[[#This Row],[sWGA identifier]])=0,"",CONCATENATE(exp_id,"_",tbl_PCR[[#This Row],[Well]]))</f>
        <v/>
      </c>
      <c r="G90" s="3"/>
      <c r="H90" s="3"/>
      <c r="I90" s="4" t="str">
        <f t="shared" si="4"/>
        <v/>
      </c>
      <c r="J90" s="32"/>
    </row>
    <row r="91" spans="1:10" ht="15.75" customHeight="1" x14ac:dyDescent="0.25">
      <c r="A91" s="23">
        <v>89</v>
      </c>
      <c r="B91" s="23" t="s">
        <v>48</v>
      </c>
      <c r="C91" s="49"/>
      <c r="D91" s="34"/>
      <c r="E91" s="50" t="str">
        <f t="shared" si="3"/>
        <v/>
      </c>
      <c r="F91" s="16" t="str">
        <f>IF(LEN(tbl_PCR[[#This Row],[sWGA identifier]])=0,"",CONCATENATE(exp_id,"_",tbl_PCR[[#This Row],[Well]]))</f>
        <v/>
      </c>
      <c r="G91" s="3"/>
      <c r="H91" s="3"/>
      <c r="I91" s="4" t="str">
        <f t="shared" si="4"/>
        <v/>
      </c>
      <c r="J91" s="32"/>
    </row>
    <row r="92" spans="1:10" ht="15.75" customHeight="1" x14ac:dyDescent="0.25">
      <c r="A92" s="23">
        <v>90</v>
      </c>
      <c r="B92" s="23" t="s">
        <v>126</v>
      </c>
      <c r="C92" s="49"/>
      <c r="D92" s="34"/>
      <c r="E92" s="50" t="str">
        <f t="shared" si="3"/>
        <v/>
      </c>
      <c r="F92" s="16" t="str">
        <f>IF(LEN(tbl_PCR[[#This Row],[sWGA identifier]])=0,"",CONCATENATE(exp_id,"_",tbl_PCR[[#This Row],[Well]]))</f>
        <v/>
      </c>
      <c r="G92" s="3"/>
      <c r="H92" s="3"/>
      <c r="I92" s="4" t="str">
        <f t="shared" si="4"/>
        <v/>
      </c>
      <c r="J92" s="32"/>
    </row>
    <row r="93" spans="1:10" ht="15.75" customHeight="1" x14ac:dyDescent="0.25">
      <c r="A93" s="23">
        <v>91</v>
      </c>
      <c r="B93" s="23" t="s">
        <v>127</v>
      </c>
      <c r="C93" s="49"/>
      <c r="D93" s="34"/>
      <c r="E93" s="50" t="str">
        <f t="shared" si="3"/>
        <v/>
      </c>
      <c r="F93" s="16" t="str">
        <f>IF(LEN(tbl_PCR[[#This Row],[sWGA identifier]])=0,"",CONCATENATE(exp_id,"_",tbl_PCR[[#This Row],[Well]]))</f>
        <v/>
      </c>
      <c r="G93" s="3"/>
      <c r="H93" s="3"/>
      <c r="I93" s="4" t="str">
        <f t="shared" si="4"/>
        <v/>
      </c>
      <c r="J93" s="32"/>
    </row>
    <row r="94" spans="1:10" ht="15.75" customHeight="1" x14ac:dyDescent="0.25">
      <c r="A94" s="23">
        <v>92</v>
      </c>
      <c r="B94" s="23" t="s">
        <v>128</v>
      </c>
      <c r="C94" s="49"/>
      <c r="D94" s="34"/>
      <c r="E94" s="50" t="str">
        <f t="shared" si="3"/>
        <v/>
      </c>
      <c r="F94" s="16" t="str">
        <f>IF(LEN(tbl_PCR[[#This Row],[sWGA identifier]])=0,"",CONCATENATE(exp_id,"_",tbl_PCR[[#This Row],[Well]]))</f>
        <v/>
      </c>
      <c r="G94" s="3"/>
      <c r="H94" s="3"/>
      <c r="I94" s="4" t="str">
        <f t="shared" si="4"/>
        <v/>
      </c>
      <c r="J94" s="32"/>
    </row>
    <row r="95" spans="1:10" ht="15.75" customHeight="1" x14ac:dyDescent="0.25">
      <c r="A95" s="23">
        <v>93</v>
      </c>
      <c r="B95" s="23" t="s">
        <v>129</v>
      </c>
      <c r="C95" s="49"/>
      <c r="D95" s="34"/>
      <c r="E95" s="50" t="str">
        <f t="shared" si="3"/>
        <v/>
      </c>
      <c r="F95" s="16" t="str">
        <f>IF(LEN(tbl_PCR[[#This Row],[sWGA identifier]])=0,"",CONCATENATE(exp_id,"_",tbl_PCR[[#This Row],[Well]]))</f>
        <v/>
      </c>
      <c r="G95" s="3"/>
      <c r="H95" s="3"/>
      <c r="I95" s="4" t="str">
        <f t="shared" si="4"/>
        <v/>
      </c>
      <c r="J95" s="32"/>
    </row>
    <row r="96" spans="1:10" ht="15.75" customHeight="1" x14ac:dyDescent="0.25">
      <c r="A96" s="23">
        <v>94</v>
      </c>
      <c r="B96" s="23" t="s">
        <v>130</v>
      </c>
      <c r="C96" s="49"/>
      <c r="D96" s="34"/>
      <c r="E96" s="50" t="str">
        <f t="shared" si="3"/>
        <v/>
      </c>
      <c r="F96" s="16" t="str">
        <f>IF(LEN(tbl_PCR[[#This Row],[sWGA identifier]])=0,"",CONCATENATE(exp_id,"_",tbl_PCR[[#This Row],[Well]]))</f>
        <v/>
      </c>
      <c r="G96" s="3"/>
      <c r="H96" s="3"/>
      <c r="I96" s="4" t="str">
        <f t="shared" si="4"/>
        <v/>
      </c>
      <c r="J96" s="32"/>
    </row>
    <row r="97" spans="1:10" ht="15.75" customHeight="1" x14ac:dyDescent="0.25">
      <c r="A97" s="23">
        <v>95</v>
      </c>
      <c r="B97" s="23" t="s">
        <v>131</v>
      </c>
      <c r="C97" s="49"/>
      <c r="D97" s="34"/>
      <c r="E97" s="50" t="str">
        <f t="shared" si="3"/>
        <v/>
      </c>
      <c r="F97" s="16" t="str">
        <f>IF(LEN(tbl_PCR[[#This Row],[sWGA identifier]])=0,"",CONCATENATE(exp_id,"_",tbl_PCR[[#This Row],[Well]]))</f>
        <v/>
      </c>
      <c r="G97" s="3"/>
      <c r="H97" s="3"/>
      <c r="I97" s="4" t="str">
        <f t="shared" si="4"/>
        <v/>
      </c>
      <c r="J97" s="32"/>
    </row>
    <row r="98" spans="1:10" ht="15.75" customHeight="1" x14ac:dyDescent="0.25">
      <c r="A98" s="24">
        <v>96</v>
      </c>
      <c r="B98" s="24" t="s">
        <v>132</v>
      </c>
      <c r="C98" s="49"/>
      <c r="D98" s="34"/>
      <c r="E98" s="51" t="str">
        <f t="shared" si="3"/>
        <v/>
      </c>
      <c r="F98" s="26" t="str">
        <f>IF(LEN(tbl_PCR[[#This Row],[sWGA identifier]])=0,"",CONCATENATE(exp_id,"_",tbl_PCR[[#This Row],[Well]]))</f>
        <v/>
      </c>
      <c r="G98" s="25"/>
      <c r="H98" s="25"/>
      <c r="I98" s="27" t="str">
        <f t="shared" si="4"/>
        <v/>
      </c>
      <c r="J98" s="32"/>
    </row>
    <row r="99" spans="1:10" s="20" customFormat="1" x14ac:dyDescent="0.25">
      <c r="A99" s="19"/>
      <c r="B99" s="19"/>
      <c r="C99" s="19">
        <v>1</v>
      </c>
      <c r="D99" s="19">
        <v>1</v>
      </c>
      <c r="E99" s="19"/>
      <c r="F99" s="19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mergeCells count="2">
    <mergeCell ref="C1:D1"/>
    <mergeCell ref="F1:J1"/>
  </mergeCells>
  <phoneticPr fontId="5" type="noConversion"/>
  <conditionalFormatting sqref="C3:C98">
    <cfRule type="containsText" dxfId="1" priority="7" operator="containsText" text=" ">
      <formula>NOT(ISERROR(SEARCH(" ",C3)))</formula>
    </cfRule>
  </conditionalFormatting>
  <conditionalFormatting sqref="C3:E98 G3:H98 J3:J98">
    <cfRule type="expression" dxfId="0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133</v>
      </c>
      <c r="B1" t="s">
        <v>206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C000"/>
  </sheetPr>
  <dimension ref="A1:B16"/>
  <sheetViews>
    <sheetView workbookViewId="0">
      <selection activeCell="B16" sqref="B16"/>
    </sheetView>
  </sheetViews>
  <sheetFormatPr defaultRowHeight="15.75" x14ac:dyDescent="0.25"/>
  <cols>
    <col min="1" max="1" width="17.5" bestFit="1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2" x14ac:dyDescent="0.25">
      <c r="A1" s="43" t="s">
        <v>165</v>
      </c>
    </row>
    <row r="2" spans="1:2" x14ac:dyDescent="0.25">
      <c r="A2" s="42" t="s">
        <v>181</v>
      </c>
    </row>
    <row r="3" spans="1:2" x14ac:dyDescent="0.25">
      <c r="A3" s="47" t="s">
        <v>182</v>
      </c>
      <c r="B3" s="42" t="s">
        <v>184</v>
      </c>
    </row>
    <row r="4" spans="1:2" x14ac:dyDescent="0.25">
      <c r="A4" s="47" t="s">
        <v>23</v>
      </c>
      <c r="B4" s="42" t="s">
        <v>185</v>
      </c>
    </row>
    <row r="5" spans="1:2" x14ac:dyDescent="0.25">
      <c r="A5" s="47" t="s">
        <v>183</v>
      </c>
      <c r="B5" s="42" t="s">
        <v>186</v>
      </c>
    </row>
    <row r="6" spans="1:2" x14ac:dyDescent="0.25">
      <c r="A6" s="42"/>
      <c r="B6" s="42"/>
    </row>
    <row r="7" spans="1:2" x14ac:dyDescent="0.25">
      <c r="A7" s="21" t="s">
        <v>188</v>
      </c>
    </row>
    <row r="8" spans="1:2" x14ac:dyDescent="0.25">
      <c r="A8" s="48" t="s">
        <v>187</v>
      </c>
      <c r="B8" s="42" t="s">
        <v>231</v>
      </c>
    </row>
    <row r="9" spans="1:2" x14ac:dyDescent="0.25">
      <c r="A9" s="48" t="s">
        <v>218</v>
      </c>
      <c r="B9" s="42" t="s">
        <v>189</v>
      </c>
    </row>
    <row r="10" spans="1:2" x14ac:dyDescent="0.25">
      <c r="A10" s="48" t="s">
        <v>193</v>
      </c>
      <c r="B10" s="42" t="s">
        <v>192</v>
      </c>
    </row>
    <row r="12" spans="1:2" x14ac:dyDescent="0.25">
      <c r="A12" s="42" t="s">
        <v>166</v>
      </c>
    </row>
    <row r="13" spans="1:2" x14ac:dyDescent="0.25">
      <c r="A13" s="42" t="s">
        <v>167</v>
      </c>
    </row>
    <row r="14" spans="1:2" x14ac:dyDescent="0.25">
      <c r="A14" s="42" t="s">
        <v>200</v>
      </c>
    </row>
    <row r="16" spans="1:2" x14ac:dyDescent="0.25">
      <c r="A16" s="4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0000"/>
  </sheetPr>
  <dimension ref="A1:V13"/>
  <sheetViews>
    <sheetView workbookViewId="0">
      <selection activeCell="P6" sqref="P6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13" max="13" width="32.875" customWidth="1"/>
    <col min="14" max="14" width="10.875" customWidth="1"/>
  </cols>
  <sheetData>
    <row r="1" spans="1:22" ht="18.75" x14ac:dyDescent="0.3">
      <c r="A1" s="6" t="s">
        <v>0</v>
      </c>
      <c r="C1" s="5"/>
      <c r="D1" s="5"/>
      <c r="E1" s="6" t="s">
        <v>26</v>
      </c>
      <c r="F1" s="5"/>
      <c r="M1" s="6" t="s">
        <v>220</v>
      </c>
    </row>
    <row r="2" spans="1:22" ht="16.5" thickBot="1" x14ac:dyDescent="0.3">
      <c r="A2" s="38" t="s">
        <v>22</v>
      </c>
      <c r="B2" s="39"/>
      <c r="C2" s="39"/>
      <c r="E2" s="56" t="s">
        <v>141</v>
      </c>
      <c r="F2" s="56" t="s">
        <v>142</v>
      </c>
      <c r="G2" s="56" t="s">
        <v>143</v>
      </c>
      <c r="M2" s="53" t="s">
        <v>152</v>
      </c>
      <c r="N2" s="53" t="s">
        <v>153</v>
      </c>
      <c r="P2" s="53" t="s">
        <v>233</v>
      </c>
    </row>
    <row r="3" spans="1:22" x14ac:dyDescent="0.25">
      <c r="C3" s="7"/>
      <c r="E3" s="57" t="s">
        <v>144</v>
      </c>
      <c r="F3" s="57" t="s">
        <v>145</v>
      </c>
      <c r="G3" s="57" t="s">
        <v>146</v>
      </c>
      <c r="M3" s="54" t="s">
        <v>221</v>
      </c>
      <c r="N3" s="54" t="s">
        <v>222</v>
      </c>
      <c r="P3" s="54" t="s">
        <v>255</v>
      </c>
    </row>
    <row r="4" spans="1:22" x14ac:dyDescent="0.25">
      <c r="D4" s="7"/>
      <c r="E4" s="57" t="s">
        <v>147</v>
      </c>
      <c r="F4" s="57" t="s">
        <v>148</v>
      </c>
      <c r="G4" s="57" t="s">
        <v>149</v>
      </c>
      <c r="M4" s="54" t="s">
        <v>223</v>
      </c>
      <c r="N4" s="54" t="s">
        <v>224</v>
      </c>
      <c r="P4" s="54" t="s">
        <v>256</v>
      </c>
    </row>
    <row r="5" spans="1:22" ht="16.5" thickBot="1" x14ac:dyDescent="0.3">
      <c r="A5" s="38" t="s">
        <v>174</v>
      </c>
      <c r="B5" s="39"/>
      <c r="C5" s="39"/>
      <c r="D5" s="7"/>
      <c r="E5" s="1" t="s">
        <v>234</v>
      </c>
      <c r="F5" s="1" t="s">
        <v>236</v>
      </c>
      <c r="G5" s="1" t="s">
        <v>235</v>
      </c>
      <c r="M5" s="54" t="s">
        <v>225</v>
      </c>
      <c r="N5" s="54" t="s">
        <v>226</v>
      </c>
      <c r="P5" s="54" t="s">
        <v>257</v>
      </c>
    </row>
    <row r="6" spans="1:22" x14ac:dyDescent="0.25">
      <c r="A6" s="2" t="s">
        <v>176</v>
      </c>
      <c r="B6" t="s">
        <v>23</v>
      </c>
      <c r="M6" s="55" t="s">
        <v>227</v>
      </c>
    </row>
    <row r="7" spans="1:22" x14ac:dyDescent="0.25">
      <c r="A7" s="2" t="s">
        <v>175</v>
      </c>
      <c r="B7">
        <v>3</v>
      </c>
      <c r="E7" t="s">
        <v>244</v>
      </c>
      <c r="F7" t="s">
        <v>248</v>
      </c>
      <c r="G7" t="s">
        <v>245</v>
      </c>
      <c r="H7" t="s">
        <v>247</v>
      </c>
      <c r="I7" t="s">
        <v>250</v>
      </c>
      <c r="J7" t="s">
        <v>251</v>
      </c>
      <c r="K7" t="s">
        <v>249</v>
      </c>
      <c r="M7" s="55" t="s">
        <v>232</v>
      </c>
    </row>
    <row r="8" spans="1:22" x14ac:dyDescent="0.25">
      <c r="E8" t="s">
        <v>252</v>
      </c>
      <c r="F8">
        <v>1</v>
      </c>
      <c r="G8" t="s">
        <v>238</v>
      </c>
      <c r="H8">
        <v>0.3</v>
      </c>
      <c r="I8">
        <v>2</v>
      </c>
      <c r="J8">
        <v>5</v>
      </c>
      <c r="K8">
        <v>1.5</v>
      </c>
      <c r="M8" s="55" t="s">
        <v>228</v>
      </c>
    </row>
    <row r="9" spans="1:22" ht="16.5" thickBot="1" x14ac:dyDescent="0.3">
      <c r="A9" s="38" t="s">
        <v>239</v>
      </c>
      <c r="E9" t="s">
        <v>253</v>
      </c>
      <c r="F9">
        <v>8</v>
      </c>
      <c r="G9" t="s">
        <v>246</v>
      </c>
      <c r="H9">
        <v>14.5</v>
      </c>
      <c r="I9">
        <v>0</v>
      </c>
      <c r="J9">
        <v>0</v>
      </c>
      <c r="K9">
        <v>1.5</v>
      </c>
      <c r="M9" s="55" t="s">
        <v>229</v>
      </c>
    </row>
    <row r="10" spans="1:22" x14ac:dyDescent="0.25">
      <c r="A10" t="s">
        <v>240</v>
      </c>
      <c r="M10" s="55" t="s">
        <v>230</v>
      </c>
    </row>
    <row r="11" spans="1:22" x14ac:dyDescent="0.25">
      <c r="A11" t="s">
        <v>241</v>
      </c>
    </row>
    <row r="12" spans="1:22" x14ac:dyDescent="0.25">
      <c r="A12" t="s">
        <v>243</v>
      </c>
      <c r="U12" s="5"/>
      <c r="V12" s="5"/>
    </row>
    <row r="13" spans="1:22" x14ac:dyDescent="0.25">
      <c r="A13" t="s">
        <v>254</v>
      </c>
      <c r="S13" s="5"/>
      <c r="T13" s="5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M2"/>
  <sheetViews>
    <sheetView workbookViewId="0">
      <selection activeCell="M2" sqref="M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2" width="12.125" customWidth="1"/>
    <col min="13" max="13" width="16.75" bestFit="1" customWidth="1"/>
  </cols>
  <sheetData>
    <row r="1" spans="1:13" x14ac:dyDescent="0.25">
      <c r="A1" t="s">
        <v>171</v>
      </c>
      <c r="B1" t="s">
        <v>172</v>
      </c>
      <c r="C1" t="s">
        <v>173</v>
      </c>
      <c r="D1" t="s">
        <v>178</v>
      </c>
      <c r="E1" t="s">
        <v>177</v>
      </c>
      <c r="F1" t="s">
        <v>194</v>
      </c>
      <c r="G1" t="s">
        <v>202</v>
      </c>
      <c r="H1" t="s">
        <v>208</v>
      </c>
      <c r="I1" t="s">
        <v>209</v>
      </c>
      <c r="J1" t="s">
        <v>179</v>
      </c>
      <c r="K1" t="s">
        <v>205</v>
      </c>
      <c r="L1" t="s">
        <v>180</v>
      </c>
      <c r="M1" t="s">
        <v>237</v>
      </c>
    </row>
    <row r="2" spans="1:13" x14ac:dyDescent="0.25">
      <c r="A2" t="str">
        <f>exp_id</f>
        <v>PCTB142</v>
      </c>
      <c r="B2" t="str">
        <f>exp_date</f>
        <v>2024-01-10</v>
      </c>
      <c r="C2" t="str">
        <f>exp_user</f>
        <v>Terence Broad</v>
      </c>
      <c r="D2" t="str">
        <f>exp_type</f>
        <v>PCR</v>
      </c>
      <c r="E2">
        <f>exp_version</f>
        <v>3</v>
      </c>
      <c r="F2" t="str">
        <f>exp_assay</f>
        <v>NOMADS16</v>
      </c>
      <c r="G2" t="str">
        <f>exp_notes</f>
        <v>2nd and 3rd batched samples</v>
      </c>
      <c r="H2" t="str">
        <f>exp_summary</f>
        <v>Project A_BatchAB</v>
      </c>
      <c r="I2">
        <f>exp_rxns</f>
        <v>22</v>
      </c>
      <c r="J2" t="str">
        <f>pcr_primers</f>
        <v>N002</v>
      </c>
      <c r="K2" t="str">
        <f>pcr_primersource</f>
        <v>TB001a</v>
      </c>
      <c r="L2" t="str">
        <f>pcr_targetpanel</f>
        <v>Pf-02-16</v>
      </c>
      <c r="M2" t="str">
        <f>pcr_enzyme</f>
        <v>KAPA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190</v>
      </c>
      <c r="B1" t="s">
        <v>191</v>
      </c>
      <c r="C1" t="s">
        <v>171</v>
      </c>
      <c r="D1" t="s">
        <v>198</v>
      </c>
      <c r="E1" t="s">
        <v>199</v>
      </c>
      <c r="F1" t="s">
        <v>195</v>
      </c>
    </row>
    <row r="2" spans="1:6" x14ac:dyDescent="0.25">
      <c r="A2" t="str">
        <f>IF(LEN(PCR!C3),PCR!C3,"")</f>
        <v>MIS1011</v>
      </c>
      <c r="B2" t="str">
        <f>IF(LEN(PCR!D3),PCR!D3,"")</f>
        <v>MJ001</v>
      </c>
      <c r="C2" t="str">
        <f>IF(LEN(PCR!E3)=0,"",exp_id)</f>
        <v>PCTB142</v>
      </c>
      <c r="D2" t="str">
        <f>IF(LEN(PCR!E3),PCR!E3,"")</f>
        <v>SWJS032_A1</v>
      </c>
      <c r="E2" t="str">
        <f>IF(LEN(PCR!F3),PCR!F3,"")</f>
        <v>PCTB142_A1</v>
      </c>
      <c r="F2">
        <f>PCR!I3</f>
        <v>70</v>
      </c>
    </row>
    <row r="3" spans="1:6" x14ac:dyDescent="0.25">
      <c r="A3" t="str">
        <f>IF(LEN(PCR!C4),PCR!C4,"")</f>
        <v>MIS1012</v>
      </c>
      <c r="B3" t="str">
        <f>IF(LEN(PCR!D4),PCR!D4,"")</f>
        <v>MJ002</v>
      </c>
      <c r="C3" t="str">
        <f>IF(LEN(PCR!E4)=0,"",exp_id)</f>
        <v>PCTB142</v>
      </c>
      <c r="D3" t="str">
        <f>IF(LEN(PCR!E4),PCR!E4,"")</f>
        <v>SWJS032_B1</v>
      </c>
      <c r="E3" t="str">
        <f>IF(LEN(PCR!F4),PCR!F4,"")</f>
        <v>PCTB142_B1</v>
      </c>
      <c r="F3">
        <f>PCR!I4</f>
        <v>48.6</v>
      </c>
    </row>
    <row r="4" spans="1:6" x14ac:dyDescent="0.25">
      <c r="A4" t="str">
        <f>IF(LEN(PCR!C5),PCR!C5,"")</f>
        <v>MIS1013</v>
      </c>
      <c r="B4" t="str">
        <f>IF(LEN(PCR!D5),PCR!D5,"")</f>
        <v>MJ003</v>
      </c>
      <c r="C4" t="str">
        <f>IF(LEN(PCR!E5)=0,"",exp_id)</f>
        <v>PCTB142</v>
      </c>
      <c r="D4" t="str">
        <f>IF(LEN(PCR!E5),PCR!E5,"")</f>
        <v>SWJS032_C1</v>
      </c>
      <c r="E4" t="str">
        <f>IF(LEN(PCR!F5),PCR!F5,"")</f>
        <v>PCTB142_C1</v>
      </c>
      <c r="F4">
        <f>PCR!I5</f>
        <v>40.200000000000003</v>
      </c>
    </row>
    <row r="5" spans="1:6" x14ac:dyDescent="0.25">
      <c r="A5" t="str">
        <f>IF(LEN(PCR!C6),PCR!C6,"")</f>
        <v>MIS1014</v>
      </c>
      <c r="B5" t="str">
        <f>IF(LEN(PCR!D6),PCR!D6,"")</f>
        <v>MJ004</v>
      </c>
      <c r="C5" t="str">
        <f>IF(LEN(PCR!E6)=0,"",exp_id)</f>
        <v>PCTB142</v>
      </c>
      <c r="D5" t="str">
        <f>IF(LEN(PCR!E6),PCR!E6,"")</f>
        <v>SWJS032_D1</v>
      </c>
      <c r="E5" t="str">
        <f>IF(LEN(PCR!F6),PCR!F6,"")</f>
        <v>PCTB142_D1</v>
      </c>
      <c r="F5">
        <f>PCR!I6</f>
        <v>42.2</v>
      </c>
    </row>
    <row r="6" spans="1:6" x14ac:dyDescent="0.25">
      <c r="A6" t="str">
        <f>IF(LEN(PCR!C7),PCR!C7,"")</f>
        <v>MIS1015</v>
      </c>
      <c r="B6" t="str">
        <f>IF(LEN(PCR!D7),PCR!D7,"")</f>
        <v>MJ005</v>
      </c>
      <c r="C6" t="str">
        <f>IF(LEN(PCR!E7)=0,"",exp_id)</f>
        <v>PCTB142</v>
      </c>
      <c r="D6" t="str">
        <f>IF(LEN(PCR!E7),PCR!E7,"")</f>
        <v>SWJS032_E1</v>
      </c>
      <c r="E6" t="str">
        <f>IF(LEN(PCR!F7),PCR!F7,"")</f>
        <v>PCTB142_E1</v>
      </c>
      <c r="F6">
        <f>PCR!I7</f>
        <v>41.2</v>
      </c>
    </row>
    <row r="7" spans="1:6" x14ac:dyDescent="0.25">
      <c r="A7" t="str">
        <f>IF(LEN(PCR!C8),PCR!C8,"")</f>
        <v>MIS1016</v>
      </c>
      <c r="B7" t="str">
        <f>IF(LEN(PCR!D8),PCR!D8,"")</f>
        <v>MJ006</v>
      </c>
      <c r="C7" t="str">
        <f>IF(LEN(PCR!E8)=0,"",exp_id)</f>
        <v>PCTB142</v>
      </c>
      <c r="D7" t="str">
        <f>IF(LEN(PCR!E8),PCR!E8,"")</f>
        <v>SWJS032_F1</v>
      </c>
      <c r="E7" t="str">
        <f>IF(LEN(PCR!F8),PCR!F8,"")</f>
        <v>PCTB142_F1</v>
      </c>
      <c r="F7">
        <f>PCR!I8</f>
        <v>7.3</v>
      </c>
    </row>
    <row r="8" spans="1:6" x14ac:dyDescent="0.25">
      <c r="A8" t="str">
        <f>IF(LEN(PCR!C9),PCR!C9,"")</f>
        <v>MIS1017</v>
      </c>
      <c r="B8" t="str">
        <f>IF(LEN(PCR!D9),PCR!D9,"")</f>
        <v>MJ007</v>
      </c>
      <c r="C8" t="str">
        <f>IF(LEN(PCR!E9)=0,"",exp_id)</f>
        <v>PCTB142</v>
      </c>
      <c r="D8" t="str">
        <f>IF(LEN(PCR!E9),PCR!E9,"")</f>
        <v>SWJS032_G1</v>
      </c>
      <c r="E8" t="str">
        <f>IF(LEN(PCR!F9),PCR!F9,"")</f>
        <v>PCTB142_G1</v>
      </c>
      <c r="F8">
        <f>PCR!I9</f>
        <v>37.799999999999997</v>
      </c>
    </row>
    <row r="9" spans="1:6" x14ac:dyDescent="0.25">
      <c r="A9" t="str">
        <f>IF(LEN(PCR!C10),PCR!C10,"")</f>
        <v>MIS1018</v>
      </c>
      <c r="B9" t="str">
        <f>IF(LEN(PCR!D10),PCR!D10,"")</f>
        <v>MJ008</v>
      </c>
      <c r="C9" t="str">
        <f>IF(LEN(PCR!E10)=0,"",exp_id)</f>
        <v>PCTB142</v>
      </c>
      <c r="D9" t="str">
        <f>IF(LEN(PCR!E10),PCR!E10,"")</f>
        <v>SWJS032_H1</v>
      </c>
      <c r="E9" t="str">
        <f>IF(LEN(PCR!F10),PCR!F10,"")</f>
        <v>PCTB142_H1</v>
      </c>
      <c r="F9">
        <f>PCR!I10</f>
        <v>22.2</v>
      </c>
    </row>
    <row r="10" spans="1:6" x14ac:dyDescent="0.25">
      <c r="A10" t="str">
        <f>IF(LEN(PCR!C11),PCR!C11,"")</f>
        <v>MIS1019</v>
      </c>
      <c r="B10" t="str">
        <f>IF(LEN(PCR!D11),PCR!D11,"")</f>
        <v>MJ009</v>
      </c>
      <c r="C10" t="str">
        <f>IF(LEN(PCR!E11)=0,"",exp_id)</f>
        <v>PCTB142</v>
      </c>
      <c r="D10" t="str">
        <f>IF(LEN(PCR!E11),PCR!E11,"")</f>
        <v>SWJS032_A2</v>
      </c>
      <c r="E10" t="str">
        <f>IF(LEN(PCR!F11),PCR!F11,"")</f>
        <v>PCTB142_A2</v>
      </c>
      <c r="F10">
        <f>PCR!I11</f>
        <v>65.599999999999994</v>
      </c>
    </row>
    <row r="11" spans="1:6" x14ac:dyDescent="0.25">
      <c r="A11" t="str">
        <f>IF(LEN(PCR!C12),PCR!C12,"")</f>
        <v>MIS1020</v>
      </c>
      <c r="B11" t="str">
        <f>IF(LEN(PCR!D12),PCR!D12,"")</f>
        <v>MJ010</v>
      </c>
      <c r="C11" t="str">
        <f>IF(LEN(PCR!E12)=0,"",exp_id)</f>
        <v>PCTB142</v>
      </c>
      <c r="D11" t="str">
        <f>IF(LEN(PCR!E12),PCR!E12,"")</f>
        <v>SWJS032_B2</v>
      </c>
      <c r="E11" t="str">
        <f>IF(LEN(PCR!F12),PCR!F12,"")</f>
        <v>PCTB142_B2</v>
      </c>
      <c r="F11">
        <f>PCR!I12</f>
        <v>54.4</v>
      </c>
    </row>
    <row r="12" spans="1:6" x14ac:dyDescent="0.25">
      <c r="A12" t="str">
        <f>IF(LEN(PCR!C13),PCR!C13,"")</f>
        <v>3D7</v>
      </c>
      <c r="B12" t="str">
        <f>IF(LEN(PCR!D13),PCR!D13,"")</f>
        <v>3D7_01a</v>
      </c>
      <c r="C12" t="str">
        <f>IF(LEN(PCR!E13)=0,"",exp_id)</f>
        <v>PCTB142</v>
      </c>
      <c r="D12" t="str">
        <f>IF(LEN(PCR!E13),PCR!E13,"")</f>
        <v>SWJS032_C2</v>
      </c>
      <c r="E12" t="str">
        <f>IF(LEN(PCR!F13),PCR!F13,"")</f>
        <v>PCTB142_C2</v>
      </c>
      <c r="F12">
        <f>PCR!I13</f>
        <v>121</v>
      </c>
    </row>
    <row r="13" spans="1:6" x14ac:dyDescent="0.25">
      <c r="A13" t="str">
        <f>IF(LEN(PCR!C14),PCR!C14,"")</f>
        <v>Dd2</v>
      </c>
      <c r="B13" t="str">
        <f>IF(LEN(PCR!D14),PCR!D14,"")</f>
        <v>Dd2_01a</v>
      </c>
      <c r="C13" t="str">
        <f>IF(LEN(PCR!E14)=0,"",exp_id)</f>
        <v>PCTB142</v>
      </c>
      <c r="D13" t="str">
        <f>IF(LEN(PCR!E14),PCR!E14,"")</f>
        <v>SWJS032_D2</v>
      </c>
      <c r="E13" t="str">
        <f>IF(LEN(PCR!F14),PCR!F14,"")</f>
        <v>PCTB142_D2</v>
      </c>
      <c r="F13">
        <f>PCR!I14</f>
        <v>94.6</v>
      </c>
    </row>
    <row r="14" spans="1:6" x14ac:dyDescent="0.25">
      <c r="A14" t="str">
        <f>IF(LEN(PCR!C15),PCR!C15,"")</f>
        <v>NTC</v>
      </c>
      <c r="B14" t="str">
        <f>IF(LEN(PCR!D15),PCR!D15,"")</f>
        <v>NTC_SWJS032</v>
      </c>
      <c r="C14" t="str">
        <f>IF(LEN(PCR!E15)=0,"",exp_id)</f>
        <v>PCTB142</v>
      </c>
      <c r="D14" t="str">
        <f>IF(LEN(PCR!E15),PCR!E15,"")</f>
        <v>SWJS032_E2</v>
      </c>
      <c r="E14" t="str">
        <f>IF(LEN(PCR!F15),PCR!F15,"")</f>
        <v>PCTB142_E2</v>
      </c>
      <c r="F14">
        <f>PCR!I15</f>
        <v>1.4</v>
      </c>
    </row>
    <row r="15" spans="1:6" x14ac:dyDescent="0.25">
      <c r="A15" t="str">
        <f>IF(LEN(PCR!C16),PCR!C16,"")</f>
        <v>MIS1021</v>
      </c>
      <c r="B15" t="str">
        <f>IF(LEN(PCR!D16),PCR!D16,"")</f>
        <v>MJ010</v>
      </c>
      <c r="C15" t="str">
        <f>IF(LEN(PCR!E16)=0,"",exp_id)</f>
        <v>PCTB142</v>
      </c>
      <c r="D15" t="str">
        <f>IF(LEN(PCR!E16),PCR!E16,"")</f>
        <v>SWFW094_A1</v>
      </c>
      <c r="E15" t="str">
        <f>IF(LEN(PCR!F16),PCR!F16,"")</f>
        <v>PCTB142_F2</v>
      </c>
      <c r="F15">
        <f>PCR!I16</f>
        <v>2.66</v>
      </c>
    </row>
    <row r="16" spans="1:6" x14ac:dyDescent="0.25">
      <c r="A16" t="str">
        <f>IF(LEN(PCR!C17),PCR!C17,"")</f>
        <v>MIS1022</v>
      </c>
      <c r="B16" t="str">
        <f>IF(LEN(PCR!D17),PCR!D17,"")</f>
        <v>MJ011</v>
      </c>
      <c r="C16" t="str">
        <f>IF(LEN(PCR!E17)=0,"",exp_id)</f>
        <v>PCTB142</v>
      </c>
      <c r="D16" t="str">
        <f>IF(LEN(PCR!E17),PCR!E17,"")</f>
        <v>SWFW094_B1</v>
      </c>
      <c r="E16" t="str">
        <f>IF(LEN(PCR!F17),PCR!F17,"")</f>
        <v>PCTB142_G2</v>
      </c>
      <c r="F16">
        <f>PCR!I17</f>
        <v>20.2</v>
      </c>
    </row>
    <row r="17" spans="1:6" x14ac:dyDescent="0.25">
      <c r="A17" t="str">
        <f>IF(LEN(PCR!C18),PCR!C18,"")</f>
        <v>MIS1023</v>
      </c>
      <c r="B17" t="str">
        <f>IF(LEN(PCR!D18),PCR!D18,"")</f>
        <v>MJ012</v>
      </c>
      <c r="C17" t="str">
        <f>IF(LEN(PCR!E18)=0,"",exp_id)</f>
        <v>PCTB142</v>
      </c>
      <c r="D17" t="str">
        <f>IF(LEN(PCR!E18),PCR!E18,"")</f>
        <v>SWFW094_C1</v>
      </c>
      <c r="E17" t="str">
        <f>IF(LEN(PCR!F18),PCR!F18,"")</f>
        <v>PCTB142_H2</v>
      </c>
      <c r="F17">
        <f>PCR!I18</f>
        <v>22.4</v>
      </c>
    </row>
    <row r="18" spans="1:6" x14ac:dyDescent="0.25">
      <c r="A18" t="str">
        <f>IF(LEN(PCR!C19),PCR!C19,"")</f>
        <v>MIS1025</v>
      </c>
      <c r="B18" t="str">
        <f>IF(LEN(PCR!D19),PCR!D19,"")</f>
        <v>MJ014</v>
      </c>
      <c r="C18" t="str">
        <f>IF(LEN(PCR!E19)=0,"",exp_id)</f>
        <v>PCTB142</v>
      </c>
      <c r="D18" t="str">
        <f>IF(LEN(PCR!E19),PCR!E19,"")</f>
        <v>SWFW094_E1</v>
      </c>
      <c r="E18" t="str">
        <f>IF(LEN(PCR!F19),PCR!F19,"")</f>
        <v>PCTB142_A3</v>
      </c>
      <c r="F18">
        <f>PCR!I19</f>
        <v>51.4</v>
      </c>
    </row>
    <row r="19" spans="1:6" x14ac:dyDescent="0.25">
      <c r="A19" t="str">
        <f>IF(LEN(PCR!C20),PCR!C20,"")</f>
        <v>MIS1026</v>
      </c>
      <c r="B19" t="str">
        <f>IF(LEN(PCR!D20),PCR!D20,"")</f>
        <v>MJ015</v>
      </c>
      <c r="C19" t="str">
        <f>IF(LEN(PCR!E20)=0,"",exp_id)</f>
        <v>PCTB142</v>
      </c>
      <c r="D19" t="str">
        <f>IF(LEN(PCR!E20),PCR!E20,"")</f>
        <v>SWFW094_F1</v>
      </c>
      <c r="E19" t="str">
        <f>IF(LEN(PCR!F20),PCR!F20,"")</f>
        <v>PCTB142_B3</v>
      </c>
      <c r="F19">
        <f>PCR!I20</f>
        <v>14.2</v>
      </c>
    </row>
    <row r="20" spans="1:6" x14ac:dyDescent="0.25">
      <c r="A20" t="str">
        <f>IF(LEN(PCR!C21),PCR!C21,"")</f>
        <v>MIS1027</v>
      </c>
      <c r="B20" t="str">
        <f>IF(LEN(PCR!D21),PCR!D21,"")</f>
        <v>MJ016</v>
      </c>
      <c r="C20" t="str">
        <f>IF(LEN(PCR!E21)=0,"",exp_id)</f>
        <v>PCTB142</v>
      </c>
      <c r="D20" t="str">
        <f>IF(LEN(PCR!E21),PCR!E21,"")</f>
        <v>SWFW094_G1</v>
      </c>
      <c r="E20" t="str">
        <f>IF(LEN(PCR!F21),PCR!F21,"")</f>
        <v>PCTB142_C3</v>
      </c>
      <c r="F20">
        <f>PCR!I21</f>
        <v>21.6</v>
      </c>
    </row>
    <row r="21" spans="1:6" x14ac:dyDescent="0.25">
      <c r="A21" t="str">
        <f>IF(LEN(PCR!C22),PCR!C22,"")</f>
        <v>MIS1028</v>
      </c>
      <c r="B21" t="str">
        <f>IF(LEN(PCR!D22),PCR!D22,"")</f>
        <v>MJ017</v>
      </c>
      <c r="C21" t="str">
        <f>IF(LEN(PCR!E22)=0,"",exp_id)</f>
        <v>PCTB142</v>
      </c>
      <c r="D21" t="str">
        <f>IF(LEN(PCR!E22),PCR!E22,"")</f>
        <v>SWFW094_H1</v>
      </c>
      <c r="E21" t="str">
        <f>IF(LEN(PCR!F22),PCR!F22,"")</f>
        <v>PCTB142_D3</v>
      </c>
      <c r="F21">
        <f>PCR!I22</f>
        <v>43.8</v>
      </c>
    </row>
    <row r="22" spans="1:6" x14ac:dyDescent="0.25">
      <c r="A22" t="str">
        <f>IF(LEN(PCR!C23),PCR!C23,"")</f>
        <v>MIS1029</v>
      </c>
      <c r="B22" t="str">
        <f>IF(LEN(PCR!D23),PCR!D23,"")</f>
        <v>MJ018</v>
      </c>
      <c r="C22" t="str">
        <f>IF(LEN(PCR!E23)=0,"",exp_id)</f>
        <v>PCTB142</v>
      </c>
      <c r="D22" t="str">
        <f>IF(LEN(PCR!E23),PCR!E23,"")</f>
        <v>SWFW094_A2</v>
      </c>
      <c r="E22" t="str">
        <f>IF(LEN(PCR!F23),PCR!F23,"")</f>
        <v>PCTB142_E3</v>
      </c>
      <c r="F22">
        <f>PCR!I23</f>
        <v>28.8</v>
      </c>
    </row>
    <row r="23" spans="1:6" x14ac:dyDescent="0.25">
      <c r="A23" t="str">
        <f>IF(LEN(PCR!C24),PCR!C24,"")</f>
        <v>3D7</v>
      </c>
      <c r="B23" t="str">
        <f>IF(LEN(PCR!D24),PCR!D24,"")</f>
        <v>3D7_01a</v>
      </c>
      <c r="C23" t="str">
        <f>IF(LEN(PCR!E24)=0,"",exp_id)</f>
        <v>PCTB142</v>
      </c>
      <c r="D23" t="str">
        <f>IF(LEN(PCR!E24),PCR!E24,"")</f>
        <v>SWFW094_C2</v>
      </c>
      <c r="E23" t="str">
        <f>IF(LEN(PCR!F24),PCR!F24,"")</f>
        <v>PCTB142_F3</v>
      </c>
      <c r="F23">
        <f>PCR!I24</f>
        <v>145.30000000000001</v>
      </c>
    </row>
    <row r="24" spans="1:6" x14ac:dyDescent="0.25">
      <c r="A24" t="str">
        <f>IF(LEN(PCR!C25),PCR!C25,"")</f>
        <v>Dd2</v>
      </c>
      <c r="B24" t="str">
        <f>IF(LEN(PCR!D25),PCR!D25,"")</f>
        <v>Dd2_01a</v>
      </c>
      <c r="C24" t="str">
        <f>IF(LEN(PCR!E25)=0,"",exp_id)</f>
        <v>PCTB142</v>
      </c>
      <c r="D24" t="str">
        <f>IF(LEN(PCR!E25),PCR!E25,"")</f>
        <v>SWFW094_D2</v>
      </c>
      <c r="E24" t="str">
        <f>IF(LEN(PCR!F25),PCR!F25,"")</f>
        <v>PCTB142_G3</v>
      </c>
      <c r="F24">
        <f>PCR!I25</f>
        <v>154.30000000000001</v>
      </c>
    </row>
    <row r="25" spans="1:6" x14ac:dyDescent="0.25">
      <c r="A25" t="str">
        <f>IF(LEN(PCR!C26),PCR!C26,"")</f>
        <v>NTC</v>
      </c>
      <c r="B25" t="str">
        <f>IF(LEN(PCR!D26),PCR!D26,"")</f>
        <v>NTC_SWFW094</v>
      </c>
      <c r="C25" t="str">
        <f>IF(LEN(PCR!E26)=0,"",exp_id)</f>
        <v>PCTB142</v>
      </c>
      <c r="D25" t="str">
        <f>IF(LEN(PCR!E26),PCR!E26,"")</f>
        <v>SWFW094_E2</v>
      </c>
      <c r="E25" t="str">
        <f>IF(LEN(PCR!F26),PCR!F26,"")</f>
        <v>PCTB142_H3</v>
      </c>
      <c r="F25">
        <f>PCR!I26</f>
        <v>8.1999999999999993</v>
      </c>
    </row>
    <row r="26" spans="1:6" x14ac:dyDescent="0.25">
      <c r="A26" t="str">
        <f>IF(LEN(PCR!C27),PCR!C27,"")</f>
        <v>NTC</v>
      </c>
      <c r="B26" t="str">
        <f>IF(LEN(PCR!D27),PCR!D27,"")</f>
        <v>NTC_PCTB142</v>
      </c>
      <c r="C26" t="str">
        <f>IF(LEN(PCR!E27)=0,"",exp_id)</f>
        <v>PCTB142</v>
      </c>
      <c r="D26" t="str">
        <f>IF(LEN(PCR!E27),PCR!E27,"")</f>
        <v>NA</v>
      </c>
      <c r="E26" t="str">
        <f>IF(LEN(PCR!F27),PCR!F27,"")</f>
        <v>PCTB142_A4</v>
      </c>
      <c r="F26">
        <f>PCR!I27</f>
        <v>1.2</v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Assay</vt:lpstr>
      <vt:lpstr>PCR</vt:lpstr>
      <vt:lpstr>Gel</vt:lpstr>
      <vt:lpstr>Instructions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pcr_dna_source</vt:lpstr>
      <vt:lpstr>pcr_enzyme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2023-06-20T18:25:51Z</cp:lastPrinted>
  <dcterms:created xsi:type="dcterms:W3CDTF">2022-03-21T12:22:51Z</dcterms:created>
  <dcterms:modified xsi:type="dcterms:W3CDTF">2024-04-24T18:57:55Z</dcterms:modified>
</cp:coreProperties>
</file>