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bridges\Desktop\experimental\"/>
    </mc:Choice>
  </mc:AlternateContent>
  <xr:revisionPtr revIDLastSave="0" documentId="13_ncr:1_{7B046474-4D0F-4588-9564-61E9BE5990A9}" xr6:coauthVersionLast="47" xr6:coauthVersionMax="47" xr10:uidLastSave="{00000000-0000-0000-0000-000000000000}"/>
  <bookViews>
    <workbookView xWindow="-120" yWindow="-120" windowWidth="57840" windowHeight="29625" tabRatio="500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Assay!$P$44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37" i="2" l="1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96" i="2" l="1"/>
  <c r="N69" i="2"/>
  <c r="T84" i="2"/>
  <c r="Y84" i="2" s="1"/>
  <c r="T57" i="2"/>
  <c r="Y57" i="2" s="1"/>
  <c r="AC87" i="2"/>
  <c r="AC60" i="2"/>
  <c r="N87" i="2"/>
  <c r="N60" i="2"/>
  <c r="T75" i="2"/>
  <c r="Y75" i="2" s="1"/>
  <c r="T48" i="2"/>
  <c r="Y48" i="2" s="1"/>
  <c r="AC78" i="2"/>
  <c r="AC51" i="2"/>
  <c r="N78" i="2"/>
  <c r="T93" i="2"/>
  <c r="Y93" i="2" s="1"/>
  <c r="T66" i="2"/>
  <c r="Y66" i="2" s="1"/>
  <c r="T39" i="2"/>
  <c r="Y39" i="2" s="1"/>
  <c r="AC96" i="2"/>
  <c r="AC69" i="2"/>
  <c r="AC42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T79" i="2"/>
  <c r="Y79" i="2" s="1"/>
  <c r="T52" i="2"/>
  <c r="Y52" i="2" s="1"/>
  <c r="AC82" i="2"/>
  <c r="AC55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AC90" i="2"/>
  <c r="AC81" i="2"/>
  <c r="AC72" i="2"/>
  <c r="AC63" i="2"/>
  <c r="AC54" i="2"/>
  <c r="AC45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T45" i="2"/>
  <c r="Y45" i="2" s="1"/>
  <c r="AC93" i="2"/>
  <c r="AC84" i="2"/>
  <c r="AC75" i="2"/>
  <c r="AC66" i="2"/>
  <c r="AC48" i="2"/>
  <c r="AC39" i="2"/>
  <c r="Z74" i="2"/>
  <c r="N41" i="2"/>
  <c r="Z62" i="2"/>
  <c r="N50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N84" i="2"/>
  <c r="N66" i="2"/>
  <c r="N57" i="2"/>
  <c r="AE84" i="2"/>
  <c r="AE57" i="2"/>
  <c r="Z98" i="2"/>
  <c r="Z83" i="2"/>
  <c r="Z71" i="2"/>
  <c r="AE93" i="2"/>
  <c r="AE66" i="2"/>
  <c r="AE3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O43" i="2"/>
  <c r="N73" i="2"/>
  <c r="N64" i="2"/>
  <c r="N55" i="2"/>
  <c r="N43" i="2"/>
  <c r="N3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AE90" i="2"/>
  <c r="AE81" i="2"/>
  <c r="AE72" i="2"/>
  <c r="AE63" i="2"/>
  <c r="AE54" i="2"/>
  <c r="AE45" i="2"/>
  <c r="N90" i="2"/>
  <c r="N81" i="2"/>
  <c r="N76" i="2"/>
  <c r="N72" i="2"/>
  <c r="N67" i="2"/>
  <c r="N63" i="2"/>
  <c r="N58" i="2"/>
  <c r="N54" i="2"/>
  <c r="N49" i="2"/>
  <c r="AE59" i="2"/>
  <c r="AE56" i="2"/>
  <c r="AE53" i="2"/>
  <c r="AE50" i="2"/>
  <c r="AE47" i="2"/>
  <c r="AE44" i="2"/>
  <c r="AE41" i="2"/>
  <c r="AE38" i="2"/>
  <c r="O61" i="2"/>
  <c r="AE96" i="2"/>
  <c r="AE87" i="2"/>
  <c r="AE78" i="2"/>
  <c r="AE69" i="2"/>
  <c r="AE60" i="2"/>
  <c r="AE51" i="2"/>
  <c r="AE42" i="2"/>
  <c r="Z95" i="2"/>
  <c r="Z86" i="2"/>
  <c r="Z77" i="2"/>
  <c r="Z68" i="2"/>
  <c r="Z59" i="2"/>
  <c r="Z50" i="2"/>
  <c r="Z41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P80" i="2"/>
  <c r="Q74" i="2"/>
  <c r="N47" i="2"/>
  <c r="N38" i="2"/>
  <c r="AA48" i="2"/>
  <c r="AB48" i="2" s="1"/>
  <c r="N48" i="2"/>
  <c r="AA45" i="2"/>
  <c r="AB45" i="2" s="1"/>
  <c r="N45" i="2"/>
  <c r="AA39" i="2"/>
  <c r="AB39" i="2" s="1"/>
  <c r="N39" i="2"/>
  <c r="P71" i="2"/>
  <c r="AA93" i="2"/>
  <c r="AB93" i="2" s="1"/>
  <c r="AA84" i="2"/>
  <c r="AB84" i="2" s="1"/>
  <c r="AA75" i="2"/>
  <c r="AB75" i="2" s="1"/>
  <c r="AA66" i="2"/>
  <c r="AB66" i="2" s="1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W83" i="2"/>
  <c r="W56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P95" i="2"/>
  <c r="P86" i="2"/>
  <c r="P77" i="2"/>
  <c r="P68" i="2"/>
  <c r="Q95" i="2"/>
  <c r="Q86" i="2"/>
  <c r="Q77" i="2"/>
  <c r="Q52" i="2"/>
  <c r="V80" i="2"/>
  <c r="V53" i="2"/>
  <c r="W92" i="2"/>
  <c r="W65" i="2"/>
  <c r="W38" i="2"/>
  <c r="G16" i="1"/>
  <c r="C59" i="1"/>
  <c r="K6" i="2"/>
  <c r="M6" i="2" s="1"/>
  <c r="AB57" i="2" l="1"/>
  <c r="AB81" i="2"/>
  <c r="AB54" i="2"/>
  <c r="AB72" i="2"/>
  <c r="AB41" i="2"/>
  <c r="AB68" i="2"/>
  <c r="AB95" i="2"/>
  <c r="AB42" i="2"/>
  <c r="AB37" i="2"/>
  <c r="AB40" i="2"/>
  <c r="AB64" i="2"/>
  <c r="AB67" i="2"/>
  <c r="AB82" i="2"/>
  <c r="AB85" i="2"/>
  <c r="AB65" i="2"/>
  <c r="AB83" i="2"/>
  <c r="AB47" i="2"/>
  <c r="AB50" i="2"/>
  <c r="AB77" i="2"/>
  <c r="AB58" i="2"/>
  <c r="AB76" i="2"/>
  <c r="AB61" i="2"/>
  <c r="AB79" i="2"/>
  <c r="AB62" i="2"/>
  <c r="AB52" i="2"/>
  <c r="AB55" i="2"/>
  <c r="AB97" i="2"/>
  <c r="AB80" i="2"/>
  <c r="AB98" i="2"/>
  <c r="AB89" i="2"/>
  <c r="AB74" i="2"/>
  <c r="AB59" i="2"/>
  <c r="AB86" i="2"/>
  <c r="AB51" i="2"/>
  <c r="AB63" i="2"/>
  <c r="AB90" i="2"/>
  <c r="AB43" i="2"/>
  <c r="AB46" i="2"/>
  <c r="AB49" i="2"/>
  <c r="AB70" i="2"/>
  <c r="AB73" i="2"/>
  <c r="AB88" i="2"/>
  <c r="AB91" i="2"/>
  <c r="AB94" i="2"/>
  <c r="AB92" i="2"/>
  <c r="AB71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W2" i="5" l="1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5" i="1"/>
  <c r="C6" i="1" s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G30" i="6"/>
  <c r="K31" i="2"/>
  <c r="M31" i="2" s="1"/>
  <c r="K30" i="2"/>
  <c r="M30" i="2" s="1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N9" i="2" l="1"/>
  <c r="N15" i="2"/>
  <c r="N18" i="2"/>
  <c r="N21" i="2"/>
  <c r="AA21" i="2"/>
  <c r="AB21" i="2" s="1"/>
  <c r="N24" i="2"/>
  <c r="AA24" i="2"/>
  <c r="AB24" i="2" s="1"/>
  <c r="N27" i="2"/>
  <c r="AA27" i="2"/>
  <c r="AB27" i="2" s="1"/>
  <c r="N31" i="2"/>
  <c r="AA31" i="2"/>
  <c r="AB31" i="2" s="1"/>
  <c r="N34" i="2"/>
  <c r="AA34" i="2"/>
  <c r="AB34" i="2" s="1"/>
  <c r="N14" i="2"/>
  <c r="N17" i="2"/>
  <c r="Q14" i="2" s="1"/>
  <c r="U14" i="2" s="1"/>
  <c r="N20" i="2"/>
  <c r="AA20" i="2"/>
  <c r="AB20" i="2" s="1"/>
  <c r="N23" i="2"/>
  <c r="O23" i="2" s="1"/>
  <c r="AA23" i="2"/>
  <c r="AB23" i="2" s="1"/>
  <c r="N26" i="2"/>
  <c r="AA26" i="2"/>
  <c r="AB26" i="2" s="1"/>
  <c r="N29" i="2"/>
  <c r="AA29" i="2"/>
  <c r="AB29" i="2" s="1"/>
  <c r="N33" i="2"/>
  <c r="AA33" i="2"/>
  <c r="AB33" i="2" s="1"/>
  <c r="N36" i="2"/>
  <c r="O36" i="2" s="1"/>
  <c r="AA36" i="2"/>
  <c r="AB36" i="2" s="1"/>
  <c r="N7" i="2"/>
  <c r="N10" i="2"/>
  <c r="Q16" i="2"/>
  <c r="U16" i="2" s="1"/>
  <c r="N16" i="2"/>
  <c r="O19" i="2"/>
  <c r="N19" i="2"/>
  <c r="AA19" i="2"/>
  <c r="AB19" i="2" s="1"/>
  <c r="N22" i="2"/>
  <c r="AA22" i="2"/>
  <c r="AB22" i="2" s="1"/>
  <c r="N25" i="2"/>
  <c r="O25" i="2"/>
  <c r="AA25" i="2"/>
  <c r="AB25" i="2" s="1"/>
  <c r="N28" i="2"/>
  <c r="AA28" i="2"/>
  <c r="AB28" i="2" s="1"/>
  <c r="N30" i="2"/>
  <c r="O30" i="2"/>
  <c r="AA30" i="2"/>
  <c r="AB30" i="2" s="1"/>
  <c r="N32" i="2"/>
  <c r="AA32" i="2"/>
  <c r="AB32" i="2" s="1"/>
  <c r="N35" i="2"/>
  <c r="Q35" i="2"/>
  <c r="U35" i="2"/>
  <c r="AA35" i="2"/>
  <c r="AB35" i="2" s="1"/>
  <c r="N8" i="2"/>
  <c r="N3" i="2"/>
  <c r="N5" i="2"/>
  <c r="N13" i="2"/>
  <c r="N11" i="2"/>
  <c r="AA11" i="2"/>
  <c r="N4" i="2"/>
  <c r="Z3" i="2" s="1"/>
  <c r="N12" i="2"/>
  <c r="D61" i="1"/>
  <c r="D62" i="1" s="1"/>
  <c r="D44" i="1"/>
  <c r="D45" i="1" s="1"/>
  <c r="D49" i="1" s="1"/>
  <c r="Q4" i="2" l="1"/>
  <c r="U4" i="2" s="1"/>
  <c r="V13" i="2"/>
  <c r="W9" i="2"/>
  <c r="P9" i="2"/>
  <c r="T9" i="2" s="1"/>
  <c r="Y9" i="2" s="1"/>
  <c r="O9" i="2"/>
  <c r="V18" i="2"/>
  <c r="W21" i="2"/>
  <c r="V24" i="2"/>
  <c r="W31" i="2"/>
  <c r="V17" i="2"/>
  <c r="W20" i="2"/>
  <c r="W29" i="2"/>
  <c r="W33" i="2"/>
  <c r="V7" i="2"/>
  <c r="X7" i="2" s="1" a="1"/>
  <c r="X7" i="2" s="1"/>
  <c r="W7" i="2"/>
  <c r="Q10" i="2"/>
  <c r="U10" i="2" s="1"/>
  <c r="P10" i="2"/>
  <c r="T10" i="2" s="1"/>
  <c r="Y10" i="2" s="1"/>
  <c r="W16" i="2"/>
  <c r="V16" i="2"/>
  <c r="W19" i="2"/>
  <c r="V25" i="2"/>
  <c r="W35" i="2"/>
  <c r="W4" i="2"/>
  <c r="X4" i="2" s="1" a="1"/>
  <c r="X4" i="2" s="1"/>
  <c r="V4" i="2"/>
  <c r="Q9" i="2"/>
  <c r="U9" i="2" s="1"/>
  <c r="W18" i="2"/>
  <c r="V21" i="2"/>
  <c r="V27" i="2"/>
  <c r="V31" i="2"/>
  <c r="V34" i="2"/>
  <c r="V32" i="2"/>
  <c r="W30" i="2"/>
  <c r="P27" i="2"/>
  <c r="T27" i="2" s="1"/>
  <c r="Y27" i="2" s="1"/>
  <c r="O31" i="2"/>
  <c r="R31" i="2" s="1" a="1"/>
  <c r="R31" i="2" s="1"/>
  <c r="O34" i="2"/>
  <c r="P34" i="2"/>
  <c r="T34" i="2" s="1"/>
  <c r="Y34" i="2" s="1"/>
  <c r="Q28" i="2"/>
  <c r="U28" i="2" s="1"/>
  <c r="P28" i="2"/>
  <c r="T28" i="2" s="1"/>
  <c r="Y28" i="2" s="1"/>
  <c r="O32" i="2"/>
  <c r="P32" i="2"/>
  <c r="T32" i="2" s="1"/>
  <c r="Y32" i="2" s="1"/>
  <c r="AC32" i="2" s="1"/>
  <c r="AE32" i="2" s="1"/>
  <c r="Q27" i="2"/>
  <c r="U27" i="2" s="1"/>
  <c r="Q31" i="2"/>
  <c r="U31" i="2" s="1"/>
  <c r="V22" i="2"/>
  <c r="W22" i="2"/>
  <c r="Q7" i="2"/>
  <c r="U7" i="2" s="1"/>
  <c r="P33" i="2"/>
  <c r="T33" i="2" s="1"/>
  <c r="Y33" i="2" s="1"/>
  <c r="AC33" i="2" s="1"/>
  <c r="AE33" i="2" s="1"/>
  <c r="O33" i="2"/>
  <c r="Q29" i="2"/>
  <c r="U29" i="2" s="1"/>
  <c r="W26" i="2"/>
  <c r="P20" i="2"/>
  <c r="T20" i="2" s="1"/>
  <c r="Y20" i="2" s="1"/>
  <c r="AC20" i="2" s="1"/>
  <c r="AE20" i="2" s="1"/>
  <c r="V14" i="2"/>
  <c r="W14" i="2"/>
  <c r="P31" i="2"/>
  <c r="T31" i="2" s="1"/>
  <c r="Y31" i="2" s="1"/>
  <c r="AC31" i="2" s="1"/>
  <c r="AE31" i="2" s="1"/>
  <c r="O27" i="2"/>
  <c r="O21" i="2"/>
  <c r="R21" i="2" s="1" a="1"/>
  <c r="R21" i="2" s="1"/>
  <c r="Q15" i="2"/>
  <c r="U15" i="2" s="1"/>
  <c r="W15" i="2"/>
  <c r="P4" i="2"/>
  <c r="T4" i="2" s="1"/>
  <c r="Y4" i="2" s="1"/>
  <c r="O13" i="2"/>
  <c r="W13" i="2"/>
  <c r="AC35" i="2"/>
  <c r="AE35" i="2" s="1"/>
  <c r="O35" i="2"/>
  <c r="R35" i="2" s="1" a="1"/>
  <c r="R35" i="2" s="1"/>
  <c r="Q36" i="2"/>
  <c r="U36" i="2" s="1"/>
  <c r="Q32" i="2"/>
  <c r="U32" i="2" s="1"/>
  <c r="P30" i="2"/>
  <c r="T30" i="2" s="1"/>
  <c r="Y30" i="2" s="1"/>
  <c r="AC30" i="2" s="1"/>
  <c r="AE30" i="2" s="1"/>
  <c r="AC28" i="2"/>
  <c r="AE28" i="2" s="1"/>
  <c r="V28" i="2"/>
  <c r="AC25" i="2"/>
  <c r="AE25" i="2" s="1"/>
  <c r="Q25" i="2"/>
  <c r="U25" i="2" s="1"/>
  <c r="P19" i="2"/>
  <c r="T19" i="2" s="1"/>
  <c r="Y19" i="2" s="1"/>
  <c r="AC19" i="2" s="1"/>
  <c r="AE19" i="2" s="1"/>
  <c r="P21" i="2"/>
  <c r="T21" i="2" s="1"/>
  <c r="Y21" i="2" s="1"/>
  <c r="AC21" i="2" s="1"/>
  <c r="AE21" i="2" s="1"/>
  <c r="P16" i="2"/>
  <c r="T16" i="2" s="1"/>
  <c r="Y16" i="2" s="1"/>
  <c r="O16" i="2"/>
  <c r="O10" i="2"/>
  <c r="P7" i="2"/>
  <c r="T7" i="2" s="1"/>
  <c r="Y7" i="2" s="1"/>
  <c r="V36" i="2"/>
  <c r="X36" i="2" s="1" a="1"/>
  <c r="X36" i="2" s="1"/>
  <c r="V33" i="2"/>
  <c r="X33" i="2" s="1" a="1"/>
  <c r="X33" i="2" s="1"/>
  <c r="V29" i="2"/>
  <c r="P26" i="2"/>
  <c r="T26" i="2" s="1"/>
  <c r="Y26" i="2" s="1"/>
  <c r="AC26" i="2" s="1"/>
  <c r="AE26" i="2" s="1"/>
  <c r="V23" i="2"/>
  <c r="Q22" i="2"/>
  <c r="U22" i="2" s="1"/>
  <c r="P22" i="2"/>
  <c r="T22" i="2" s="1"/>
  <c r="Y22" i="2" s="1"/>
  <c r="P25" i="2"/>
  <c r="T25" i="2" s="1"/>
  <c r="Y25" i="2" s="1"/>
  <c r="P24" i="2"/>
  <c r="T24" i="2" s="1"/>
  <c r="Y24" i="2" s="1"/>
  <c r="O17" i="2"/>
  <c r="P14" i="2"/>
  <c r="T14" i="2" s="1"/>
  <c r="Y14" i="2" s="1"/>
  <c r="W34" i="2"/>
  <c r="Q34" i="2"/>
  <c r="U34" i="2" s="1"/>
  <c r="Q24" i="2"/>
  <c r="U24" i="2" s="1"/>
  <c r="V9" i="2"/>
  <c r="O4" i="2"/>
  <c r="P15" i="2"/>
  <c r="T15" i="2" s="1"/>
  <c r="Y15" i="2" s="1"/>
  <c r="O14" i="2"/>
  <c r="P17" i="2"/>
  <c r="T17" i="2" s="1"/>
  <c r="Y17" i="2" s="1"/>
  <c r="Q13" i="2"/>
  <c r="U13" i="2" s="1"/>
  <c r="O15" i="2"/>
  <c r="Q18" i="2"/>
  <c r="U18" i="2" s="1"/>
  <c r="P18" i="2"/>
  <c r="T18" i="2" s="1"/>
  <c r="Y18" i="2" s="1"/>
  <c r="P13" i="2"/>
  <c r="T13" i="2" s="1"/>
  <c r="Y13" i="2" s="1"/>
  <c r="V35" i="2"/>
  <c r="X35" i="2" s="1" a="1"/>
  <c r="X35" i="2" s="1"/>
  <c r="P35" i="2"/>
  <c r="T35" i="2" s="1"/>
  <c r="Y35" i="2" s="1"/>
  <c r="W32" i="2"/>
  <c r="X32" i="2" s="1" a="1"/>
  <c r="X32" i="2" s="1"/>
  <c r="V30" i="2"/>
  <c r="Q30" i="2"/>
  <c r="U30" i="2" s="1"/>
  <c r="O28" i="2"/>
  <c r="W28" i="2"/>
  <c r="W25" i="2"/>
  <c r="AC22" i="2"/>
  <c r="AE22" i="2" s="1"/>
  <c r="O22" i="2"/>
  <c r="Q19" i="2"/>
  <c r="U19" i="2" s="1"/>
  <c r="V19" i="2"/>
  <c r="W10" i="2"/>
  <c r="V10" i="2"/>
  <c r="O7" i="2"/>
  <c r="W36" i="2"/>
  <c r="Q33" i="2"/>
  <c r="U33" i="2" s="1"/>
  <c r="O29" i="2"/>
  <c r="R29" i="2" s="1" a="1"/>
  <c r="R29" i="2" s="1"/>
  <c r="P29" i="2"/>
  <c r="T29" i="2" s="1"/>
  <c r="Y29" i="2" s="1"/>
  <c r="AC29" i="2" s="1"/>
  <c r="AE29" i="2" s="1"/>
  <c r="Q26" i="2"/>
  <c r="U26" i="2" s="1"/>
  <c r="V26" i="2"/>
  <c r="W23" i="2"/>
  <c r="Q20" i="2"/>
  <c r="U20" i="2" s="1"/>
  <c r="V20" i="2"/>
  <c r="Q17" i="2"/>
  <c r="U17" i="2" s="1"/>
  <c r="W17" i="2"/>
  <c r="W27" i="2"/>
  <c r="W24" i="2"/>
  <c r="Q21" i="2"/>
  <c r="U21" i="2" s="1"/>
  <c r="O18" i="2"/>
  <c r="V15" i="2"/>
  <c r="AC34" i="2"/>
  <c r="AE34" i="2" s="1"/>
  <c r="AC27" i="2"/>
  <c r="AE27" i="2" s="1"/>
  <c r="AC24" i="2"/>
  <c r="AE24" i="2" s="1"/>
  <c r="P36" i="2"/>
  <c r="T36" i="2" s="1"/>
  <c r="Y36" i="2" s="1"/>
  <c r="AC36" i="2" s="1"/>
  <c r="AE36" i="2" s="1"/>
  <c r="O26" i="2"/>
  <c r="R26" i="2" s="1" a="1"/>
  <c r="R26" i="2" s="1"/>
  <c r="Q23" i="2"/>
  <c r="U23" i="2" s="1"/>
  <c r="P23" i="2"/>
  <c r="T23" i="2" s="1"/>
  <c r="Y23" i="2" s="1"/>
  <c r="AC23" i="2" s="1"/>
  <c r="AE23" i="2" s="1"/>
  <c r="O20" i="2"/>
  <c r="R20" i="2" s="1" a="1"/>
  <c r="R20" i="2" s="1"/>
  <c r="O24" i="2"/>
  <c r="AA5" i="2"/>
  <c r="AB5" i="2" s="1"/>
  <c r="AA8" i="2"/>
  <c r="AB8" i="2" s="1"/>
  <c r="AA18" i="2"/>
  <c r="AB18" i="2" s="1"/>
  <c r="AC18" i="2" s="1"/>
  <c r="AE18" i="2" s="1"/>
  <c r="AA17" i="2"/>
  <c r="AB17" i="2" s="1"/>
  <c r="AA16" i="2"/>
  <c r="AB16" i="2" s="1"/>
  <c r="AC16" i="2" s="1"/>
  <c r="AE16" i="2" s="1"/>
  <c r="AA15" i="2"/>
  <c r="AB15" i="2" s="1"/>
  <c r="AC15" i="2" s="1"/>
  <c r="AE15" i="2" s="1"/>
  <c r="AA14" i="2"/>
  <c r="AB14" i="2" s="1"/>
  <c r="AC14" i="2" s="1"/>
  <c r="AE14" i="2" s="1"/>
  <c r="Z18" i="2"/>
  <c r="Z34" i="2"/>
  <c r="Z10" i="2"/>
  <c r="Z33" i="2"/>
  <c r="Z21" i="2"/>
  <c r="Z23" i="2"/>
  <c r="AA7" i="2"/>
  <c r="AB7" i="2" s="1"/>
  <c r="AC7" i="2" s="1"/>
  <c r="AE7" i="2" s="1"/>
  <c r="Z27" i="2"/>
  <c r="Z9" i="2"/>
  <c r="Z29" i="2"/>
  <c r="Z35" i="2"/>
  <c r="Z22" i="2"/>
  <c r="Z19" i="2"/>
  <c r="Z16" i="2"/>
  <c r="Z24" i="2"/>
  <c r="Z14" i="2"/>
  <c r="AA9" i="2"/>
  <c r="AB9" i="2" s="1"/>
  <c r="Z36" i="2"/>
  <c r="Z26" i="2"/>
  <c r="Z17" i="2"/>
  <c r="Z20" i="2"/>
  <c r="Z31" i="2"/>
  <c r="Z28" i="2"/>
  <c r="Z25" i="2"/>
  <c r="Z7" i="2"/>
  <c r="Z30" i="2"/>
  <c r="Z15" i="2"/>
  <c r="Z32" i="2"/>
  <c r="AA10" i="2"/>
  <c r="AB10" i="2" s="1"/>
  <c r="AA6" i="2"/>
  <c r="AB6" i="2" s="1"/>
  <c r="Z6" i="2"/>
  <c r="Z11" i="2"/>
  <c r="AA12" i="2"/>
  <c r="AA3" i="2"/>
  <c r="AB3" i="2" s="1"/>
  <c r="Z8" i="2"/>
  <c r="Z5" i="2"/>
  <c r="Z12" i="2"/>
  <c r="AB11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28" i="2" a="1"/>
  <c r="S28" i="2" s="1"/>
  <c r="S25" i="2" a="1"/>
  <c r="S25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29" i="2" a="1"/>
  <c r="S29" i="2" s="1"/>
  <c r="S26" i="2" a="1"/>
  <c r="S26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3" i="2" a="1"/>
  <c r="R23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28" i="2" a="1"/>
  <c r="R28" i="2" s="1"/>
  <c r="R25" i="2" a="1"/>
  <c r="R25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24" i="2" a="1"/>
  <c r="R24" i="2" s="1"/>
  <c r="R33" i="2" l="1" a="1"/>
  <c r="R33" i="2" s="1"/>
  <c r="R22" i="2" a="1"/>
  <c r="R22" i="2" s="1"/>
  <c r="S20" i="2" a="1"/>
  <c r="S20" i="2" s="1"/>
  <c r="S30" i="2" a="1"/>
  <c r="S30" i="2" s="1"/>
  <c r="AC17" i="2"/>
  <c r="AE17" i="2" s="1"/>
  <c r="R34" i="2" a="1"/>
  <c r="R34" i="2" s="1"/>
  <c r="S27" i="2" a="1"/>
  <c r="S27" i="2" s="1"/>
  <c r="S23" i="2" a="1"/>
  <c r="S23" i="2" s="1"/>
  <c r="S32" i="2" a="1"/>
  <c r="S32" i="2" s="1"/>
  <c r="S22" i="2" a="1"/>
  <c r="S22" i="2" s="1"/>
  <c r="S31" i="2" a="1"/>
  <c r="S31" i="2" s="1"/>
  <c r="S24" i="2" a="1"/>
  <c r="S24" i="2" s="1"/>
  <c r="AC10" i="2"/>
  <c r="AE10" i="2" s="1"/>
  <c r="AC9" i="2"/>
  <c r="AE9" i="2" s="1"/>
  <c r="AB4" i="2"/>
  <c r="AC4" i="2" s="1"/>
  <c r="AE4" i="2" s="1"/>
  <c r="AB13" i="2"/>
  <c r="AC13" i="2" s="1"/>
  <c r="AE13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<sst xmlns="http://schemas.openxmlformats.org/spreadsheetml/2006/main" count="661" uniqueCount="564">
  <si>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</si>
  <si>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</si>
  <si>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</si>
  <si>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</si>
  <si>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</si>
  <si>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</si>
  <si>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</si>
  <si>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</si>
  <si>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</si>
  <si>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</si>
  <si>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</si>
  <si>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</si>
  <si>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</si>
  <si>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</si>
  <si>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</si>
  <si>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</si>
  <si>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</si>
  <si>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</si>
  <si>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</si>
  <si>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</si>
  <si>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</si>
  <si>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</si>
  <si>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</si>
  <si>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</si>
  <si>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</si>
  <si>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</si>
  <si>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</si>
  <si>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</si>
  <si>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</si>
  <si>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</si>
  <si>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</si>
  <si>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</si>
  <si>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</si>
  <si>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</si>
  <si>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</si>
  <si>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</si>
  <si>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</si>
  <si>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</si>
  <si>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</si>
  <si>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</si>
  <si>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</si>
  <si>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</si>
  <si>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</si>
  <si>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</si>
  <si>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</si>
  <si>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</si>
  <si>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</si>
  <si>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</si>
  <si>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</si>
  <si>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</si>
  <si>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</si>
  <si>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</si>
  <si>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</si>
  <si>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</si>
  <si>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</si>
  <si>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</si>
  <si>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</si>
  <si>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</si>
  <si>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</si>
  <si>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</si>
  <si>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</si>
  <si>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</si>
  <si>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</si>
  <si>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</si>
  <si>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</si>
  <si>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</si>
  <si>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</si>
  <si>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</si>
  <si>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</si>
  <si>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</si>
  <si>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</si>
  <si>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</si>
  <si>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</si>
  <si>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</si>
  <si>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</si>
  <si>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</si>
  <si>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</si>
  <si>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</si>
  <si>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</si>
  <si>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</si>
  <si>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</si>
  <si>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</si>
  <si>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</si>
  <si>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</si>
  <si>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</si>
  <si>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</si>
  <si>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</si>
  <si>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</si>
  <si>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</si>
  <si>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</si>
  <si>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</si>
  <si>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</si>
  <si>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</si>
  <si>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</si>
  <si>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</si>
  <si>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</si>
  <si>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</si>
  <si>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</si>
  <si>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</si>
  <si>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</si>
  <si>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</si>
  <si>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</si>
  <si>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</si>
  <si>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</si>
  <si>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</si>
  <si>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</si>
  <si>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</si>
  <si>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</si>
  <si>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</si>
  <si>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</si>
  <si>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</si>
  <si>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</si>
  <si>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</si>
  <si>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</si>
  <si>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</si>
  <si>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</si>
  <si>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</si>
  <si>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</si>
  <si>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</si>
  <si>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</si>
  <si>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</si>
  <si>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</si>
  <si>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</si>
  <si>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</si>
  <si>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</si>
  <si>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</si>
  <si>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</si>
  <si>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</si>
  <si>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</si>
  <si>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</si>
  <si>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</si>
  <si>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</si>
  <si>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</si>
  <si>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</si>
  <si>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</si>
  <si>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</si>
  <si>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</si>
  <si>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</si>
  <si>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</si>
  <si>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</si>
  <si>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</si>
  <si>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</si>
  <si>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</si>
  <si>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</si>
  <si>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</si>
  <si>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</si>
  <si>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</si>
  <si>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</si>
  <si>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</si>
  <si>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</si>
  <si>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</si>
  <si>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</si>
  <si>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</si>
  <si>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</si>
  <si>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</si>
  <si>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</si>
  <si>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</si>
  <si>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</si>
  <si>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</si>
  <si>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</si>
  <si>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</si>
  <si>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</si>
  <si>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</si>
  <si>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</si>
  <si>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</si>
  <si>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</si>
  <si>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</si>
  <si>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</si>
  <si>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</si>
  <si>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</si>
  <si>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</si>
  <si>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</si>
  <si>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</si>
  <si>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</si>
  <si>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</si>
  <si>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</si>
  <si>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</si>
  <si>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</si>
  <si>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</si>
  <si>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</si>
  <si>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</si>
  <si>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</si>
  <si>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</si>
  <si>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</si>
  <si>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</si>
  <si>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</si>
  <si>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</si>
  <si>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</si>
  <si>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</si>
  <si>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</si>
  <si>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</si>
  <si>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</si>
  <si>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</si>
  <si>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</si>
  <si>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</si>
  <si>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</si>
  <si>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</si>
  <si>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</si>
  <si>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</si>
  <si>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</si>
  <si>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</si>
  <si>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</si>
  <si>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</si>
  <si>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</si>
  <si>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</si>
  <si>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</si>
  <si>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</si>
  <si>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</si>
  <si>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</si>
  <si>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</si>
  <si>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</si>
  <si>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</si>
  <si>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</si>
  <si>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</si>
  <si>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</si>
  <si>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</si>
  <si>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</si>
  <si>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</si>
  <si>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</si>
  <si>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</si>
  <si>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</si>
  <si>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</si>
  <si>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</si>
  <si>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</si>
  <si>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</si>
  <si>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</si>
  <si>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</si>
  <si>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</si>
  <si>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</si>
  <si>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</si>
  <si>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</si>
  <si>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</si>
  <si>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</si>
  <si>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</si>
  <si>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</si>
  <si>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</si>
  <si>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</si>
  <si>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</si>
  <si>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</si>
  <si>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</si>
  <si>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</si>
  <si>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</si>
  <si>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</si>
  <si>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</si>
  <si>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</si>
  <si>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</si>
  <si>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</si>
  <si>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</si>
  <si>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</si>
  <si>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</si>
  <si>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</si>
  <si>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</si>
  <si>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</si>
  <si>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</si>
  <si>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</si>
  <si>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</si>
  <si>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</si>
  <si>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</si>
  <si>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</si>
  <si>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</si>
  <si>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</si>
  <si>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</si>
  <si>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</si>
  <si>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</si>
  <si>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</si>
  <si>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</si>
  <si>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</si>
  <si>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</si>
  <si>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</si>
  <si>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</si>
  <si>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</si>
  <si>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</si>
  <si>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</si>
  <si>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</si>
  <si>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</si>
  <si>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</si>
  <si>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</si>
  <si>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</si>
  <si>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</si>
  <si>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</si>
  <si>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</si>
  <si>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</si>
  <si>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</si>
  <si>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</si>
  <si>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</si>
  <si>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</si>
  <si>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</si>
  <si>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</si>
  <si>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</si>
  <si>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</si>
  <si>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</si>
  <si>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</si>
  <si>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</si>
  <si>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</si>
  <si>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</si>
  <si>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</si>
  <si>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</si>
  <si>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</si>
  <si>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</si>
  <si>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</si>
  <si>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</si>
  <si>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</si>
  <si>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</si>
  <si>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</si>
  <si>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</si>
  <si>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</si>
  <si>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</si>
  <si>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</si>
  <si>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</si>
  <si>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</si>
  <si>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</si>
  <si>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</si>
  <si>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</si>
  <si>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</si>
  <si>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</si>
  <si>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</si>
  <si>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</si>
  <si>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</si>
  <si>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</si>
  <si>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</si>
  <si>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</si>
  <si>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</si>
  <si>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</si>
  <si>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</si>
  <si>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</si>
  <si>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</si>
  <si>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</si>
  <si>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</si>
  <si>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</si>
  <si>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</si>
  <si>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</si>
  <si>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</si>
  <si>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</si>
  <si>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</si>
  <si>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</si>
  <si>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</si>
  <si>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</si>
  <si>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</si>
  <si>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</si>
  <si>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</si>
  <si>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</si>
  <si>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</si>
  <si>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</si>
  <si>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</si>
  <si>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</si>
  <si>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</si>
  <si>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</si>
  <si>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</si>
  <si>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</si>
  <si>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</si>
  <si>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</si>
  <si>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</si>
  <si>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</si>
  <si>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</si>
  <si>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</si>
  <si>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</si>
  <si>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</si>
  <si>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</si>
  <si>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</si>
  <si>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</si>
  <si>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</si>
  <si>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</si>
  <si>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</si>
  <si>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</si>
  <si>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</si>
  <si>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</si>
  <si>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</si>
  <si>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</si>
  <si>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</si>
  <si>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</si>
  <si>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</si>
  <si>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</si>
  <si>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</si>
  <si>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</si>
  <si>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</si>
  <si>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</si>
  <si>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</si>
  <si>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</si>
  <si>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</si>
  <si>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</si>
  <si>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</si>
  <si>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</si>
  <si>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</si>
  <si>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</si>
  <si>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</si>
  <si>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</si>
  <si>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</si>
  <si>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</si>
  <si>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</si>
  <si>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</si>
  <si>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</si>
  <si>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</si>
  <si>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</si>
  <si>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</si>
  <si>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</si>
  <si>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</si>
  <si>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</si>
  <si>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</si>
  <si>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</si>
  <si>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</si>
  <si>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</si>
  <si>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</si>
  <si>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</si>
  <si>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</si>
  <si>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</si>
  <si>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</si>
  <si>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</si>
  <si>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</si>
  <si>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</si>
  <si>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</si>
  <si>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</si>
  <si>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</si>
  <si>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</si>
  <si>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</si>
  <si>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</si>
  <si>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</si>
  <si>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</si>
  <si>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</si>
  <si>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</si>
  <si>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</si>
  <si>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</si>
  <si>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</si>
  <si>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</si>
  <si>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</si>
  <si>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</si>
  <si>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</si>
  <si>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</si>
  <si>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</si>
  <si>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</si>
  <si>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</si>
  <si>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</si>
  <si>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</si>
  <si>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</si>
  <si>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</si>
  <si>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</si>
  <si>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</si>
  <si>
    <t>John Smith</t>
  </si>
  <si>
    <t>JS</t>
  </si>
  <si>
    <t>Fiona Waiting</t>
  </si>
  <si>
    <t>FW</t>
  </si>
  <si>
    <t>Terence Broad</t>
  </si>
  <si>
    <t>TB</t>
  </si>
  <si>
    <t>NOMADS</t>
  </si>
  <si>
    <t>2024-01-20</t>
  </si>
  <si>
    <t>035</t>
  </si>
  <si>
    <t>BC</t>
  </si>
  <si>
    <t>Repeat of SLJS035</t>
  </si>
  <si>
    <t>LFB</t>
  </si>
  <si>
    <t>MIS1011</t>
  </si>
  <si>
    <t>MJ001</t>
  </si>
  <si>
    <t>MIS1012</t>
  </si>
  <si>
    <t>MJ002</t>
  </si>
  <si>
    <t>MIS1013</t>
  </si>
  <si>
    <t>MJ003</t>
  </si>
  <si>
    <t>MIS1014</t>
  </si>
  <si>
    <t>MJ004</t>
  </si>
  <si>
    <t>MIS1015</t>
  </si>
  <si>
    <t>MJ005</t>
  </si>
  <si>
    <t>MIS1017</t>
  </si>
  <si>
    <t>MJ007</t>
  </si>
  <si>
    <t>MIS1018</t>
  </si>
  <si>
    <t>MJ008</t>
  </si>
  <si>
    <t>MIS1019</t>
  </si>
  <si>
    <t>MJ009</t>
  </si>
  <si>
    <t>MIS1020</t>
  </si>
  <si>
    <t>MJ010</t>
  </si>
  <si>
    <t>3D7</t>
  </si>
  <si>
    <t>3D7_01a</t>
  </si>
  <si>
    <t>Dd2</t>
  </si>
  <si>
    <t>Dd2_01a</t>
  </si>
  <si>
    <t>NTC</t>
  </si>
  <si>
    <t>NTC_SWJS032</t>
  </si>
  <si>
    <t>MIS1022</t>
  </si>
  <si>
    <t>MJ011</t>
  </si>
  <si>
    <t>MIS1023</t>
  </si>
  <si>
    <t>MJ012</t>
  </si>
  <si>
    <t>MIS1025</t>
  </si>
  <si>
    <t>MJ014</t>
  </si>
  <si>
    <t>MIS1026</t>
  </si>
  <si>
    <t>MJ015</t>
  </si>
  <si>
    <t>MIS1027</t>
  </si>
  <si>
    <t>MJ016</t>
  </si>
  <si>
    <t>MIS1028</t>
  </si>
  <si>
    <t>MJ017</t>
  </si>
  <si>
    <t>MIS1029</t>
  </si>
  <si>
    <t>MJ018</t>
  </si>
  <si>
    <t>NTC_SWFW094</t>
  </si>
  <si>
    <t>NTC_PCTB142</t>
  </si>
  <si>
    <t>MIS2043</t>
  </si>
  <si>
    <t>MJ101</t>
  </si>
  <si>
    <t>MIS2044</t>
  </si>
  <si>
    <t>MJ102</t>
  </si>
  <si>
    <t>MIS2045</t>
  </si>
  <si>
    <t>MJ103</t>
  </si>
  <si>
    <t>MIS2046</t>
  </si>
  <si>
    <t>MJ104</t>
  </si>
  <si>
    <t>MIS2048</t>
  </si>
  <si>
    <t>MJ106</t>
  </si>
  <si>
    <t>MIS2049</t>
  </si>
  <si>
    <t>MJ107</t>
  </si>
  <si>
    <t>MIS2050</t>
  </si>
  <si>
    <t>MJ108</t>
  </si>
  <si>
    <t>MIS2051</t>
  </si>
  <si>
    <t>MJ109</t>
  </si>
  <si>
    <t>NTC_PCTB143</t>
  </si>
  <si>
    <t>SWJS032_A1</t>
  </si>
  <si>
    <t>PCTB142_A1</t>
  </si>
  <si>
    <t>SWJS032_B1</t>
  </si>
  <si>
    <t>PCTB142_B1</t>
  </si>
  <si>
    <t>SWJS032_C1</t>
  </si>
  <si>
    <t>PCTB142_C1</t>
  </si>
  <si>
    <t>SWJS032_D1</t>
  </si>
  <si>
    <t>PCTB142_D1</t>
  </si>
  <si>
    <t>SWJS032_E1</t>
  </si>
  <si>
    <t>PCTB142_E1</t>
  </si>
  <si>
    <t>SWJS032_G1</t>
  </si>
  <si>
    <t>PCTB142_G1</t>
  </si>
  <si>
    <t>SWJS032_H1</t>
  </si>
  <si>
    <t>PCTB142_H1</t>
  </si>
  <si>
    <t>SWJS032_A2</t>
  </si>
  <si>
    <t>PCTB142_A2</t>
  </si>
  <si>
    <t>SWJS032_B2</t>
  </si>
  <si>
    <t>PCTB142_B2</t>
  </si>
  <si>
    <t>SWJS032_C2</t>
  </si>
  <si>
    <t>PCTB142_C2</t>
  </si>
  <si>
    <t>SWJS032_D2</t>
  </si>
  <si>
    <t>PCTB142_D2</t>
  </si>
  <si>
    <t>SWJS032_E2</t>
  </si>
  <si>
    <t>PCTB142_E2</t>
  </si>
  <si>
    <t>SWFW094_B1</t>
  </si>
  <si>
    <t>PCTB142_G2</t>
  </si>
  <si>
    <t>SWFW094_C1</t>
  </si>
  <si>
    <t>PCTB142_H2</t>
  </si>
  <si>
    <t>SWFW094_E1</t>
  </si>
  <si>
    <t>PCTB142_A3</t>
  </si>
  <si>
    <t>SWFW094_F1</t>
  </si>
  <si>
    <t>PCTB142_B3</t>
  </si>
  <si>
    <t>SWFW094_G1</t>
  </si>
  <si>
    <t>PCTB142_C3</t>
  </si>
  <si>
    <t>SWFW094_H1</t>
  </si>
  <si>
    <t>PCTB142_D3</t>
  </si>
  <si>
    <t>SWFW094_A2</t>
  </si>
  <si>
    <t>PCTB142_E3</t>
  </si>
  <si>
    <t>SWFW094_C2</t>
  </si>
  <si>
    <t>PCTB142_F3</t>
  </si>
  <si>
    <t>SWFW094_D2</t>
  </si>
  <si>
    <t>PCTB142_G3</t>
  </si>
  <si>
    <t>SWFW094_E2</t>
  </si>
  <si>
    <t>PCTB142_H3</t>
  </si>
  <si>
    <t>NA</t>
  </si>
  <si>
    <t>PCTB142_A4</t>
  </si>
  <si>
    <t>No sWGA</t>
  </si>
  <si>
    <t>PCTB143_A1</t>
  </si>
  <si>
    <t>PCTB143_B1</t>
  </si>
  <si>
    <t>PCTB143_C1</t>
  </si>
  <si>
    <t>PCTB143_D1</t>
  </si>
  <si>
    <t>PCTB143_F1</t>
  </si>
  <si>
    <t>PCTB143_G1</t>
  </si>
  <si>
    <t>PCTB143_H1</t>
  </si>
  <si>
    <t>PCTB143_A2</t>
  </si>
  <si>
    <t>PCTB143_B2</t>
  </si>
  <si>
    <t>PCTB143_C2</t>
  </si>
  <si>
    <t>PCTB143_D2</t>
  </si>
  <si>
    <t>FAO54655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</si>
</sst>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0" fillId="13" borderId="0" xfId="0" applyFill="1" applyProtection="1">
      <protection locked="0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0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9"/>
    <tableColumn id="16" xr3:uid="{D11167BC-CEB0-4BCF-918C-7AFD807B17A9}" name="Column" dataDxfId="48">
      <calculatedColumnFormula>RIGHT(tbl_SeqLib[[#This Row],[Well]],LEN(tbl_SeqLib[[#This Row],[Well]])-1)</calculatedColumnFormula>
    </tableColumn>
    <tableColumn id="2" xr3:uid="{00000000-0010-0000-0000-000002000000}" name="Well" dataDxfId="47"/>
    <tableColumn id="3" xr3:uid="{00000000-0010-0000-0000-000003000000}" name="Sample ID" dataDxfId="46"/>
    <tableColumn id="4" xr3:uid="{00000000-0010-0000-0000-000004000000}" name="Extraction ID" dataDxfId="45"/>
    <tableColumn id="27" xr3:uid="{D655D6C8-1850-4AC0-8484-17625A62737D}" name="Sample Type" dataDxfId="44"/>
    <tableColumn id="5" xr3:uid="{00000000-0010-0000-0000-000005000000}" name="sWGA Identifier" dataDxfId="43"/>
    <tableColumn id="6" xr3:uid="{00000000-0010-0000-0000-000006000000}" name="PCR Identifier" dataDxfId="42"/>
    <tableColumn id="7" xr3:uid="{00000000-0010-0000-0000-000007000000}" name="Qubit PCR [DNA] (ng/µl)" dataDxfId="41"/>
    <tableColumn id="8" xr3:uid="{00000000-0010-0000-0000-000008000000}" name="PCR Dilution Factor" dataDxfId="40"/>
    <tableColumn id="9" xr3:uid="{00000000-0010-0000-0000-000009000000}" name="PCR [DNA] (ng / µl)"/>
    <tableColumn id="10" xr3:uid="{00000000-0010-0000-0000-00000A000000}" name="Barcode#" dataDxfId="39"/>
    <tableColumn id="26" xr3:uid="{F1EFF32A-7BE1-415D-A6C1-EB6298E86B67}" name="entry" dataDxfId="38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7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6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5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4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3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32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31">
      <calculatedColumnFormula>IF(tbl_SeqLib[[#This Row],[entry]]=2,tbl_SeqLib[[#This Row],[Max for col]],"")</calculatedColumnFormula>
    </tableColumn>
    <tableColumn id="34" xr3:uid="{B52F91B1-8FA3-4813-9699-EE87E0A73E1F}" name="1 per col (avg)" dataDxfId="30">
      <calculatedColumnFormula>IF(tbl_SeqLib[[#This Row],[entry]]=2,tbl_SeqLib[[#This Row],[Avg for col]],"")</calculatedColumnFormula>
    </tableColumn>
    <tableColumn id="22" xr3:uid="{3DBE046E-BBA1-40FE-9D15-A56B3030C6C7}" name="Avg per plate" dataDxfId="29">
      <calculatedColumnFormula>IF(tbl_SeqLib[[#This Row],[entry]]=2,AVERAGE(tbl_SeqLib[Exact]),"")</calculatedColumnFormula>
    </tableColumn>
    <tableColumn id="23" xr3:uid="{C00DCD81-1FEF-4ABB-8CC7-499C0C2570E9}" name="Max per plate" dataDxfId="28">
      <calculatedColumnFormula>IF(tbl_SeqLib[[#This Row],[entry]]=2,MAX(tbl_SeqLib[Exact]),"")</calculatedColumnFormula>
    </tableColumn>
    <tableColumn id="24" xr3:uid="{5078A409-FC75-4147-9A85-9D0F799A65C0}" name="2 per plate" dataDxfId="27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6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5">
      <calculatedColumnFormula>IF(tbl_SeqLib[[#This Row],[entry]]=1,ROUNDUP(AVERAGE(tbl_SeqLib[Exact]),1),"")</calculatedColumnFormula>
    </tableColumn>
    <tableColumn id="29" xr3:uid="{C102ACE7-217E-4DB5-BABC-91C1DAD8AB2B}" name="Avg per col (missing)" dataDxfId="24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3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22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21"/>
    <tableColumn id="12" xr3:uid="{00000000-0010-0000-0000-00000C000000}" name="NF H20 (µl)" dataDxfId="20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9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tabSelected="1" topLeftCell="A36" zoomScale="160" zoomScaleNormal="160" workbookViewId="0">
      <selection activeCell="C73" sqref="C73:D73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29" t="s">
        <v>386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2" ht="15.75" customHeight="1" x14ac:dyDescent="0.25">
      <c r="A2" s="96" t="s">
        <v>0</v>
      </c>
      <c r="B2" s="96"/>
      <c r="C2" s="130" t="s">
        <v>443</v>
      </c>
      <c r="D2" s="130"/>
      <c r="E2" s="130"/>
      <c r="F2" s="130"/>
      <c r="G2" s="113" t="s">
        <v>1</v>
      </c>
      <c r="H2" s="113"/>
      <c r="J2" s="131" t="s">
        <v>2</v>
      </c>
      <c r="K2" s="131"/>
    </row>
    <row r="3" spans="1:12" ht="15.75" customHeight="1" x14ac:dyDescent="0.25">
      <c r="A3" s="96" t="s">
        <v>3</v>
      </c>
      <c r="B3" s="96"/>
      <c r="C3" s="132" t="s">
        <v>436</v>
      </c>
      <c r="D3" s="132"/>
      <c r="E3" s="132"/>
      <c r="F3" s="132"/>
      <c r="G3" s="3" t="s">
        <v>4</v>
      </c>
      <c r="J3" s="133" t="s">
        <v>5</v>
      </c>
      <c r="K3" s="133"/>
    </row>
    <row r="4" spans="1:12" ht="15.75" customHeight="1" x14ac:dyDescent="0.25">
      <c r="A4" s="96" t="s">
        <v>6</v>
      </c>
      <c r="B4" s="96"/>
      <c r="C4" s="130" t="s">
        <v>444</v>
      </c>
      <c r="D4" s="130"/>
      <c r="E4" s="130"/>
      <c r="F4" s="130"/>
      <c r="G4" s="4" t="s">
        <v>7</v>
      </c>
      <c r="J4" s="134" t="s">
        <v>8</v>
      </c>
      <c r="K4" s="134"/>
    </row>
    <row r="5" spans="1:12" ht="15.75" customHeight="1" x14ac:dyDescent="0.25">
      <c r="A5" s="124" t="s">
        <v>9</v>
      </c>
      <c r="B5" s="124"/>
      <c r="C5" s="109" t="str">
        <f>IF(OR(ISBLANK(C3),ISBLANK(C4)),"",CONCATENATE("SL",VLOOKUP(C3,reference!H3:I9,2,FALSE()),C4))</f>
        <v>SLJS035</v>
      </c>
      <c r="D5" s="109"/>
      <c r="E5" s="109"/>
      <c r="F5" s="109"/>
      <c r="G5" s="5" t="s">
        <v>10</v>
      </c>
      <c r="J5" s="125" t="s">
        <v>11</v>
      </c>
      <c r="K5" s="125"/>
    </row>
    <row r="6" spans="1:12" ht="15.75" customHeight="1" x14ac:dyDescent="0.25">
      <c r="A6" s="124" t="s">
        <v>12</v>
      </c>
      <c r="B6" s="124"/>
      <c r="C6" s="126" t="str">
        <f>IF(OR(ISBLANK(C2),ISBLANK(C3),ISBLANK(C4)),"",CONCATENATE(C2,"_SeqLib_",C5))</f>
        <v>2024-01-20_SeqLib_SLJS035</v>
      </c>
      <c r="D6" s="126"/>
      <c r="E6" s="126"/>
      <c r="F6" s="126"/>
      <c r="G6" s="5"/>
      <c r="J6" s="125"/>
      <c r="K6" s="125"/>
    </row>
    <row r="7" spans="1:12" ht="15.75" customHeight="1" x14ac:dyDescent="0.25">
      <c r="A7" s="127" t="s">
        <v>13</v>
      </c>
      <c r="B7" s="127"/>
      <c r="C7" s="128" t="s">
        <v>442</v>
      </c>
      <c r="D7" s="128"/>
      <c r="E7" s="128"/>
      <c r="F7" s="128"/>
      <c r="G7" s="5" t="s">
        <v>4</v>
      </c>
    </row>
    <row r="8" spans="1:12" ht="15.75" customHeight="1" x14ac:dyDescent="0.25">
      <c r="A8" s="127" t="s">
        <v>14</v>
      </c>
      <c r="B8" s="127"/>
      <c r="C8" s="128" t="s">
        <v>445</v>
      </c>
      <c r="D8" s="128"/>
      <c r="E8" s="128"/>
      <c r="F8" s="128"/>
      <c r="G8" s="3" t="s">
        <v>15</v>
      </c>
    </row>
    <row r="9" spans="1:12" ht="15.75" customHeight="1" x14ac:dyDescent="0.25">
      <c r="A9" s="120" t="s">
        <v>16</v>
      </c>
      <c r="B9" s="120"/>
      <c r="C9" s="121" t="str">
        <f>IF(OR(LEN(C7)=0, LEN(C8)=0),"",CONCATENATE(C7,"_Batch",C8))</f>
        <v>NOMADS_BatchBC</v>
      </c>
      <c r="D9" s="121"/>
      <c r="E9" s="121"/>
      <c r="F9" s="121"/>
      <c r="G9" s="5" t="s">
        <v>17</v>
      </c>
    </row>
    <row r="10" spans="1:12" ht="15.75" customHeight="1" x14ac:dyDescent="0.25">
      <c r="A10" s="120" t="s">
        <v>18</v>
      </c>
      <c r="B10" s="120"/>
      <c r="C10" s="121" t="str">
        <f>IF(OR(LEN(C6)=0,LEN(exp_summary)=0),"",CONCATENATE(C6,"_",exp_summary))</f>
        <v>2024-01-20_SeqLib_SLJS035_NOMADS_BatchBC</v>
      </c>
      <c r="D10" s="121"/>
      <c r="E10" s="121"/>
      <c r="F10" s="121"/>
      <c r="G10" s="121"/>
      <c r="H10" s="121"/>
    </row>
    <row r="11" spans="1:12" ht="15.75" customHeight="1" x14ac:dyDescent="0.25">
      <c r="A11" s="96" t="s">
        <v>19</v>
      </c>
      <c r="B11" s="96"/>
      <c r="C11" s="27">
        <v>34</v>
      </c>
      <c r="D11" s="25"/>
      <c r="E11" s="25"/>
      <c r="F11" s="25"/>
      <c r="G11" s="5"/>
    </row>
    <row r="12" spans="1:12" ht="15.75" customHeight="1" x14ac:dyDescent="0.25">
      <c r="A12" s="96" t="s">
        <v>20</v>
      </c>
      <c r="B12" s="96"/>
      <c r="C12" s="122" t="s">
        <v>446</v>
      </c>
      <c r="D12" s="122"/>
      <c r="E12" s="122"/>
      <c r="F12" s="122"/>
      <c r="G12" s="122"/>
      <c r="H12" s="122"/>
      <c r="I12" s="122"/>
      <c r="J12" s="122"/>
      <c r="K12" s="122"/>
    </row>
    <row r="13" spans="1:12" x14ac:dyDescent="0.25">
      <c r="A13" s="1"/>
      <c r="B13" s="1"/>
      <c r="C13" s="122"/>
      <c r="D13" s="122"/>
      <c r="E13" s="122"/>
      <c r="F13" s="122"/>
      <c r="G13" s="122"/>
      <c r="H13" s="122"/>
      <c r="I13" s="122"/>
      <c r="J13" s="122"/>
      <c r="K13" s="122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23" t="s">
        <v>22</v>
      </c>
      <c r="J15" s="123"/>
      <c r="K15" s="123"/>
    </row>
    <row r="16" spans="1:12" x14ac:dyDescent="0.25">
      <c r="A16" s="9" t="s">
        <v>337</v>
      </c>
      <c r="B16" s="9"/>
      <c r="C16" s="9"/>
      <c r="D16" s="9"/>
      <c r="E16" s="9"/>
      <c r="F16" s="28">
        <v>800</v>
      </c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25">
      <c r="A18" s="105" t="s">
        <v>25</v>
      </c>
      <c r="B18" s="105"/>
      <c r="C18" s="105"/>
      <c r="D18" s="119" t="s">
        <v>26</v>
      </c>
      <c r="E18" s="119"/>
      <c r="F18" s="119" t="str">
        <f>CONCATENATE("MM x",exp_rxns," (µl)")</f>
        <v>MM x34 (µl)</v>
      </c>
      <c r="G18" s="119"/>
      <c r="I18" s="100" t="s">
        <v>27</v>
      </c>
      <c r="J18" s="100"/>
      <c r="K18" s="11" t="s">
        <v>28</v>
      </c>
    </row>
    <row r="19" spans="1:11" s="3" customFormat="1" ht="15.75" customHeight="1" x14ac:dyDescent="0.25">
      <c r="A19" s="98" t="s">
        <v>29</v>
      </c>
      <c r="B19" s="98"/>
      <c r="C19" s="98"/>
      <c r="D19" s="114" t="s">
        <v>30</v>
      </c>
      <c r="E19" s="114"/>
      <c r="F19" s="115" t="s">
        <v>31</v>
      </c>
      <c r="G19" s="115"/>
      <c r="I19" s="97">
        <v>20</v>
      </c>
      <c r="J19" s="97"/>
      <c r="K19" s="8">
        <v>15</v>
      </c>
    </row>
    <row r="20" spans="1:11" s="3" customFormat="1" ht="18.75" customHeight="1" x14ac:dyDescent="0.25">
      <c r="A20" s="98" t="s">
        <v>32</v>
      </c>
      <c r="B20" s="98"/>
      <c r="C20" s="98"/>
      <c r="D20" s="114" t="str">
        <f>CONCATENATE(endrepair_maxvol, " - x")</f>
        <v>10 - x</v>
      </c>
      <c r="E20" s="114"/>
      <c r="F20" s="115" t="s">
        <v>31</v>
      </c>
      <c r="G20" s="115"/>
      <c r="I20" s="97">
        <v>65</v>
      </c>
      <c r="J20" s="97"/>
      <c r="K20" s="8">
        <v>15</v>
      </c>
    </row>
    <row r="21" spans="1:11" s="3" customFormat="1" ht="25.35" customHeight="1" x14ac:dyDescent="0.25">
      <c r="A21" s="98" t="s">
        <v>33</v>
      </c>
      <c r="B21" s="98"/>
      <c r="C21" s="98"/>
      <c r="D21" s="117">
        <v>1.4</v>
      </c>
      <c r="E21" s="117"/>
      <c r="F21" s="115">
        <f>SUM(D21*exp_rxns*(1+$D$17))</f>
        <v>52.36</v>
      </c>
      <c r="G21" s="115"/>
      <c r="I21" s="97">
        <v>4</v>
      </c>
      <c r="J21" s="97"/>
      <c r="K21" s="3" t="s">
        <v>34</v>
      </c>
    </row>
    <row r="22" spans="1:11" s="3" customFormat="1" ht="15.75" customHeight="1" x14ac:dyDescent="0.25">
      <c r="A22" s="98" t="s">
        <v>35</v>
      </c>
      <c r="B22" s="98"/>
      <c r="C22" s="98"/>
      <c r="D22" s="117">
        <v>0.6</v>
      </c>
      <c r="E22" s="117"/>
      <c r="F22" s="115">
        <f>SUM(D22*exp_rxns*(1+$D$17))</f>
        <v>22.44</v>
      </c>
      <c r="G22" s="115"/>
    </row>
    <row r="23" spans="1:11" s="3" customFormat="1" x14ac:dyDescent="0.25">
      <c r="A23" s="8"/>
      <c r="D23" s="118">
        <f>SUM(D21:D22)+endrepair_maxvol</f>
        <v>12</v>
      </c>
      <c r="E23" s="118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05" t="s">
        <v>25</v>
      </c>
      <c r="B26" s="105"/>
      <c r="C26" s="105"/>
      <c r="D26" s="119" t="s">
        <v>26</v>
      </c>
      <c r="E26" s="119"/>
      <c r="F26" s="119" t="str">
        <f>CONCATENATE("MM x",exp_rxns," (µl)")</f>
        <v>MM x34 (µl)</v>
      </c>
      <c r="G26" s="119"/>
      <c r="I26" s="100" t="s">
        <v>27</v>
      </c>
      <c r="J26" s="100"/>
      <c r="K26" s="11" t="s">
        <v>28</v>
      </c>
    </row>
    <row r="27" spans="1:11" s="3" customFormat="1" ht="15.75" customHeight="1" x14ac:dyDescent="0.25">
      <c r="A27" s="98" t="s">
        <v>37</v>
      </c>
      <c r="B27" s="98"/>
      <c r="C27" s="98"/>
      <c r="D27" s="114">
        <v>0.5</v>
      </c>
      <c r="E27" s="114"/>
      <c r="F27" s="115" t="s">
        <v>31</v>
      </c>
      <c r="G27" s="115"/>
      <c r="I27" s="97">
        <v>20</v>
      </c>
      <c r="J27" s="97"/>
      <c r="K27" s="8">
        <v>20</v>
      </c>
    </row>
    <row r="28" spans="1:11" s="3" customFormat="1" ht="15.75" customHeight="1" x14ac:dyDescent="0.25">
      <c r="A28" s="98" t="s">
        <v>38</v>
      </c>
      <c r="B28" s="98"/>
      <c r="C28" s="98"/>
      <c r="D28" s="114">
        <v>6</v>
      </c>
      <c r="E28" s="114"/>
      <c r="F28" s="115">
        <f>SUM(D28*exp_rxns*(1+$D$25))</f>
        <v>224.4</v>
      </c>
      <c r="G28" s="115"/>
      <c r="I28" s="97">
        <v>65</v>
      </c>
      <c r="J28" s="97"/>
      <c r="K28" s="8">
        <v>10</v>
      </c>
    </row>
    <row r="29" spans="1:11" s="3" customFormat="1" ht="15.75" customHeight="1" x14ac:dyDescent="0.25">
      <c r="A29" s="98" t="s">
        <v>39</v>
      </c>
      <c r="B29" s="98"/>
      <c r="C29" s="98"/>
      <c r="D29" s="114">
        <v>0.2</v>
      </c>
      <c r="E29" s="114"/>
      <c r="F29" s="115">
        <f>SUM(D29*exp_rxns*(1+$D$25))</f>
        <v>7.4800000000000013</v>
      </c>
      <c r="G29" s="115"/>
      <c r="I29" s="97">
        <v>8</v>
      </c>
      <c r="J29" s="97"/>
      <c r="K29" s="3" t="s">
        <v>34</v>
      </c>
    </row>
    <row r="30" spans="1:11" s="3" customFormat="1" x14ac:dyDescent="0.25">
      <c r="A30" s="8"/>
      <c r="D30" s="116">
        <f>SUM(D27:D29)+D23</f>
        <v>18.7</v>
      </c>
      <c r="E30" s="116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1" ht="48" thickBot="1" x14ac:dyDescent="0.3">
      <c r="A33" s="87" t="s">
        <v>413</v>
      </c>
      <c r="B33" s="87" t="s">
        <v>414</v>
      </c>
      <c r="C33" s="87" t="s">
        <v>418</v>
      </c>
      <c r="D33" s="87" t="s">
        <v>416</v>
      </c>
      <c r="E33" s="87" t="s">
        <v>417</v>
      </c>
      <c r="F33" s="87" t="s">
        <v>415</v>
      </c>
      <c r="G33" s="87" t="s">
        <v>419</v>
      </c>
    </row>
    <row r="34" spans="1:11" x14ac:dyDescent="0.25">
      <c r="A34" s="90">
        <v>5</v>
      </c>
      <c r="B34" s="89">
        <f>IF(OR(ISBLANK(A34),ISBLANK(exp_rxns)),"",SUM(A34*exp_rxns))</f>
        <v>170</v>
      </c>
      <c r="C34" s="90">
        <v>0.4</v>
      </c>
      <c r="D34" s="89">
        <f>IFERROR(SUM(B34*C34),"")</f>
        <v>68</v>
      </c>
      <c r="E34" s="90">
        <v>5</v>
      </c>
      <c r="F34" s="90">
        <v>200</v>
      </c>
      <c r="G34" s="90">
        <v>70</v>
      </c>
    </row>
    <row r="35" spans="1:11" ht="15.75" customHeight="1" x14ac:dyDescent="0.25">
      <c r="A35" s="71" t="s">
        <v>423</v>
      </c>
      <c r="B35" s="9"/>
      <c r="C35" s="9"/>
      <c r="D35" s="9"/>
      <c r="E35" s="9"/>
      <c r="F35" s="9"/>
      <c r="G35" s="26"/>
    </row>
    <row r="36" spans="1:11" ht="30.75" customHeight="1" x14ac:dyDescent="0.25">
      <c r="A36" s="112" t="s">
        <v>422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</row>
    <row r="37" spans="1:11" ht="15.75" customHeight="1" x14ac:dyDescent="0.25">
      <c r="A37" s="71" t="s">
        <v>421</v>
      </c>
      <c r="B37" s="9"/>
      <c r="C37" s="9"/>
      <c r="D37" s="9"/>
      <c r="E37" s="9"/>
      <c r="F37" s="9"/>
      <c r="G37" s="9"/>
    </row>
    <row r="38" spans="1:11" ht="46.5" customHeight="1" x14ac:dyDescent="0.25">
      <c r="A38" s="15" t="s">
        <v>41</v>
      </c>
      <c r="B38" s="16" t="s">
        <v>42</v>
      </c>
      <c r="C38" s="16" t="s">
        <v>43</v>
      </c>
      <c r="D38" s="102" t="s">
        <v>44</v>
      </c>
      <c r="E38" s="102"/>
    </row>
    <row r="39" spans="1:11" x14ac:dyDescent="0.25">
      <c r="A39" s="17">
        <f>SUM(exp_rxns*D30)*0.4</f>
        <v>254.32</v>
      </c>
      <c r="B39" s="34">
        <v>86</v>
      </c>
      <c r="C39" s="34">
        <v>1</v>
      </c>
      <c r="D39" s="111">
        <f>SUM(B39*C39)</f>
        <v>86</v>
      </c>
      <c r="E39" s="111"/>
    </row>
    <row r="41" spans="1:11" x14ac:dyDescent="0.25">
      <c r="A41" s="7" t="s">
        <v>45</v>
      </c>
    </row>
    <row r="42" spans="1:11" x14ac:dyDescent="0.25">
      <c r="A42" s="5" t="s">
        <v>338</v>
      </c>
      <c r="B42" s="28">
        <v>1500</v>
      </c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">
      <c r="A43" s="100" t="s">
        <v>25</v>
      </c>
      <c r="B43" s="100"/>
      <c r="C43" s="100"/>
      <c r="D43" s="101" t="s">
        <v>26</v>
      </c>
      <c r="E43" s="101"/>
      <c r="I43" s="100" t="s">
        <v>27</v>
      </c>
      <c r="J43" s="100"/>
      <c r="K43" s="11" t="s">
        <v>28</v>
      </c>
    </row>
    <row r="44" spans="1:11" ht="15.75" customHeight="1" x14ac:dyDescent="0.25">
      <c r="A44" s="98" t="s">
        <v>46</v>
      </c>
      <c r="B44" s="98"/>
      <c r="C44" s="98"/>
      <c r="D44" s="103">
        <f>IF(B39="",adaptlig_dna_maxvol,IF(SUM(adaptlig_targetmass/D39)&gt;adaptlig_dna_maxvol,adaptlig_dna_maxvol,SUM(adaptlig_targetmass/D39)))</f>
        <v>17.441860465116278</v>
      </c>
      <c r="E44" s="103"/>
      <c r="F44" s="5"/>
      <c r="I44" s="97" t="s">
        <v>47</v>
      </c>
      <c r="J44" s="97"/>
      <c r="K44" s="8">
        <v>10</v>
      </c>
    </row>
    <row r="45" spans="1:11" ht="15.75" customHeight="1" x14ac:dyDescent="0.25">
      <c r="A45" s="98" t="s">
        <v>32</v>
      </c>
      <c r="B45" s="98"/>
      <c r="C45" s="98"/>
      <c r="D45" s="103">
        <f>IFERROR(SUM(adaptlig_dna_maxvol-D44),"")</f>
        <v>12.558139534883722</v>
      </c>
      <c r="E45" s="103"/>
      <c r="F45" s="8"/>
    </row>
    <row r="46" spans="1:11" ht="15.75" customHeight="1" x14ac:dyDescent="0.25">
      <c r="A46" s="98" t="s">
        <v>48</v>
      </c>
      <c r="B46" s="98"/>
      <c r="C46" s="98"/>
      <c r="D46" s="109">
        <v>5</v>
      </c>
      <c r="E46" s="109"/>
    </row>
    <row r="47" spans="1:11" ht="15.75" customHeight="1" x14ac:dyDescent="0.25">
      <c r="A47" s="98" t="s">
        <v>381</v>
      </c>
      <c r="B47" s="98"/>
      <c r="C47" s="98"/>
      <c r="D47" s="109">
        <f>SUM(adaptlig_rxn_vol/5)</f>
        <v>10</v>
      </c>
      <c r="E47" s="109"/>
    </row>
    <row r="48" spans="1:11" ht="15.75" customHeight="1" x14ac:dyDescent="0.25">
      <c r="A48" s="98" t="s">
        <v>49</v>
      </c>
      <c r="B48" s="98"/>
      <c r="C48" s="98"/>
      <c r="D48" s="109">
        <f>SUM(adaptlig_rxn_vol/10)</f>
        <v>5</v>
      </c>
      <c r="E48" s="109"/>
    </row>
    <row r="49" spans="1:12" x14ac:dyDescent="0.25">
      <c r="D49" s="110">
        <f>SUM(D44:D48)</f>
        <v>50</v>
      </c>
      <c r="E49" s="110"/>
    </row>
    <row r="51" spans="1:12" x14ac:dyDescent="0.25">
      <c r="A51" s="7" t="s">
        <v>382</v>
      </c>
    </row>
    <row r="52" spans="1:12" x14ac:dyDescent="0.25">
      <c r="B52" s="1" t="s">
        <v>383</v>
      </c>
      <c r="C52" s="47" t="s">
        <v>447</v>
      </c>
      <c r="D52" s="71" t="s">
        <v>420</v>
      </c>
    </row>
    <row r="53" spans="1:12" x14ac:dyDescent="0.25">
      <c r="A53" s="108" t="s">
        <v>384</v>
      </c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</row>
    <row r="54" spans="1:12" x14ac:dyDescent="0.25">
      <c r="A54" s="71" t="s">
        <v>421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">
      <c r="A55" s="105" t="s">
        <v>41</v>
      </c>
      <c r="B55" s="105"/>
      <c r="C55" s="105" t="s">
        <v>50</v>
      </c>
      <c r="D55" s="105"/>
      <c r="E55" s="105" t="s">
        <v>43</v>
      </c>
      <c r="F55" s="105"/>
      <c r="G55" s="105" t="s">
        <v>51</v>
      </c>
      <c r="H55" s="105"/>
    </row>
    <row r="56" spans="1:12" x14ac:dyDescent="0.25">
      <c r="A56" s="106">
        <f>SUM(adaptlig_rxn_vol*0.5)</f>
        <v>25</v>
      </c>
      <c r="B56" s="106"/>
      <c r="C56" s="107">
        <v>75</v>
      </c>
      <c r="D56" s="107"/>
      <c r="E56" s="107">
        <v>1</v>
      </c>
      <c r="F56" s="107"/>
      <c r="G56" s="97">
        <f>SUM(C56*E56)</f>
        <v>75</v>
      </c>
      <c r="H56" s="97"/>
    </row>
    <row r="58" spans="1:12" x14ac:dyDescent="0.25">
      <c r="A58" s="7" t="s">
        <v>52</v>
      </c>
    </row>
    <row r="59" spans="1:12" x14ac:dyDescent="0.25">
      <c r="A59" s="5" t="s">
        <v>338</v>
      </c>
      <c r="B59" s="28">
        <v>500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25">
      <c r="A60" s="100" t="s">
        <v>25</v>
      </c>
      <c r="B60" s="100"/>
      <c r="C60" s="100"/>
      <c r="D60" s="101" t="s">
        <v>26</v>
      </c>
      <c r="E60" s="101"/>
    </row>
    <row r="61" spans="1:12" ht="15.75" customHeight="1" x14ac:dyDescent="0.25">
      <c r="A61" s="102" t="s">
        <v>53</v>
      </c>
      <c r="B61" s="102"/>
      <c r="C61" s="102"/>
      <c r="D61" s="103">
        <f>IF(C56="",flowcell_maxvol,IF(SUM(flowcell_targetmass/G56)&gt;flowcell_maxvol,flowcell_maxvol,SUM(flowcell_targetmass/G56)))</f>
        <v>6.666666666666667</v>
      </c>
      <c r="E61" s="103"/>
    </row>
    <row r="62" spans="1:12" ht="15.75" customHeight="1" x14ac:dyDescent="0.25">
      <c r="A62" s="102" t="s">
        <v>54</v>
      </c>
      <c r="B62" s="102"/>
      <c r="C62" s="102"/>
      <c r="D62" s="103">
        <f>IFERROR((IF(SUM(12-D61)=0,"-",SUM(12-D61))),"")</f>
        <v>5.333333333333333</v>
      </c>
      <c r="E62" s="103"/>
    </row>
    <row r="63" spans="1:12" ht="15.75" customHeight="1" x14ac:dyDescent="0.25">
      <c r="A63" s="98" t="s">
        <v>387</v>
      </c>
      <c r="B63" s="98"/>
      <c r="C63" s="98"/>
      <c r="D63" s="104">
        <v>37.5</v>
      </c>
      <c r="E63" s="104"/>
    </row>
    <row r="64" spans="1:12" ht="15.75" customHeight="1" x14ac:dyDescent="0.25">
      <c r="A64" s="98" t="s">
        <v>388</v>
      </c>
      <c r="B64" s="98"/>
      <c r="C64" s="98"/>
      <c r="D64" s="104">
        <v>25.5</v>
      </c>
      <c r="E64" s="104"/>
      <c r="F64" s="5" t="s">
        <v>55</v>
      </c>
    </row>
    <row r="66" spans="1:5" x14ac:dyDescent="0.25">
      <c r="A66" s="7" t="s">
        <v>56</v>
      </c>
      <c r="C66" s="5"/>
    </row>
    <row r="67" spans="1:5" ht="15.75" customHeight="1" x14ac:dyDescent="0.25">
      <c r="A67" s="96" t="s">
        <v>57</v>
      </c>
      <c r="B67" s="96"/>
      <c r="C67" s="98" t="s">
        <v>58</v>
      </c>
      <c r="D67" s="98"/>
      <c r="E67" s="5" t="s">
        <v>4</v>
      </c>
    </row>
    <row r="68" spans="1:5" ht="15.75" customHeight="1" x14ac:dyDescent="0.25">
      <c r="A68" s="96" t="s">
        <v>59</v>
      </c>
      <c r="B68" s="96"/>
      <c r="C68" s="97" t="s">
        <v>563</v>
      </c>
      <c r="D68" s="97"/>
    </row>
    <row r="69" spans="1:5" ht="15.75" customHeight="1" x14ac:dyDescent="0.25">
      <c r="A69" s="96" t="s">
        <v>60</v>
      </c>
      <c r="B69" s="96"/>
      <c r="C69" s="97" t="s">
        <v>291</v>
      </c>
      <c r="D69" s="97"/>
    </row>
    <row r="70" spans="1:5" ht="15.75" customHeight="1" x14ac:dyDescent="0.25">
      <c r="A70" s="96" t="s">
        <v>61</v>
      </c>
      <c r="B70" s="96"/>
      <c r="C70" s="99">
        <f>IF(flowcell_status="New",0,"")</f>
        <v>0</v>
      </c>
      <c r="D70" s="99"/>
      <c r="E70" s="9" t="s">
        <v>62</v>
      </c>
    </row>
    <row r="71" spans="1:5" ht="15.75" customHeight="1" x14ac:dyDescent="0.25">
      <c r="A71" s="96" t="s">
        <v>63</v>
      </c>
      <c r="B71" s="96"/>
      <c r="C71" s="98" t="s">
        <v>64</v>
      </c>
      <c r="D71" s="98"/>
      <c r="E71" s="5" t="s">
        <v>4</v>
      </c>
    </row>
    <row r="72" spans="1:5" ht="15.75" customHeight="1" x14ac:dyDescent="0.25">
      <c r="A72" s="96" t="s">
        <v>65</v>
      </c>
      <c r="B72" s="96"/>
      <c r="C72" s="97">
        <v>1324</v>
      </c>
      <c r="D72" s="97"/>
      <c r="E72" s="9" t="s">
        <v>66</v>
      </c>
    </row>
    <row r="73" spans="1:5" ht="15.75" customHeight="1" x14ac:dyDescent="0.25">
      <c r="A73" s="96" t="s">
        <v>67</v>
      </c>
      <c r="B73" s="96"/>
      <c r="C73" s="97">
        <v>5</v>
      </c>
      <c r="D73" s="97"/>
      <c r="E73" s="9" t="s">
        <v>68</v>
      </c>
    </row>
  </sheetData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</mergeCells>
  <conditionalFormatting sqref="A34">
    <cfRule type="expression" dxfId="17" priority="10">
      <formula>COUNTIF(A34,"")</formula>
    </cfRule>
  </conditionalFormatting>
  <conditionalFormatting sqref="B59">
    <cfRule type="expression" dxfId="16" priority="12">
      <formula>COUNTIF(B59,"")</formula>
    </cfRule>
  </conditionalFormatting>
  <conditionalFormatting sqref="C2:C4 C7:C8 F16 B39:C39 B42 C56:E56">
    <cfRule type="expression" dxfId="15" priority="15">
      <formula>COUNTIF(B2,"")</formula>
    </cfRule>
  </conditionalFormatting>
  <conditionalFormatting sqref="C11:C12">
    <cfRule type="expression" dxfId="14" priority="5">
      <formula>COUNTIF(C11,"")</formula>
    </cfRule>
  </conditionalFormatting>
  <conditionalFormatting sqref="C34">
    <cfRule type="expression" dxfId="13" priority="6">
      <formula>COUNTIF(C34,"")</formula>
    </cfRule>
  </conditionalFormatting>
  <conditionalFormatting sqref="C52">
    <cfRule type="expression" dxfId="12" priority="7">
      <formula>COUNTIF(C52,"")</formula>
    </cfRule>
  </conditionalFormatting>
  <conditionalFormatting sqref="C67:C69">
    <cfRule type="expression" dxfId="11" priority="4">
      <formula>COUNTIF(C67,"")</formula>
    </cfRule>
  </conditionalFormatting>
  <conditionalFormatting sqref="C71:C73">
    <cfRule type="expression" dxfId="9" priority="1">
      <formula>COUNTIF(C71,"")</formula>
    </cfRule>
  </conditionalFormatting>
  <conditionalFormatting sqref="C72">
    <cfRule type="cellIs" dxfId="8" priority="2" operator="lessThan">
      <formula>800</formula>
    </cfRule>
    <cfRule type="cellIs" dxfId="7" priority="3" operator="greaterThanOrEqual">
      <formula>800</formula>
    </cfRule>
  </conditionalFormatting>
  <conditionalFormatting sqref="D39">
    <cfRule type="cellIs" dxfId="6" priority="20" operator="lessThan">
      <formula>2</formula>
    </cfRule>
    <cfRule type="cellIs" dxfId="5" priority="21" operator="greaterThanOrEqual">
      <formula>2</formula>
    </cfRule>
  </conditionalFormatting>
  <conditionalFormatting sqref="E34:G34">
    <cfRule type="expression" dxfId="4" priority="9">
      <formula>COUNTIF(E34,"")</formula>
    </cfRule>
  </conditionalFormatting>
  <conditionalFormatting sqref="F42">
    <cfRule type="expression" dxfId="3" priority="13">
      <formula>COUNTIF(F42,"")</formula>
    </cfRule>
  </conditionalFormatting>
  <conditionalFormatting sqref="G56">
    <cfRule type="cellIs" dxfId="2" priority="18" operator="lessThan">
      <formula>2</formula>
    </cfRule>
    <cfRule type="cellIs" dxfId="1" priority="19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G3" sqref="G3:J36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5" t="s">
        <v>69</v>
      </c>
      <c r="E1" s="135"/>
      <c r="F1" s="135"/>
      <c r="G1" s="72" t="s">
        <v>70</v>
      </c>
      <c r="H1" s="136" t="s">
        <v>71</v>
      </c>
      <c r="I1" s="136"/>
      <c r="J1" s="136"/>
      <c r="K1" s="136"/>
      <c r="L1" s="137" t="s">
        <v>72</v>
      </c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431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394</v>
      </c>
      <c r="N2" s="76" t="s">
        <v>365</v>
      </c>
      <c r="O2" s="76" t="s">
        <v>401</v>
      </c>
      <c r="P2" s="76" t="s">
        <v>402</v>
      </c>
      <c r="Q2" s="76" t="s">
        <v>410</v>
      </c>
      <c r="R2" s="76" t="s">
        <v>404</v>
      </c>
      <c r="S2" s="76" t="s">
        <v>403</v>
      </c>
      <c r="T2" s="76" t="s">
        <v>408</v>
      </c>
      <c r="U2" s="76" t="s">
        <v>409</v>
      </c>
      <c r="V2" s="76" t="s">
        <v>396</v>
      </c>
      <c r="W2" s="76" t="s">
        <v>371</v>
      </c>
      <c r="X2" s="76" t="s">
        <v>372</v>
      </c>
      <c r="Y2" s="76" t="s">
        <v>399</v>
      </c>
      <c r="Z2" s="76" t="s">
        <v>398</v>
      </c>
      <c r="AA2" s="76" t="s">
        <v>397</v>
      </c>
      <c r="AB2" s="76" t="s">
        <v>400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 t="s">
        <v>448</v>
      </c>
      <c r="E3" s="52" t="s">
        <v>449</v>
      </c>
      <c r="F3" s="52" t="s">
        <v>433</v>
      </c>
      <c r="G3" s="53" t="s">
        <v>505</v>
      </c>
      <c r="H3" s="54" t="s">
        <v>506</v>
      </c>
      <c r="I3" s="52">
        <v>70</v>
      </c>
      <c r="J3" s="52">
        <v>1</v>
      </c>
      <c r="K3" s="55">
        <f>IF(OR(tbl_SeqLib[[#This Row],[Qubit PCR '[DNA'] (ng/µl)]]="", tbl_SeqLib[[#This Row],[PCR Dilution Factor]]=""),"",SUM(tbl_SeqLib[[#This Row],[Qubit PCR '[DNA'] (ng/µl)]]*tbl_SeqLib[[#This Row],[PCR Dilution Factor]]))</f>
        <v>70</v>
      </c>
      <c r="L3" s="56" t="s">
        <v>86</v>
      </c>
      <c r="M3" s="84">
        <f>IF(OR(ISBLANK(tbl_SeqLib[[#This Row],[Sample ID]]),ISBLANK(endrepair_targetmass)),0,IF(LEN(tbl_SeqLib[[#This Row],[PCR '[DNA'] (ng / µl)]])=0,1,2))</f>
        <v>2</v>
      </c>
      <c r="N3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" s="57">
        <f>IF(tbl_SeqLib[[#This Row],[entry]]=2,ROUNDUP(_xlfn.MINIFS(tbl_SeqLib[Exact],tbl_SeqLib[Column],tbl_SeqLib[[#This Row],[Column]]),1),"")</f>
        <v>10</v>
      </c>
      <c r="P3" s="57">
        <f>IF(tbl_SeqLib[[#This Row],[entry]]=2,ROUNDDOWN(_xlfn.MAXIFS(tbl_SeqLib[Exact],tbl_SeqLib[Column],tbl_SeqLib[[#This Row],[Column]]),1),"")</f>
        <v>10</v>
      </c>
      <c r="Q3" s="57">
        <f>IF(tbl_SeqLib[[#This Row],[entry]]=2,ROUNDUP(AVERAGEIFS(tbl_SeqLib[Exact],tbl_SeqLib[Column],tbl_SeqLib[[#This Row],[Column]]),1),"")</f>
        <v>10</v>
      </c>
      <c r="R3" s="57" cm="1">
        <f t="array" ref="R3">_xlfn.XLOOKUP(0,ABS(tbl_SeqLib[[#This Row],[Min for col]:[Avg for col]]-tbl_SeqLib[[#This Row],[Exact]]),tbl_SeqLib[[#This Row],[Min for col]:[Avg for col]],"",1)</f>
        <v>10</v>
      </c>
      <c r="S3" s="57" cm="1">
        <f t="array" ref="S3">_xlfn.XLOOKUP(0,ABS(tbl_SeqLib[[#This Row],[Max for col]:[Avg for col]]-tbl_SeqLib[[#This Row],[Exact]]),tbl_SeqLib[[#This Row],[Max for col]:[Avg for col]],"",1)</f>
        <v>10</v>
      </c>
      <c r="T3" s="57">
        <f>IF(tbl_SeqLib[[#This Row],[entry]]=2,tbl_SeqLib[[#This Row],[Max for col]],"")</f>
        <v>10</v>
      </c>
      <c r="U3" s="57">
        <f>IF(tbl_SeqLib[[#This Row],[entry]]=2,tbl_SeqLib[[#This Row],[Avg for col]],"")</f>
        <v>10</v>
      </c>
      <c r="V3" s="57">
        <f>IF(tbl_SeqLib[[#This Row],[entry]]=2,AVERAGE(tbl_SeqLib[Exact]),"")</f>
        <v>9.2911764705882351</v>
      </c>
      <c r="W3" s="57">
        <f>IF(tbl_SeqLib[[#This Row],[entry]]=2,MAX(tbl_SeqLib[Exact]),"")</f>
        <v>10</v>
      </c>
      <c r="X3" s="57" cm="1">
        <f t="array" ref="X3">_xlfn.XLOOKUP(0,ABS(tbl_SeqLib[[#This Row],[Avg per plate]:[Max per plate]]-tbl_SeqLib[[#This Row],[Exact]]),tbl_SeqLib[[#This Row],[Avg per plate]:[Max per plate]],,1)</f>
        <v>10</v>
      </c>
      <c r="Y3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>
        <f>IF(tbl_SeqLib[[#This Row],[entry]]=0,"",IF(tbl_SeqLib[[#This Row],[entry]]=1,tbl_SeqLib[[#This Row],[Not quantified]],IF(tbl_SeqLib[[#This Row],[entry]]=2,tbl_SeqLib[[#This Row],[Quantified]])))</f>
        <v>10</v>
      </c>
      <c r="AD3" s="91"/>
      <c r="AE3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" s="58" t="str">
        <f>IF(ISBLANK(tbl_SeqLib[[#This Row],[sWGA Identifier]]),"",CONCATENATE(exp_id,"_",tbl_SeqLib[[#This Row],[Well]]))</f>
        <v>SLJS035_A1</v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 t="s">
        <v>450</v>
      </c>
      <c r="E4" s="19" t="s">
        <v>451</v>
      </c>
      <c r="F4" s="19" t="s">
        <v>433</v>
      </c>
      <c r="G4" s="29" t="s">
        <v>507</v>
      </c>
      <c r="H4" s="30" t="s">
        <v>508</v>
      </c>
      <c r="I4" s="19">
        <v>48.6</v>
      </c>
      <c r="J4" s="19">
        <v>1</v>
      </c>
      <c r="K4" s="20">
        <f>IF(OR(tbl_SeqLib[[#This Row],[Qubit PCR '[DNA'] (ng/µl)]]="", tbl_SeqLib[[#This Row],[PCR Dilution Factor]]=""),"",SUM(tbl_SeqLib[[#This Row],[Qubit PCR '[DNA'] (ng/µl)]]*tbl_SeqLib[[#This Row],[PCR Dilution Factor]]))</f>
        <v>48.6</v>
      </c>
      <c r="L4" s="32" t="s">
        <v>88</v>
      </c>
      <c r="M4" s="85">
        <f>IF(OR(ISBLANK(tbl_SeqLib[[#This Row],[Sample ID]]),ISBLANK(endrepair_targetmass)),0,IF(LEN(tbl_SeqLib[[#This Row],[PCR '[DNA'] (ng / µl)]])=0,1,2))</f>
        <v>2</v>
      </c>
      <c r="N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4" s="44">
        <f>IF(tbl_SeqLib[[#This Row],[entry]]=2,ROUNDUP(_xlfn.MINIFS(tbl_SeqLib[Exact],tbl_SeqLib[Column],tbl_SeqLib[[#This Row],[Column]]),1),"")</f>
        <v>10</v>
      </c>
      <c r="P4" s="44">
        <f>IF(tbl_SeqLib[[#This Row],[entry]]=2,ROUNDDOWN(_xlfn.MAXIFS(tbl_SeqLib[Exact],tbl_SeqLib[Column],tbl_SeqLib[[#This Row],[Column]]),1),"")</f>
        <v>10</v>
      </c>
      <c r="Q4" s="44">
        <f>IF(tbl_SeqLib[[#This Row],[entry]]=2,ROUNDUP(AVERAGEIFS(tbl_SeqLib[Exact],tbl_SeqLib[Column],tbl_SeqLib[[#This Row],[Column]]),1),"")</f>
        <v>10</v>
      </c>
      <c r="R4" s="44" cm="1">
        <f t="array" ref="R4">_xlfn.XLOOKUP(0,ABS(tbl_SeqLib[[#This Row],[Min for col]:[Avg for col]]-tbl_SeqLib[[#This Row],[Exact]]),tbl_SeqLib[[#This Row],[Min for col]:[Avg for col]],"",1)</f>
        <v>10</v>
      </c>
      <c r="S4" s="44" cm="1">
        <f t="array" ref="S4">_xlfn.XLOOKUP(0,ABS(tbl_SeqLib[[#This Row],[Max for col]:[Avg for col]]-tbl_SeqLib[[#This Row],[Exact]]),tbl_SeqLib[[#This Row],[Max for col]:[Avg for col]],"",1)</f>
        <v>10</v>
      </c>
      <c r="T4" s="44">
        <f>IF(tbl_SeqLib[[#This Row],[entry]]=2,tbl_SeqLib[[#This Row],[Max for col]],"")</f>
        <v>10</v>
      </c>
      <c r="U4" s="44">
        <f>IF(tbl_SeqLib[[#This Row],[entry]]=2,tbl_SeqLib[[#This Row],[Avg for col]],"")</f>
        <v>10</v>
      </c>
      <c r="V4" s="44">
        <f>IF(tbl_SeqLib[[#This Row],[entry]]=2,AVERAGE(tbl_SeqLib[Exact]),"")</f>
        <v>9.2911764705882351</v>
      </c>
      <c r="W4" s="44">
        <f>IF(tbl_SeqLib[[#This Row],[entry]]=2,MAX(tbl_SeqLib[Exact]),"")</f>
        <v>10</v>
      </c>
      <c r="X4" s="44" cm="1">
        <f t="array" ref="X4">_xlfn.XLOOKUP(0,ABS(tbl_SeqLib[[#This Row],[Avg per plate]:[Max per plate]]-tbl_SeqLib[[#This Row],[Exact]]),tbl_SeqLib[[#This Row],[Avg per plate]:[Max per plate]],,1)</f>
        <v>10</v>
      </c>
      <c r="Y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>
        <f>IF(tbl_SeqLib[[#This Row],[entry]]=0,"",IF(tbl_SeqLib[[#This Row],[entry]]=1,tbl_SeqLib[[#This Row],[Not quantified]],IF(tbl_SeqLib[[#This Row],[entry]]=2,tbl_SeqLib[[#This Row],[Quantified]])))</f>
        <v>10</v>
      </c>
      <c r="AD4" s="92"/>
      <c r="AE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4" s="60" t="str">
        <f>IF(ISBLANK(tbl_SeqLib[[#This Row],[sWGA Identifier]]),"",CONCATENATE(exp_id,"_",tbl_SeqLib[[#This Row],[Well]]))</f>
        <v>SLJS035_B1</v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 t="s">
        <v>452</v>
      </c>
      <c r="E5" s="19" t="s">
        <v>453</v>
      </c>
      <c r="F5" s="19" t="s">
        <v>433</v>
      </c>
      <c r="G5" s="29" t="s">
        <v>509</v>
      </c>
      <c r="H5" s="30" t="s">
        <v>510</v>
      </c>
      <c r="I5" s="19">
        <v>40.200000000000003</v>
      </c>
      <c r="J5" s="19">
        <v>1</v>
      </c>
      <c r="K5" s="20">
        <f>IF(OR(tbl_SeqLib[[#This Row],[Qubit PCR '[DNA'] (ng/µl)]]="", tbl_SeqLib[[#This Row],[PCR Dilution Factor]]=""),"",SUM(tbl_SeqLib[[#This Row],[Qubit PCR '[DNA'] (ng/µl)]]*tbl_SeqLib[[#This Row],[PCR Dilution Factor]]))</f>
        <v>40.200000000000003</v>
      </c>
      <c r="L5" s="32" t="s">
        <v>90</v>
      </c>
      <c r="M5" s="85">
        <f>IF(OR(ISBLANK(tbl_SeqLib[[#This Row],[Sample ID]]),ISBLANK(endrepair_targetmass)),0,IF(LEN(tbl_SeqLib[[#This Row],[PCR '[DNA'] (ng / µl)]])=0,1,2))</f>
        <v>2</v>
      </c>
      <c r="N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5" s="44">
        <f>IF(tbl_SeqLib[[#This Row],[entry]]=2,ROUNDUP(_xlfn.MINIFS(tbl_SeqLib[Exact],tbl_SeqLib[Column],tbl_SeqLib[[#This Row],[Column]]),1),"")</f>
        <v>10</v>
      </c>
      <c r="P5" s="44">
        <f>IF(tbl_SeqLib[[#This Row],[entry]]=2,ROUNDDOWN(_xlfn.MAXIFS(tbl_SeqLib[Exact],tbl_SeqLib[Column],tbl_SeqLib[[#This Row],[Column]]),1),"")</f>
        <v>10</v>
      </c>
      <c r="Q5" s="44">
        <f>IF(tbl_SeqLib[[#This Row],[entry]]=2,ROUNDUP(AVERAGEIFS(tbl_SeqLib[Exact],tbl_SeqLib[Column],tbl_SeqLib[[#This Row],[Column]]),1),"")</f>
        <v>10</v>
      </c>
      <c r="R5" s="44" cm="1">
        <f t="array" ref="R5">_xlfn.XLOOKUP(0,ABS(tbl_SeqLib[[#This Row],[Min for col]:[Avg for col]]-tbl_SeqLib[[#This Row],[Exact]]),tbl_SeqLib[[#This Row],[Min for col]:[Avg for col]],"",1)</f>
        <v>10</v>
      </c>
      <c r="S5" s="44" cm="1">
        <f t="array" ref="S5">_xlfn.XLOOKUP(0,ABS(tbl_SeqLib[[#This Row],[Max for col]:[Avg for col]]-tbl_SeqLib[[#This Row],[Exact]]),tbl_SeqLib[[#This Row],[Max for col]:[Avg for col]],"",1)</f>
        <v>10</v>
      </c>
      <c r="T5" s="44">
        <f>IF(tbl_SeqLib[[#This Row],[entry]]=2,tbl_SeqLib[[#This Row],[Max for col]],"")</f>
        <v>10</v>
      </c>
      <c r="U5" s="44">
        <f>IF(tbl_SeqLib[[#This Row],[entry]]=2,tbl_SeqLib[[#This Row],[Avg for col]],"")</f>
        <v>10</v>
      </c>
      <c r="V5" s="44">
        <f>IF(tbl_SeqLib[[#This Row],[entry]]=2,AVERAGE(tbl_SeqLib[Exact]),"")</f>
        <v>9.2911764705882351</v>
      </c>
      <c r="W5" s="44">
        <f>IF(tbl_SeqLib[[#This Row],[entry]]=2,MAX(tbl_SeqLib[Exact]),"")</f>
        <v>10</v>
      </c>
      <c r="X5" s="44" cm="1">
        <f t="array" ref="X5">_xlfn.XLOOKUP(0,ABS(tbl_SeqLib[[#This Row],[Avg per plate]:[Max per plate]]-tbl_SeqLib[[#This Row],[Exact]]),tbl_SeqLib[[#This Row],[Avg per plate]:[Max per plate]],,1)</f>
        <v>10</v>
      </c>
      <c r="Y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>
        <f>IF(tbl_SeqLib[[#This Row],[entry]]=0,"",IF(tbl_SeqLib[[#This Row],[entry]]=1,tbl_SeqLib[[#This Row],[Not quantified]],IF(tbl_SeqLib[[#This Row],[entry]]=2,tbl_SeqLib[[#This Row],[Quantified]])))</f>
        <v>10</v>
      </c>
      <c r="AD5" s="92"/>
      <c r="AE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5" s="60" t="str">
        <f>IF(ISBLANK(tbl_SeqLib[[#This Row],[sWGA Identifier]]),"",CONCATENATE(exp_id,"_",tbl_SeqLib[[#This Row],[Well]]))</f>
        <v>SLJS035_C1</v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 t="s">
        <v>454</v>
      </c>
      <c r="E6" s="19" t="s">
        <v>455</v>
      </c>
      <c r="F6" s="19" t="s">
        <v>433</v>
      </c>
      <c r="G6" s="29" t="s">
        <v>511</v>
      </c>
      <c r="H6" s="30" t="s">
        <v>512</v>
      </c>
      <c r="I6" s="19">
        <v>42.2</v>
      </c>
      <c r="J6" s="19">
        <v>1</v>
      </c>
      <c r="K6" s="20">
        <f>IF(OR(tbl_SeqLib[[#This Row],[Qubit PCR '[DNA'] (ng/µl)]]="", tbl_SeqLib[[#This Row],[PCR Dilution Factor]]=""),"",SUM(tbl_SeqLib[[#This Row],[Qubit PCR '[DNA'] (ng/µl)]]*tbl_SeqLib[[#This Row],[PCR Dilution Factor]]))</f>
        <v>42.2</v>
      </c>
      <c r="L6" s="32" t="s">
        <v>92</v>
      </c>
      <c r="M6" s="85">
        <f>IF(OR(ISBLANK(tbl_SeqLib[[#This Row],[Sample ID]]),ISBLANK(endrepair_targetmass)),0,IF(LEN(tbl_SeqLib[[#This Row],[PCR '[DNA'] (ng / µl)]])=0,1,2))</f>
        <v>2</v>
      </c>
      <c r="N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6" s="44">
        <f>IF(tbl_SeqLib[[#This Row],[entry]]=2,ROUNDUP(_xlfn.MINIFS(tbl_SeqLib[Exact],tbl_SeqLib[Column],tbl_SeqLib[[#This Row],[Column]]),1),"")</f>
        <v>10</v>
      </c>
      <c r="P6" s="44">
        <f>IF(tbl_SeqLib[[#This Row],[entry]]=2,ROUNDDOWN(_xlfn.MAXIFS(tbl_SeqLib[Exact],tbl_SeqLib[Column],tbl_SeqLib[[#This Row],[Column]]),1),"")</f>
        <v>10</v>
      </c>
      <c r="Q6" s="44">
        <f>IF(tbl_SeqLib[[#This Row],[entry]]=2,ROUNDUP(AVERAGEIFS(tbl_SeqLib[Exact],tbl_SeqLib[Column],tbl_SeqLib[[#This Row],[Column]]),1),"")</f>
        <v>10</v>
      </c>
      <c r="R6" s="44" cm="1">
        <f t="array" ref="R6">_xlfn.XLOOKUP(0,ABS(tbl_SeqLib[[#This Row],[Min for col]:[Avg for col]]-tbl_SeqLib[[#This Row],[Exact]]),tbl_SeqLib[[#This Row],[Min for col]:[Avg for col]],"",1)</f>
        <v>10</v>
      </c>
      <c r="S6" s="44" cm="1">
        <f t="array" ref="S6">_xlfn.XLOOKUP(0,ABS(tbl_SeqLib[[#This Row],[Max for col]:[Avg for col]]-tbl_SeqLib[[#This Row],[Exact]]),tbl_SeqLib[[#This Row],[Max for col]:[Avg for col]],"",1)</f>
        <v>10</v>
      </c>
      <c r="T6" s="44">
        <f>IF(tbl_SeqLib[[#This Row],[entry]]=2,tbl_SeqLib[[#This Row],[Max for col]],"")</f>
        <v>10</v>
      </c>
      <c r="U6" s="44">
        <f>IF(tbl_SeqLib[[#This Row],[entry]]=2,tbl_SeqLib[[#This Row],[Avg for col]],"")</f>
        <v>10</v>
      </c>
      <c r="V6" s="44">
        <f>IF(tbl_SeqLib[[#This Row],[entry]]=2,AVERAGE(tbl_SeqLib[Exact]),"")</f>
        <v>9.2911764705882351</v>
      </c>
      <c r="W6" s="44">
        <f>IF(tbl_SeqLib[[#This Row],[entry]]=2,MAX(tbl_SeqLib[Exact]),"")</f>
        <v>10</v>
      </c>
      <c r="X6" s="44" cm="1">
        <f t="array" ref="X6">_xlfn.XLOOKUP(0,ABS(tbl_SeqLib[[#This Row],[Avg per plate]:[Max per plate]]-tbl_SeqLib[[#This Row],[Exact]]),tbl_SeqLib[[#This Row],[Avg per plate]:[Max per plate]],,1)</f>
        <v>10</v>
      </c>
      <c r="Y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>
        <f>IF(tbl_SeqLib[[#This Row],[entry]]=0,"",IF(tbl_SeqLib[[#This Row],[entry]]=1,tbl_SeqLib[[#This Row],[Not quantified]],IF(tbl_SeqLib[[#This Row],[entry]]=2,tbl_SeqLib[[#This Row],[Quantified]])))</f>
        <v>10</v>
      </c>
      <c r="AD6" s="92"/>
      <c r="AE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6" s="60" t="str">
        <f>IF(ISBLANK(tbl_SeqLib[[#This Row],[sWGA Identifier]]),"",CONCATENATE(exp_id,"_",tbl_SeqLib[[#This Row],[Well]]))</f>
        <v>SLJS035_D1</v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 t="s">
        <v>456</v>
      </c>
      <c r="E7" s="19" t="s">
        <v>457</v>
      </c>
      <c r="F7" s="19" t="s">
        <v>433</v>
      </c>
      <c r="G7" s="29" t="s">
        <v>513</v>
      </c>
      <c r="H7" s="30" t="s">
        <v>514</v>
      </c>
      <c r="I7" s="19">
        <v>41.2</v>
      </c>
      <c r="J7" s="19">
        <v>1</v>
      </c>
      <c r="K7" s="20">
        <f>IF(OR(tbl_SeqLib[[#This Row],[Qubit PCR '[DNA'] (ng/µl)]]="", tbl_SeqLib[[#This Row],[PCR Dilution Factor]]=""),"",SUM(tbl_SeqLib[[#This Row],[Qubit PCR '[DNA'] (ng/µl)]]*tbl_SeqLib[[#This Row],[PCR Dilution Factor]]))</f>
        <v>41.2</v>
      </c>
      <c r="L7" s="32" t="s">
        <v>94</v>
      </c>
      <c r="M7" s="85">
        <f>IF(OR(ISBLANK(tbl_SeqLib[[#This Row],[Sample ID]]),ISBLANK(endrepair_targetmass)),0,IF(LEN(tbl_SeqLib[[#This Row],[PCR '[DNA'] (ng / µl)]])=0,1,2))</f>
        <v>2</v>
      </c>
      <c r="N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7" s="44">
        <f>IF(tbl_SeqLib[[#This Row],[entry]]=2,ROUNDUP(_xlfn.MINIFS(tbl_SeqLib[Exact],tbl_SeqLib[Column],tbl_SeqLib[[#This Row],[Column]]),1),"")</f>
        <v>10</v>
      </c>
      <c r="P7" s="44">
        <f>IF(tbl_SeqLib[[#This Row],[entry]]=2,ROUNDDOWN(_xlfn.MAXIFS(tbl_SeqLib[Exact],tbl_SeqLib[Column],tbl_SeqLib[[#This Row],[Column]]),1),"")</f>
        <v>10</v>
      </c>
      <c r="Q7" s="44">
        <f>IF(tbl_SeqLib[[#This Row],[entry]]=2,ROUNDUP(AVERAGEIFS(tbl_SeqLib[Exact],tbl_SeqLib[Column],tbl_SeqLib[[#This Row],[Column]]),1),"")</f>
        <v>10</v>
      </c>
      <c r="R7" s="44" cm="1">
        <f t="array" ref="R7">_xlfn.XLOOKUP(0,ABS(tbl_SeqLib[[#This Row],[Min for col]:[Avg for col]]-tbl_SeqLib[[#This Row],[Exact]]),tbl_SeqLib[[#This Row],[Min for col]:[Avg for col]],"",1)</f>
        <v>10</v>
      </c>
      <c r="S7" s="44" cm="1">
        <f t="array" ref="S7">_xlfn.XLOOKUP(0,ABS(tbl_SeqLib[[#This Row],[Max for col]:[Avg for col]]-tbl_SeqLib[[#This Row],[Exact]]),tbl_SeqLib[[#This Row],[Max for col]:[Avg for col]],"",1)</f>
        <v>10</v>
      </c>
      <c r="T7" s="44">
        <f>IF(tbl_SeqLib[[#This Row],[entry]]=2,tbl_SeqLib[[#This Row],[Max for col]],"")</f>
        <v>10</v>
      </c>
      <c r="U7" s="44">
        <f>IF(tbl_SeqLib[[#This Row],[entry]]=2,tbl_SeqLib[[#This Row],[Avg for col]],"")</f>
        <v>10</v>
      </c>
      <c r="V7" s="44">
        <f>IF(tbl_SeqLib[[#This Row],[entry]]=2,AVERAGE(tbl_SeqLib[Exact]),"")</f>
        <v>9.2911764705882351</v>
      </c>
      <c r="W7" s="44">
        <f>IF(tbl_SeqLib[[#This Row],[entry]]=2,MAX(tbl_SeqLib[Exact]),"")</f>
        <v>10</v>
      </c>
      <c r="X7" s="44" cm="1">
        <f t="array" ref="X7">_xlfn.XLOOKUP(0,ABS(tbl_SeqLib[[#This Row],[Avg per plate]:[Max per plate]]-tbl_SeqLib[[#This Row],[Exact]]),tbl_SeqLib[[#This Row],[Avg per plate]:[Max per plate]],,1)</f>
        <v>10</v>
      </c>
      <c r="Y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>
        <f>IF(tbl_SeqLib[[#This Row],[entry]]=0,"",IF(tbl_SeqLib[[#This Row],[entry]]=1,tbl_SeqLib[[#This Row],[Not quantified]],IF(tbl_SeqLib[[#This Row],[entry]]=2,tbl_SeqLib[[#This Row],[Quantified]])))</f>
        <v>10</v>
      </c>
      <c r="AD7" s="92"/>
      <c r="AE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7" s="60" t="str">
        <f>IF(ISBLANK(tbl_SeqLib[[#This Row],[sWGA Identifier]]),"",CONCATENATE(exp_id,"_",tbl_SeqLib[[#This Row],[Well]]))</f>
        <v>SLJS035_E1</v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 t="s">
        <v>458</v>
      </c>
      <c r="E8" s="19" t="s">
        <v>459</v>
      </c>
      <c r="F8" s="19" t="s">
        <v>433</v>
      </c>
      <c r="G8" s="29" t="s">
        <v>515</v>
      </c>
      <c r="H8" s="30" t="s">
        <v>516</v>
      </c>
      <c r="I8" s="19">
        <v>37.799999999999997</v>
      </c>
      <c r="J8" s="19">
        <v>1</v>
      </c>
      <c r="K8" s="20">
        <f>IF(OR(tbl_SeqLib[[#This Row],[Qubit PCR '[DNA'] (ng/µl)]]="", tbl_SeqLib[[#This Row],[PCR Dilution Factor]]=""),"",SUM(tbl_SeqLib[[#This Row],[Qubit PCR '[DNA'] (ng/µl)]]*tbl_SeqLib[[#This Row],[PCR Dilution Factor]]))</f>
        <v>37.799999999999997</v>
      </c>
      <c r="L8" s="32" t="s">
        <v>96</v>
      </c>
      <c r="M8" s="85">
        <f>IF(OR(ISBLANK(tbl_SeqLib[[#This Row],[Sample ID]]),ISBLANK(endrepair_targetmass)),0,IF(LEN(tbl_SeqLib[[#This Row],[PCR '[DNA'] (ng / µl)]])=0,1,2))</f>
        <v>2</v>
      </c>
      <c r="N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8" s="44">
        <f>IF(tbl_SeqLib[[#This Row],[entry]]=2,ROUNDUP(_xlfn.MINIFS(tbl_SeqLib[Exact],tbl_SeqLib[Column],tbl_SeqLib[[#This Row],[Column]]),1),"")</f>
        <v>10</v>
      </c>
      <c r="P8" s="44">
        <f>IF(tbl_SeqLib[[#This Row],[entry]]=2,ROUNDDOWN(_xlfn.MAXIFS(tbl_SeqLib[Exact],tbl_SeqLib[Column],tbl_SeqLib[[#This Row],[Column]]),1),"")</f>
        <v>10</v>
      </c>
      <c r="Q8" s="44">
        <f>IF(tbl_SeqLib[[#This Row],[entry]]=2,ROUNDUP(AVERAGEIFS(tbl_SeqLib[Exact],tbl_SeqLib[Column],tbl_SeqLib[[#This Row],[Column]]),1),"")</f>
        <v>10</v>
      </c>
      <c r="R8" s="44" cm="1">
        <f t="array" ref="R8">_xlfn.XLOOKUP(0,ABS(tbl_SeqLib[[#This Row],[Min for col]:[Avg for col]]-tbl_SeqLib[[#This Row],[Exact]]),tbl_SeqLib[[#This Row],[Min for col]:[Avg for col]],"",1)</f>
        <v>10</v>
      </c>
      <c r="S8" s="44" cm="1">
        <f t="array" ref="S8">_xlfn.XLOOKUP(0,ABS(tbl_SeqLib[[#This Row],[Max for col]:[Avg for col]]-tbl_SeqLib[[#This Row],[Exact]]),tbl_SeqLib[[#This Row],[Max for col]:[Avg for col]],"",1)</f>
        <v>10</v>
      </c>
      <c r="T8" s="44">
        <f>IF(tbl_SeqLib[[#This Row],[entry]]=2,tbl_SeqLib[[#This Row],[Max for col]],"")</f>
        <v>10</v>
      </c>
      <c r="U8" s="44">
        <f>IF(tbl_SeqLib[[#This Row],[entry]]=2,tbl_SeqLib[[#This Row],[Avg for col]],"")</f>
        <v>10</v>
      </c>
      <c r="V8" s="44">
        <f>IF(tbl_SeqLib[[#This Row],[entry]]=2,AVERAGE(tbl_SeqLib[Exact]),"")</f>
        <v>9.2911764705882351</v>
      </c>
      <c r="W8" s="44">
        <f>IF(tbl_SeqLib[[#This Row],[entry]]=2,MAX(tbl_SeqLib[Exact]),"")</f>
        <v>10</v>
      </c>
      <c r="X8" s="44" cm="1">
        <f t="array" ref="X8">_xlfn.XLOOKUP(0,ABS(tbl_SeqLib[[#This Row],[Avg per plate]:[Max per plate]]-tbl_SeqLib[[#This Row],[Exact]]),tbl_SeqLib[[#This Row],[Avg per plate]:[Max per plate]],,1)</f>
        <v>10</v>
      </c>
      <c r="Y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>
        <f>IF(tbl_SeqLib[[#This Row],[entry]]=0,"",IF(tbl_SeqLib[[#This Row],[entry]]=1,tbl_SeqLib[[#This Row],[Not quantified]],IF(tbl_SeqLib[[#This Row],[entry]]=2,tbl_SeqLib[[#This Row],[Quantified]])))</f>
        <v>10</v>
      </c>
      <c r="AD8" s="92"/>
      <c r="AE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8" s="60" t="str">
        <f>IF(ISBLANK(tbl_SeqLib[[#This Row],[sWGA Identifier]]),"",CONCATENATE(exp_id,"_",tbl_SeqLib[[#This Row],[Well]]))</f>
        <v>SLJS035_F1</v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 t="s">
        <v>460</v>
      </c>
      <c r="E9" s="19" t="s">
        <v>461</v>
      </c>
      <c r="F9" s="19" t="s">
        <v>433</v>
      </c>
      <c r="G9" s="29" t="s">
        <v>517</v>
      </c>
      <c r="H9" s="30" t="s">
        <v>518</v>
      </c>
      <c r="I9" s="31">
        <v>22.2</v>
      </c>
      <c r="J9" s="19">
        <v>1</v>
      </c>
      <c r="K9" s="20">
        <f>IF(OR(tbl_SeqLib[[#This Row],[Qubit PCR '[DNA'] (ng/µl)]]="", tbl_SeqLib[[#This Row],[PCR Dilution Factor]]=""),"",SUM(tbl_SeqLib[[#This Row],[Qubit PCR '[DNA'] (ng/µl)]]*tbl_SeqLib[[#This Row],[PCR Dilution Factor]]))</f>
        <v>22.2</v>
      </c>
      <c r="L9" s="32" t="s">
        <v>98</v>
      </c>
      <c r="M9" s="85">
        <f>IF(OR(ISBLANK(tbl_SeqLib[[#This Row],[Sample ID]]),ISBLANK(endrepair_targetmass)),0,IF(LEN(tbl_SeqLib[[#This Row],[PCR '[DNA'] (ng / µl)]])=0,1,2))</f>
        <v>2</v>
      </c>
      <c r="N9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9" s="44">
        <f>IF(tbl_SeqLib[[#This Row],[entry]]=2,ROUNDUP(_xlfn.MINIFS(tbl_SeqLib[Exact],tbl_SeqLib[Column],tbl_SeqLib[[#This Row],[Column]]),1),"")</f>
        <v>10</v>
      </c>
      <c r="P9" s="44">
        <f>IF(tbl_SeqLib[[#This Row],[entry]]=2,ROUNDDOWN(_xlfn.MAXIFS(tbl_SeqLib[Exact],tbl_SeqLib[Column],tbl_SeqLib[[#This Row],[Column]]),1),"")</f>
        <v>10</v>
      </c>
      <c r="Q9" s="44">
        <f>IF(tbl_SeqLib[[#This Row],[entry]]=2,ROUNDUP(AVERAGEIFS(tbl_SeqLib[Exact],tbl_SeqLib[Column],tbl_SeqLib[[#This Row],[Column]]),1),"")</f>
        <v>10</v>
      </c>
      <c r="R9" s="44" cm="1">
        <f t="array" ref="R9">_xlfn.XLOOKUP(0,ABS(tbl_SeqLib[[#This Row],[Min for col]:[Avg for col]]-tbl_SeqLib[[#This Row],[Exact]]),tbl_SeqLib[[#This Row],[Min for col]:[Avg for col]],"",1)</f>
        <v>10</v>
      </c>
      <c r="S9" s="44" cm="1">
        <f t="array" ref="S9">_xlfn.XLOOKUP(0,ABS(tbl_SeqLib[[#This Row],[Max for col]:[Avg for col]]-tbl_SeqLib[[#This Row],[Exact]]),tbl_SeqLib[[#This Row],[Max for col]:[Avg for col]],"",1)</f>
        <v>10</v>
      </c>
      <c r="T9" s="44">
        <f>IF(tbl_SeqLib[[#This Row],[entry]]=2,tbl_SeqLib[[#This Row],[Max for col]],"")</f>
        <v>10</v>
      </c>
      <c r="U9" s="44">
        <f>IF(tbl_SeqLib[[#This Row],[entry]]=2,tbl_SeqLib[[#This Row],[Avg for col]],"")</f>
        <v>10</v>
      </c>
      <c r="V9" s="44">
        <f>IF(tbl_SeqLib[[#This Row],[entry]]=2,AVERAGE(tbl_SeqLib[Exact]),"")</f>
        <v>9.2911764705882351</v>
      </c>
      <c r="W9" s="44">
        <f>IF(tbl_SeqLib[[#This Row],[entry]]=2,MAX(tbl_SeqLib[Exact]),"")</f>
        <v>10</v>
      </c>
      <c r="X9" s="44" cm="1">
        <f t="array" ref="X9">_xlfn.XLOOKUP(0,ABS(tbl_SeqLib[[#This Row],[Avg per plate]:[Max per plate]]-tbl_SeqLib[[#This Row],[Exact]]),tbl_SeqLib[[#This Row],[Avg per plate]:[Max per plate]],,1)</f>
        <v>10</v>
      </c>
      <c r="Y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>
        <f>IF(tbl_SeqLib[[#This Row],[entry]]=0,"",IF(tbl_SeqLib[[#This Row],[entry]]=1,tbl_SeqLib[[#This Row],[Not quantified]],IF(tbl_SeqLib[[#This Row],[entry]]=2,tbl_SeqLib[[#This Row],[Quantified]])))</f>
        <v>10</v>
      </c>
      <c r="AD9" s="92"/>
      <c r="AE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9" s="60" t="str">
        <f>IF(ISBLANK(tbl_SeqLib[[#This Row],[sWGA Identifier]]),"",CONCATENATE(exp_id,"_",tbl_SeqLib[[#This Row],[Well]]))</f>
        <v>SLJS035_G1</v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 t="s">
        <v>462</v>
      </c>
      <c r="E10" s="64" t="s">
        <v>463</v>
      </c>
      <c r="F10" s="63" t="s">
        <v>433</v>
      </c>
      <c r="G10" s="65" t="s">
        <v>519</v>
      </c>
      <c r="H10" s="63" t="s">
        <v>520</v>
      </c>
      <c r="I10" s="65">
        <v>65.599999999999994</v>
      </c>
      <c r="J10" s="63">
        <v>1</v>
      </c>
      <c r="K10" s="66">
        <f>IF(OR(tbl_SeqLib[[#This Row],[Qubit PCR '[DNA'] (ng/µl)]]="", tbl_SeqLib[[#This Row],[PCR Dilution Factor]]=""),"",SUM(tbl_SeqLib[[#This Row],[Qubit PCR '[DNA'] (ng/µl)]]*tbl_SeqLib[[#This Row],[PCR Dilution Factor]]))</f>
        <v>65.599999999999994</v>
      </c>
      <c r="L10" s="67" t="s">
        <v>100</v>
      </c>
      <c r="M10" s="86">
        <f>IF(OR(ISBLANK(tbl_SeqLib[[#This Row],[Sample ID]]),ISBLANK(endrepair_targetmass)),0,IF(LEN(tbl_SeqLib[[#This Row],[PCR '[DNA'] (ng / µl)]])=0,1,2))</f>
        <v>2</v>
      </c>
      <c r="N10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0" s="68">
        <f>IF(tbl_SeqLib[[#This Row],[entry]]=2,ROUNDUP(_xlfn.MINIFS(tbl_SeqLib[Exact],tbl_SeqLib[Column],tbl_SeqLib[[#This Row],[Column]]),1),"")</f>
        <v>10</v>
      </c>
      <c r="P10" s="68">
        <f>IF(tbl_SeqLib[[#This Row],[entry]]=2,ROUNDDOWN(_xlfn.MAXIFS(tbl_SeqLib[Exact],tbl_SeqLib[Column],tbl_SeqLib[[#This Row],[Column]]),1),"")</f>
        <v>10</v>
      </c>
      <c r="Q10" s="68">
        <f>IF(tbl_SeqLib[[#This Row],[entry]]=2,ROUNDUP(AVERAGEIFS(tbl_SeqLib[Exact],tbl_SeqLib[Column],tbl_SeqLib[[#This Row],[Column]]),1),"")</f>
        <v>10</v>
      </c>
      <c r="R10" s="68" cm="1">
        <f t="array" ref="R10">_xlfn.XLOOKUP(0,ABS(tbl_SeqLib[[#This Row],[Min for col]:[Avg for col]]-tbl_SeqLib[[#This Row],[Exact]]),tbl_SeqLib[[#This Row],[Min for col]:[Avg for col]],"",1)</f>
        <v>10</v>
      </c>
      <c r="S10" s="68" cm="1">
        <f t="array" ref="S10">_xlfn.XLOOKUP(0,ABS(tbl_SeqLib[[#This Row],[Max for col]:[Avg for col]]-tbl_SeqLib[[#This Row],[Exact]]),tbl_SeqLib[[#This Row],[Max for col]:[Avg for col]],"",1)</f>
        <v>10</v>
      </c>
      <c r="T10" s="68">
        <f>IF(tbl_SeqLib[[#This Row],[entry]]=2,tbl_SeqLib[[#This Row],[Max for col]],"")</f>
        <v>10</v>
      </c>
      <c r="U10" s="68">
        <f>IF(tbl_SeqLib[[#This Row],[entry]]=2,tbl_SeqLib[[#This Row],[Avg for col]],"")</f>
        <v>10</v>
      </c>
      <c r="V10" s="68">
        <f>IF(tbl_SeqLib[[#This Row],[entry]]=2,AVERAGE(tbl_SeqLib[Exact]),"")</f>
        <v>9.2911764705882351</v>
      </c>
      <c r="W10" s="68">
        <f>IF(tbl_SeqLib[[#This Row],[entry]]=2,MAX(tbl_SeqLib[Exact]),"")</f>
        <v>10</v>
      </c>
      <c r="X10" s="68" cm="1">
        <f t="array" ref="X10">_xlfn.XLOOKUP(0,ABS(tbl_SeqLib[[#This Row],[Avg per plate]:[Max per plate]]-tbl_SeqLib[[#This Row],[Exact]]),tbl_SeqLib[[#This Row],[Avg per plate]:[Max per plate]],,1)</f>
        <v>10</v>
      </c>
      <c r="Y10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>
        <f>IF(tbl_SeqLib[[#This Row],[entry]]=0,"",IF(tbl_SeqLib[[#This Row],[entry]]=1,tbl_SeqLib[[#This Row],[Not quantified]],IF(tbl_SeqLib[[#This Row],[entry]]=2,tbl_SeqLib[[#This Row],[Quantified]])))</f>
        <v>10</v>
      </c>
      <c r="AD10" s="93"/>
      <c r="AE10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0" s="69" t="str">
        <f>IF(ISBLANK(tbl_SeqLib[[#This Row],[sWGA Identifier]]),"",CONCATENATE(exp_id,"_",tbl_SeqLib[[#This Row],[Well]]))</f>
        <v>SLJS035_H1</v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 t="s">
        <v>464</v>
      </c>
      <c r="E11" s="56" t="s">
        <v>465</v>
      </c>
      <c r="F11" s="52" t="s">
        <v>433</v>
      </c>
      <c r="G11" s="52" t="s">
        <v>521</v>
      </c>
      <c r="H11" s="52" t="s">
        <v>522</v>
      </c>
      <c r="I11" s="52">
        <v>54.4</v>
      </c>
      <c r="J11" s="52">
        <v>1</v>
      </c>
      <c r="K11" s="55">
        <f>IF(OR(tbl_SeqLib[[#This Row],[Qubit PCR '[DNA'] (ng/µl)]]="", tbl_SeqLib[[#This Row],[PCR Dilution Factor]]=""),"",SUM(tbl_SeqLib[[#This Row],[Qubit PCR '[DNA'] (ng/µl)]]*tbl_SeqLib[[#This Row],[PCR Dilution Factor]]))</f>
        <v>54.4</v>
      </c>
      <c r="L11" s="56" t="s">
        <v>102</v>
      </c>
      <c r="M11" s="84">
        <f>IF(OR(ISBLANK(tbl_SeqLib[[#This Row],[Sample ID]]),ISBLANK(endrepair_targetmass)),0,IF(LEN(tbl_SeqLib[[#This Row],[PCR '[DNA'] (ng / µl)]])=0,1,2))</f>
        <v>2</v>
      </c>
      <c r="N11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1" s="57">
        <f>IF(tbl_SeqLib[[#This Row],[entry]]=2,ROUNDUP(_xlfn.MINIFS(tbl_SeqLib[Exact],tbl_SeqLib[Column],tbl_SeqLib[[#This Row],[Column]]),1),"")</f>
        <v>6.7</v>
      </c>
      <c r="P11" s="57">
        <f>IF(tbl_SeqLib[[#This Row],[entry]]=2,ROUNDDOWN(_xlfn.MAXIFS(tbl_SeqLib[Exact],tbl_SeqLib[Column],tbl_SeqLib[[#This Row],[Column]]),1),"")</f>
        <v>10</v>
      </c>
      <c r="Q11" s="57">
        <f>IF(tbl_SeqLib[[#This Row],[entry]]=2,ROUNDUP(AVERAGEIFS(tbl_SeqLib[Exact],tbl_SeqLib[Column],tbl_SeqLib[[#This Row],[Column]]),1),"")</f>
        <v>9.4</v>
      </c>
      <c r="R11" s="57" cm="1">
        <f t="array" ref="R11">_xlfn.XLOOKUP(0,ABS(tbl_SeqLib[[#This Row],[Min for col]:[Avg for col]]-tbl_SeqLib[[#This Row],[Exact]]),tbl_SeqLib[[#This Row],[Min for col]:[Avg for col]],"",1)</f>
        <v>10</v>
      </c>
      <c r="S11" s="57" cm="1">
        <f t="array" ref="S11">_xlfn.XLOOKUP(0,ABS(tbl_SeqLib[[#This Row],[Max for col]:[Avg for col]]-tbl_SeqLib[[#This Row],[Exact]]),tbl_SeqLib[[#This Row],[Max for col]:[Avg for col]],"",1)</f>
        <v>10</v>
      </c>
      <c r="T11" s="57">
        <f>IF(tbl_SeqLib[[#This Row],[entry]]=2,tbl_SeqLib[[#This Row],[Max for col]],"")</f>
        <v>10</v>
      </c>
      <c r="U11" s="57">
        <f>IF(tbl_SeqLib[[#This Row],[entry]]=2,tbl_SeqLib[[#This Row],[Avg for col]],"")</f>
        <v>9.4</v>
      </c>
      <c r="V11" s="57">
        <f>IF(tbl_SeqLib[[#This Row],[entry]]=2,AVERAGE(tbl_SeqLib[Exact]),"")</f>
        <v>9.2911764705882351</v>
      </c>
      <c r="W11" s="57">
        <f>IF(tbl_SeqLib[[#This Row],[entry]]=2,MAX(tbl_SeqLib[Exact]),"")</f>
        <v>10</v>
      </c>
      <c r="X11" s="57" cm="1">
        <f t="array" ref="X11">_xlfn.XLOOKUP(0,ABS(tbl_SeqLib[[#This Row],[Avg per plate]:[Max per plate]]-tbl_SeqLib[[#This Row],[Exact]]),tbl_SeqLib[[#This Row],[Avg per plate]:[Max per plate]],,1)</f>
        <v>10</v>
      </c>
      <c r="Y11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>
        <f>IF(tbl_SeqLib[[#This Row],[entry]]=0,"",IF(tbl_SeqLib[[#This Row],[entry]]=1,tbl_SeqLib[[#This Row],[Not quantified]],IF(tbl_SeqLib[[#This Row],[entry]]=2,tbl_SeqLib[[#This Row],[Quantified]])))</f>
        <v>10</v>
      </c>
      <c r="AD11" s="91"/>
      <c r="AE11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1" s="58" t="str">
        <f>IF(ISBLANK(tbl_SeqLib[[#This Row],[sWGA Identifier]]),"",CONCATENATE(exp_id,"_",tbl_SeqLib[[#This Row],[Well]]))</f>
        <v>SLJS035_A2</v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 t="s">
        <v>466</v>
      </c>
      <c r="E12" s="21" t="s">
        <v>467</v>
      </c>
      <c r="F12" s="19" t="s">
        <v>434</v>
      </c>
      <c r="G12" s="31" t="s">
        <v>523</v>
      </c>
      <c r="H12" s="19" t="s">
        <v>524</v>
      </c>
      <c r="I12" s="31">
        <v>121</v>
      </c>
      <c r="J12" s="19">
        <v>1</v>
      </c>
      <c r="K12" s="20">
        <f>IF(OR(tbl_SeqLib[[#This Row],[Qubit PCR '[DNA'] (ng/µl)]]="", tbl_SeqLib[[#This Row],[PCR Dilution Factor]]=""),"",SUM(tbl_SeqLib[[#This Row],[Qubit PCR '[DNA'] (ng/µl)]]*tbl_SeqLib[[#This Row],[PCR Dilution Factor]]))</f>
        <v>121</v>
      </c>
      <c r="L12" s="32" t="s">
        <v>104</v>
      </c>
      <c r="M12" s="85">
        <f>IF(OR(ISBLANK(tbl_SeqLib[[#This Row],[Sample ID]]),ISBLANK(endrepair_targetmass)),0,IF(LEN(tbl_SeqLib[[#This Row],[PCR '[DNA'] (ng / µl)]])=0,1,2))</f>
        <v>2</v>
      </c>
      <c r="N12" s="44">
        <f>IF(tbl_SeqLib[[#This Row],[entry]]&lt;2,"",IF(endrepair_targetmass/tbl_SeqLib[[#This Row],[PCR '[DNA'] (ng / µl)]]&gt;endrepair_maxvol,endrepair_maxvol,ROUNDUP(SUM(endrepair_targetmass/tbl_SeqLib[[#This Row],[PCR '[DNA'] (ng / µl)]]),1)))</f>
        <v>6.6999999999999993</v>
      </c>
      <c r="O12" s="44">
        <f>IF(tbl_SeqLib[[#This Row],[entry]]=2,ROUNDUP(_xlfn.MINIFS(tbl_SeqLib[Exact],tbl_SeqLib[Column],tbl_SeqLib[[#This Row],[Column]]),1),"")</f>
        <v>6.7</v>
      </c>
      <c r="P12" s="44">
        <f>IF(tbl_SeqLib[[#This Row],[entry]]=2,ROUNDDOWN(_xlfn.MAXIFS(tbl_SeqLib[Exact],tbl_SeqLib[Column],tbl_SeqLib[[#This Row],[Column]]),1),"")</f>
        <v>10</v>
      </c>
      <c r="Q12" s="44">
        <f>IF(tbl_SeqLib[[#This Row],[entry]]=2,ROUNDUP(AVERAGEIFS(tbl_SeqLib[Exact],tbl_SeqLib[Column],tbl_SeqLib[[#This Row],[Column]]),1),"")</f>
        <v>9.4</v>
      </c>
      <c r="R12" s="44" cm="1">
        <f t="array" ref="R12">_xlfn.XLOOKUP(0,ABS(tbl_SeqLib[[#This Row],[Min for col]:[Avg for col]]-tbl_SeqLib[[#This Row],[Exact]]),tbl_SeqLib[[#This Row],[Min for col]:[Avg for col]],"",1)</f>
        <v>6.7</v>
      </c>
      <c r="S12" s="44" cm="1">
        <f t="array" ref="S12">_xlfn.XLOOKUP(0,ABS(tbl_SeqLib[[#This Row],[Max for col]:[Avg for col]]-tbl_SeqLib[[#This Row],[Exact]]),tbl_SeqLib[[#This Row],[Max for col]:[Avg for col]],"",1)</f>
        <v>9.4</v>
      </c>
      <c r="T12" s="44">
        <f>IF(tbl_SeqLib[[#This Row],[entry]]=2,tbl_SeqLib[[#This Row],[Max for col]],"")</f>
        <v>10</v>
      </c>
      <c r="U12" s="44">
        <f>IF(tbl_SeqLib[[#This Row],[entry]]=2,tbl_SeqLib[[#This Row],[Avg for col]],"")</f>
        <v>9.4</v>
      </c>
      <c r="V12" s="44">
        <f>IF(tbl_SeqLib[[#This Row],[entry]]=2,AVERAGE(tbl_SeqLib[Exact]),"")</f>
        <v>9.2911764705882351</v>
      </c>
      <c r="W12" s="44">
        <f>IF(tbl_SeqLib[[#This Row],[entry]]=2,MAX(tbl_SeqLib[Exact]),"")</f>
        <v>10</v>
      </c>
      <c r="X12" s="44" cm="1">
        <f t="array" ref="X12">_xlfn.XLOOKUP(0,ABS(tbl_SeqLib[[#This Row],[Avg per plate]:[Max per plate]]-tbl_SeqLib[[#This Row],[Exact]]),tbl_SeqLib[[#This Row],[Avg per plate]:[Max per plate]],,1)</f>
        <v>9.2911764705882351</v>
      </c>
      <c r="Y1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>
        <f>IF(tbl_SeqLib[[#This Row],[entry]]=0,"",IF(tbl_SeqLib[[#This Row],[entry]]=1,tbl_SeqLib[[#This Row],[Not quantified]],IF(tbl_SeqLib[[#This Row],[entry]]=2,tbl_SeqLib[[#This Row],[Quantified]])))</f>
        <v>10</v>
      </c>
      <c r="AD12" s="92"/>
      <c r="AE1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2" s="60" t="str">
        <f>IF(ISBLANK(tbl_SeqLib[[#This Row],[sWGA Identifier]]),"",CONCATENATE(exp_id,"_",tbl_SeqLib[[#This Row],[Well]]))</f>
        <v>SLJS035_B2</v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 t="s">
        <v>468</v>
      </c>
      <c r="E13" s="21" t="s">
        <v>469</v>
      </c>
      <c r="F13" s="19" t="s">
        <v>434</v>
      </c>
      <c r="G13" s="31" t="s">
        <v>525</v>
      </c>
      <c r="H13" s="19" t="s">
        <v>526</v>
      </c>
      <c r="I13" s="31">
        <v>94.6</v>
      </c>
      <c r="J13" s="19">
        <v>1</v>
      </c>
      <c r="K13" s="20">
        <f>IF(OR(tbl_SeqLib[[#This Row],[Qubit PCR '[DNA'] (ng/µl)]]="", tbl_SeqLib[[#This Row],[PCR Dilution Factor]]=""),"",SUM(tbl_SeqLib[[#This Row],[Qubit PCR '[DNA'] (ng/µl)]]*tbl_SeqLib[[#This Row],[PCR Dilution Factor]]))</f>
        <v>94.6</v>
      </c>
      <c r="L13" s="32" t="s">
        <v>106</v>
      </c>
      <c r="M13" s="85">
        <f>IF(OR(ISBLANK(tbl_SeqLib[[#This Row],[Sample ID]]),ISBLANK(endrepair_targetmass)),0,IF(LEN(tbl_SeqLib[[#This Row],[PCR '[DNA'] (ng / µl)]])=0,1,2))</f>
        <v>2</v>
      </c>
      <c r="N13" s="44">
        <f>IF(tbl_SeqLib[[#This Row],[entry]]&lt;2,"",IF(endrepair_targetmass/tbl_SeqLib[[#This Row],[PCR '[DNA'] (ng / µl)]]&gt;endrepair_maxvol,endrepair_maxvol,ROUNDUP(SUM(endrepair_targetmass/tbl_SeqLib[[#This Row],[PCR '[DNA'] (ng / µl)]]),1)))</f>
        <v>8.5</v>
      </c>
      <c r="O13" s="44">
        <f>IF(tbl_SeqLib[[#This Row],[entry]]=2,ROUNDUP(_xlfn.MINIFS(tbl_SeqLib[Exact],tbl_SeqLib[Column],tbl_SeqLib[[#This Row],[Column]]),1),"")</f>
        <v>6.7</v>
      </c>
      <c r="P13" s="44">
        <f>IF(tbl_SeqLib[[#This Row],[entry]]=2,ROUNDDOWN(_xlfn.MAXIFS(tbl_SeqLib[Exact],tbl_SeqLib[Column],tbl_SeqLib[[#This Row],[Column]]),1),"")</f>
        <v>10</v>
      </c>
      <c r="Q13" s="44">
        <f>IF(tbl_SeqLib[[#This Row],[entry]]=2,ROUNDUP(AVERAGEIFS(tbl_SeqLib[Exact],tbl_SeqLib[Column],tbl_SeqLib[[#This Row],[Column]]),1),"")</f>
        <v>9.4</v>
      </c>
      <c r="R13" s="44" cm="1">
        <f t="array" ref="R13">_xlfn.XLOOKUP(0,ABS(tbl_SeqLib[[#This Row],[Min for col]:[Avg for col]]-tbl_SeqLib[[#This Row],[Exact]]),tbl_SeqLib[[#This Row],[Min for col]:[Avg for col]],"",1)</f>
        <v>9.4</v>
      </c>
      <c r="S13" s="44" cm="1">
        <f t="array" ref="S13">_xlfn.XLOOKUP(0,ABS(tbl_SeqLib[[#This Row],[Max for col]:[Avg for col]]-tbl_SeqLib[[#This Row],[Exact]]),tbl_SeqLib[[#This Row],[Max for col]:[Avg for col]],"",1)</f>
        <v>9.4</v>
      </c>
      <c r="T13" s="44">
        <f>IF(tbl_SeqLib[[#This Row],[entry]]=2,tbl_SeqLib[[#This Row],[Max for col]],"")</f>
        <v>10</v>
      </c>
      <c r="U13" s="44">
        <f>IF(tbl_SeqLib[[#This Row],[entry]]=2,tbl_SeqLib[[#This Row],[Avg for col]],"")</f>
        <v>9.4</v>
      </c>
      <c r="V13" s="44">
        <f>IF(tbl_SeqLib[[#This Row],[entry]]=2,AVERAGE(tbl_SeqLib[Exact]),"")</f>
        <v>9.2911764705882351</v>
      </c>
      <c r="W13" s="44">
        <f>IF(tbl_SeqLib[[#This Row],[entry]]=2,MAX(tbl_SeqLib[Exact]),"")</f>
        <v>10</v>
      </c>
      <c r="X13" s="44" cm="1">
        <f t="array" ref="X13">_xlfn.XLOOKUP(0,ABS(tbl_SeqLib[[#This Row],[Avg per plate]:[Max per plate]]-tbl_SeqLib[[#This Row],[Exact]]),tbl_SeqLib[[#This Row],[Avg per plate]:[Max per plate]],,1)</f>
        <v>9.2911764705882351</v>
      </c>
      <c r="Y1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>
        <f>IF(tbl_SeqLib[[#This Row],[entry]]=0,"",IF(tbl_SeqLib[[#This Row],[entry]]=1,tbl_SeqLib[[#This Row],[Not quantified]],IF(tbl_SeqLib[[#This Row],[entry]]=2,tbl_SeqLib[[#This Row],[Quantified]])))</f>
        <v>10</v>
      </c>
      <c r="AD13" s="92"/>
      <c r="AE1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3" s="60" t="str">
        <f>IF(ISBLANK(tbl_SeqLib[[#This Row],[sWGA Identifier]]),"",CONCATENATE(exp_id,"_",tbl_SeqLib[[#This Row],[Well]]))</f>
        <v>SLJS035_C2</v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 t="s">
        <v>470</v>
      </c>
      <c r="E14" s="21" t="s">
        <v>471</v>
      </c>
      <c r="F14" s="19" t="s">
        <v>435</v>
      </c>
      <c r="G14" s="31" t="s">
        <v>527</v>
      </c>
      <c r="H14" s="19" t="s">
        <v>528</v>
      </c>
      <c r="I14" s="31">
        <v>1.4</v>
      </c>
      <c r="J14" s="19">
        <v>1</v>
      </c>
      <c r="K14" s="20">
        <f>IF(OR(tbl_SeqLib[[#This Row],[Qubit PCR '[DNA'] (ng/µl)]]="", tbl_SeqLib[[#This Row],[PCR Dilution Factor]]=""),"",SUM(tbl_SeqLib[[#This Row],[Qubit PCR '[DNA'] (ng/µl)]]*tbl_SeqLib[[#This Row],[PCR Dilution Factor]]))</f>
        <v>1.4</v>
      </c>
      <c r="L14" s="32" t="s">
        <v>108</v>
      </c>
      <c r="M14" s="85">
        <f>IF(OR(ISBLANK(tbl_SeqLib[[#This Row],[Sample ID]]),ISBLANK(endrepair_targetmass)),0,IF(LEN(tbl_SeqLib[[#This Row],[PCR '[DNA'] (ng / µl)]])=0,1,2))</f>
        <v>2</v>
      </c>
      <c r="N1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4" s="44">
        <f>IF(tbl_SeqLib[[#This Row],[entry]]=2,ROUNDUP(_xlfn.MINIFS(tbl_SeqLib[Exact],tbl_SeqLib[Column],tbl_SeqLib[[#This Row],[Column]]),1),"")</f>
        <v>6.7</v>
      </c>
      <c r="P14" s="44">
        <f>IF(tbl_SeqLib[[#This Row],[entry]]=2,ROUNDDOWN(_xlfn.MAXIFS(tbl_SeqLib[Exact],tbl_SeqLib[Column],tbl_SeqLib[[#This Row],[Column]]),1),"")</f>
        <v>10</v>
      </c>
      <c r="Q14" s="44">
        <f>IF(tbl_SeqLib[[#This Row],[entry]]=2,ROUNDUP(AVERAGEIFS(tbl_SeqLib[Exact],tbl_SeqLib[Column],tbl_SeqLib[[#This Row],[Column]]),1),"")</f>
        <v>9.4</v>
      </c>
      <c r="R14" s="44" cm="1">
        <f t="array" ref="R14">_xlfn.XLOOKUP(0,ABS(tbl_SeqLib[[#This Row],[Min for col]:[Avg for col]]-tbl_SeqLib[[#This Row],[Exact]]),tbl_SeqLib[[#This Row],[Min for col]:[Avg for col]],"",1)</f>
        <v>10</v>
      </c>
      <c r="S14" s="44" cm="1">
        <f t="array" ref="S14">_xlfn.XLOOKUP(0,ABS(tbl_SeqLib[[#This Row],[Max for col]:[Avg for col]]-tbl_SeqLib[[#This Row],[Exact]]),tbl_SeqLib[[#This Row],[Max for col]:[Avg for col]],"",1)</f>
        <v>10</v>
      </c>
      <c r="T14" s="44">
        <f>IF(tbl_SeqLib[[#This Row],[entry]]=2,tbl_SeqLib[[#This Row],[Max for col]],"")</f>
        <v>10</v>
      </c>
      <c r="U14" s="44">
        <f>IF(tbl_SeqLib[[#This Row],[entry]]=2,tbl_SeqLib[[#This Row],[Avg for col]],"")</f>
        <v>9.4</v>
      </c>
      <c r="V14" s="44">
        <f>IF(tbl_SeqLib[[#This Row],[entry]]=2,AVERAGE(tbl_SeqLib[Exact]),"")</f>
        <v>9.2911764705882351</v>
      </c>
      <c r="W14" s="44">
        <f>IF(tbl_SeqLib[[#This Row],[entry]]=2,MAX(tbl_SeqLib[Exact]),"")</f>
        <v>10</v>
      </c>
      <c r="X14" s="44" cm="1">
        <f t="array" ref="X14">_xlfn.XLOOKUP(0,ABS(tbl_SeqLib[[#This Row],[Avg per plate]:[Max per plate]]-tbl_SeqLib[[#This Row],[Exact]]),tbl_SeqLib[[#This Row],[Avg per plate]:[Max per plate]],,1)</f>
        <v>10</v>
      </c>
      <c r="Y1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>
        <f>IF(tbl_SeqLib[[#This Row],[entry]]=0,"",IF(tbl_SeqLib[[#This Row],[entry]]=1,tbl_SeqLib[[#This Row],[Not quantified]],IF(tbl_SeqLib[[#This Row],[entry]]=2,tbl_SeqLib[[#This Row],[Quantified]])))</f>
        <v>10</v>
      </c>
      <c r="AD14" s="92"/>
      <c r="AE1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4" s="60" t="str">
        <f>IF(ISBLANK(tbl_SeqLib[[#This Row],[sWGA Identifier]]),"",CONCATENATE(exp_id,"_",tbl_SeqLib[[#This Row],[Well]]))</f>
        <v>SLJS035_D2</v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 t="s">
        <v>472</v>
      </c>
      <c r="E15" s="21" t="s">
        <v>473</v>
      </c>
      <c r="F15" s="19" t="s">
        <v>433</v>
      </c>
      <c r="G15" s="31" t="s">
        <v>529</v>
      </c>
      <c r="H15" s="19" t="s">
        <v>530</v>
      </c>
      <c r="I15" s="31">
        <v>20.2</v>
      </c>
      <c r="J15" s="19">
        <v>1</v>
      </c>
      <c r="K15" s="20">
        <f>IF(OR(tbl_SeqLib[[#This Row],[Qubit PCR '[DNA'] (ng/µl)]]="", tbl_SeqLib[[#This Row],[PCR Dilution Factor]]=""),"",SUM(tbl_SeqLib[[#This Row],[Qubit PCR '[DNA'] (ng/µl)]]*tbl_SeqLib[[#This Row],[PCR Dilution Factor]]))</f>
        <v>20.2</v>
      </c>
      <c r="L15" s="32" t="s">
        <v>110</v>
      </c>
      <c r="M15" s="85">
        <f>IF(OR(ISBLANK(tbl_SeqLib[[#This Row],[Sample ID]]),ISBLANK(endrepair_targetmass)),0,IF(LEN(tbl_SeqLib[[#This Row],[PCR '[DNA'] (ng / µl)]])=0,1,2))</f>
        <v>2</v>
      </c>
      <c r="N1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5" s="44">
        <f>IF(tbl_SeqLib[[#This Row],[entry]]=2,ROUNDUP(_xlfn.MINIFS(tbl_SeqLib[Exact],tbl_SeqLib[Column],tbl_SeqLib[[#This Row],[Column]]),1),"")</f>
        <v>6.7</v>
      </c>
      <c r="P15" s="44">
        <f>IF(tbl_SeqLib[[#This Row],[entry]]=2,ROUNDDOWN(_xlfn.MAXIFS(tbl_SeqLib[Exact],tbl_SeqLib[Column],tbl_SeqLib[[#This Row],[Column]]),1),"")</f>
        <v>10</v>
      </c>
      <c r="Q15" s="44">
        <f>IF(tbl_SeqLib[[#This Row],[entry]]=2,ROUNDUP(AVERAGEIFS(tbl_SeqLib[Exact],tbl_SeqLib[Column],tbl_SeqLib[[#This Row],[Column]]),1),"")</f>
        <v>9.4</v>
      </c>
      <c r="R15" s="44" cm="1">
        <f t="array" ref="R15">_xlfn.XLOOKUP(0,ABS(tbl_SeqLib[[#This Row],[Min for col]:[Avg for col]]-tbl_SeqLib[[#This Row],[Exact]]),tbl_SeqLib[[#This Row],[Min for col]:[Avg for col]],"",1)</f>
        <v>10</v>
      </c>
      <c r="S15" s="44" cm="1">
        <f t="array" ref="S15">_xlfn.XLOOKUP(0,ABS(tbl_SeqLib[[#This Row],[Max for col]:[Avg for col]]-tbl_SeqLib[[#This Row],[Exact]]),tbl_SeqLib[[#This Row],[Max for col]:[Avg for col]],"",1)</f>
        <v>10</v>
      </c>
      <c r="T15" s="44">
        <f>IF(tbl_SeqLib[[#This Row],[entry]]=2,tbl_SeqLib[[#This Row],[Max for col]],"")</f>
        <v>10</v>
      </c>
      <c r="U15" s="44">
        <f>IF(tbl_SeqLib[[#This Row],[entry]]=2,tbl_SeqLib[[#This Row],[Avg for col]],"")</f>
        <v>9.4</v>
      </c>
      <c r="V15" s="44">
        <f>IF(tbl_SeqLib[[#This Row],[entry]]=2,AVERAGE(tbl_SeqLib[Exact]),"")</f>
        <v>9.2911764705882351</v>
      </c>
      <c r="W15" s="44">
        <f>IF(tbl_SeqLib[[#This Row],[entry]]=2,MAX(tbl_SeqLib[Exact]),"")</f>
        <v>10</v>
      </c>
      <c r="X15" s="44" cm="1">
        <f t="array" ref="X15">_xlfn.XLOOKUP(0,ABS(tbl_SeqLib[[#This Row],[Avg per plate]:[Max per plate]]-tbl_SeqLib[[#This Row],[Exact]]),tbl_SeqLib[[#This Row],[Avg per plate]:[Max per plate]],,1)</f>
        <v>10</v>
      </c>
      <c r="Y1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>
        <f>IF(tbl_SeqLib[[#This Row],[entry]]=0,"",IF(tbl_SeqLib[[#This Row],[entry]]=1,tbl_SeqLib[[#This Row],[Not quantified]],IF(tbl_SeqLib[[#This Row],[entry]]=2,tbl_SeqLib[[#This Row],[Quantified]])))</f>
        <v>10</v>
      </c>
      <c r="AD15" s="92"/>
      <c r="AE1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5" s="60" t="str">
        <f>IF(ISBLANK(tbl_SeqLib[[#This Row],[sWGA Identifier]]),"",CONCATENATE(exp_id,"_",tbl_SeqLib[[#This Row],[Well]]))</f>
        <v>SLJS035_E2</v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 t="s">
        <v>474</v>
      </c>
      <c r="E16" s="21" t="s">
        <v>475</v>
      </c>
      <c r="F16" s="19" t="s">
        <v>433</v>
      </c>
      <c r="G16" s="31" t="s">
        <v>531</v>
      </c>
      <c r="H16" s="19" t="s">
        <v>532</v>
      </c>
      <c r="I16" s="31">
        <v>22.4</v>
      </c>
      <c r="J16" s="19">
        <v>1</v>
      </c>
      <c r="K16" s="20">
        <f>IF(OR(tbl_SeqLib[[#This Row],[Qubit PCR '[DNA'] (ng/µl)]]="", tbl_SeqLib[[#This Row],[PCR Dilution Factor]]=""),"",SUM(tbl_SeqLib[[#This Row],[Qubit PCR '[DNA'] (ng/µl)]]*tbl_SeqLib[[#This Row],[PCR Dilution Factor]]))</f>
        <v>22.4</v>
      </c>
      <c r="L16" s="32" t="s">
        <v>112</v>
      </c>
      <c r="M16" s="85">
        <f>IF(OR(ISBLANK(tbl_SeqLib[[#This Row],[Sample ID]]),ISBLANK(endrepair_targetmass)),0,IF(LEN(tbl_SeqLib[[#This Row],[PCR '[DNA'] (ng / µl)]])=0,1,2))</f>
        <v>2</v>
      </c>
      <c r="N1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6" s="44">
        <f>IF(tbl_SeqLib[[#This Row],[entry]]=2,ROUNDUP(_xlfn.MINIFS(tbl_SeqLib[Exact],tbl_SeqLib[Column],tbl_SeqLib[[#This Row],[Column]]),1),"")</f>
        <v>6.7</v>
      </c>
      <c r="P16" s="44">
        <f>IF(tbl_SeqLib[[#This Row],[entry]]=2,ROUNDDOWN(_xlfn.MAXIFS(tbl_SeqLib[Exact],tbl_SeqLib[Column],tbl_SeqLib[[#This Row],[Column]]),1),"")</f>
        <v>10</v>
      </c>
      <c r="Q16" s="44">
        <f>IF(tbl_SeqLib[[#This Row],[entry]]=2,ROUNDUP(AVERAGEIFS(tbl_SeqLib[Exact],tbl_SeqLib[Column],tbl_SeqLib[[#This Row],[Column]]),1),"")</f>
        <v>9.4</v>
      </c>
      <c r="R16" s="44" cm="1">
        <f t="array" ref="R16">_xlfn.XLOOKUP(0,ABS(tbl_SeqLib[[#This Row],[Min for col]:[Avg for col]]-tbl_SeqLib[[#This Row],[Exact]]),tbl_SeqLib[[#This Row],[Min for col]:[Avg for col]],"",1)</f>
        <v>10</v>
      </c>
      <c r="S16" s="44" cm="1">
        <f t="array" ref="S16">_xlfn.XLOOKUP(0,ABS(tbl_SeqLib[[#This Row],[Max for col]:[Avg for col]]-tbl_SeqLib[[#This Row],[Exact]]),tbl_SeqLib[[#This Row],[Max for col]:[Avg for col]],"",1)</f>
        <v>10</v>
      </c>
      <c r="T16" s="44">
        <f>IF(tbl_SeqLib[[#This Row],[entry]]=2,tbl_SeqLib[[#This Row],[Max for col]],"")</f>
        <v>10</v>
      </c>
      <c r="U16" s="44">
        <f>IF(tbl_SeqLib[[#This Row],[entry]]=2,tbl_SeqLib[[#This Row],[Avg for col]],"")</f>
        <v>9.4</v>
      </c>
      <c r="V16" s="44">
        <f>IF(tbl_SeqLib[[#This Row],[entry]]=2,AVERAGE(tbl_SeqLib[Exact]),"")</f>
        <v>9.2911764705882351</v>
      </c>
      <c r="W16" s="44">
        <f>IF(tbl_SeqLib[[#This Row],[entry]]=2,MAX(tbl_SeqLib[Exact]),"")</f>
        <v>10</v>
      </c>
      <c r="X16" s="44" cm="1">
        <f t="array" ref="X16">_xlfn.XLOOKUP(0,ABS(tbl_SeqLib[[#This Row],[Avg per plate]:[Max per plate]]-tbl_SeqLib[[#This Row],[Exact]]),tbl_SeqLib[[#This Row],[Avg per plate]:[Max per plate]],,1)</f>
        <v>10</v>
      </c>
      <c r="Y1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>
        <f>IF(tbl_SeqLib[[#This Row],[entry]]=0,"",IF(tbl_SeqLib[[#This Row],[entry]]=1,tbl_SeqLib[[#This Row],[Not quantified]],IF(tbl_SeqLib[[#This Row],[entry]]=2,tbl_SeqLib[[#This Row],[Quantified]])))</f>
        <v>10</v>
      </c>
      <c r="AD16" s="92"/>
      <c r="AE1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6" s="60" t="str">
        <f>IF(ISBLANK(tbl_SeqLib[[#This Row],[sWGA Identifier]]),"",CONCATENATE(exp_id,"_",tbl_SeqLib[[#This Row],[Well]]))</f>
        <v>SLJS035_F2</v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 t="s">
        <v>476</v>
      </c>
      <c r="E17" s="21" t="s">
        <v>477</v>
      </c>
      <c r="F17" s="19" t="s">
        <v>433</v>
      </c>
      <c r="G17" s="31" t="s">
        <v>533</v>
      </c>
      <c r="H17" s="19" t="s">
        <v>534</v>
      </c>
      <c r="I17" s="31">
        <v>51.4</v>
      </c>
      <c r="J17" s="19">
        <v>1</v>
      </c>
      <c r="K17" s="20">
        <f>IF(OR(tbl_SeqLib[[#This Row],[Qubit PCR '[DNA'] (ng/µl)]]="", tbl_SeqLib[[#This Row],[PCR Dilution Factor]]=""),"",SUM(tbl_SeqLib[[#This Row],[Qubit PCR '[DNA'] (ng/µl)]]*tbl_SeqLib[[#This Row],[PCR Dilution Factor]]))</f>
        <v>51.4</v>
      </c>
      <c r="L17" s="32" t="s">
        <v>114</v>
      </c>
      <c r="M17" s="85">
        <f>IF(OR(ISBLANK(tbl_SeqLib[[#This Row],[Sample ID]]),ISBLANK(endrepair_targetmass)),0,IF(LEN(tbl_SeqLib[[#This Row],[PCR '[DNA'] (ng / µl)]])=0,1,2))</f>
        <v>2</v>
      </c>
      <c r="N1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7" s="44">
        <f>IF(tbl_SeqLib[[#This Row],[entry]]=2,ROUNDUP(_xlfn.MINIFS(tbl_SeqLib[Exact],tbl_SeqLib[Column],tbl_SeqLib[[#This Row],[Column]]),1),"")</f>
        <v>6.7</v>
      </c>
      <c r="P17" s="44">
        <f>IF(tbl_SeqLib[[#This Row],[entry]]=2,ROUNDDOWN(_xlfn.MAXIFS(tbl_SeqLib[Exact],tbl_SeqLib[Column],tbl_SeqLib[[#This Row],[Column]]),1),"")</f>
        <v>10</v>
      </c>
      <c r="Q17" s="44">
        <f>IF(tbl_SeqLib[[#This Row],[entry]]=2,ROUNDUP(AVERAGEIFS(tbl_SeqLib[Exact],tbl_SeqLib[Column],tbl_SeqLib[[#This Row],[Column]]),1),"")</f>
        <v>9.4</v>
      </c>
      <c r="R17" s="44" cm="1">
        <f t="array" ref="R17">_xlfn.XLOOKUP(0,ABS(tbl_SeqLib[[#This Row],[Min for col]:[Avg for col]]-tbl_SeqLib[[#This Row],[Exact]]),tbl_SeqLib[[#This Row],[Min for col]:[Avg for col]],"",1)</f>
        <v>10</v>
      </c>
      <c r="S17" s="44" cm="1">
        <f t="array" ref="S17">_xlfn.XLOOKUP(0,ABS(tbl_SeqLib[[#This Row],[Max for col]:[Avg for col]]-tbl_SeqLib[[#This Row],[Exact]]),tbl_SeqLib[[#This Row],[Max for col]:[Avg for col]],"",1)</f>
        <v>10</v>
      </c>
      <c r="T17" s="44">
        <f>IF(tbl_SeqLib[[#This Row],[entry]]=2,tbl_SeqLib[[#This Row],[Max for col]],"")</f>
        <v>10</v>
      </c>
      <c r="U17" s="44">
        <f>IF(tbl_SeqLib[[#This Row],[entry]]=2,tbl_SeqLib[[#This Row],[Avg for col]],"")</f>
        <v>9.4</v>
      </c>
      <c r="V17" s="44">
        <f>IF(tbl_SeqLib[[#This Row],[entry]]=2,AVERAGE(tbl_SeqLib[Exact]),"")</f>
        <v>9.2911764705882351</v>
      </c>
      <c r="W17" s="44">
        <f>IF(tbl_SeqLib[[#This Row],[entry]]=2,MAX(tbl_SeqLib[Exact]),"")</f>
        <v>10</v>
      </c>
      <c r="X17" s="44" cm="1">
        <f t="array" ref="X17">_xlfn.XLOOKUP(0,ABS(tbl_SeqLib[[#This Row],[Avg per plate]:[Max per plate]]-tbl_SeqLib[[#This Row],[Exact]]),tbl_SeqLib[[#This Row],[Avg per plate]:[Max per plate]],,1)</f>
        <v>10</v>
      </c>
      <c r="Y1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>
        <f>IF(tbl_SeqLib[[#This Row],[entry]]=0,"",IF(tbl_SeqLib[[#This Row],[entry]]=1,tbl_SeqLib[[#This Row],[Not quantified]],IF(tbl_SeqLib[[#This Row],[entry]]=2,tbl_SeqLib[[#This Row],[Quantified]])))</f>
        <v>10</v>
      </c>
      <c r="AD17" s="92"/>
      <c r="AE1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7" s="60" t="str">
        <f>IF(ISBLANK(tbl_SeqLib[[#This Row],[sWGA Identifier]]),"",CONCATENATE(exp_id,"_",tbl_SeqLib[[#This Row],[Well]]))</f>
        <v>SLJS035_G2</v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 t="s">
        <v>478</v>
      </c>
      <c r="E18" s="64" t="s">
        <v>479</v>
      </c>
      <c r="F18" s="63" t="s">
        <v>433</v>
      </c>
      <c r="G18" s="65" t="s">
        <v>535</v>
      </c>
      <c r="H18" s="63" t="s">
        <v>536</v>
      </c>
      <c r="I18" s="65">
        <v>14.2</v>
      </c>
      <c r="J18" s="65">
        <v>1</v>
      </c>
      <c r="K18" s="66">
        <f>IF(OR(tbl_SeqLib[[#This Row],[Qubit PCR '[DNA'] (ng/µl)]]="", tbl_SeqLib[[#This Row],[PCR Dilution Factor]]=""),"",SUM(tbl_SeqLib[[#This Row],[Qubit PCR '[DNA'] (ng/µl)]]*tbl_SeqLib[[#This Row],[PCR Dilution Factor]]))</f>
        <v>14.2</v>
      </c>
      <c r="L18" s="67" t="s">
        <v>116</v>
      </c>
      <c r="M18" s="86">
        <f>IF(OR(ISBLANK(tbl_SeqLib[[#This Row],[Sample ID]]),ISBLANK(endrepair_targetmass)),0,IF(LEN(tbl_SeqLib[[#This Row],[PCR '[DNA'] (ng / µl)]])=0,1,2))</f>
        <v>2</v>
      </c>
      <c r="N18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8" s="68">
        <f>IF(tbl_SeqLib[[#This Row],[entry]]=2,ROUNDUP(_xlfn.MINIFS(tbl_SeqLib[Exact],tbl_SeqLib[Column],tbl_SeqLib[[#This Row],[Column]]),1),"")</f>
        <v>6.7</v>
      </c>
      <c r="P18" s="68">
        <f>IF(tbl_SeqLib[[#This Row],[entry]]=2,ROUNDDOWN(_xlfn.MAXIFS(tbl_SeqLib[Exact],tbl_SeqLib[Column],tbl_SeqLib[[#This Row],[Column]]),1),"")</f>
        <v>10</v>
      </c>
      <c r="Q18" s="68">
        <f>IF(tbl_SeqLib[[#This Row],[entry]]=2,ROUNDUP(AVERAGEIFS(tbl_SeqLib[Exact],tbl_SeqLib[Column],tbl_SeqLib[[#This Row],[Column]]),1),"")</f>
        <v>9.4</v>
      </c>
      <c r="R18" s="68" cm="1">
        <f t="array" ref="R18">_xlfn.XLOOKUP(0,ABS(tbl_SeqLib[[#This Row],[Min for col]:[Avg for col]]-tbl_SeqLib[[#This Row],[Exact]]),tbl_SeqLib[[#This Row],[Min for col]:[Avg for col]],"",1)</f>
        <v>10</v>
      </c>
      <c r="S18" s="68" cm="1">
        <f t="array" ref="S18">_xlfn.XLOOKUP(0,ABS(tbl_SeqLib[[#This Row],[Max for col]:[Avg for col]]-tbl_SeqLib[[#This Row],[Exact]]),tbl_SeqLib[[#This Row],[Max for col]:[Avg for col]],"",1)</f>
        <v>10</v>
      </c>
      <c r="T18" s="68">
        <f>IF(tbl_SeqLib[[#This Row],[entry]]=2,tbl_SeqLib[[#This Row],[Max for col]],"")</f>
        <v>10</v>
      </c>
      <c r="U18" s="68">
        <f>IF(tbl_SeqLib[[#This Row],[entry]]=2,tbl_SeqLib[[#This Row],[Avg for col]],"")</f>
        <v>9.4</v>
      </c>
      <c r="V18" s="68">
        <f>IF(tbl_SeqLib[[#This Row],[entry]]=2,AVERAGE(tbl_SeqLib[Exact]),"")</f>
        <v>9.2911764705882351</v>
      </c>
      <c r="W18" s="68">
        <f>IF(tbl_SeqLib[[#This Row],[entry]]=2,MAX(tbl_SeqLib[Exact]),"")</f>
        <v>10</v>
      </c>
      <c r="X18" s="68" cm="1">
        <f t="array" ref="X18">_xlfn.XLOOKUP(0,ABS(tbl_SeqLib[[#This Row],[Avg per plate]:[Max per plate]]-tbl_SeqLib[[#This Row],[Exact]]),tbl_SeqLib[[#This Row],[Avg per plate]:[Max per plate]],,1)</f>
        <v>10</v>
      </c>
      <c r="Y18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>
        <f>IF(tbl_SeqLib[[#This Row],[entry]]=0,"",IF(tbl_SeqLib[[#This Row],[entry]]=1,tbl_SeqLib[[#This Row],[Not quantified]],IF(tbl_SeqLib[[#This Row],[entry]]=2,tbl_SeqLib[[#This Row],[Quantified]])))</f>
        <v>10</v>
      </c>
      <c r="AD18" s="93"/>
      <c r="AE18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8" s="69" t="str">
        <f>IF(ISBLANK(tbl_SeqLib[[#This Row],[sWGA Identifier]]),"",CONCATENATE(exp_id,"_",tbl_SeqLib[[#This Row],[Well]]))</f>
        <v>SLJS035_H2</v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 t="s">
        <v>480</v>
      </c>
      <c r="E19" s="56" t="s">
        <v>481</v>
      </c>
      <c r="F19" s="52" t="s">
        <v>433</v>
      </c>
      <c r="G19" s="52" t="s">
        <v>537</v>
      </c>
      <c r="H19" s="52" t="s">
        <v>538</v>
      </c>
      <c r="I19" s="52">
        <v>21.6</v>
      </c>
      <c r="J19" s="52">
        <v>1</v>
      </c>
      <c r="K19" s="55">
        <f>IF(OR(tbl_SeqLib[[#This Row],[Qubit PCR '[DNA'] (ng/µl)]]="", tbl_SeqLib[[#This Row],[PCR Dilution Factor]]=""),"",SUM(tbl_SeqLib[[#This Row],[Qubit PCR '[DNA'] (ng/µl)]]*tbl_SeqLib[[#This Row],[PCR Dilution Factor]]))</f>
        <v>21.6</v>
      </c>
      <c r="L19" s="56" t="s">
        <v>118</v>
      </c>
      <c r="M19" s="84">
        <f>IF(OR(ISBLANK(tbl_SeqLib[[#This Row],[Sample ID]]),ISBLANK(endrepair_targetmass)),0,IF(LEN(tbl_SeqLib[[#This Row],[PCR '[DNA'] (ng / µl)]])=0,1,2))</f>
        <v>2</v>
      </c>
      <c r="N19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9" s="57">
        <f>IF(tbl_SeqLib[[#This Row],[entry]]=2,ROUNDUP(_xlfn.MINIFS(tbl_SeqLib[Exact],tbl_SeqLib[Column],tbl_SeqLib[[#This Row],[Column]]),1),"")</f>
        <v>5.2</v>
      </c>
      <c r="P19" s="57">
        <f>IF(tbl_SeqLib[[#This Row],[entry]]=2,ROUNDDOWN(_xlfn.MAXIFS(tbl_SeqLib[Exact],tbl_SeqLib[Column],tbl_SeqLib[[#This Row],[Column]]),1),"")</f>
        <v>10</v>
      </c>
      <c r="Q19" s="57">
        <f>IF(tbl_SeqLib[[#This Row],[entry]]=2,ROUNDUP(AVERAGEIFS(tbl_SeqLib[Exact],tbl_SeqLib[Column],tbl_SeqLib[[#This Row],[Column]]),1),"")</f>
        <v>8.7999999999999989</v>
      </c>
      <c r="R19" s="57" cm="1">
        <f t="array" ref="R19">_xlfn.XLOOKUP(0,ABS(tbl_SeqLib[[#This Row],[Min for col]:[Avg for col]]-tbl_SeqLib[[#This Row],[Exact]]),tbl_SeqLib[[#This Row],[Min for col]:[Avg for col]],"",1)</f>
        <v>10</v>
      </c>
      <c r="S19" s="57" cm="1">
        <f t="array" ref="S19">_xlfn.XLOOKUP(0,ABS(tbl_SeqLib[[#This Row],[Max for col]:[Avg for col]]-tbl_SeqLib[[#This Row],[Exact]]),tbl_SeqLib[[#This Row],[Max for col]:[Avg for col]],"",1)</f>
        <v>10</v>
      </c>
      <c r="T19" s="57">
        <f>IF(tbl_SeqLib[[#This Row],[entry]]=2,tbl_SeqLib[[#This Row],[Max for col]],"")</f>
        <v>10</v>
      </c>
      <c r="U19" s="57">
        <f>IF(tbl_SeqLib[[#This Row],[entry]]=2,tbl_SeqLib[[#This Row],[Avg for col]],"")</f>
        <v>8.7999999999999989</v>
      </c>
      <c r="V19" s="57">
        <f>IF(tbl_SeqLib[[#This Row],[entry]]=2,AVERAGE(tbl_SeqLib[Exact]),"")</f>
        <v>9.2911764705882351</v>
      </c>
      <c r="W19" s="57">
        <f>IF(tbl_SeqLib[[#This Row],[entry]]=2,MAX(tbl_SeqLib[Exact]),"")</f>
        <v>10</v>
      </c>
      <c r="X19" s="57" cm="1">
        <f t="array" ref="X19">_xlfn.XLOOKUP(0,ABS(tbl_SeqLib[[#This Row],[Avg per plate]:[Max per plate]]-tbl_SeqLib[[#This Row],[Exact]]),tbl_SeqLib[[#This Row],[Avg per plate]:[Max per plate]],,1)</f>
        <v>10</v>
      </c>
      <c r="Y19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>
        <f>IF(tbl_SeqLib[[#This Row],[entry]]=0,"",IF(tbl_SeqLib[[#This Row],[entry]]=1,tbl_SeqLib[[#This Row],[Not quantified]],IF(tbl_SeqLib[[#This Row],[entry]]=2,tbl_SeqLib[[#This Row],[Quantified]])))</f>
        <v>10</v>
      </c>
      <c r="AD19" s="91"/>
      <c r="AE19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9" s="58" t="str">
        <f>IF(ISBLANK(tbl_SeqLib[[#This Row],[sWGA Identifier]]),"",CONCATENATE(exp_id,"_",tbl_SeqLib[[#This Row],[Well]]))</f>
        <v>SLJS035_A3</v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 t="s">
        <v>482</v>
      </c>
      <c r="E20" s="21" t="s">
        <v>483</v>
      </c>
      <c r="F20" s="19" t="s">
        <v>433</v>
      </c>
      <c r="G20" s="31" t="s">
        <v>539</v>
      </c>
      <c r="H20" s="19" t="s">
        <v>540</v>
      </c>
      <c r="I20" s="31">
        <v>43.8</v>
      </c>
      <c r="J20" s="31">
        <v>1</v>
      </c>
      <c r="K20" s="20">
        <f>IF(OR(tbl_SeqLib[[#This Row],[Qubit PCR '[DNA'] (ng/µl)]]="", tbl_SeqLib[[#This Row],[PCR Dilution Factor]]=""),"",SUM(tbl_SeqLib[[#This Row],[Qubit PCR '[DNA'] (ng/µl)]]*tbl_SeqLib[[#This Row],[PCR Dilution Factor]]))</f>
        <v>43.8</v>
      </c>
      <c r="L20" s="32" t="s">
        <v>120</v>
      </c>
      <c r="M20" s="85">
        <f>IF(OR(ISBLANK(tbl_SeqLib[[#This Row],[Sample ID]]),ISBLANK(endrepair_targetmass)),0,IF(LEN(tbl_SeqLib[[#This Row],[PCR '[DNA'] (ng / µl)]])=0,1,2))</f>
        <v>2</v>
      </c>
      <c r="N20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0" s="44">
        <f>IF(tbl_SeqLib[[#This Row],[entry]]=2,ROUNDUP(_xlfn.MINIFS(tbl_SeqLib[Exact],tbl_SeqLib[Column],tbl_SeqLib[[#This Row],[Column]]),1),"")</f>
        <v>5.2</v>
      </c>
      <c r="P20" s="44">
        <f>IF(tbl_SeqLib[[#This Row],[entry]]=2,ROUNDDOWN(_xlfn.MAXIFS(tbl_SeqLib[Exact],tbl_SeqLib[Column],tbl_SeqLib[[#This Row],[Column]]),1),"")</f>
        <v>10</v>
      </c>
      <c r="Q20" s="44">
        <f>IF(tbl_SeqLib[[#This Row],[entry]]=2,ROUNDUP(AVERAGEIFS(tbl_SeqLib[Exact],tbl_SeqLib[Column],tbl_SeqLib[[#This Row],[Column]]),1),"")</f>
        <v>8.7999999999999989</v>
      </c>
      <c r="R20" s="44" cm="1">
        <f t="array" ref="R20">_xlfn.XLOOKUP(0,ABS(tbl_SeqLib[[#This Row],[Min for col]:[Avg for col]]-tbl_SeqLib[[#This Row],[Exact]]),tbl_SeqLib[[#This Row],[Min for col]:[Avg for col]],"",1)</f>
        <v>10</v>
      </c>
      <c r="S20" s="44" cm="1">
        <f t="array" ref="S20">_xlfn.XLOOKUP(0,ABS(tbl_SeqLib[[#This Row],[Max for col]:[Avg for col]]-tbl_SeqLib[[#This Row],[Exact]]),tbl_SeqLib[[#This Row],[Max for col]:[Avg for col]],"",1)</f>
        <v>10</v>
      </c>
      <c r="T20" s="44">
        <f>IF(tbl_SeqLib[[#This Row],[entry]]=2,tbl_SeqLib[[#This Row],[Max for col]],"")</f>
        <v>10</v>
      </c>
      <c r="U20" s="44">
        <f>IF(tbl_SeqLib[[#This Row],[entry]]=2,tbl_SeqLib[[#This Row],[Avg for col]],"")</f>
        <v>8.7999999999999989</v>
      </c>
      <c r="V20" s="44">
        <f>IF(tbl_SeqLib[[#This Row],[entry]]=2,AVERAGE(tbl_SeqLib[Exact]),"")</f>
        <v>9.2911764705882351</v>
      </c>
      <c r="W20" s="44">
        <f>IF(tbl_SeqLib[[#This Row],[entry]]=2,MAX(tbl_SeqLib[Exact]),"")</f>
        <v>10</v>
      </c>
      <c r="X20" s="44" cm="1">
        <f t="array" ref="X20">_xlfn.XLOOKUP(0,ABS(tbl_SeqLib[[#This Row],[Avg per plate]:[Max per plate]]-tbl_SeqLib[[#This Row],[Exact]]),tbl_SeqLib[[#This Row],[Avg per plate]:[Max per plate]],,1)</f>
        <v>10</v>
      </c>
      <c r="Y2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>
        <f>IF(tbl_SeqLib[[#This Row],[entry]]=0,"",IF(tbl_SeqLib[[#This Row],[entry]]=1,tbl_SeqLib[[#This Row],[Not quantified]],IF(tbl_SeqLib[[#This Row],[entry]]=2,tbl_SeqLib[[#This Row],[Quantified]])))</f>
        <v>10</v>
      </c>
      <c r="AD20" s="92"/>
      <c r="AE2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0" s="60" t="str">
        <f>IF(ISBLANK(tbl_SeqLib[[#This Row],[sWGA Identifier]]),"",CONCATENATE(exp_id,"_",tbl_SeqLib[[#This Row],[Well]]))</f>
        <v>SLJS035_B3</v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 t="s">
        <v>484</v>
      </c>
      <c r="E21" s="21" t="s">
        <v>485</v>
      </c>
      <c r="F21" s="19" t="s">
        <v>433</v>
      </c>
      <c r="G21" s="31" t="s">
        <v>541</v>
      </c>
      <c r="H21" s="19" t="s">
        <v>542</v>
      </c>
      <c r="I21" s="31">
        <v>28.8</v>
      </c>
      <c r="J21" s="31">
        <v>1</v>
      </c>
      <c r="K21" s="20">
        <f>IF(OR(tbl_SeqLib[[#This Row],[Qubit PCR '[DNA'] (ng/µl)]]="", tbl_SeqLib[[#This Row],[PCR Dilution Factor]]=""),"",SUM(tbl_SeqLib[[#This Row],[Qubit PCR '[DNA'] (ng/µl)]]*tbl_SeqLib[[#This Row],[PCR Dilution Factor]]))</f>
        <v>28.8</v>
      </c>
      <c r="L21" s="32" t="s">
        <v>122</v>
      </c>
      <c r="M21" s="85">
        <f>IF(OR(ISBLANK(tbl_SeqLib[[#This Row],[Sample ID]]),ISBLANK(endrepair_targetmass)),0,IF(LEN(tbl_SeqLib[[#This Row],[PCR '[DNA'] (ng / µl)]])=0,1,2))</f>
        <v>2</v>
      </c>
      <c r="N2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1" s="44">
        <f>IF(tbl_SeqLib[[#This Row],[entry]]=2,ROUNDUP(_xlfn.MINIFS(tbl_SeqLib[Exact],tbl_SeqLib[Column],tbl_SeqLib[[#This Row],[Column]]),1),"")</f>
        <v>5.2</v>
      </c>
      <c r="P21" s="44">
        <f>IF(tbl_SeqLib[[#This Row],[entry]]=2,ROUNDDOWN(_xlfn.MAXIFS(tbl_SeqLib[Exact],tbl_SeqLib[Column],tbl_SeqLib[[#This Row],[Column]]),1),"")</f>
        <v>10</v>
      </c>
      <c r="Q21" s="44">
        <f>IF(tbl_SeqLib[[#This Row],[entry]]=2,ROUNDUP(AVERAGEIFS(tbl_SeqLib[Exact],tbl_SeqLib[Column],tbl_SeqLib[[#This Row],[Column]]),1),"")</f>
        <v>8.7999999999999989</v>
      </c>
      <c r="R21" s="44" cm="1">
        <f t="array" ref="R21">_xlfn.XLOOKUP(0,ABS(tbl_SeqLib[[#This Row],[Min for col]:[Avg for col]]-tbl_SeqLib[[#This Row],[Exact]]),tbl_SeqLib[[#This Row],[Min for col]:[Avg for col]],"",1)</f>
        <v>10</v>
      </c>
      <c r="S21" s="44" cm="1">
        <f t="array" ref="S21">_xlfn.XLOOKUP(0,ABS(tbl_SeqLib[[#This Row],[Max for col]:[Avg for col]]-tbl_SeqLib[[#This Row],[Exact]]),tbl_SeqLib[[#This Row],[Max for col]:[Avg for col]],"",1)</f>
        <v>10</v>
      </c>
      <c r="T21" s="44">
        <f>IF(tbl_SeqLib[[#This Row],[entry]]=2,tbl_SeqLib[[#This Row],[Max for col]],"")</f>
        <v>10</v>
      </c>
      <c r="U21" s="44">
        <f>IF(tbl_SeqLib[[#This Row],[entry]]=2,tbl_SeqLib[[#This Row],[Avg for col]],"")</f>
        <v>8.7999999999999989</v>
      </c>
      <c r="V21" s="44">
        <f>IF(tbl_SeqLib[[#This Row],[entry]]=2,AVERAGE(tbl_SeqLib[Exact]),"")</f>
        <v>9.2911764705882351</v>
      </c>
      <c r="W21" s="44">
        <f>IF(tbl_SeqLib[[#This Row],[entry]]=2,MAX(tbl_SeqLib[Exact]),"")</f>
        <v>10</v>
      </c>
      <c r="X21" s="44" cm="1">
        <f t="array" ref="X21">_xlfn.XLOOKUP(0,ABS(tbl_SeqLib[[#This Row],[Avg per plate]:[Max per plate]]-tbl_SeqLib[[#This Row],[Exact]]),tbl_SeqLib[[#This Row],[Avg per plate]:[Max per plate]],,1)</f>
        <v>10</v>
      </c>
      <c r="Y2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>
        <f>IF(tbl_SeqLib[[#This Row],[entry]]=0,"",IF(tbl_SeqLib[[#This Row],[entry]]=1,tbl_SeqLib[[#This Row],[Not quantified]],IF(tbl_SeqLib[[#This Row],[entry]]=2,tbl_SeqLib[[#This Row],[Quantified]])))</f>
        <v>10</v>
      </c>
      <c r="AD21" s="92"/>
      <c r="AE2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1" s="60" t="str">
        <f>IF(ISBLANK(tbl_SeqLib[[#This Row],[sWGA Identifier]]),"",CONCATENATE(exp_id,"_",tbl_SeqLib[[#This Row],[Well]]))</f>
        <v>SLJS035_C3</v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 t="s">
        <v>466</v>
      </c>
      <c r="E22" s="21" t="s">
        <v>467</v>
      </c>
      <c r="F22" s="19" t="s">
        <v>434</v>
      </c>
      <c r="G22" s="31" t="s">
        <v>543</v>
      </c>
      <c r="H22" s="19" t="s">
        <v>544</v>
      </c>
      <c r="I22" s="31">
        <v>145.30000000000001</v>
      </c>
      <c r="J22" s="31">
        <v>1</v>
      </c>
      <c r="K22" s="20">
        <f>IF(OR(tbl_SeqLib[[#This Row],[Qubit PCR '[DNA'] (ng/µl)]]="", tbl_SeqLib[[#This Row],[PCR Dilution Factor]]=""),"",SUM(tbl_SeqLib[[#This Row],[Qubit PCR '[DNA'] (ng/µl)]]*tbl_SeqLib[[#This Row],[PCR Dilution Factor]]))</f>
        <v>145.30000000000001</v>
      </c>
      <c r="L22" s="32" t="s">
        <v>124</v>
      </c>
      <c r="M22" s="85">
        <f>IF(OR(ISBLANK(tbl_SeqLib[[#This Row],[Sample ID]]),ISBLANK(endrepair_targetmass)),0,IF(LEN(tbl_SeqLib[[#This Row],[PCR '[DNA'] (ng / µl)]])=0,1,2))</f>
        <v>2</v>
      </c>
      <c r="N22" s="44">
        <f>IF(tbl_SeqLib[[#This Row],[entry]]&lt;2,"",IF(endrepair_targetmass/tbl_SeqLib[[#This Row],[PCR '[DNA'] (ng / µl)]]&gt;endrepair_maxvol,endrepair_maxvol,ROUNDUP(SUM(endrepair_targetmass/tbl_SeqLib[[#This Row],[PCR '[DNA'] (ng / µl)]]),1)))</f>
        <v>5.6</v>
      </c>
      <c r="O22" s="44">
        <f>IF(tbl_SeqLib[[#This Row],[entry]]=2,ROUNDUP(_xlfn.MINIFS(tbl_SeqLib[Exact],tbl_SeqLib[Column],tbl_SeqLib[[#This Row],[Column]]),1),"")</f>
        <v>5.2</v>
      </c>
      <c r="P22" s="44">
        <f>IF(tbl_SeqLib[[#This Row],[entry]]=2,ROUNDDOWN(_xlfn.MAXIFS(tbl_SeqLib[Exact],tbl_SeqLib[Column],tbl_SeqLib[[#This Row],[Column]]),1),"")</f>
        <v>10</v>
      </c>
      <c r="Q22" s="44">
        <f>IF(tbl_SeqLib[[#This Row],[entry]]=2,ROUNDUP(AVERAGEIFS(tbl_SeqLib[Exact],tbl_SeqLib[Column],tbl_SeqLib[[#This Row],[Column]]),1),"")</f>
        <v>8.7999999999999989</v>
      </c>
      <c r="R22" s="44" cm="1">
        <f t="array" ref="R22">_xlfn.XLOOKUP(0,ABS(tbl_SeqLib[[#This Row],[Min for col]:[Avg for col]]-tbl_SeqLib[[#This Row],[Exact]]),tbl_SeqLib[[#This Row],[Min for col]:[Avg for col]],"",1)</f>
        <v>5.2</v>
      </c>
      <c r="S22" s="44" cm="1">
        <f t="array" ref="S22">_xlfn.XLOOKUP(0,ABS(tbl_SeqLib[[#This Row],[Max for col]:[Avg for col]]-tbl_SeqLib[[#This Row],[Exact]]),tbl_SeqLib[[#This Row],[Max for col]:[Avg for col]],"",1)</f>
        <v>8.7999999999999989</v>
      </c>
      <c r="T22" s="44">
        <f>IF(tbl_SeqLib[[#This Row],[entry]]=2,tbl_SeqLib[[#This Row],[Max for col]],"")</f>
        <v>10</v>
      </c>
      <c r="U22" s="44">
        <f>IF(tbl_SeqLib[[#This Row],[entry]]=2,tbl_SeqLib[[#This Row],[Avg for col]],"")</f>
        <v>8.7999999999999989</v>
      </c>
      <c r="V22" s="44">
        <f>IF(tbl_SeqLib[[#This Row],[entry]]=2,AVERAGE(tbl_SeqLib[Exact]),"")</f>
        <v>9.2911764705882351</v>
      </c>
      <c r="W22" s="44">
        <f>IF(tbl_SeqLib[[#This Row],[entry]]=2,MAX(tbl_SeqLib[Exact]),"")</f>
        <v>10</v>
      </c>
      <c r="X22" s="44" cm="1">
        <f t="array" ref="X22">_xlfn.XLOOKUP(0,ABS(tbl_SeqLib[[#This Row],[Avg per plate]:[Max per plate]]-tbl_SeqLib[[#This Row],[Exact]]),tbl_SeqLib[[#This Row],[Avg per plate]:[Max per plate]],,1)</f>
        <v>9.2911764705882351</v>
      </c>
      <c r="Y2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>
        <f>IF(tbl_SeqLib[[#This Row],[entry]]=0,"",IF(tbl_SeqLib[[#This Row],[entry]]=1,tbl_SeqLib[[#This Row],[Not quantified]],IF(tbl_SeqLib[[#This Row],[entry]]=2,tbl_SeqLib[[#This Row],[Quantified]])))</f>
        <v>10</v>
      </c>
      <c r="AD22" s="92"/>
      <c r="AE2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2" s="60" t="str">
        <f>IF(ISBLANK(tbl_SeqLib[[#This Row],[sWGA Identifier]]),"",CONCATENATE(exp_id,"_",tbl_SeqLib[[#This Row],[Well]]))</f>
        <v>SLJS035_D3</v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 t="s">
        <v>468</v>
      </c>
      <c r="E23" s="21" t="s">
        <v>469</v>
      </c>
      <c r="F23" s="19" t="s">
        <v>434</v>
      </c>
      <c r="G23" s="31" t="s">
        <v>545</v>
      </c>
      <c r="H23" s="19" t="s">
        <v>546</v>
      </c>
      <c r="I23" s="31">
        <v>154.30000000000001</v>
      </c>
      <c r="J23" s="31">
        <v>1</v>
      </c>
      <c r="K23" s="20">
        <f>IF(OR(tbl_SeqLib[[#This Row],[Qubit PCR '[DNA'] (ng/µl)]]="", tbl_SeqLib[[#This Row],[PCR Dilution Factor]]=""),"",SUM(tbl_SeqLib[[#This Row],[Qubit PCR '[DNA'] (ng/µl)]]*tbl_SeqLib[[#This Row],[PCR Dilution Factor]]))</f>
        <v>154.30000000000001</v>
      </c>
      <c r="L23" s="32" t="s">
        <v>126</v>
      </c>
      <c r="M23" s="85">
        <f>IF(OR(ISBLANK(tbl_SeqLib[[#This Row],[Sample ID]]),ISBLANK(endrepair_targetmass)),0,IF(LEN(tbl_SeqLib[[#This Row],[PCR '[DNA'] (ng / µl)]])=0,1,2))</f>
        <v>2</v>
      </c>
      <c r="N23" s="44">
        <f>IF(tbl_SeqLib[[#This Row],[entry]]&lt;2,"",IF(endrepair_targetmass/tbl_SeqLib[[#This Row],[PCR '[DNA'] (ng / µl)]]&gt;endrepair_maxvol,endrepair_maxvol,ROUNDUP(SUM(endrepair_targetmass/tbl_SeqLib[[#This Row],[PCR '[DNA'] (ng / µl)]]),1)))</f>
        <v>5.1999999999999993</v>
      </c>
      <c r="O23" s="44">
        <f>IF(tbl_SeqLib[[#This Row],[entry]]=2,ROUNDUP(_xlfn.MINIFS(tbl_SeqLib[Exact],tbl_SeqLib[Column],tbl_SeqLib[[#This Row],[Column]]),1),"")</f>
        <v>5.2</v>
      </c>
      <c r="P23" s="44">
        <f>IF(tbl_SeqLib[[#This Row],[entry]]=2,ROUNDDOWN(_xlfn.MAXIFS(tbl_SeqLib[Exact],tbl_SeqLib[Column],tbl_SeqLib[[#This Row],[Column]]),1),"")</f>
        <v>10</v>
      </c>
      <c r="Q23" s="44">
        <f>IF(tbl_SeqLib[[#This Row],[entry]]=2,ROUNDUP(AVERAGEIFS(tbl_SeqLib[Exact],tbl_SeqLib[Column],tbl_SeqLib[[#This Row],[Column]]),1),"")</f>
        <v>8.7999999999999989</v>
      </c>
      <c r="R23" s="44" cm="1">
        <f t="array" ref="R23">_xlfn.XLOOKUP(0,ABS(tbl_SeqLib[[#This Row],[Min for col]:[Avg for col]]-tbl_SeqLib[[#This Row],[Exact]]),tbl_SeqLib[[#This Row],[Min for col]:[Avg for col]],"",1)</f>
        <v>5.2</v>
      </c>
      <c r="S23" s="44" cm="1">
        <f t="array" ref="S23">_xlfn.XLOOKUP(0,ABS(tbl_SeqLib[[#This Row],[Max for col]:[Avg for col]]-tbl_SeqLib[[#This Row],[Exact]]),tbl_SeqLib[[#This Row],[Max for col]:[Avg for col]],"",1)</f>
        <v>8.7999999999999989</v>
      </c>
      <c r="T23" s="44">
        <f>IF(tbl_SeqLib[[#This Row],[entry]]=2,tbl_SeqLib[[#This Row],[Max for col]],"")</f>
        <v>10</v>
      </c>
      <c r="U23" s="44">
        <f>IF(tbl_SeqLib[[#This Row],[entry]]=2,tbl_SeqLib[[#This Row],[Avg for col]],"")</f>
        <v>8.7999999999999989</v>
      </c>
      <c r="V23" s="44">
        <f>IF(tbl_SeqLib[[#This Row],[entry]]=2,AVERAGE(tbl_SeqLib[Exact]),"")</f>
        <v>9.2911764705882351</v>
      </c>
      <c r="W23" s="44">
        <f>IF(tbl_SeqLib[[#This Row],[entry]]=2,MAX(tbl_SeqLib[Exact]),"")</f>
        <v>10</v>
      </c>
      <c r="X23" s="44" cm="1">
        <f t="array" ref="X23">_xlfn.XLOOKUP(0,ABS(tbl_SeqLib[[#This Row],[Avg per plate]:[Max per plate]]-tbl_SeqLib[[#This Row],[Exact]]),tbl_SeqLib[[#This Row],[Avg per plate]:[Max per plate]],,1)</f>
        <v>9.2911764705882351</v>
      </c>
      <c r="Y2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>
        <f>IF(tbl_SeqLib[[#This Row],[entry]]=0,"",IF(tbl_SeqLib[[#This Row],[entry]]=1,tbl_SeqLib[[#This Row],[Not quantified]],IF(tbl_SeqLib[[#This Row],[entry]]=2,tbl_SeqLib[[#This Row],[Quantified]])))</f>
        <v>10</v>
      </c>
      <c r="AD23" s="92"/>
      <c r="AE2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3" s="60" t="str">
        <f>IF(ISBLANK(tbl_SeqLib[[#This Row],[sWGA Identifier]]),"",CONCATENATE(exp_id,"_",tbl_SeqLib[[#This Row],[Well]]))</f>
        <v>SLJS035_E3</v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 t="s">
        <v>470</v>
      </c>
      <c r="E24" s="21" t="s">
        <v>486</v>
      </c>
      <c r="F24" s="19" t="s">
        <v>435</v>
      </c>
      <c r="G24" s="31" t="s">
        <v>547</v>
      </c>
      <c r="H24" s="19" t="s">
        <v>548</v>
      </c>
      <c r="I24" s="31">
        <v>8.1999999999999993</v>
      </c>
      <c r="J24" s="31">
        <v>1</v>
      </c>
      <c r="K24" s="20">
        <f>IF(OR(tbl_SeqLib[[#This Row],[Qubit PCR '[DNA'] (ng/µl)]]="", tbl_SeqLib[[#This Row],[PCR Dilution Factor]]=""),"",SUM(tbl_SeqLib[[#This Row],[Qubit PCR '[DNA'] (ng/µl)]]*tbl_SeqLib[[#This Row],[PCR Dilution Factor]]))</f>
        <v>8.1999999999999993</v>
      </c>
      <c r="L24" s="32" t="s">
        <v>128</v>
      </c>
      <c r="M24" s="85">
        <f>IF(OR(ISBLANK(tbl_SeqLib[[#This Row],[Sample ID]]),ISBLANK(endrepair_targetmass)),0,IF(LEN(tbl_SeqLib[[#This Row],[PCR '[DNA'] (ng / µl)]])=0,1,2))</f>
        <v>2</v>
      </c>
      <c r="N2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4" s="44">
        <f>IF(tbl_SeqLib[[#This Row],[entry]]=2,ROUNDUP(_xlfn.MINIFS(tbl_SeqLib[Exact],tbl_SeqLib[Column],tbl_SeqLib[[#This Row],[Column]]),1),"")</f>
        <v>5.2</v>
      </c>
      <c r="P24" s="44">
        <f>IF(tbl_SeqLib[[#This Row],[entry]]=2,ROUNDDOWN(_xlfn.MAXIFS(tbl_SeqLib[Exact],tbl_SeqLib[Column],tbl_SeqLib[[#This Row],[Column]]),1),"")</f>
        <v>10</v>
      </c>
      <c r="Q24" s="44">
        <f>IF(tbl_SeqLib[[#This Row],[entry]]=2,ROUNDUP(AVERAGEIFS(tbl_SeqLib[Exact],tbl_SeqLib[Column],tbl_SeqLib[[#This Row],[Column]]),1),"")</f>
        <v>8.7999999999999989</v>
      </c>
      <c r="R24" s="44" cm="1">
        <f t="array" ref="R24">_xlfn.XLOOKUP(0,ABS(tbl_SeqLib[[#This Row],[Min for col]:[Avg for col]]-tbl_SeqLib[[#This Row],[Exact]]),tbl_SeqLib[[#This Row],[Min for col]:[Avg for col]],"",1)</f>
        <v>10</v>
      </c>
      <c r="S24" s="44" cm="1">
        <f t="array" ref="S24">_xlfn.XLOOKUP(0,ABS(tbl_SeqLib[[#This Row],[Max for col]:[Avg for col]]-tbl_SeqLib[[#This Row],[Exact]]),tbl_SeqLib[[#This Row],[Max for col]:[Avg for col]],"",1)</f>
        <v>10</v>
      </c>
      <c r="T24" s="44">
        <f>IF(tbl_SeqLib[[#This Row],[entry]]=2,tbl_SeqLib[[#This Row],[Max for col]],"")</f>
        <v>10</v>
      </c>
      <c r="U24" s="44">
        <f>IF(tbl_SeqLib[[#This Row],[entry]]=2,tbl_SeqLib[[#This Row],[Avg for col]],"")</f>
        <v>8.7999999999999989</v>
      </c>
      <c r="V24" s="44">
        <f>IF(tbl_SeqLib[[#This Row],[entry]]=2,AVERAGE(tbl_SeqLib[Exact]),"")</f>
        <v>9.2911764705882351</v>
      </c>
      <c r="W24" s="44">
        <f>IF(tbl_SeqLib[[#This Row],[entry]]=2,MAX(tbl_SeqLib[Exact]),"")</f>
        <v>10</v>
      </c>
      <c r="X24" s="44" cm="1">
        <f t="array" ref="X24">_xlfn.XLOOKUP(0,ABS(tbl_SeqLib[[#This Row],[Avg per plate]:[Max per plate]]-tbl_SeqLib[[#This Row],[Exact]]),tbl_SeqLib[[#This Row],[Avg per plate]:[Max per plate]],,1)</f>
        <v>10</v>
      </c>
      <c r="Y2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>
        <f>IF(tbl_SeqLib[[#This Row],[entry]]=0,"",IF(tbl_SeqLib[[#This Row],[entry]]=1,tbl_SeqLib[[#This Row],[Not quantified]],IF(tbl_SeqLib[[#This Row],[entry]]=2,tbl_SeqLib[[#This Row],[Quantified]])))</f>
        <v>10</v>
      </c>
      <c r="AD24" s="92"/>
      <c r="AE2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4" s="60" t="str">
        <f>IF(ISBLANK(tbl_SeqLib[[#This Row],[sWGA Identifier]]),"",CONCATENATE(exp_id,"_",tbl_SeqLib[[#This Row],[Well]]))</f>
        <v>SLJS035_F3</v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 t="s">
        <v>470</v>
      </c>
      <c r="E25" s="21" t="s">
        <v>487</v>
      </c>
      <c r="F25" s="19" t="s">
        <v>435</v>
      </c>
      <c r="G25" s="31" t="s">
        <v>549</v>
      </c>
      <c r="H25" s="19" t="s">
        <v>550</v>
      </c>
      <c r="I25" s="31">
        <v>1.2</v>
      </c>
      <c r="J25" s="31">
        <v>1</v>
      </c>
      <c r="K25" s="20">
        <f>IF(OR(tbl_SeqLib[[#This Row],[Qubit PCR '[DNA'] (ng/µl)]]="", tbl_SeqLib[[#This Row],[PCR Dilution Factor]]=""),"",SUM(tbl_SeqLib[[#This Row],[Qubit PCR '[DNA'] (ng/µl)]]*tbl_SeqLib[[#This Row],[PCR Dilution Factor]]))</f>
        <v>1.2</v>
      </c>
      <c r="L25" s="32" t="s">
        <v>130</v>
      </c>
      <c r="M25" s="85">
        <f>IF(OR(ISBLANK(tbl_SeqLib[[#This Row],[Sample ID]]),ISBLANK(endrepair_targetmass)),0,IF(LEN(tbl_SeqLib[[#This Row],[PCR '[DNA'] (ng / µl)]])=0,1,2))</f>
        <v>2</v>
      </c>
      <c r="N2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5" s="44">
        <f>IF(tbl_SeqLib[[#This Row],[entry]]=2,ROUNDUP(_xlfn.MINIFS(tbl_SeqLib[Exact],tbl_SeqLib[Column],tbl_SeqLib[[#This Row],[Column]]),1),"")</f>
        <v>5.2</v>
      </c>
      <c r="P25" s="44">
        <f>IF(tbl_SeqLib[[#This Row],[entry]]=2,ROUNDDOWN(_xlfn.MAXIFS(tbl_SeqLib[Exact],tbl_SeqLib[Column],tbl_SeqLib[[#This Row],[Column]]),1),"")</f>
        <v>10</v>
      </c>
      <c r="Q25" s="44">
        <f>IF(tbl_SeqLib[[#This Row],[entry]]=2,ROUNDUP(AVERAGEIFS(tbl_SeqLib[Exact],tbl_SeqLib[Column],tbl_SeqLib[[#This Row],[Column]]),1),"")</f>
        <v>8.7999999999999989</v>
      </c>
      <c r="R25" s="44" cm="1">
        <f t="array" ref="R25">_xlfn.XLOOKUP(0,ABS(tbl_SeqLib[[#This Row],[Min for col]:[Avg for col]]-tbl_SeqLib[[#This Row],[Exact]]),tbl_SeqLib[[#This Row],[Min for col]:[Avg for col]],"",1)</f>
        <v>10</v>
      </c>
      <c r="S25" s="44" cm="1">
        <f t="array" ref="S25">_xlfn.XLOOKUP(0,ABS(tbl_SeqLib[[#This Row],[Max for col]:[Avg for col]]-tbl_SeqLib[[#This Row],[Exact]]),tbl_SeqLib[[#This Row],[Max for col]:[Avg for col]],"",1)</f>
        <v>10</v>
      </c>
      <c r="T25" s="44">
        <f>IF(tbl_SeqLib[[#This Row],[entry]]=2,tbl_SeqLib[[#This Row],[Max for col]],"")</f>
        <v>10</v>
      </c>
      <c r="U25" s="44">
        <f>IF(tbl_SeqLib[[#This Row],[entry]]=2,tbl_SeqLib[[#This Row],[Avg for col]],"")</f>
        <v>8.7999999999999989</v>
      </c>
      <c r="V25" s="44">
        <f>IF(tbl_SeqLib[[#This Row],[entry]]=2,AVERAGE(tbl_SeqLib[Exact]),"")</f>
        <v>9.2911764705882351</v>
      </c>
      <c r="W25" s="44">
        <f>IF(tbl_SeqLib[[#This Row],[entry]]=2,MAX(tbl_SeqLib[Exact]),"")</f>
        <v>10</v>
      </c>
      <c r="X25" s="44" cm="1">
        <f t="array" ref="X25">_xlfn.XLOOKUP(0,ABS(tbl_SeqLib[[#This Row],[Avg per plate]:[Max per plate]]-tbl_SeqLib[[#This Row],[Exact]]),tbl_SeqLib[[#This Row],[Avg per plate]:[Max per plate]],,1)</f>
        <v>10</v>
      </c>
      <c r="Y2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>
        <f>IF(tbl_SeqLib[[#This Row],[entry]]=0,"",IF(tbl_SeqLib[[#This Row],[entry]]=1,tbl_SeqLib[[#This Row],[Not quantified]],IF(tbl_SeqLib[[#This Row],[entry]]=2,tbl_SeqLib[[#This Row],[Quantified]])))</f>
        <v>10</v>
      </c>
      <c r="AD25" s="92"/>
      <c r="AE2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5" s="60" t="str">
        <f>IF(ISBLANK(tbl_SeqLib[[#This Row],[sWGA Identifier]]),"",CONCATENATE(exp_id,"_",tbl_SeqLib[[#This Row],[Well]]))</f>
        <v>SLJS035_G3</v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 t="s">
        <v>488</v>
      </c>
      <c r="E26" s="64" t="s">
        <v>489</v>
      </c>
      <c r="F26" s="63" t="s">
        <v>433</v>
      </c>
      <c r="G26" s="65" t="s">
        <v>551</v>
      </c>
      <c r="H26" s="63" t="s">
        <v>552</v>
      </c>
      <c r="I26" s="65">
        <v>85</v>
      </c>
      <c r="J26" s="65">
        <v>1</v>
      </c>
      <c r="K26" s="66">
        <f>IF(OR(tbl_SeqLib[[#This Row],[Qubit PCR '[DNA'] (ng/µl)]]="", tbl_SeqLib[[#This Row],[PCR Dilution Factor]]=""),"",SUM(tbl_SeqLib[[#This Row],[Qubit PCR '[DNA'] (ng/µl)]]*tbl_SeqLib[[#This Row],[PCR Dilution Factor]]))</f>
        <v>85</v>
      </c>
      <c r="L26" s="67" t="s">
        <v>132</v>
      </c>
      <c r="M26" s="86">
        <f>IF(OR(ISBLANK(tbl_SeqLib[[#This Row],[Sample ID]]),ISBLANK(endrepair_targetmass)),0,IF(LEN(tbl_SeqLib[[#This Row],[PCR '[DNA'] (ng / µl)]])=0,1,2))</f>
        <v>2</v>
      </c>
      <c r="N26" s="68">
        <f>IF(tbl_SeqLib[[#This Row],[entry]]&lt;2,"",IF(endrepair_targetmass/tbl_SeqLib[[#This Row],[PCR '[DNA'] (ng / µl)]]&gt;endrepair_maxvol,endrepair_maxvol,ROUNDUP(SUM(endrepair_targetmass/tbl_SeqLib[[#This Row],[PCR '[DNA'] (ng / µl)]]),1)))</f>
        <v>9.5</v>
      </c>
      <c r="O26" s="68">
        <f>IF(tbl_SeqLib[[#This Row],[entry]]=2,ROUNDUP(_xlfn.MINIFS(tbl_SeqLib[Exact],tbl_SeqLib[Column],tbl_SeqLib[[#This Row],[Column]]),1),"")</f>
        <v>5.2</v>
      </c>
      <c r="P26" s="68">
        <f>IF(tbl_SeqLib[[#This Row],[entry]]=2,ROUNDDOWN(_xlfn.MAXIFS(tbl_SeqLib[Exact],tbl_SeqLib[Column],tbl_SeqLib[[#This Row],[Column]]),1),"")</f>
        <v>10</v>
      </c>
      <c r="Q26" s="68">
        <f>IF(tbl_SeqLib[[#This Row],[entry]]=2,ROUNDUP(AVERAGEIFS(tbl_SeqLib[Exact],tbl_SeqLib[Column],tbl_SeqLib[[#This Row],[Column]]),1),"")</f>
        <v>8.7999999999999989</v>
      </c>
      <c r="R26" s="68" cm="1">
        <f t="array" ref="R26">_xlfn.XLOOKUP(0,ABS(tbl_SeqLib[[#This Row],[Min for col]:[Avg for col]]-tbl_SeqLib[[#This Row],[Exact]]),tbl_SeqLib[[#This Row],[Min for col]:[Avg for col]],"",1)</f>
        <v>10</v>
      </c>
      <c r="S26" s="68" cm="1">
        <f t="array" ref="S26">_xlfn.XLOOKUP(0,ABS(tbl_SeqLib[[#This Row],[Max for col]:[Avg for col]]-tbl_SeqLib[[#This Row],[Exact]]),tbl_SeqLib[[#This Row],[Max for col]:[Avg for col]],"",1)</f>
        <v>10</v>
      </c>
      <c r="T26" s="68">
        <f>IF(tbl_SeqLib[[#This Row],[entry]]=2,tbl_SeqLib[[#This Row],[Max for col]],"")</f>
        <v>10</v>
      </c>
      <c r="U26" s="68">
        <f>IF(tbl_SeqLib[[#This Row],[entry]]=2,tbl_SeqLib[[#This Row],[Avg for col]],"")</f>
        <v>8.7999999999999989</v>
      </c>
      <c r="V26" s="68">
        <f>IF(tbl_SeqLib[[#This Row],[entry]]=2,AVERAGE(tbl_SeqLib[Exact]),"")</f>
        <v>9.2911764705882351</v>
      </c>
      <c r="W26" s="68">
        <f>IF(tbl_SeqLib[[#This Row],[entry]]=2,MAX(tbl_SeqLib[Exact]),"")</f>
        <v>10</v>
      </c>
      <c r="X26" s="68" cm="1">
        <f t="array" ref="X26">_xlfn.XLOOKUP(0,ABS(tbl_SeqLib[[#This Row],[Avg per plate]:[Max per plate]]-tbl_SeqLib[[#This Row],[Exact]]),tbl_SeqLib[[#This Row],[Avg per plate]:[Max per plate]],,1)</f>
        <v>9.2911764705882351</v>
      </c>
      <c r="Y26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>
        <f>IF(tbl_SeqLib[[#This Row],[entry]]=0,"",IF(tbl_SeqLib[[#This Row],[entry]]=1,tbl_SeqLib[[#This Row],[Not quantified]],IF(tbl_SeqLib[[#This Row],[entry]]=2,tbl_SeqLib[[#This Row],[Quantified]])))</f>
        <v>10</v>
      </c>
      <c r="AD26" s="93"/>
      <c r="AE26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6" s="69" t="str">
        <f>IF(ISBLANK(tbl_SeqLib[[#This Row],[sWGA Identifier]]),"",CONCATENATE(exp_id,"_",tbl_SeqLib[[#This Row],[Well]]))</f>
        <v>SLJS035_H3</v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 t="s">
        <v>490</v>
      </c>
      <c r="E27" s="56" t="s">
        <v>491</v>
      </c>
      <c r="F27" s="52" t="s">
        <v>433</v>
      </c>
      <c r="G27" s="52" t="s">
        <v>551</v>
      </c>
      <c r="H27" s="52" t="s">
        <v>553</v>
      </c>
      <c r="I27" s="52">
        <v>36</v>
      </c>
      <c r="J27" s="52">
        <v>1</v>
      </c>
      <c r="K27" s="55">
        <f>IF(OR(tbl_SeqLib[[#This Row],[Qubit PCR '[DNA'] (ng/µl)]]="", tbl_SeqLib[[#This Row],[PCR Dilution Factor]]=""),"",SUM(tbl_SeqLib[[#This Row],[Qubit PCR '[DNA'] (ng/µl)]]*tbl_SeqLib[[#This Row],[PCR Dilution Factor]]))</f>
        <v>36</v>
      </c>
      <c r="L27" s="56" t="s">
        <v>134</v>
      </c>
      <c r="M27" s="84">
        <f>IF(OR(ISBLANK(tbl_SeqLib[[#This Row],[Sample ID]]),ISBLANK(endrepair_targetmass)),0,IF(LEN(tbl_SeqLib[[#This Row],[PCR '[DNA'] (ng / µl)]])=0,1,2))</f>
        <v>2</v>
      </c>
      <c r="N27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7" s="57">
        <f>IF(tbl_SeqLib[[#This Row],[entry]]=2,ROUNDUP(_xlfn.MINIFS(tbl_SeqLib[Exact],tbl_SeqLib[Column],tbl_SeqLib[[#This Row],[Column]]),1),"")</f>
        <v>7.5</v>
      </c>
      <c r="P27" s="57">
        <f>IF(tbl_SeqLib[[#This Row],[entry]]=2,ROUNDDOWN(_xlfn.MAXIFS(tbl_SeqLib[Exact],tbl_SeqLib[Column],tbl_SeqLib[[#This Row],[Column]]),1),"")</f>
        <v>10</v>
      </c>
      <c r="Q27" s="57">
        <f>IF(tbl_SeqLib[[#This Row],[entry]]=2,ROUNDUP(AVERAGEIFS(tbl_SeqLib[Exact],tbl_SeqLib[Column],tbl_SeqLib[[#This Row],[Column]]),1),"")</f>
        <v>9.1999999999999993</v>
      </c>
      <c r="R27" s="57" cm="1">
        <f t="array" ref="R27">_xlfn.XLOOKUP(0,ABS(tbl_SeqLib[[#This Row],[Min for col]:[Avg for col]]-tbl_SeqLib[[#This Row],[Exact]]),tbl_SeqLib[[#This Row],[Min for col]:[Avg for col]],"",1)</f>
        <v>10</v>
      </c>
      <c r="S27" s="57" cm="1">
        <f t="array" ref="S27">_xlfn.XLOOKUP(0,ABS(tbl_SeqLib[[#This Row],[Max for col]:[Avg for col]]-tbl_SeqLib[[#This Row],[Exact]]),tbl_SeqLib[[#This Row],[Max for col]:[Avg for col]],"",1)</f>
        <v>10</v>
      </c>
      <c r="T27" s="57">
        <f>IF(tbl_SeqLib[[#This Row],[entry]]=2,tbl_SeqLib[[#This Row],[Max for col]],"")</f>
        <v>10</v>
      </c>
      <c r="U27" s="57">
        <f>IF(tbl_SeqLib[[#This Row],[entry]]=2,tbl_SeqLib[[#This Row],[Avg for col]],"")</f>
        <v>9.1999999999999993</v>
      </c>
      <c r="V27" s="57">
        <f>IF(tbl_SeqLib[[#This Row],[entry]]=2,AVERAGE(tbl_SeqLib[Exact]),"")</f>
        <v>9.2911764705882351</v>
      </c>
      <c r="W27" s="57">
        <f>IF(tbl_SeqLib[[#This Row],[entry]]=2,MAX(tbl_SeqLib[Exact]),"")</f>
        <v>10</v>
      </c>
      <c r="X27" s="57" cm="1">
        <f t="array" ref="X27">_xlfn.XLOOKUP(0,ABS(tbl_SeqLib[[#This Row],[Avg per plate]:[Max per plate]]-tbl_SeqLib[[#This Row],[Exact]]),tbl_SeqLib[[#This Row],[Avg per plate]:[Max per plate]],,1)</f>
        <v>10</v>
      </c>
      <c r="Y27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>
        <f>IF(tbl_SeqLib[[#This Row],[entry]]=0,"",IF(tbl_SeqLib[[#This Row],[entry]]=1,tbl_SeqLib[[#This Row],[Not quantified]],IF(tbl_SeqLib[[#This Row],[entry]]=2,tbl_SeqLib[[#This Row],[Quantified]])))</f>
        <v>10</v>
      </c>
      <c r="AD27" s="91"/>
      <c r="AE27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7" s="58" t="str">
        <f>IF(ISBLANK(tbl_SeqLib[[#This Row],[sWGA Identifier]]),"",CONCATENATE(exp_id,"_",tbl_SeqLib[[#This Row],[Well]]))</f>
        <v>SLJS035_A4</v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 t="s">
        <v>492</v>
      </c>
      <c r="E28" s="21" t="s">
        <v>493</v>
      </c>
      <c r="F28" s="19" t="s">
        <v>433</v>
      </c>
      <c r="G28" s="31" t="s">
        <v>551</v>
      </c>
      <c r="H28" s="19" t="s">
        <v>554</v>
      </c>
      <c r="I28" s="31">
        <v>54</v>
      </c>
      <c r="J28" s="31">
        <v>1</v>
      </c>
      <c r="K28" s="20">
        <f>IF(OR(tbl_SeqLib[[#This Row],[Qubit PCR '[DNA'] (ng/µl)]]="", tbl_SeqLib[[#This Row],[PCR Dilution Factor]]=""),"",SUM(tbl_SeqLib[[#This Row],[Qubit PCR '[DNA'] (ng/µl)]]*tbl_SeqLib[[#This Row],[PCR Dilution Factor]]))</f>
        <v>54</v>
      </c>
      <c r="L28" s="32" t="s">
        <v>136</v>
      </c>
      <c r="M28" s="85">
        <f>IF(OR(ISBLANK(tbl_SeqLib[[#This Row],[Sample ID]]),ISBLANK(endrepair_targetmass)),0,IF(LEN(tbl_SeqLib[[#This Row],[PCR '[DNA'] (ng / µl)]])=0,1,2))</f>
        <v>2</v>
      </c>
      <c r="N2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8" s="44">
        <f>IF(tbl_SeqLib[[#This Row],[entry]]=2,ROUNDUP(_xlfn.MINIFS(tbl_SeqLib[Exact],tbl_SeqLib[Column],tbl_SeqLib[[#This Row],[Column]]),1),"")</f>
        <v>7.5</v>
      </c>
      <c r="P28" s="44">
        <f>IF(tbl_SeqLib[[#This Row],[entry]]=2,ROUNDDOWN(_xlfn.MAXIFS(tbl_SeqLib[Exact],tbl_SeqLib[Column],tbl_SeqLib[[#This Row],[Column]]),1),"")</f>
        <v>10</v>
      </c>
      <c r="Q28" s="44">
        <f>IF(tbl_SeqLib[[#This Row],[entry]]=2,ROUNDUP(AVERAGEIFS(tbl_SeqLib[Exact],tbl_SeqLib[Column],tbl_SeqLib[[#This Row],[Column]]),1),"")</f>
        <v>9.1999999999999993</v>
      </c>
      <c r="R28" s="44" cm="1">
        <f t="array" ref="R28">_xlfn.XLOOKUP(0,ABS(tbl_SeqLib[[#This Row],[Min for col]:[Avg for col]]-tbl_SeqLib[[#This Row],[Exact]]),tbl_SeqLib[[#This Row],[Min for col]:[Avg for col]],"",1)</f>
        <v>10</v>
      </c>
      <c r="S28" s="44" cm="1">
        <f t="array" ref="S28">_xlfn.XLOOKUP(0,ABS(tbl_SeqLib[[#This Row],[Max for col]:[Avg for col]]-tbl_SeqLib[[#This Row],[Exact]]),tbl_SeqLib[[#This Row],[Max for col]:[Avg for col]],"",1)</f>
        <v>10</v>
      </c>
      <c r="T28" s="44">
        <f>IF(tbl_SeqLib[[#This Row],[entry]]=2,tbl_SeqLib[[#This Row],[Max for col]],"")</f>
        <v>10</v>
      </c>
      <c r="U28" s="44">
        <f>IF(tbl_SeqLib[[#This Row],[entry]]=2,tbl_SeqLib[[#This Row],[Avg for col]],"")</f>
        <v>9.1999999999999993</v>
      </c>
      <c r="V28" s="44">
        <f>IF(tbl_SeqLib[[#This Row],[entry]]=2,AVERAGE(tbl_SeqLib[Exact]),"")</f>
        <v>9.2911764705882351</v>
      </c>
      <c r="W28" s="44">
        <f>IF(tbl_SeqLib[[#This Row],[entry]]=2,MAX(tbl_SeqLib[Exact]),"")</f>
        <v>10</v>
      </c>
      <c r="X28" s="44" cm="1">
        <f t="array" ref="X28">_xlfn.XLOOKUP(0,ABS(tbl_SeqLib[[#This Row],[Avg per plate]:[Max per plate]]-tbl_SeqLib[[#This Row],[Exact]]),tbl_SeqLib[[#This Row],[Avg per plate]:[Max per plate]],,1)</f>
        <v>10</v>
      </c>
      <c r="Y2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>
        <f>IF(tbl_SeqLib[[#This Row],[entry]]=0,"",IF(tbl_SeqLib[[#This Row],[entry]]=1,tbl_SeqLib[[#This Row],[Not quantified]],IF(tbl_SeqLib[[#This Row],[entry]]=2,tbl_SeqLib[[#This Row],[Quantified]])))</f>
        <v>10</v>
      </c>
      <c r="AD28" s="92"/>
      <c r="AE2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8" s="60" t="str">
        <f>IF(ISBLANK(tbl_SeqLib[[#This Row],[sWGA Identifier]]),"",CONCATENATE(exp_id,"_",tbl_SeqLib[[#This Row],[Well]]))</f>
        <v>SLJS035_B4</v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 t="s">
        <v>494</v>
      </c>
      <c r="E29" s="21" t="s">
        <v>495</v>
      </c>
      <c r="F29" s="19" t="s">
        <v>433</v>
      </c>
      <c r="G29" s="31" t="s">
        <v>551</v>
      </c>
      <c r="H29" s="19" t="s">
        <v>555</v>
      </c>
      <c r="I29" s="31">
        <v>99</v>
      </c>
      <c r="J29" s="31">
        <v>1</v>
      </c>
      <c r="K29" s="20">
        <f>IF(OR(tbl_SeqLib[[#This Row],[Qubit PCR '[DNA'] (ng/µl)]]="", tbl_SeqLib[[#This Row],[PCR Dilution Factor]]=""),"",SUM(tbl_SeqLib[[#This Row],[Qubit PCR '[DNA'] (ng/µl)]]*tbl_SeqLib[[#This Row],[PCR Dilution Factor]]))</f>
        <v>99</v>
      </c>
      <c r="L29" s="32" t="s">
        <v>138</v>
      </c>
      <c r="M29" s="85">
        <f>IF(OR(ISBLANK(tbl_SeqLib[[#This Row],[Sample ID]]),ISBLANK(endrepair_targetmass)),0,IF(LEN(tbl_SeqLib[[#This Row],[PCR '[DNA'] (ng / µl)]])=0,1,2))</f>
        <v>2</v>
      </c>
      <c r="N29" s="44">
        <f>IF(tbl_SeqLib[[#This Row],[entry]]&lt;2,"",IF(endrepair_targetmass/tbl_SeqLib[[#This Row],[PCR '[DNA'] (ng / µl)]]&gt;endrepair_maxvol,endrepair_maxvol,ROUNDUP(SUM(endrepair_targetmass/tbl_SeqLib[[#This Row],[PCR '[DNA'] (ng / µl)]]),1)))</f>
        <v>8.1</v>
      </c>
      <c r="O29" s="44">
        <f>IF(tbl_SeqLib[[#This Row],[entry]]=2,ROUNDUP(_xlfn.MINIFS(tbl_SeqLib[Exact],tbl_SeqLib[Column],tbl_SeqLib[[#This Row],[Column]]),1),"")</f>
        <v>7.5</v>
      </c>
      <c r="P29" s="44">
        <f>IF(tbl_SeqLib[[#This Row],[entry]]=2,ROUNDDOWN(_xlfn.MAXIFS(tbl_SeqLib[Exact],tbl_SeqLib[Column],tbl_SeqLib[[#This Row],[Column]]),1),"")</f>
        <v>10</v>
      </c>
      <c r="Q29" s="44">
        <f>IF(tbl_SeqLib[[#This Row],[entry]]=2,ROUNDUP(AVERAGEIFS(tbl_SeqLib[Exact],tbl_SeqLib[Column],tbl_SeqLib[[#This Row],[Column]]),1),"")</f>
        <v>9.1999999999999993</v>
      </c>
      <c r="R29" s="44" cm="1">
        <f t="array" ref="R29">_xlfn.XLOOKUP(0,ABS(tbl_SeqLib[[#This Row],[Min for col]:[Avg for col]]-tbl_SeqLib[[#This Row],[Exact]]),tbl_SeqLib[[#This Row],[Min for col]:[Avg for col]],"",1)</f>
        <v>7.5</v>
      </c>
      <c r="S29" s="44" cm="1">
        <f t="array" ref="S29">_xlfn.XLOOKUP(0,ABS(tbl_SeqLib[[#This Row],[Max for col]:[Avg for col]]-tbl_SeqLib[[#This Row],[Exact]]),tbl_SeqLib[[#This Row],[Max for col]:[Avg for col]],"",1)</f>
        <v>9.1999999999999993</v>
      </c>
      <c r="T29" s="44">
        <f>IF(tbl_SeqLib[[#This Row],[entry]]=2,tbl_SeqLib[[#This Row],[Max for col]],"")</f>
        <v>10</v>
      </c>
      <c r="U29" s="44">
        <f>IF(tbl_SeqLib[[#This Row],[entry]]=2,tbl_SeqLib[[#This Row],[Avg for col]],"")</f>
        <v>9.1999999999999993</v>
      </c>
      <c r="V29" s="44">
        <f>IF(tbl_SeqLib[[#This Row],[entry]]=2,AVERAGE(tbl_SeqLib[Exact]),"")</f>
        <v>9.2911764705882351</v>
      </c>
      <c r="W29" s="44">
        <f>IF(tbl_SeqLib[[#This Row],[entry]]=2,MAX(tbl_SeqLib[Exact]),"")</f>
        <v>10</v>
      </c>
      <c r="X29" s="44" cm="1">
        <f t="array" ref="X29">_xlfn.XLOOKUP(0,ABS(tbl_SeqLib[[#This Row],[Avg per plate]:[Max per plate]]-tbl_SeqLib[[#This Row],[Exact]]),tbl_SeqLib[[#This Row],[Avg per plate]:[Max per plate]],,1)</f>
        <v>9.2911764705882351</v>
      </c>
      <c r="Y2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>
        <f>IF(tbl_SeqLib[[#This Row],[entry]]=0,"",IF(tbl_SeqLib[[#This Row],[entry]]=1,tbl_SeqLib[[#This Row],[Not quantified]],IF(tbl_SeqLib[[#This Row],[entry]]=2,tbl_SeqLib[[#This Row],[Quantified]])))</f>
        <v>10</v>
      </c>
      <c r="AD29" s="92"/>
      <c r="AE2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9" s="60" t="str">
        <f>IF(ISBLANK(tbl_SeqLib[[#This Row],[sWGA Identifier]]),"",CONCATENATE(exp_id,"_",tbl_SeqLib[[#This Row],[Well]]))</f>
        <v>SLJS035_C4</v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 t="s">
        <v>496</v>
      </c>
      <c r="E30" s="21" t="s">
        <v>497</v>
      </c>
      <c r="F30" s="19" t="s">
        <v>433</v>
      </c>
      <c r="G30" s="31" t="s">
        <v>551</v>
      </c>
      <c r="H30" s="19" t="s">
        <v>556</v>
      </c>
      <c r="I30" s="31">
        <v>107.4</v>
      </c>
      <c r="J30" s="31">
        <v>1</v>
      </c>
      <c r="K30" s="20">
        <f>IF(OR(tbl_SeqLib[[#This Row],[Qubit PCR '[DNA'] (ng/µl)]]="", tbl_SeqLib[[#This Row],[PCR Dilution Factor]]=""),"",SUM(tbl_SeqLib[[#This Row],[Qubit PCR '[DNA'] (ng/µl)]]*tbl_SeqLib[[#This Row],[PCR Dilution Factor]]))</f>
        <v>107.4</v>
      </c>
      <c r="L30" s="32" t="s">
        <v>140</v>
      </c>
      <c r="M30" s="85">
        <f>IF(OR(ISBLANK(tbl_SeqLib[[#This Row],[Sample ID]]),ISBLANK(endrepair_targetmass)),0,IF(LEN(tbl_SeqLib[[#This Row],[PCR '[DNA'] (ng / µl)]])=0,1,2))</f>
        <v>2</v>
      </c>
      <c r="N30" s="44">
        <f>IF(tbl_SeqLib[[#This Row],[entry]]&lt;2,"",IF(endrepair_targetmass/tbl_SeqLib[[#This Row],[PCR '[DNA'] (ng / µl)]]&gt;endrepair_maxvol,endrepair_maxvol,ROUNDUP(SUM(endrepair_targetmass/tbl_SeqLib[[#This Row],[PCR '[DNA'] (ng / µl)]]),1)))</f>
        <v>7.5</v>
      </c>
      <c r="O30" s="44">
        <f>IF(tbl_SeqLib[[#This Row],[entry]]=2,ROUNDUP(_xlfn.MINIFS(tbl_SeqLib[Exact],tbl_SeqLib[Column],tbl_SeqLib[[#This Row],[Column]]),1),"")</f>
        <v>7.5</v>
      </c>
      <c r="P30" s="44">
        <f>IF(tbl_SeqLib[[#This Row],[entry]]=2,ROUNDDOWN(_xlfn.MAXIFS(tbl_SeqLib[Exact],tbl_SeqLib[Column],tbl_SeqLib[[#This Row],[Column]]),1),"")</f>
        <v>10</v>
      </c>
      <c r="Q30" s="44">
        <f>IF(tbl_SeqLib[[#This Row],[entry]]=2,ROUNDUP(AVERAGEIFS(tbl_SeqLib[Exact],tbl_SeqLib[Column],tbl_SeqLib[[#This Row],[Column]]),1),"")</f>
        <v>9.1999999999999993</v>
      </c>
      <c r="R30" s="44" cm="1">
        <f t="array" ref="R30">_xlfn.XLOOKUP(0,ABS(tbl_SeqLib[[#This Row],[Min for col]:[Avg for col]]-tbl_SeqLib[[#This Row],[Exact]]),tbl_SeqLib[[#This Row],[Min for col]:[Avg for col]],"",1)</f>
        <v>7.5</v>
      </c>
      <c r="S30" s="44" cm="1">
        <f t="array" ref="S30">_xlfn.XLOOKUP(0,ABS(tbl_SeqLib[[#This Row],[Max for col]:[Avg for col]]-tbl_SeqLib[[#This Row],[Exact]]),tbl_SeqLib[[#This Row],[Max for col]:[Avg for col]],"",1)</f>
        <v>9.1999999999999993</v>
      </c>
      <c r="T30" s="44">
        <f>IF(tbl_SeqLib[[#This Row],[entry]]=2,tbl_SeqLib[[#This Row],[Max for col]],"")</f>
        <v>10</v>
      </c>
      <c r="U30" s="44">
        <f>IF(tbl_SeqLib[[#This Row],[entry]]=2,tbl_SeqLib[[#This Row],[Avg for col]],"")</f>
        <v>9.1999999999999993</v>
      </c>
      <c r="V30" s="44">
        <f>IF(tbl_SeqLib[[#This Row],[entry]]=2,AVERAGE(tbl_SeqLib[Exact]),"")</f>
        <v>9.2911764705882351</v>
      </c>
      <c r="W30" s="44">
        <f>IF(tbl_SeqLib[[#This Row],[entry]]=2,MAX(tbl_SeqLib[Exact]),"")</f>
        <v>10</v>
      </c>
      <c r="X30" s="44" cm="1">
        <f t="array" ref="X30">_xlfn.XLOOKUP(0,ABS(tbl_SeqLib[[#This Row],[Avg per plate]:[Max per plate]]-tbl_SeqLib[[#This Row],[Exact]]),tbl_SeqLib[[#This Row],[Avg per plate]:[Max per plate]],,1)</f>
        <v>9.2911764705882351</v>
      </c>
      <c r="Y3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>
        <f>IF(tbl_SeqLib[[#This Row],[entry]]=0,"",IF(tbl_SeqLib[[#This Row],[entry]]=1,tbl_SeqLib[[#This Row],[Not quantified]],IF(tbl_SeqLib[[#This Row],[entry]]=2,tbl_SeqLib[[#This Row],[Quantified]])))</f>
        <v>10</v>
      </c>
      <c r="AD30" s="92"/>
      <c r="AE3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0" s="60" t="str">
        <f>IF(ISBLANK(tbl_SeqLib[[#This Row],[sWGA Identifier]]),"",CONCATENATE(exp_id,"_",tbl_SeqLib[[#This Row],[Well]]))</f>
        <v>SLJS035_D4</v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 t="s">
        <v>498</v>
      </c>
      <c r="E31" s="21" t="s">
        <v>499</v>
      </c>
      <c r="F31" s="19" t="s">
        <v>433</v>
      </c>
      <c r="G31" s="31" t="s">
        <v>551</v>
      </c>
      <c r="H31" s="19" t="s">
        <v>557</v>
      </c>
      <c r="I31" s="31">
        <v>65.2</v>
      </c>
      <c r="J31" s="31">
        <v>1</v>
      </c>
      <c r="K31" s="20">
        <f>IF(OR(tbl_SeqLib[[#This Row],[Qubit PCR '[DNA'] (ng/µl)]]="", tbl_SeqLib[[#This Row],[PCR Dilution Factor]]=""),"",SUM(tbl_SeqLib[[#This Row],[Qubit PCR '[DNA'] (ng/µl)]]*tbl_SeqLib[[#This Row],[PCR Dilution Factor]]))</f>
        <v>65.2</v>
      </c>
      <c r="L31" s="32" t="s">
        <v>142</v>
      </c>
      <c r="M31" s="85">
        <f>IF(OR(ISBLANK(tbl_SeqLib[[#This Row],[Sample ID]]),ISBLANK(endrepair_targetmass)),0,IF(LEN(tbl_SeqLib[[#This Row],[PCR '[DNA'] (ng / µl)]])=0,1,2))</f>
        <v>2</v>
      </c>
      <c r="N3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1" s="44">
        <f>IF(tbl_SeqLib[[#This Row],[entry]]=2,ROUNDUP(_xlfn.MINIFS(tbl_SeqLib[Exact],tbl_SeqLib[Column],tbl_SeqLib[[#This Row],[Column]]),1),"")</f>
        <v>7.5</v>
      </c>
      <c r="P31" s="44">
        <f>IF(tbl_SeqLib[[#This Row],[entry]]=2,ROUNDDOWN(_xlfn.MAXIFS(tbl_SeqLib[Exact],tbl_SeqLib[Column],tbl_SeqLib[[#This Row],[Column]]),1),"")</f>
        <v>10</v>
      </c>
      <c r="Q31" s="44">
        <f>IF(tbl_SeqLib[[#This Row],[entry]]=2,ROUNDUP(AVERAGEIFS(tbl_SeqLib[Exact],tbl_SeqLib[Column],tbl_SeqLib[[#This Row],[Column]]),1),"")</f>
        <v>9.1999999999999993</v>
      </c>
      <c r="R31" s="44" cm="1">
        <f t="array" ref="R31">_xlfn.XLOOKUP(0,ABS(tbl_SeqLib[[#This Row],[Min for col]:[Avg for col]]-tbl_SeqLib[[#This Row],[Exact]]),tbl_SeqLib[[#This Row],[Min for col]:[Avg for col]],"",1)</f>
        <v>10</v>
      </c>
      <c r="S31" s="44" cm="1">
        <f t="array" ref="S31">_xlfn.XLOOKUP(0,ABS(tbl_SeqLib[[#This Row],[Max for col]:[Avg for col]]-tbl_SeqLib[[#This Row],[Exact]]),tbl_SeqLib[[#This Row],[Max for col]:[Avg for col]],"",1)</f>
        <v>10</v>
      </c>
      <c r="T31" s="44">
        <f>IF(tbl_SeqLib[[#This Row],[entry]]=2,tbl_SeqLib[[#This Row],[Max for col]],"")</f>
        <v>10</v>
      </c>
      <c r="U31" s="44">
        <f>IF(tbl_SeqLib[[#This Row],[entry]]=2,tbl_SeqLib[[#This Row],[Avg for col]],"")</f>
        <v>9.1999999999999993</v>
      </c>
      <c r="V31" s="44">
        <f>IF(tbl_SeqLib[[#This Row],[entry]]=2,AVERAGE(tbl_SeqLib[Exact]),"")</f>
        <v>9.2911764705882351</v>
      </c>
      <c r="W31" s="44">
        <f>IF(tbl_SeqLib[[#This Row],[entry]]=2,MAX(tbl_SeqLib[Exact]),"")</f>
        <v>10</v>
      </c>
      <c r="X31" s="44" cm="1">
        <f t="array" ref="X31">_xlfn.XLOOKUP(0,ABS(tbl_SeqLib[[#This Row],[Avg per plate]:[Max per plate]]-tbl_SeqLib[[#This Row],[Exact]]),tbl_SeqLib[[#This Row],[Avg per plate]:[Max per plate]],,1)</f>
        <v>10</v>
      </c>
      <c r="Y3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>
        <f>IF(tbl_SeqLib[[#This Row],[entry]]=0,"",IF(tbl_SeqLib[[#This Row],[entry]]=1,tbl_SeqLib[[#This Row],[Not quantified]],IF(tbl_SeqLib[[#This Row],[entry]]=2,tbl_SeqLib[[#This Row],[Quantified]])))</f>
        <v>10</v>
      </c>
      <c r="AD31" s="92"/>
      <c r="AE3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1" s="60" t="str">
        <f>IF(ISBLANK(tbl_SeqLib[[#This Row],[sWGA Identifier]]),"",CONCATENATE(exp_id,"_",tbl_SeqLib[[#This Row],[Well]]))</f>
        <v>SLJS035_E4</v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 t="s">
        <v>500</v>
      </c>
      <c r="E32" s="21" t="s">
        <v>501</v>
      </c>
      <c r="F32" s="19" t="s">
        <v>433</v>
      </c>
      <c r="G32" s="31" t="s">
        <v>551</v>
      </c>
      <c r="H32" s="19" t="s">
        <v>558</v>
      </c>
      <c r="I32" s="31">
        <v>105</v>
      </c>
      <c r="J32" s="31">
        <v>1</v>
      </c>
      <c r="K32" s="20">
        <f>IF(OR(tbl_SeqLib[[#This Row],[Qubit PCR '[DNA'] (ng/µl)]]="", tbl_SeqLib[[#This Row],[PCR Dilution Factor]]=""),"",SUM(tbl_SeqLib[[#This Row],[Qubit PCR '[DNA'] (ng/µl)]]*tbl_SeqLib[[#This Row],[PCR Dilution Factor]]))</f>
        <v>105</v>
      </c>
      <c r="L32" s="32" t="s">
        <v>144</v>
      </c>
      <c r="M32" s="85">
        <f>IF(OR(ISBLANK(tbl_SeqLib[[#This Row],[Sample ID]]),ISBLANK(endrepair_targetmass)),0,IF(LEN(tbl_SeqLib[[#This Row],[PCR '[DNA'] (ng / µl)]])=0,1,2))</f>
        <v>2</v>
      </c>
      <c r="N32" s="44">
        <f>IF(tbl_SeqLib[[#This Row],[entry]]&lt;2,"",IF(endrepair_targetmass/tbl_SeqLib[[#This Row],[PCR '[DNA'] (ng / µl)]]&gt;endrepair_maxvol,endrepair_maxvol,ROUNDUP(SUM(endrepair_targetmass/tbl_SeqLib[[#This Row],[PCR '[DNA'] (ng / µl)]]),1)))</f>
        <v>7.6999999999999993</v>
      </c>
      <c r="O32" s="44">
        <f>IF(tbl_SeqLib[[#This Row],[entry]]=2,ROUNDUP(_xlfn.MINIFS(tbl_SeqLib[Exact],tbl_SeqLib[Column],tbl_SeqLib[[#This Row],[Column]]),1),"")</f>
        <v>7.5</v>
      </c>
      <c r="P32" s="44">
        <f>IF(tbl_SeqLib[[#This Row],[entry]]=2,ROUNDDOWN(_xlfn.MAXIFS(tbl_SeqLib[Exact],tbl_SeqLib[Column],tbl_SeqLib[[#This Row],[Column]]),1),"")</f>
        <v>10</v>
      </c>
      <c r="Q32" s="44">
        <f>IF(tbl_SeqLib[[#This Row],[entry]]=2,ROUNDUP(AVERAGEIFS(tbl_SeqLib[Exact],tbl_SeqLib[Column],tbl_SeqLib[[#This Row],[Column]]),1),"")</f>
        <v>9.1999999999999993</v>
      </c>
      <c r="R32" s="44" cm="1">
        <f t="array" ref="R32">_xlfn.XLOOKUP(0,ABS(tbl_SeqLib[[#This Row],[Min for col]:[Avg for col]]-tbl_SeqLib[[#This Row],[Exact]]),tbl_SeqLib[[#This Row],[Min for col]:[Avg for col]],"",1)</f>
        <v>7.5</v>
      </c>
      <c r="S32" s="44" cm="1">
        <f t="array" ref="S32">_xlfn.XLOOKUP(0,ABS(tbl_SeqLib[[#This Row],[Max for col]:[Avg for col]]-tbl_SeqLib[[#This Row],[Exact]]),tbl_SeqLib[[#This Row],[Max for col]:[Avg for col]],"",1)</f>
        <v>9.1999999999999993</v>
      </c>
      <c r="T32" s="44">
        <f>IF(tbl_SeqLib[[#This Row],[entry]]=2,tbl_SeqLib[[#This Row],[Max for col]],"")</f>
        <v>10</v>
      </c>
      <c r="U32" s="44">
        <f>IF(tbl_SeqLib[[#This Row],[entry]]=2,tbl_SeqLib[[#This Row],[Avg for col]],"")</f>
        <v>9.1999999999999993</v>
      </c>
      <c r="V32" s="44">
        <f>IF(tbl_SeqLib[[#This Row],[entry]]=2,AVERAGE(tbl_SeqLib[Exact]),"")</f>
        <v>9.2911764705882351</v>
      </c>
      <c r="W32" s="44">
        <f>IF(tbl_SeqLib[[#This Row],[entry]]=2,MAX(tbl_SeqLib[Exact]),"")</f>
        <v>10</v>
      </c>
      <c r="X32" s="44" cm="1">
        <f t="array" ref="X32">_xlfn.XLOOKUP(0,ABS(tbl_SeqLib[[#This Row],[Avg per plate]:[Max per plate]]-tbl_SeqLib[[#This Row],[Exact]]),tbl_SeqLib[[#This Row],[Avg per plate]:[Max per plate]],,1)</f>
        <v>9.2911764705882351</v>
      </c>
      <c r="Y3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>
        <f>IF(tbl_SeqLib[[#This Row],[entry]]=0,"",IF(tbl_SeqLib[[#This Row],[entry]]=1,tbl_SeqLib[[#This Row],[Not quantified]],IF(tbl_SeqLib[[#This Row],[entry]]=2,tbl_SeqLib[[#This Row],[Quantified]])))</f>
        <v>10</v>
      </c>
      <c r="AD32" s="92"/>
      <c r="AE3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2" s="60" t="str">
        <f>IF(ISBLANK(tbl_SeqLib[[#This Row],[sWGA Identifier]]),"",CONCATENATE(exp_id,"_",tbl_SeqLib[[#This Row],[Well]]))</f>
        <v>SLJS035_F4</v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 t="s">
        <v>502</v>
      </c>
      <c r="E33" s="21" t="s">
        <v>503</v>
      </c>
      <c r="F33" s="19" t="s">
        <v>433</v>
      </c>
      <c r="G33" s="31" t="s">
        <v>551</v>
      </c>
      <c r="H33" s="19" t="s">
        <v>559</v>
      </c>
      <c r="I33" s="31">
        <v>24.3</v>
      </c>
      <c r="J33" s="31">
        <v>1</v>
      </c>
      <c r="K33" s="20">
        <f>IF(OR(tbl_SeqLib[[#This Row],[Qubit PCR '[DNA'] (ng/µl)]]="", tbl_SeqLib[[#This Row],[PCR Dilution Factor]]=""),"",SUM(tbl_SeqLib[[#This Row],[Qubit PCR '[DNA'] (ng/µl)]]*tbl_SeqLib[[#This Row],[PCR Dilution Factor]]))</f>
        <v>24.3</v>
      </c>
      <c r="L33" s="32" t="s">
        <v>146</v>
      </c>
      <c r="M33" s="85">
        <f>IF(OR(ISBLANK(tbl_SeqLib[[#This Row],[Sample ID]]),ISBLANK(endrepair_targetmass)),0,IF(LEN(tbl_SeqLib[[#This Row],[PCR '[DNA'] (ng / µl)]])=0,1,2))</f>
        <v>2</v>
      </c>
      <c r="N33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3" s="44">
        <f>IF(tbl_SeqLib[[#This Row],[entry]]=2,ROUNDUP(_xlfn.MINIFS(tbl_SeqLib[Exact],tbl_SeqLib[Column],tbl_SeqLib[[#This Row],[Column]]),1),"")</f>
        <v>7.5</v>
      </c>
      <c r="P33" s="44">
        <f>IF(tbl_SeqLib[[#This Row],[entry]]=2,ROUNDDOWN(_xlfn.MAXIFS(tbl_SeqLib[Exact],tbl_SeqLib[Column],tbl_SeqLib[[#This Row],[Column]]),1),"")</f>
        <v>10</v>
      </c>
      <c r="Q33" s="44">
        <f>IF(tbl_SeqLib[[#This Row],[entry]]=2,ROUNDUP(AVERAGEIFS(tbl_SeqLib[Exact],tbl_SeqLib[Column],tbl_SeqLib[[#This Row],[Column]]),1),"")</f>
        <v>9.1999999999999993</v>
      </c>
      <c r="R33" s="44" cm="1">
        <f t="array" ref="R33">_xlfn.XLOOKUP(0,ABS(tbl_SeqLib[[#This Row],[Min for col]:[Avg for col]]-tbl_SeqLib[[#This Row],[Exact]]),tbl_SeqLib[[#This Row],[Min for col]:[Avg for col]],"",1)</f>
        <v>10</v>
      </c>
      <c r="S33" s="44" cm="1">
        <f t="array" ref="S33">_xlfn.XLOOKUP(0,ABS(tbl_SeqLib[[#This Row],[Max for col]:[Avg for col]]-tbl_SeqLib[[#This Row],[Exact]]),tbl_SeqLib[[#This Row],[Max for col]:[Avg for col]],"",1)</f>
        <v>10</v>
      </c>
      <c r="T33" s="44">
        <f>IF(tbl_SeqLib[[#This Row],[entry]]=2,tbl_SeqLib[[#This Row],[Max for col]],"")</f>
        <v>10</v>
      </c>
      <c r="U33" s="44">
        <f>IF(tbl_SeqLib[[#This Row],[entry]]=2,tbl_SeqLib[[#This Row],[Avg for col]],"")</f>
        <v>9.1999999999999993</v>
      </c>
      <c r="V33" s="44">
        <f>IF(tbl_SeqLib[[#This Row],[entry]]=2,AVERAGE(tbl_SeqLib[Exact]),"")</f>
        <v>9.2911764705882351</v>
      </c>
      <c r="W33" s="44">
        <f>IF(tbl_SeqLib[[#This Row],[entry]]=2,MAX(tbl_SeqLib[Exact]),"")</f>
        <v>10</v>
      </c>
      <c r="X33" s="44" cm="1">
        <f t="array" ref="X33">_xlfn.XLOOKUP(0,ABS(tbl_SeqLib[[#This Row],[Avg per plate]:[Max per plate]]-tbl_SeqLib[[#This Row],[Exact]]),tbl_SeqLib[[#This Row],[Avg per plate]:[Max per plate]],,1)</f>
        <v>10</v>
      </c>
      <c r="Y3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>
        <f>IF(tbl_SeqLib[[#This Row],[entry]]=0,"",IF(tbl_SeqLib[[#This Row],[entry]]=1,tbl_SeqLib[[#This Row],[Not quantified]],IF(tbl_SeqLib[[#This Row],[entry]]=2,tbl_SeqLib[[#This Row],[Quantified]])))</f>
        <v>10</v>
      </c>
      <c r="AD33" s="92"/>
      <c r="AE3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3" s="60" t="str">
        <f>IF(ISBLANK(tbl_SeqLib[[#This Row],[sWGA Identifier]]),"",CONCATENATE(exp_id,"_",tbl_SeqLib[[#This Row],[Well]]))</f>
        <v>SLJS035_G4</v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 t="s">
        <v>466</v>
      </c>
      <c r="E34" s="64" t="s">
        <v>467</v>
      </c>
      <c r="F34" s="63" t="s">
        <v>434</v>
      </c>
      <c r="G34" s="65" t="s">
        <v>551</v>
      </c>
      <c r="H34" s="63" t="s">
        <v>560</v>
      </c>
      <c r="I34" s="65">
        <v>38.200000000000003</v>
      </c>
      <c r="J34" s="65">
        <v>1</v>
      </c>
      <c r="K34" s="66">
        <f>IF(OR(tbl_SeqLib[[#This Row],[Qubit PCR '[DNA'] (ng/µl)]]="", tbl_SeqLib[[#This Row],[PCR Dilution Factor]]=""),"",SUM(tbl_SeqLib[[#This Row],[Qubit PCR '[DNA'] (ng/µl)]]*tbl_SeqLib[[#This Row],[PCR Dilution Factor]]))</f>
        <v>38.200000000000003</v>
      </c>
      <c r="L34" s="67" t="s">
        <v>148</v>
      </c>
      <c r="M34" s="86">
        <f>IF(OR(ISBLANK(tbl_SeqLib[[#This Row],[Sample ID]]),ISBLANK(endrepair_targetmass)),0,IF(LEN(tbl_SeqLib[[#This Row],[PCR '[DNA'] (ng / µl)]])=0,1,2))</f>
        <v>2</v>
      </c>
      <c r="N34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4" s="68">
        <f>IF(tbl_SeqLib[[#This Row],[entry]]=2,ROUNDUP(_xlfn.MINIFS(tbl_SeqLib[Exact],tbl_SeqLib[Column],tbl_SeqLib[[#This Row],[Column]]),1),"")</f>
        <v>7.5</v>
      </c>
      <c r="P34" s="68">
        <f>IF(tbl_SeqLib[[#This Row],[entry]]=2,ROUNDDOWN(_xlfn.MAXIFS(tbl_SeqLib[Exact],tbl_SeqLib[Column],tbl_SeqLib[[#This Row],[Column]]),1),"")</f>
        <v>10</v>
      </c>
      <c r="Q34" s="68">
        <f>IF(tbl_SeqLib[[#This Row],[entry]]=2,ROUNDUP(AVERAGEIFS(tbl_SeqLib[Exact],tbl_SeqLib[Column],tbl_SeqLib[[#This Row],[Column]]),1),"")</f>
        <v>9.1999999999999993</v>
      </c>
      <c r="R34" s="68" cm="1">
        <f t="array" ref="R34">_xlfn.XLOOKUP(0,ABS(tbl_SeqLib[[#This Row],[Min for col]:[Avg for col]]-tbl_SeqLib[[#This Row],[Exact]]),tbl_SeqLib[[#This Row],[Min for col]:[Avg for col]],"",1)</f>
        <v>10</v>
      </c>
      <c r="S34" s="68" cm="1">
        <f t="array" ref="S34">_xlfn.XLOOKUP(0,ABS(tbl_SeqLib[[#This Row],[Max for col]:[Avg for col]]-tbl_SeqLib[[#This Row],[Exact]]),tbl_SeqLib[[#This Row],[Max for col]:[Avg for col]],"",1)</f>
        <v>10</v>
      </c>
      <c r="T34" s="68">
        <f>IF(tbl_SeqLib[[#This Row],[entry]]=2,tbl_SeqLib[[#This Row],[Max for col]],"")</f>
        <v>10</v>
      </c>
      <c r="U34" s="68">
        <f>IF(tbl_SeqLib[[#This Row],[entry]]=2,tbl_SeqLib[[#This Row],[Avg for col]],"")</f>
        <v>9.1999999999999993</v>
      </c>
      <c r="V34" s="68">
        <f>IF(tbl_SeqLib[[#This Row],[entry]]=2,AVERAGE(tbl_SeqLib[Exact]),"")</f>
        <v>9.2911764705882351</v>
      </c>
      <c r="W34" s="68">
        <f>IF(tbl_SeqLib[[#This Row],[entry]]=2,MAX(tbl_SeqLib[Exact]),"")</f>
        <v>10</v>
      </c>
      <c r="X34" s="68" cm="1">
        <f t="array" ref="X34">_xlfn.XLOOKUP(0,ABS(tbl_SeqLib[[#This Row],[Avg per plate]:[Max per plate]]-tbl_SeqLib[[#This Row],[Exact]]),tbl_SeqLib[[#This Row],[Avg per plate]:[Max per plate]],,1)</f>
        <v>10</v>
      </c>
      <c r="Y34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>
        <f>IF(tbl_SeqLib[[#This Row],[entry]]=0,"",IF(tbl_SeqLib[[#This Row],[entry]]=1,tbl_SeqLib[[#This Row],[Not quantified]],IF(tbl_SeqLib[[#This Row],[entry]]=2,tbl_SeqLib[[#This Row],[Quantified]])))</f>
        <v>10</v>
      </c>
      <c r="AD34" s="93"/>
      <c r="AE34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4" s="69" t="str">
        <f>IF(ISBLANK(tbl_SeqLib[[#This Row],[sWGA Identifier]]),"",CONCATENATE(exp_id,"_",tbl_SeqLib[[#This Row],[Well]]))</f>
        <v>SLJS035_H4</v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 t="s">
        <v>468</v>
      </c>
      <c r="E35" s="56" t="s">
        <v>469</v>
      </c>
      <c r="F35" s="52" t="s">
        <v>434</v>
      </c>
      <c r="G35" s="52" t="s">
        <v>551</v>
      </c>
      <c r="H35" s="52" t="s">
        <v>561</v>
      </c>
      <c r="I35" s="52">
        <v>112.9</v>
      </c>
      <c r="J35" s="52">
        <v>1</v>
      </c>
      <c r="K35" s="55">
        <f>IF(OR(tbl_SeqLib[[#This Row],[Qubit PCR '[DNA'] (ng/µl)]]="", tbl_SeqLib[[#This Row],[PCR Dilution Factor]]=""),"",SUM(tbl_SeqLib[[#This Row],[Qubit PCR '[DNA'] (ng/µl)]]*tbl_SeqLib[[#This Row],[PCR Dilution Factor]]))</f>
        <v>112.9</v>
      </c>
      <c r="L35" s="56" t="s">
        <v>150</v>
      </c>
      <c r="M35" s="84">
        <f>IF(OR(ISBLANK(tbl_SeqLib[[#This Row],[Sample ID]]),ISBLANK(endrepair_targetmass)),0,IF(LEN(tbl_SeqLib[[#This Row],[PCR '[DNA'] (ng / µl)]])=0,1,2))</f>
        <v>2</v>
      </c>
      <c r="N35" s="57">
        <f>IF(tbl_SeqLib[[#This Row],[entry]]&lt;2,"",IF(endrepair_targetmass/tbl_SeqLib[[#This Row],[PCR '[DNA'] (ng / µl)]]&gt;endrepair_maxvol,endrepair_maxvol,ROUNDUP(SUM(endrepair_targetmass/tbl_SeqLib[[#This Row],[PCR '[DNA'] (ng / µl)]]),1)))</f>
        <v>7.1</v>
      </c>
      <c r="O35" s="57">
        <f>IF(tbl_SeqLib[[#This Row],[entry]]=2,ROUNDUP(_xlfn.MINIFS(tbl_SeqLib[Exact],tbl_SeqLib[Column],tbl_SeqLib[[#This Row],[Column]]),1),"")</f>
        <v>7.1</v>
      </c>
      <c r="P35" s="57">
        <f>IF(tbl_SeqLib[[#This Row],[entry]]=2,ROUNDDOWN(_xlfn.MAXIFS(tbl_SeqLib[Exact],tbl_SeqLib[Column],tbl_SeqLib[[#This Row],[Column]]),1),"")</f>
        <v>10</v>
      </c>
      <c r="Q35" s="57">
        <f>IF(tbl_SeqLib[[#This Row],[entry]]=2,ROUNDUP(AVERAGEIFS(tbl_SeqLib[Exact],tbl_SeqLib[Column],tbl_SeqLib[[#This Row],[Column]]),1),"")</f>
        <v>8.6</v>
      </c>
      <c r="R35" s="57" cm="1">
        <f t="array" ref="R35">_xlfn.XLOOKUP(0,ABS(tbl_SeqLib[[#This Row],[Min for col]:[Avg for col]]-tbl_SeqLib[[#This Row],[Exact]]),tbl_SeqLib[[#This Row],[Min for col]:[Avg for col]],"",1)</f>
        <v>7.1</v>
      </c>
      <c r="S35" s="57" cm="1">
        <f t="array" ref="S35">_xlfn.XLOOKUP(0,ABS(tbl_SeqLib[[#This Row],[Max for col]:[Avg for col]]-tbl_SeqLib[[#This Row],[Exact]]),tbl_SeqLib[[#This Row],[Max for col]:[Avg for col]],"",1)</f>
        <v>8.6</v>
      </c>
      <c r="T35" s="57">
        <f>IF(tbl_SeqLib[[#This Row],[entry]]=2,tbl_SeqLib[[#This Row],[Max for col]],"")</f>
        <v>10</v>
      </c>
      <c r="U35" s="57">
        <f>IF(tbl_SeqLib[[#This Row],[entry]]=2,tbl_SeqLib[[#This Row],[Avg for col]],"")</f>
        <v>8.6</v>
      </c>
      <c r="V35" s="57">
        <f>IF(tbl_SeqLib[[#This Row],[entry]]=2,AVERAGE(tbl_SeqLib[Exact]),"")</f>
        <v>9.2911764705882351</v>
      </c>
      <c r="W35" s="57">
        <f>IF(tbl_SeqLib[[#This Row],[entry]]=2,MAX(tbl_SeqLib[Exact]),"")</f>
        <v>10</v>
      </c>
      <c r="X35" s="57" cm="1">
        <f t="array" ref="X35">_xlfn.XLOOKUP(0,ABS(tbl_SeqLib[[#This Row],[Avg per plate]:[Max per plate]]-tbl_SeqLib[[#This Row],[Exact]]),tbl_SeqLib[[#This Row],[Avg per plate]:[Max per plate]],,1)</f>
        <v>9.2911764705882351</v>
      </c>
      <c r="Y35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>
        <f>IF(tbl_SeqLib[[#This Row],[entry]]=0,"",IF(tbl_SeqLib[[#This Row],[entry]]=1,tbl_SeqLib[[#This Row],[Not quantified]],IF(tbl_SeqLib[[#This Row],[entry]]=2,tbl_SeqLib[[#This Row],[Quantified]])))</f>
        <v>10</v>
      </c>
      <c r="AD35" s="91"/>
      <c r="AE35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5" s="58" t="str">
        <f>IF(ISBLANK(tbl_SeqLib[[#This Row],[sWGA Identifier]]),"",CONCATENATE(exp_id,"_",tbl_SeqLib[[#This Row],[Well]]))</f>
        <v>SLJS035_A5</v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 t="s">
        <v>470</v>
      </c>
      <c r="E36" s="21" t="s">
        <v>504</v>
      </c>
      <c r="F36" s="19" t="s">
        <v>435</v>
      </c>
      <c r="G36" s="31" t="s">
        <v>551</v>
      </c>
      <c r="H36" s="19" t="s">
        <v>562</v>
      </c>
      <c r="I36" s="31">
        <v>2.6</v>
      </c>
      <c r="J36" s="31">
        <v>1</v>
      </c>
      <c r="K36" s="20">
        <f>IF(OR(tbl_SeqLib[[#This Row],[Qubit PCR '[DNA'] (ng/µl)]]="", tbl_SeqLib[[#This Row],[PCR Dilution Factor]]=""),"",SUM(tbl_SeqLib[[#This Row],[Qubit PCR '[DNA'] (ng/µl)]]*tbl_SeqLib[[#This Row],[PCR Dilution Factor]]))</f>
        <v>2.6</v>
      </c>
      <c r="L36" s="32" t="s">
        <v>152</v>
      </c>
      <c r="M36" s="85">
        <f>IF(OR(ISBLANK(tbl_SeqLib[[#This Row],[Sample ID]]),ISBLANK(endrepair_targetmass)),0,IF(LEN(tbl_SeqLib[[#This Row],[PCR '[DNA'] (ng / µl)]])=0,1,2))</f>
        <v>2</v>
      </c>
      <c r="N3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6" s="44">
        <f>IF(tbl_SeqLib[[#This Row],[entry]]=2,ROUNDUP(_xlfn.MINIFS(tbl_SeqLib[Exact],tbl_SeqLib[Column],tbl_SeqLib[[#This Row],[Column]]),1),"")</f>
        <v>7.1</v>
      </c>
      <c r="P36" s="44">
        <f>IF(tbl_SeqLib[[#This Row],[entry]]=2,ROUNDDOWN(_xlfn.MAXIFS(tbl_SeqLib[Exact],tbl_SeqLib[Column],tbl_SeqLib[[#This Row],[Column]]),1),"")</f>
        <v>10</v>
      </c>
      <c r="Q36" s="44">
        <f>IF(tbl_SeqLib[[#This Row],[entry]]=2,ROUNDUP(AVERAGEIFS(tbl_SeqLib[Exact],tbl_SeqLib[Column],tbl_SeqLib[[#This Row],[Column]]),1),"")</f>
        <v>8.6</v>
      </c>
      <c r="R36" s="44" cm="1">
        <f t="array" ref="R36">_xlfn.XLOOKUP(0,ABS(tbl_SeqLib[[#This Row],[Min for col]:[Avg for col]]-tbl_SeqLib[[#This Row],[Exact]]),tbl_SeqLib[[#This Row],[Min for col]:[Avg for col]],"",1)</f>
        <v>10</v>
      </c>
      <c r="S36" s="44" cm="1">
        <f t="array" ref="S36">_xlfn.XLOOKUP(0,ABS(tbl_SeqLib[[#This Row],[Max for col]:[Avg for col]]-tbl_SeqLib[[#This Row],[Exact]]),tbl_SeqLib[[#This Row],[Max for col]:[Avg for col]],"",1)</f>
        <v>10</v>
      </c>
      <c r="T36" s="44">
        <f>IF(tbl_SeqLib[[#This Row],[entry]]=2,tbl_SeqLib[[#This Row],[Max for col]],"")</f>
        <v>10</v>
      </c>
      <c r="U36" s="44">
        <f>IF(tbl_SeqLib[[#This Row],[entry]]=2,tbl_SeqLib[[#This Row],[Avg for col]],"")</f>
        <v>8.6</v>
      </c>
      <c r="V36" s="44">
        <f>IF(tbl_SeqLib[[#This Row],[entry]]=2,AVERAGE(tbl_SeqLib[Exact]),"")</f>
        <v>9.2911764705882351</v>
      </c>
      <c r="W36" s="44">
        <f>IF(tbl_SeqLib[[#This Row],[entry]]=2,MAX(tbl_SeqLib[Exact]),"")</f>
        <v>10</v>
      </c>
      <c r="X36" s="44" cm="1">
        <f t="array" ref="X36">_xlfn.XLOOKUP(0,ABS(tbl_SeqLib[[#This Row],[Avg per plate]:[Max per plate]]-tbl_SeqLib[[#This Row],[Exact]]),tbl_SeqLib[[#This Row],[Avg per plate]:[Max per plate]],,1)</f>
        <v>10</v>
      </c>
      <c r="Y3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>
        <f>IF(tbl_SeqLib[[#This Row],[entry]]=0,"",IF(tbl_SeqLib[[#This Row],[entry]]=1,tbl_SeqLib[[#This Row],[Not quantified]],IF(tbl_SeqLib[[#This Row],[entry]]=2,tbl_SeqLib[[#This Row],[Quantified]])))</f>
        <v>10</v>
      </c>
      <c r="AD36" s="92"/>
      <c r="AE3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6" s="60" t="str">
        <f>IF(ISBLANK(tbl_SeqLib[[#This Row],[sWGA Identifier]]),"",CONCATENATE(exp_id,"_",tbl_SeqLib[[#This Row],[Well]]))</f>
        <v>SLJS035_B5</v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zoomScale="160" zoomScaleNormal="160" workbookViewId="0">
      <selection activeCell="K4" sqref="K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95" t="s">
        <v>436</v>
      </c>
      <c r="I3" s="95" t="s">
        <v>437</v>
      </c>
      <c r="K3" s="35" t="s">
        <v>442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95" t="s">
        <v>438</v>
      </c>
      <c r="I4" s="95" t="s">
        <v>439</v>
      </c>
      <c r="K4" s="35"/>
    </row>
    <row r="5" spans="1:16" x14ac:dyDescent="0.25">
      <c r="A5" s="15" t="s">
        <v>298</v>
      </c>
      <c r="B5" s="47">
        <v>12</v>
      </c>
      <c r="C5" t="s">
        <v>293</v>
      </c>
      <c r="H5" s="95" t="s">
        <v>440</v>
      </c>
      <c r="I5" s="95" t="s">
        <v>441</v>
      </c>
      <c r="K5" s="35"/>
    </row>
    <row r="6" spans="1:16" ht="16.5" thickBot="1" x14ac:dyDescent="0.3">
      <c r="A6" s="15" t="s">
        <v>364</v>
      </c>
      <c r="B6" s="48" t="s">
        <v>411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389</v>
      </c>
      <c r="B7" s="48" t="s">
        <v>390</v>
      </c>
      <c r="C7" t="s">
        <v>395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8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432</v>
      </c>
      <c r="E14" t="s">
        <v>359</v>
      </c>
      <c r="H14" s="82" t="s">
        <v>302</v>
      </c>
    </row>
    <row r="15" spans="1:16" x14ac:dyDescent="0.25"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411</v>
      </c>
      <c r="F24" t="s">
        <v>376</v>
      </c>
      <c r="H24" s="15"/>
    </row>
    <row r="25" spans="5:9" x14ac:dyDescent="0.25">
      <c r="E25" t="s">
        <v>412</v>
      </c>
      <c r="F25" t="s">
        <v>407</v>
      </c>
      <c r="H25" s="15"/>
    </row>
    <row r="26" spans="5:9" x14ac:dyDescent="0.25">
      <c r="E26" t="s">
        <v>366</v>
      </c>
      <c r="F26" t="s">
        <v>405</v>
      </c>
      <c r="I26" s="15"/>
    </row>
    <row r="27" spans="5:9" x14ac:dyDescent="0.25">
      <c r="E27" t="s">
        <v>367</v>
      </c>
      <c r="F27" t="s">
        <v>406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390</v>
      </c>
      <c r="F34" t="s">
        <v>392</v>
      </c>
    </row>
    <row r="35" spans="5:6" x14ac:dyDescent="0.25">
      <c r="E35" t="s">
        <v>391</v>
      </c>
      <c r="F35" t="s">
        <v>393</v>
      </c>
    </row>
    <row r="37" spans="5:6" ht="16.5" thickBot="1" x14ac:dyDescent="0.3">
      <c r="E37" s="83" t="s">
        <v>427</v>
      </c>
      <c r="F37" s="80" t="s">
        <v>425</v>
      </c>
    </row>
    <row r="38" spans="5:6" x14ac:dyDescent="0.25">
      <c r="E38" s="47">
        <v>700</v>
      </c>
      <c r="F38" t="s">
        <v>424</v>
      </c>
    </row>
    <row r="39" spans="5:6" x14ac:dyDescent="0.25">
      <c r="E39" s="47">
        <v>200</v>
      </c>
      <c r="F39" t="s">
        <v>428</v>
      </c>
    </row>
    <row r="41" spans="5:6" ht="16.5" thickBot="1" x14ac:dyDescent="0.3">
      <c r="E41" s="83" t="s">
        <v>426</v>
      </c>
      <c r="F41" s="80" t="s">
        <v>425</v>
      </c>
    </row>
    <row r="42" spans="5:6" x14ac:dyDescent="0.25">
      <c r="E42" s="47">
        <v>35</v>
      </c>
      <c r="F42" t="s">
        <v>424</v>
      </c>
    </row>
    <row r="43" spans="5:6" x14ac:dyDescent="0.25">
      <c r="E43" s="47">
        <v>70</v>
      </c>
      <c r="F43" t="s">
        <v>429</v>
      </c>
    </row>
    <row r="45" spans="5:6" ht="16.5" thickBot="1" x14ac:dyDescent="0.3">
      <c r="E45" s="94" t="s">
        <v>431</v>
      </c>
    </row>
    <row r="46" spans="5:6" x14ac:dyDescent="0.25">
      <c r="E46" t="s">
        <v>433</v>
      </c>
    </row>
    <row r="47" spans="5:6" x14ac:dyDescent="0.25">
      <c r="E47" t="s">
        <v>434</v>
      </c>
    </row>
    <row r="48" spans="5:6" x14ac:dyDescent="0.25">
      <c r="E48" t="s">
        <v>435</v>
      </c>
    </row>
  </sheetData>
  <sheetProtection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385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>SLJS035</v>
      </c>
      <c r="B2" t="str">
        <f>IF(LEN(exp_date)=0,"",exp_date)</f>
        <v>2024-01-20</v>
      </c>
      <c r="C2" t="str">
        <f>IF(LEN(exp_user)=0,"",exp_user)</f>
        <v>John Smith</v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>Repeat of SLJS035</v>
      </c>
      <c r="G2" t="str">
        <f>IF(LEN(exp_summary)=0,"",exp_summary)</f>
        <v>NOMADS_BatchBC</v>
      </c>
      <c r="H2">
        <f>IF(LEN(exp_rxns)=0,"",exp_rxns)</f>
        <v>34</v>
      </c>
      <c r="I2">
        <f>IF(LEN(endrepair_targetmass)=0,"",endrepair_targetmass)</f>
        <v>800</v>
      </c>
      <c r="J2">
        <f>IF(LEN(endrepair_maxvol)=0,"",endrepair_maxvol)</f>
        <v>10</v>
      </c>
      <c r="K2">
        <f>IF(DNAconc_pooled=0,"",DNAconc_pooled)</f>
        <v>86</v>
      </c>
      <c r="L2">
        <f>IF(adaptlig_targetmass=0,"",adaptlig_targetmass)</f>
        <v>1500</v>
      </c>
      <c r="M2">
        <f>IF(adaptlig_dna_maxvol=0,"",adaptlig_dna_maxvol)</f>
        <v>30</v>
      </c>
      <c r="N2" t="str">
        <f>IF(LEN(library_washbuffer)&gt;0,library_washbuffer,"")</f>
        <v/>
      </c>
      <c r="O2">
        <f>IF(DNAconc_library=0,"",DNAconc_library)</f>
        <v>75</v>
      </c>
      <c r="P2" t="str">
        <f>IF(LEN(seq_platform)=0,"",seq_platform)</f>
        <v>Mk1b</v>
      </c>
      <c r="Q2">
        <f>IF(LEN(flowcell_targetmass)=0,"",flowcell_targetmass)</f>
        <v>500</v>
      </c>
      <c r="R2">
        <f>IF(LEN(flowcell_maxvol)=0,"",flowcell_maxvol)</f>
        <v>12</v>
      </c>
      <c r="S2" t="str">
        <f>IF(LEN(flowcell_id)=0,"",flowcell_id)</f>
        <v>FAO54655</v>
      </c>
      <c r="T2" t="str">
        <f>IF(LEN(flowcell_chemisty)=0,"",flowcell_chemisty)</f>
        <v>R10.4.1</v>
      </c>
      <c r="U2" t="str">
        <f>IF(LEN(flowcell_status)=0,"",flowcell_status)</f>
        <v>New</v>
      </c>
      <c r="V2">
        <f>IF(LEN(flowcell_checkpores)=0,"",flowcell_checkpores)</f>
        <v>1324</v>
      </c>
      <c r="W2">
        <f>IF(LEN(flowcell_runduration)=0,"",flowcell_runduration)</f>
        <v>5</v>
      </c>
      <c r="X2">
        <f>IF(LEN(flowcell_usage_hrs)=0,"",flowcell_usage_hrs)</f>
        <v>0</v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430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>MIS1011</v>
      </c>
      <c r="B2" t="str">
        <f>IF(LEN(Library!E3)=0,"",Library!E3)</f>
        <v>MJ001</v>
      </c>
      <c r="C2" t="str">
        <f>IF(LEN(Library!F3)=0,"",Library!F3)</f>
        <v>Field</v>
      </c>
      <c r="D2" t="str">
        <f>IF(LEN(Library!G3)=0,"",exp_id)</f>
        <v>SLJS035</v>
      </c>
      <c r="E2" t="str">
        <f>IF(LEN(Library!G3)=0,"",Library!G3)</f>
        <v>SWJS032_A1</v>
      </c>
      <c r="F2" t="str">
        <f>IF(LEN(Library!H3)=0,"",Library!H3)</f>
        <v>PCTB142_A1</v>
      </c>
      <c r="G2" t="str">
        <f>IF(LEN(Library!AF3)=0,"",Library!AF3)</f>
        <v>SLJS035_A1</v>
      </c>
      <c r="H2" t="str">
        <f>IF(LEN(Library!G3)=0,"",CONCATENATE("barcode",Library!L3))</f>
        <v>barcode01</v>
      </c>
      <c r="I2">
        <f>IF(LEN(Library!AC3)=0,"",IF(Library!AD3&gt;0,Library!AD3,Library!AC3))</f>
        <v>10</v>
      </c>
    </row>
    <row r="3" spans="1:9" x14ac:dyDescent="0.25">
      <c r="A3" t="str">
        <f>IF(LEN(Library!D4)=0,"",Library!D4)</f>
        <v>MIS1012</v>
      </c>
      <c r="B3" t="str">
        <f>IF(LEN(Library!E4)=0,"",Library!E4)</f>
        <v>MJ002</v>
      </c>
      <c r="C3" t="str">
        <f>IF(LEN(Library!F4)=0,"",Library!F4)</f>
        <v>Field</v>
      </c>
      <c r="D3" t="str">
        <f>IF(LEN(Library!G4)=0,"",exp_id)</f>
        <v>SLJS035</v>
      </c>
      <c r="E3" t="str">
        <f>IF(LEN(Library!G4)=0,"",Library!G4)</f>
        <v>SWJS032_B1</v>
      </c>
      <c r="F3" t="str">
        <f>IF(LEN(Library!H4)=0,"",Library!H4)</f>
        <v>PCTB142_B1</v>
      </c>
      <c r="G3" t="str">
        <f>IF(LEN(Library!AF4)=0,"",Library!AF4)</f>
        <v>SLJS035_B1</v>
      </c>
      <c r="H3" t="str">
        <f>IF(LEN(Library!G4)=0,"",CONCATENATE("barcode",Library!L4))</f>
        <v>barcode02</v>
      </c>
      <c r="I3">
        <f>IF(LEN(Library!AC4)=0,"",IF(Library!AD4&gt;0,Library!AD4,Library!AC4))</f>
        <v>10</v>
      </c>
    </row>
    <row r="4" spans="1:9" x14ac:dyDescent="0.25">
      <c r="A4" t="str">
        <f>IF(LEN(Library!D5)=0,"",Library!D5)</f>
        <v>MIS1013</v>
      </c>
      <c r="B4" t="str">
        <f>IF(LEN(Library!E5)=0,"",Library!E5)</f>
        <v>MJ003</v>
      </c>
      <c r="C4" t="str">
        <f>IF(LEN(Library!F5)=0,"",Library!F5)</f>
        <v>Field</v>
      </c>
      <c r="D4" t="str">
        <f>IF(LEN(Library!G5)=0,"",exp_id)</f>
        <v>SLJS035</v>
      </c>
      <c r="E4" t="str">
        <f>IF(LEN(Library!G5)=0,"",Library!G5)</f>
        <v>SWJS032_C1</v>
      </c>
      <c r="F4" t="str">
        <f>IF(LEN(Library!H5)=0,"",Library!H5)</f>
        <v>PCTB142_C1</v>
      </c>
      <c r="G4" t="str">
        <f>IF(LEN(Library!AF5)=0,"",Library!AF5)</f>
        <v>SLJS035_C1</v>
      </c>
      <c r="H4" t="str">
        <f>IF(LEN(Library!G5)=0,"",CONCATENATE("barcode",Library!L5))</f>
        <v>barcode03</v>
      </c>
      <c r="I4">
        <f>IF(LEN(Library!AC5)=0,"",IF(Library!AD5&gt;0,Library!AD5,Library!AC5))</f>
        <v>10</v>
      </c>
    </row>
    <row r="5" spans="1:9" x14ac:dyDescent="0.25">
      <c r="A5" t="str">
        <f>IF(LEN(Library!D6)=0,"",Library!D6)</f>
        <v>MIS1014</v>
      </c>
      <c r="B5" t="str">
        <f>IF(LEN(Library!E6)=0,"",Library!E6)</f>
        <v>MJ004</v>
      </c>
      <c r="C5" t="str">
        <f>IF(LEN(Library!F6)=0,"",Library!F6)</f>
        <v>Field</v>
      </c>
      <c r="D5" t="str">
        <f>IF(LEN(Library!G6)=0,"",exp_id)</f>
        <v>SLJS035</v>
      </c>
      <c r="E5" t="str">
        <f>IF(LEN(Library!G6)=0,"",Library!G6)</f>
        <v>SWJS032_D1</v>
      </c>
      <c r="F5" t="str">
        <f>IF(LEN(Library!H6)=0,"",Library!H6)</f>
        <v>PCTB142_D1</v>
      </c>
      <c r="G5" t="str">
        <f>IF(LEN(Library!AF6)=0,"",Library!AF6)</f>
        <v>SLJS035_D1</v>
      </c>
      <c r="H5" t="str">
        <f>IF(LEN(Library!G6)=0,"",CONCATENATE("barcode",Library!L6))</f>
        <v>barcode04</v>
      </c>
      <c r="I5">
        <f>IF(LEN(Library!AC6)=0,"",IF(Library!AD6&gt;0,Library!AD6,Library!AC6))</f>
        <v>10</v>
      </c>
    </row>
    <row r="6" spans="1:9" x14ac:dyDescent="0.25">
      <c r="A6" t="str">
        <f>IF(LEN(Library!D7)=0,"",Library!D7)</f>
        <v>MIS1015</v>
      </c>
      <c r="B6" t="str">
        <f>IF(LEN(Library!E7)=0,"",Library!E7)</f>
        <v>MJ005</v>
      </c>
      <c r="C6" t="str">
        <f>IF(LEN(Library!F7)=0,"",Library!F7)</f>
        <v>Field</v>
      </c>
      <c r="D6" t="str">
        <f>IF(LEN(Library!G7)=0,"",exp_id)</f>
        <v>SLJS035</v>
      </c>
      <c r="E6" t="str">
        <f>IF(LEN(Library!G7)=0,"",Library!G7)</f>
        <v>SWJS032_E1</v>
      </c>
      <c r="F6" t="str">
        <f>IF(LEN(Library!H7)=0,"",Library!H7)</f>
        <v>PCTB142_E1</v>
      </c>
      <c r="G6" t="str">
        <f>IF(LEN(Library!AF7)=0,"",Library!AF7)</f>
        <v>SLJS035_E1</v>
      </c>
      <c r="H6" t="str">
        <f>IF(LEN(Library!G7)=0,"",CONCATENATE("barcode",Library!L7))</f>
        <v>barcode05</v>
      </c>
      <c r="I6">
        <f>IF(LEN(Library!AC7)=0,"",IF(Library!AD7&gt;0,Library!AD7,Library!AC7))</f>
        <v>10</v>
      </c>
    </row>
    <row r="7" spans="1:9" x14ac:dyDescent="0.25">
      <c r="A7" t="str">
        <f>IF(LEN(Library!D8)=0,"",Library!D8)</f>
        <v>MIS1017</v>
      </c>
      <c r="B7" t="str">
        <f>IF(LEN(Library!E8)=0,"",Library!E8)</f>
        <v>MJ007</v>
      </c>
      <c r="C7" t="str">
        <f>IF(LEN(Library!F8)=0,"",Library!F8)</f>
        <v>Field</v>
      </c>
      <c r="D7" t="str">
        <f>IF(LEN(Library!G8)=0,"",exp_id)</f>
        <v>SLJS035</v>
      </c>
      <c r="E7" t="str">
        <f>IF(LEN(Library!G8)=0,"",Library!G8)</f>
        <v>SWJS032_G1</v>
      </c>
      <c r="F7" t="str">
        <f>IF(LEN(Library!H8)=0,"",Library!H8)</f>
        <v>PCTB142_G1</v>
      </c>
      <c r="G7" t="str">
        <f>IF(LEN(Library!AF8)=0,"",Library!AF8)</f>
        <v>SLJS035_F1</v>
      </c>
      <c r="H7" t="str">
        <f>IF(LEN(Library!G8)=0,"",CONCATENATE("barcode",Library!L8))</f>
        <v>barcode06</v>
      </c>
      <c r="I7">
        <f>IF(LEN(Library!AC8)=0,"",IF(Library!AD8&gt;0,Library!AD8,Library!AC8))</f>
        <v>10</v>
      </c>
    </row>
    <row r="8" spans="1:9" x14ac:dyDescent="0.25">
      <c r="A8" t="str">
        <f>IF(LEN(Library!D9)=0,"",Library!D9)</f>
        <v>MIS1018</v>
      </c>
      <c r="B8" t="str">
        <f>IF(LEN(Library!E9)=0,"",Library!E9)</f>
        <v>MJ008</v>
      </c>
      <c r="C8" t="str">
        <f>IF(LEN(Library!F9)=0,"",Library!F9)</f>
        <v>Field</v>
      </c>
      <c r="D8" t="str">
        <f>IF(LEN(Library!G9)=0,"",exp_id)</f>
        <v>SLJS035</v>
      </c>
      <c r="E8" t="str">
        <f>IF(LEN(Library!G9)=0,"",Library!G9)</f>
        <v>SWJS032_H1</v>
      </c>
      <c r="F8" t="str">
        <f>IF(LEN(Library!H9)=0,"",Library!H9)</f>
        <v>PCTB142_H1</v>
      </c>
      <c r="G8" t="str">
        <f>IF(LEN(Library!AF9)=0,"",Library!AF9)</f>
        <v>SLJS035_G1</v>
      </c>
      <c r="H8" t="str">
        <f>IF(LEN(Library!G9)=0,"",CONCATENATE("barcode",Library!L9))</f>
        <v>barcode07</v>
      </c>
      <c r="I8">
        <f>IF(LEN(Library!AC9)=0,"",IF(Library!AD9&gt;0,Library!AD9,Library!AC9))</f>
        <v>10</v>
      </c>
    </row>
    <row r="9" spans="1:9" x14ac:dyDescent="0.25">
      <c r="A9" t="str">
        <f>IF(LEN(Library!D10)=0,"",Library!D10)</f>
        <v>MIS1019</v>
      </c>
      <c r="B9" t="str">
        <f>IF(LEN(Library!E10)=0,"",Library!E10)</f>
        <v>MJ009</v>
      </c>
      <c r="C9" t="str">
        <f>IF(LEN(Library!F10)=0,"",Library!F10)</f>
        <v>Field</v>
      </c>
      <c r="D9" t="str">
        <f>IF(LEN(Library!G10)=0,"",exp_id)</f>
        <v>SLJS035</v>
      </c>
      <c r="E9" t="str">
        <f>IF(LEN(Library!G10)=0,"",Library!G10)</f>
        <v>SWJS032_A2</v>
      </c>
      <c r="F9" t="str">
        <f>IF(LEN(Library!H10)=0,"",Library!H10)</f>
        <v>PCTB142_A2</v>
      </c>
      <c r="G9" t="str">
        <f>IF(LEN(Library!AF10)=0,"",Library!AF10)</f>
        <v>SLJS035_H1</v>
      </c>
      <c r="H9" t="str">
        <f>IF(LEN(Library!G10)=0,"",CONCATENATE("barcode",Library!L10))</f>
        <v>barcode08</v>
      </c>
      <c r="I9">
        <f>IF(LEN(Library!AC10)=0,"",IF(Library!AD10&gt;0,Library!AD10,Library!AC10))</f>
        <v>10</v>
      </c>
    </row>
    <row r="10" spans="1:9" x14ac:dyDescent="0.25">
      <c r="A10" t="str">
        <f>IF(LEN(Library!D11)=0,"",Library!D11)</f>
        <v>MIS1020</v>
      </c>
      <c r="B10" t="str">
        <f>IF(LEN(Library!E11)=0,"",Library!E11)</f>
        <v>MJ010</v>
      </c>
      <c r="C10" t="str">
        <f>IF(LEN(Library!F11)=0,"",Library!F11)</f>
        <v>Field</v>
      </c>
      <c r="D10" t="str">
        <f>IF(LEN(Library!G11)=0,"",exp_id)</f>
        <v>SLJS035</v>
      </c>
      <c r="E10" t="str">
        <f>IF(LEN(Library!G11)=0,"",Library!G11)</f>
        <v>SWJS032_B2</v>
      </c>
      <c r="F10" t="str">
        <f>IF(LEN(Library!H11)=0,"",Library!H11)</f>
        <v>PCTB142_B2</v>
      </c>
      <c r="G10" t="str">
        <f>IF(LEN(Library!AF11)=0,"",Library!AF11)</f>
        <v>SLJS035_A2</v>
      </c>
      <c r="H10" t="str">
        <f>IF(LEN(Library!G11)=0,"",CONCATENATE("barcode",Library!L11))</f>
        <v>barcode09</v>
      </c>
      <c r="I10">
        <f>IF(LEN(Library!AC11)=0,"",IF(Library!AD11&gt;0,Library!AD11,Library!AC11))</f>
        <v>10</v>
      </c>
    </row>
    <row r="11" spans="1:9" x14ac:dyDescent="0.25">
      <c r="A11" t="str">
        <f>IF(LEN(Library!D12)=0,"",Library!D12)</f>
        <v>3D7</v>
      </c>
      <c r="B11" t="str">
        <f>IF(LEN(Library!E12)=0,"",Library!E12)</f>
        <v>3D7_01a</v>
      </c>
      <c r="C11" t="str">
        <f>IF(LEN(Library!F12)=0,"",Library!F12)</f>
        <v>Positive</v>
      </c>
      <c r="D11" t="str">
        <f>IF(LEN(Library!G12)=0,"",exp_id)</f>
        <v>SLJS035</v>
      </c>
      <c r="E11" t="str">
        <f>IF(LEN(Library!G12)=0,"",Library!G12)</f>
        <v>SWJS032_C2</v>
      </c>
      <c r="F11" t="str">
        <f>IF(LEN(Library!H12)=0,"",Library!H12)</f>
        <v>PCTB142_C2</v>
      </c>
      <c r="G11" t="str">
        <f>IF(LEN(Library!AF12)=0,"",Library!AF12)</f>
        <v>SLJS035_B2</v>
      </c>
      <c r="H11" t="str">
        <f>IF(LEN(Library!G12)=0,"",CONCATENATE("barcode",Library!L12))</f>
        <v>barcode10</v>
      </c>
      <c r="I11">
        <f>IF(LEN(Library!AC12)=0,"",IF(Library!AD12&gt;0,Library!AD12,Library!AC12))</f>
        <v>10</v>
      </c>
    </row>
    <row r="12" spans="1:9" x14ac:dyDescent="0.25">
      <c r="A12" t="str">
        <f>IF(LEN(Library!D13)=0,"",Library!D13)</f>
        <v>Dd2</v>
      </c>
      <c r="B12" t="str">
        <f>IF(LEN(Library!E13)=0,"",Library!E13)</f>
        <v>Dd2_01a</v>
      </c>
      <c r="C12" t="str">
        <f>IF(LEN(Library!F13)=0,"",Library!F13)</f>
        <v>Positive</v>
      </c>
      <c r="D12" t="str">
        <f>IF(LEN(Library!G13)=0,"",exp_id)</f>
        <v>SLJS035</v>
      </c>
      <c r="E12" t="str">
        <f>IF(LEN(Library!G13)=0,"",Library!G13)</f>
        <v>SWJS032_D2</v>
      </c>
      <c r="F12" t="str">
        <f>IF(LEN(Library!H13)=0,"",Library!H13)</f>
        <v>PCTB142_D2</v>
      </c>
      <c r="G12" t="str">
        <f>IF(LEN(Library!AF13)=0,"",Library!AF13)</f>
        <v>SLJS035_C2</v>
      </c>
      <c r="H12" t="str">
        <f>IF(LEN(Library!G13)=0,"",CONCATENATE("barcode",Library!L13))</f>
        <v>barcode11</v>
      </c>
      <c r="I12">
        <f>IF(LEN(Library!AC13)=0,"",IF(Library!AD13&gt;0,Library!AD13,Library!AC13))</f>
        <v>10</v>
      </c>
    </row>
    <row r="13" spans="1:9" x14ac:dyDescent="0.25">
      <c r="A13" t="str">
        <f>IF(LEN(Library!D14)=0,"",Library!D14)</f>
        <v>NTC</v>
      </c>
      <c r="B13" t="str">
        <f>IF(LEN(Library!E14)=0,"",Library!E14)</f>
        <v>NTC_SWJS032</v>
      </c>
      <c r="C13" t="str">
        <f>IF(LEN(Library!F14)=0,"",Library!F14)</f>
        <v>Negative</v>
      </c>
      <c r="D13" t="str">
        <f>IF(LEN(Library!G14)=0,"",exp_id)</f>
        <v>SLJS035</v>
      </c>
      <c r="E13" t="str">
        <f>IF(LEN(Library!G14)=0,"",Library!G14)</f>
        <v>SWJS032_E2</v>
      </c>
      <c r="F13" t="str">
        <f>IF(LEN(Library!H14)=0,"",Library!H14)</f>
        <v>PCTB142_E2</v>
      </c>
      <c r="G13" t="str">
        <f>IF(LEN(Library!AF14)=0,"",Library!AF14)</f>
        <v>SLJS035_D2</v>
      </c>
      <c r="H13" t="str">
        <f>IF(LEN(Library!G14)=0,"",CONCATENATE("barcode",Library!L14))</f>
        <v>barcode12</v>
      </c>
      <c r="I13">
        <f>IF(LEN(Library!AC14)=0,"",IF(Library!AD14&gt;0,Library!AD14,Library!AC14))</f>
        <v>10</v>
      </c>
    </row>
    <row r="14" spans="1:9" x14ac:dyDescent="0.25">
      <c r="A14" t="str">
        <f>IF(LEN(Library!D15)=0,"",Library!D15)</f>
        <v>MIS1022</v>
      </c>
      <c r="B14" t="str">
        <f>IF(LEN(Library!E15)=0,"",Library!E15)</f>
        <v>MJ011</v>
      </c>
      <c r="C14" t="str">
        <f>IF(LEN(Library!F15)=0,"",Library!F15)</f>
        <v>Field</v>
      </c>
      <c r="D14" t="str">
        <f>IF(LEN(Library!G15)=0,"",exp_id)</f>
        <v>SLJS035</v>
      </c>
      <c r="E14" t="str">
        <f>IF(LEN(Library!G15)=0,"",Library!G15)</f>
        <v>SWFW094_B1</v>
      </c>
      <c r="F14" t="str">
        <f>IF(LEN(Library!H15)=0,"",Library!H15)</f>
        <v>PCTB142_G2</v>
      </c>
      <c r="G14" t="str">
        <f>IF(LEN(Library!AF15)=0,"",Library!AF15)</f>
        <v>SLJS035_E2</v>
      </c>
      <c r="H14" t="str">
        <f>IF(LEN(Library!G15)=0,"",CONCATENATE("barcode",Library!L15))</f>
        <v>barcode13</v>
      </c>
      <c r="I14">
        <f>IF(LEN(Library!AC15)=0,"",IF(Library!AD15&gt;0,Library!AD15,Library!AC15))</f>
        <v>10</v>
      </c>
    </row>
    <row r="15" spans="1:9" x14ac:dyDescent="0.25">
      <c r="A15" t="str">
        <f>IF(LEN(Library!D16)=0,"",Library!D16)</f>
        <v>MIS1023</v>
      </c>
      <c r="B15" t="str">
        <f>IF(LEN(Library!E16)=0,"",Library!E16)</f>
        <v>MJ012</v>
      </c>
      <c r="C15" t="str">
        <f>IF(LEN(Library!F16)=0,"",Library!F16)</f>
        <v>Field</v>
      </c>
      <c r="D15" t="str">
        <f>IF(LEN(Library!G16)=0,"",exp_id)</f>
        <v>SLJS035</v>
      </c>
      <c r="E15" t="str">
        <f>IF(LEN(Library!G16)=0,"",Library!G16)</f>
        <v>SWFW094_C1</v>
      </c>
      <c r="F15" t="str">
        <f>IF(LEN(Library!H16)=0,"",Library!H16)</f>
        <v>PCTB142_H2</v>
      </c>
      <c r="G15" t="str">
        <f>IF(LEN(Library!AF16)=0,"",Library!AF16)</f>
        <v>SLJS035_F2</v>
      </c>
      <c r="H15" t="str">
        <f>IF(LEN(Library!G16)=0,"",CONCATENATE("barcode",Library!L16))</f>
        <v>barcode14</v>
      </c>
      <c r="I15">
        <f>IF(LEN(Library!AC16)=0,"",IF(Library!AD16&gt;0,Library!AD16,Library!AC16))</f>
        <v>10</v>
      </c>
    </row>
    <row r="16" spans="1:9" x14ac:dyDescent="0.25">
      <c r="A16" t="str">
        <f>IF(LEN(Library!D17)=0,"",Library!D17)</f>
        <v>MIS1025</v>
      </c>
      <c r="B16" t="str">
        <f>IF(LEN(Library!E17)=0,"",Library!E17)</f>
        <v>MJ014</v>
      </c>
      <c r="C16" t="str">
        <f>IF(LEN(Library!F17)=0,"",Library!F17)</f>
        <v>Field</v>
      </c>
      <c r="D16" t="str">
        <f>IF(LEN(Library!G17)=0,"",exp_id)</f>
        <v>SLJS035</v>
      </c>
      <c r="E16" t="str">
        <f>IF(LEN(Library!G17)=0,"",Library!G17)</f>
        <v>SWFW094_E1</v>
      </c>
      <c r="F16" t="str">
        <f>IF(LEN(Library!H17)=0,"",Library!H17)</f>
        <v>PCTB142_A3</v>
      </c>
      <c r="G16" t="str">
        <f>IF(LEN(Library!AF17)=0,"",Library!AF17)</f>
        <v>SLJS035_G2</v>
      </c>
      <c r="H16" t="str">
        <f>IF(LEN(Library!G17)=0,"",CONCATENATE("barcode",Library!L17))</f>
        <v>barcode15</v>
      </c>
      <c r="I16">
        <f>IF(LEN(Library!AC17)=0,"",IF(Library!AD17&gt;0,Library!AD17,Library!AC17))</f>
        <v>10</v>
      </c>
    </row>
    <row r="17" spans="1:9" x14ac:dyDescent="0.25">
      <c r="A17" t="str">
        <f>IF(LEN(Library!D18)=0,"",Library!D18)</f>
        <v>MIS1026</v>
      </c>
      <c r="B17" t="str">
        <f>IF(LEN(Library!E18)=0,"",Library!E18)</f>
        <v>MJ015</v>
      </c>
      <c r="C17" t="str">
        <f>IF(LEN(Library!F18)=0,"",Library!F18)</f>
        <v>Field</v>
      </c>
      <c r="D17" t="str">
        <f>IF(LEN(Library!G18)=0,"",exp_id)</f>
        <v>SLJS035</v>
      </c>
      <c r="E17" t="str">
        <f>IF(LEN(Library!G18)=0,"",Library!G18)</f>
        <v>SWFW094_F1</v>
      </c>
      <c r="F17" t="str">
        <f>IF(LEN(Library!H18)=0,"",Library!H18)</f>
        <v>PCTB142_B3</v>
      </c>
      <c r="G17" t="str">
        <f>IF(LEN(Library!AF18)=0,"",Library!AF18)</f>
        <v>SLJS035_H2</v>
      </c>
      <c r="H17" t="str">
        <f>IF(LEN(Library!G18)=0,"",CONCATENATE("barcode",Library!L18))</f>
        <v>barcode16</v>
      </c>
      <c r="I17">
        <f>IF(LEN(Library!AC18)=0,"",IF(Library!AD18&gt;0,Library!AD18,Library!AC18))</f>
        <v>10</v>
      </c>
    </row>
    <row r="18" spans="1:9" x14ac:dyDescent="0.25">
      <c r="A18" t="str">
        <f>IF(LEN(Library!D19)=0,"",Library!D19)</f>
        <v>MIS1027</v>
      </c>
      <c r="B18" t="str">
        <f>IF(LEN(Library!E19)=0,"",Library!E19)</f>
        <v>MJ016</v>
      </c>
      <c r="C18" t="str">
        <f>IF(LEN(Library!F19)=0,"",Library!F19)</f>
        <v>Field</v>
      </c>
      <c r="D18" t="str">
        <f>IF(LEN(Library!G19)=0,"",exp_id)</f>
        <v>SLJS035</v>
      </c>
      <c r="E18" t="str">
        <f>IF(LEN(Library!G19)=0,"",Library!G19)</f>
        <v>SWFW094_G1</v>
      </c>
      <c r="F18" t="str">
        <f>IF(LEN(Library!H19)=0,"",Library!H19)</f>
        <v>PCTB142_C3</v>
      </c>
      <c r="G18" t="str">
        <f>IF(LEN(Library!AF19)=0,"",Library!AF19)</f>
        <v>SLJS035_A3</v>
      </c>
      <c r="H18" t="str">
        <f>IF(LEN(Library!G19)=0,"",CONCATENATE("barcode",Library!L19))</f>
        <v>barcode17</v>
      </c>
      <c r="I18">
        <f>IF(LEN(Library!AC19)=0,"",IF(Library!AD19&gt;0,Library!AD19,Library!AC19))</f>
        <v>10</v>
      </c>
    </row>
    <row r="19" spans="1:9" x14ac:dyDescent="0.25">
      <c r="A19" t="str">
        <f>IF(LEN(Library!D20)=0,"",Library!D20)</f>
        <v>MIS1028</v>
      </c>
      <c r="B19" t="str">
        <f>IF(LEN(Library!E20)=0,"",Library!E20)</f>
        <v>MJ017</v>
      </c>
      <c r="C19" t="str">
        <f>IF(LEN(Library!F20)=0,"",Library!F20)</f>
        <v>Field</v>
      </c>
      <c r="D19" t="str">
        <f>IF(LEN(Library!G20)=0,"",exp_id)</f>
        <v>SLJS035</v>
      </c>
      <c r="E19" t="str">
        <f>IF(LEN(Library!G20)=0,"",Library!G20)</f>
        <v>SWFW094_H1</v>
      </c>
      <c r="F19" t="str">
        <f>IF(LEN(Library!H20)=0,"",Library!H20)</f>
        <v>PCTB142_D3</v>
      </c>
      <c r="G19" t="str">
        <f>IF(LEN(Library!AF20)=0,"",Library!AF20)</f>
        <v>SLJS035_B3</v>
      </c>
      <c r="H19" t="str">
        <f>IF(LEN(Library!G20)=0,"",CONCATENATE("barcode",Library!L20))</f>
        <v>barcode18</v>
      </c>
      <c r="I19">
        <f>IF(LEN(Library!AC20)=0,"",IF(Library!AD20&gt;0,Library!AD20,Library!AC20))</f>
        <v>10</v>
      </c>
    </row>
    <row r="20" spans="1:9" x14ac:dyDescent="0.25">
      <c r="A20" t="str">
        <f>IF(LEN(Library!D21)=0,"",Library!D21)</f>
        <v>MIS1029</v>
      </c>
      <c r="B20" t="str">
        <f>IF(LEN(Library!E21)=0,"",Library!E21)</f>
        <v>MJ018</v>
      </c>
      <c r="C20" t="str">
        <f>IF(LEN(Library!F21)=0,"",Library!F21)</f>
        <v>Field</v>
      </c>
      <c r="D20" t="str">
        <f>IF(LEN(Library!G21)=0,"",exp_id)</f>
        <v>SLJS035</v>
      </c>
      <c r="E20" t="str">
        <f>IF(LEN(Library!G21)=0,"",Library!G21)</f>
        <v>SWFW094_A2</v>
      </c>
      <c r="F20" t="str">
        <f>IF(LEN(Library!H21)=0,"",Library!H21)</f>
        <v>PCTB142_E3</v>
      </c>
      <c r="G20" t="str">
        <f>IF(LEN(Library!AF21)=0,"",Library!AF21)</f>
        <v>SLJS035_C3</v>
      </c>
      <c r="H20" t="str">
        <f>IF(LEN(Library!G21)=0,"",CONCATENATE("barcode",Library!L21))</f>
        <v>barcode19</v>
      </c>
      <c r="I20">
        <f>IF(LEN(Library!AC21)=0,"",IF(Library!AD21&gt;0,Library!AD21,Library!AC21))</f>
        <v>10</v>
      </c>
    </row>
    <row r="21" spans="1:9" x14ac:dyDescent="0.25">
      <c r="A21" t="str">
        <f>IF(LEN(Library!D22)=0,"",Library!D22)</f>
        <v>3D7</v>
      </c>
      <c r="B21" t="str">
        <f>IF(LEN(Library!E22)=0,"",Library!E22)</f>
        <v>3D7_01a</v>
      </c>
      <c r="C21" t="str">
        <f>IF(LEN(Library!F22)=0,"",Library!F22)</f>
        <v>Positive</v>
      </c>
      <c r="D21" t="str">
        <f>IF(LEN(Library!G22)=0,"",exp_id)</f>
        <v>SLJS035</v>
      </c>
      <c r="E21" t="str">
        <f>IF(LEN(Library!G22)=0,"",Library!G22)</f>
        <v>SWFW094_C2</v>
      </c>
      <c r="F21" t="str">
        <f>IF(LEN(Library!H22)=0,"",Library!H22)</f>
        <v>PCTB142_F3</v>
      </c>
      <c r="G21" t="str">
        <f>IF(LEN(Library!AF22)=0,"",Library!AF22)</f>
        <v>SLJS035_D3</v>
      </c>
      <c r="H21" t="str">
        <f>IF(LEN(Library!G22)=0,"",CONCATENATE("barcode",Library!L22))</f>
        <v>barcode20</v>
      </c>
      <c r="I21">
        <f>IF(LEN(Library!AC22)=0,"",IF(Library!AD22&gt;0,Library!AD22,Library!AC22))</f>
        <v>10</v>
      </c>
    </row>
    <row r="22" spans="1:9" x14ac:dyDescent="0.25">
      <c r="A22" t="str">
        <f>IF(LEN(Library!D23)=0,"",Library!D23)</f>
        <v>Dd2</v>
      </c>
      <c r="B22" t="str">
        <f>IF(LEN(Library!E23)=0,"",Library!E23)</f>
        <v>Dd2_01a</v>
      </c>
      <c r="C22" t="str">
        <f>IF(LEN(Library!F23)=0,"",Library!F23)</f>
        <v>Positive</v>
      </c>
      <c r="D22" t="str">
        <f>IF(LEN(Library!G23)=0,"",exp_id)</f>
        <v>SLJS035</v>
      </c>
      <c r="E22" t="str">
        <f>IF(LEN(Library!G23)=0,"",Library!G23)</f>
        <v>SWFW094_D2</v>
      </c>
      <c r="F22" t="str">
        <f>IF(LEN(Library!H23)=0,"",Library!H23)</f>
        <v>PCTB142_G3</v>
      </c>
      <c r="G22" t="str">
        <f>IF(LEN(Library!AF23)=0,"",Library!AF23)</f>
        <v>SLJS035_E3</v>
      </c>
      <c r="H22" t="str">
        <f>IF(LEN(Library!G23)=0,"",CONCATENATE("barcode",Library!L23))</f>
        <v>barcode21</v>
      </c>
      <c r="I22">
        <f>IF(LEN(Library!AC23)=0,"",IF(Library!AD23&gt;0,Library!AD23,Library!AC23))</f>
        <v>10</v>
      </c>
    </row>
    <row r="23" spans="1:9" x14ac:dyDescent="0.25">
      <c r="A23" t="str">
        <f>IF(LEN(Library!D24)=0,"",Library!D24)</f>
        <v>NTC</v>
      </c>
      <c r="B23" t="str">
        <f>IF(LEN(Library!E24)=0,"",Library!E24)</f>
        <v>NTC_SWFW094</v>
      </c>
      <c r="C23" t="str">
        <f>IF(LEN(Library!F24)=0,"",Library!F24)</f>
        <v>Negative</v>
      </c>
      <c r="D23" t="str">
        <f>IF(LEN(Library!G24)=0,"",exp_id)</f>
        <v>SLJS035</v>
      </c>
      <c r="E23" t="str">
        <f>IF(LEN(Library!G24)=0,"",Library!G24)</f>
        <v>SWFW094_E2</v>
      </c>
      <c r="F23" t="str">
        <f>IF(LEN(Library!H24)=0,"",Library!H24)</f>
        <v>PCTB142_H3</v>
      </c>
      <c r="G23" t="str">
        <f>IF(LEN(Library!AF24)=0,"",Library!AF24)</f>
        <v>SLJS035_F3</v>
      </c>
      <c r="H23" t="str">
        <f>IF(LEN(Library!G24)=0,"",CONCATENATE("barcode",Library!L24))</f>
        <v>barcode22</v>
      </c>
      <c r="I23">
        <f>IF(LEN(Library!AC24)=0,"",IF(Library!AD24&gt;0,Library!AD24,Library!AC24))</f>
        <v>10</v>
      </c>
    </row>
    <row r="24" spans="1:9" x14ac:dyDescent="0.25">
      <c r="A24" t="str">
        <f>IF(LEN(Library!D25)=0,"",Library!D25)</f>
        <v>NTC</v>
      </c>
      <c r="B24" t="str">
        <f>IF(LEN(Library!E25)=0,"",Library!E25)</f>
        <v>NTC_PCTB142</v>
      </c>
      <c r="C24" t="str">
        <f>IF(LEN(Library!F25)=0,"",Library!F25)</f>
        <v>Negative</v>
      </c>
      <c r="D24" t="str">
        <f>IF(LEN(Library!G25)=0,"",exp_id)</f>
        <v>SLJS035</v>
      </c>
      <c r="E24" t="str">
        <f>IF(LEN(Library!G25)=0,"",Library!G25)</f>
        <v>NA</v>
      </c>
      <c r="F24" t="str">
        <f>IF(LEN(Library!H25)=0,"",Library!H25)</f>
        <v>PCTB142_A4</v>
      </c>
      <c r="G24" t="str">
        <f>IF(LEN(Library!AF25)=0,"",Library!AF25)</f>
        <v>SLJS035_G3</v>
      </c>
      <c r="H24" t="str">
        <f>IF(LEN(Library!G25)=0,"",CONCATENATE("barcode",Library!L25))</f>
        <v>barcode23</v>
      </c>
      <c r="I24">
        <f>IF(LEN(Library!AC25)=0,"",IF(Library!AD25&gt;0,Library!AD25,Library!AC25))</f>
        <v>10</v>
      </c>
    </row>
    <row r="25" spans="1:9" x14ac:dyDescent="0.25">
      <c r="A25" t="str">
        <f>IF(LEN(Library!D26)=0,"",Library!D26)</f>
        <v>MIS2043</v>
      </c>
      <c r="B25" t="str">
        <f>IF(LEN(Library!E26)=0,"",Library!E26)</f>
        <v>MJ101</v>
      </c>
      <c r="C25" t="str">
        <f>IF(LEN(Library!F26)=0,"",Library!F26)</f>
        <v>Field</v>
      </c>
      <c r="D25" t="str">
        <f>IF(LEN(Library!G26)=0,"",exp_id)</f>
        <v>SLJS035</v>
      </c>
      <c r="E25" t="str">
        <f>IF(LEN(Library!G26)=0,"",Library!G26)</f>
        <v>No sWGA</v>
      </c>
      <c r="F25" t="str">
        <f>IF(LEN(Library!H26)=0,"",Library!H26)</f>
        <v>PCTB143_A1</v>
      </c>
      <c r="G25" t="str">
        <f>IF(LEN(Library!AF26)=0,"",Library!AF26)</f>
        <v>SLJS035_H3</v>
      </c>
      <c r="H25" t="str">
        <f>IF(LEN(Library!G26)=0,"",CONCATENATE("barcode",Library!L26))</f>
        <v>barcode24</v>
      </c>
      <c r="I25">
        <f>IF(LEN(Library!AC26)=0,"",IF(Library!AD26&gt;0,Library!AD26,Library!AC26))</f>
        <v>10</v>
      </c>
    </row>
    <row r="26" spans="1:9" x14ac:dyDescent="0.25">
      <c r="A26" t="str">
        <f>IF(LEN(Library!D27)=0,"",Library!D27)</f>
        <v>MIS2044</v>
      </c>
      <c r="B26" t="str">
        <f>IF(LEN(Library!E27)=0,"",Library!E27)</f>
        <v>MJ102</v>
      </c>
      <c r="C26" t="str">
        <f>IF(LEN(Library!F27)=0,"",Library!F27)</f>
        <v>Field</v>
      </c>
      <c r="D26" t="str">
        <f>IF(LEN(Library!G27)=0,"",exp_id)</f>
        <v>SLJS035</v>
      </c>
      <c r="E26" t="str">
        <f>IF(LEN(Library!G27)=0,"",Library!G27)</f>
        <v>No sWGA</v>
      </c>
      <c r="F26" t="str">
        <f>IF(LEN(Library!H27)=0,"",Library!H27)</f>
        <v>PCTB143_B1</v>
      </c>
      <c r="G26" t="str">
        <f>IF(LEN(Library!AF27)=0,"",Library!AF27)</f>
        <v>SLJS035_A4</v>
      </c>
      <c r="H26" t="str">
        <f>IF(LEN(Library!G27)=0,"",CONCATENATE("barcode",Library!L27))</f>
        <v>barcode25</v>
      </c>
      <c r="I26">
        <f>IF(LEN(Library!AC27)=0,"",IF(Library!AD27&gt;0,Library!AD27,Library!AC27))</f>
        <v>10</v>
      </c>
    </row>
    <row r="27" spans="1:9" x14ac:dyDescent="0.25">
      <c r="A27" t="str">
        <f>IF(LEN(Library!D28)=0,"",Library!D28)</f>
        <v>MIS2045</v>
      </c>
      <c r="B27" t="str">
        <f>IF(LEN(Library!E28)=0,"",Library!E28)</f>
        <v>MJ103</v>
      </c>
      <c r="C27" t="str">
        <f>IF(LEN(Library!F28)=0,"",Library!F28)</f>
        <v>Field</v>
      </c>
      <c r="D27" t="str">
        <f>IF(LEN(Library!G28)=0,"",exp_id)</f>
        <v>SLJS035</v>
      </c>
      <c r="E27" t="str">
        <f>IF(LEN(Library!G28)=0,"",Library!G28)</f>
        <v>No sWGA</v>
      </c>
      <c r="F27" t="str">
        <f>IF(LEN(Library!H28)=0,"",Library!H28)</f>
        <v>PCTB143_C1</v>
      </c>
      <c r="G27" t="str">
        <f>IF(LEN(Library!AF28)=0,"",Library!AF28)</f>
        <v>SLJS035_B4</v>
      </c>
      <c r="H27" t="str">
        <f>IF(LEN(Library!G28)=0,"",CONCATENATE("barcode",Library!L28))</f>
        <v>barcode26</v>
      </c>
      <c r="I27">
        <f>IF(LEN(Library!AC28)=0,"",IF(Library!AD28&gt;0,Library!AD28,Library!AC28))</f>
        <v>10</v>
      </c>
    </row>
    <row r="28" spans="1:9" x14ac:dyDescent="0.25">
      <c r="A28" t="str">
        <f>IF(LEN(Library!D29)=0,"",Library!D29)</f>
        <v>MIS2046</v>
      </c>
      <c r="B28" t="str">
        <f>IF(LEN(Library!E29)=0,"",Library!E29)</f>
        <v>MJ104</v>
      </c>
      <c r="C28" t="str">
        <f>IF(LEN(Library!F29)=0,"",Library!F29)</f>
        <v>Field</v>
      </c>
      <c r="D28" t="str">
        <f>IF(LEN(Library!G29)=0,"",exp_id)</f>
        <v>SLJS035</v>
      </c>
      <c r="E28" t="str">
        <f>IF(LEN(Library!G29)=0,"",Library!G29)</f>
        <v>No sWGA</v>
      </c>
      <c r="F28" t="str">
        <f>IF(LEN(Library!H29)=0,"",Library!H29)</f>
        <v>PCTB143_D1</v>
      </c>
      <c r="G28" t="str">
        <f>IF(LEN(Library!AF29)=0,"",Library!AF29)</f>
        <v>SLJS035_C4</v>
      </c>
      <c r="H28" t="str">
        <f>IF(LEN(Library!G29)=0,"",CONCATENATE("barcode",Library!L29))</f>
        <v>barcode27</v>
      </c>
      <c r="I28">
        <f>IF(LEN(Library!AC29)=0,"",IF(Library!AD29&gt;0,Library!AD29,Library!AC29))</f>
        <v>10</v>
      </c>
    </row>
    <row r="29" spans="1:9" x14ac:dyDescent="0.25">
      <c r="A29" t="str">
        <f>IF(LEN(Library!D30)=0,"",Library!D30)</f>
        <v>MIS2048</v>
      </c>
      <c r="B29" t="str">
        <f>IF(LEN(Library!E30)=0,"",Library!E30)</f>
        <v>MJ106</v>
      </c>
      <c r="C29" t="str">
        <f>IF(LEN(Library!F30)=0,"",Library!F30)</f>
        <v>Field</v>
      </c>
      <c r="D29" t="str">
        <f>IF(LEN(Library!G30)=0,"",exp_id)</f>
        <v>SLJS035</v>
      </c>
      <c r="E29" t="str">
        <f>IF(LEN(Library!G30)=0,"",Library!G30)</f>
        <v>No sWGA</v>
      </c>
      <c r="F29" t="str">
        <f>IF(LEN(Library!H30)=0,"",Library!H30)</f>
        <v>PCTB143_F1</v>
      </c>
      <c r="G29" t="str">
        <f>IF(LEN(Library!AF30)=0,"",Library!AF30)</f>
        <v>SLJS035_D4</v>
      </c>
      <c r="H29" t="str">
        <f>IF(LEN(Library!G30)=0,"",CONCATENATE("barcode",Library!L30))</f>
        <v>barcode28</v>
      </c>
      <c r="I29">
        <f>IF(LEN(Library!AC30)=0,"",IF(Library!AD30&gt;0,Library!AD30,Library!AC30))</f>
        <v>10</v>
      </c>
    </row>
    <row r="30" spans="1:9" x14ac:dyDescent="0.25">
      <c r="A30" t="str">
        <f>IF(LEN(Library!D31)=0,"",Library!D31)</f>
        <v>MIS2049</v>
      </c>
      <c r="B30" t="str">
        <f>IF(LEN(Library!E31)=0,"",Library!E31)</f>
        <v>MJ107</v>
      </c>
      <c r="C30" t="str">
        <f>IF(LEN(Library!F31)=0,"",Library!F31)</f>
        <v>Field</v>
      </c>
      <c r="D30" t="str">
        <f>IF(LEN(Library!G31)=0,"",exp_id)</f>
        <v>SLJS035</v>
      </c>
      <c r="E30" t="str">
        <f>IF(LEN(Library!G31)=0,"",Library!G31)</f>
        <v>No sWGA</v>
      </c>
      <c r="F30" t="str">
        <f>IF(LEN(Library!H31)=0,"",Library!H31)</f>
        <v>PCTB143_G1</v>
      </c>
      <c r="G30" t="str">
        <f>IF(LEN(Library!AF31)=0,"",Library!AF31)</f>
        <v>SLJS035_E4</v>
      </c>
      <c r="H30" t="str">
        <f>IF(LEN(Library!G31)=0,"",CONCATENATE("barcode",Library!L31))</f>
        <v>barcode29</v>
      </c>
      <c r="I30">
        <f>IF(LEN(Library!AC31)=0,"",IF(Library!AD31&gt;0,Library!AD31,Library!AC31))</f>
        <v>10</v>
      </c>
    </row>
    <row r="31" spans="1:9" x14ac:dyDescent="0.25">
      <c r="A31" t="str">
        <f>IF(LEN(Library!D32)=0,"",Library!D32)</f>
        <v>MIS2050</v>
      </c>
      <c r="B31" t="str">
        <f>IF(LEN(Library!E32)=0,"",Library!E32)</f>
        <v>MJ108</v>
      </c>
      <c r="C31" t="str">
        <f>IF(LEN(Library!F32)=0,"",Library!F32)</f>
        <v>Field</v>
      </c>
      <c r="D31" t="str">
        <f>IF(LEN(Library!G32)=0,"",exp_id)</f>
        <v>SLJS035</v>
      </c>
      <c r="E31" t="str">
        <f>IF(LEN(Library!G32)=0,"",Library!G32)</f>
        <v>No sWGA</v>
      </c>
      <c r="F31" t="str">
        <f>IF(LEN(Library!H32)=0,"",Library!H32)</f>
        <v>PCTB143_H1</v>
      </c>
      <c r="G31" t="str">
        <f>IF(LEN(Library!AF32)=0,"",Library!AF32)</f>
        <v>SLJS035_F4</v>
      </c>
      <c r="H31" t="str">
        <f>IF(LEN(Library!G32)=0,"",CONCATENATE("barcode",Library!L32))</f>
        <v>barcode30</v>
      </c>
      <c r="I31">
        <f>IF(LEN(Library!AC32)=0,"",IF(Library!AD32&gt;0,Library!AD32,Library!AC32))</f>
        <v>10</v>
      </c>
    </row>
    <row r="32" spans="1:9" x14ac:dyDescent="0.25">
      <c r="A32" t="str">
        <f>IF(LEN(Library!D33)=0,"",Library!D33)</f>
        <v>MIS2051</v>
      </c>
      <c r="B32" t="str">
        <f>IF(LEN(Library!E33)=0,"",Library!E33)</f>
        <v>MJ109</v>
      </c>
      <c r="C32" t="str">
        <f>IF(LEN(Library!F33)=0,"",Library!F33)</f>
        <v>Field</v>
      </c>
      <c r="D32" t="str">
        <f>IF(LEN(Library!G33)=0,"",exp_id)</f>
        <v>SLJS035</v>
      </c>
      <c r="E32" t="str">
        <f>IF(LEN(Library!G33)=0,"",Library!G33)</f>
        <v>No sWGA</v>
      </c>
      <c r="F32" t="str">
        <f>IF(LEN(Library!H33)=0,"",Library!H33)</f>
        <v>PCTB143_A2</v>
      </c>
      <c r="G32" t="str">
        <f>IF(LEN(Library!AF33)=0,"",Library!AF33)</f>
        <v>SLJS035_G4</v>
      </c>
      <c r="H32" t="str">
        <f>IF(LEN(Library!G33)=0,"",CONCATENATE("barcode",Library!L33))</f>
        <v>barcode31</v>
      </c>
      <c r="I32">
        <f>IF(LEN(Library!AC33)=0,"",IF(Library!AD33&gt;0,Library!AD33,Library!AC33))</f>
        <v>10</v>
      </c>
    </row>
    <row r="33" spans="1:9" x14ac:dyDescent="0.25">
      <c r="A33" t="str">
        <f>IF(LEN(Library!D34)=0,"",Library!D34)</f>
        <v>3D7</v>
      </c>
      <c r="B33" t="str">
        <f>IF(LEN(Library!E34)=0,"",Library!E34)</f>
        <v>3D7_01a</v>
      </c>
      <c r="C33" t="str">
        <f>IF(LEN(Library!F34)=0,"",Library!F34)</f>
        <v>Positive</v>
      </c>
      <c r="D33" t="str">
        <f>IF(LEN(Library!G34)=0,"",exp_id)</f>
        <v>SLJS035</v>
      </c>
      <c r="E33" t="str">
        <f>IF(LEN(Library!G34)=0,"",Library!G34)</f>
        <v>No sWGA</v>
      </c>
      <c r="F33" t="str">
        <f>IF(LEN(Library!H34)=0,"",Library!H34)</f>
        <v>PCTB143_B2</v>
      </c>
      <c r="G33" t="str">
        <f>IF(LEN(Library!AF34)=0,"",Library!AF34)</f>
        <v>SLJS035_H4</v>
      </c>
      <c r="H33" t="str">
        <f>IF(LEN(Library!G34)=0,"",CONCATENATE("barcode",Library!L34))</f>
        <v>barcode32</v>
      </c>
      <c r="I33">
        <f>IF(LEN(Library!AC34)=0,"",IF(Library!AD34&gt;0,Library!AD34,Library!AC34))</f>
        <v>10</v>
      </c>
    </row>
    <row r="34" spans="1:9" x14ac:dyDescent="0.25">
      <c r="A34" t="str">
        <f>IF(LEN(Library!D35)=0,"",Library!D35)</f>
        <v>Dd2</v>
      </c>
      <c r="B34" t="str">
        <f>IF(LEN(Library!E35)=0,"",Library!E35)</f>
        <v>Dd2_01a</v>
      </c>
      <c r="C34" t="str">
        <f>IF(LEN(Library!F35)=0,"",Library!F35)</f>
        <v>Positive</v>
      </c>
      <c r="D34" t="str">
        <f>IF(LEN(Library!G35)=0,"",exp_id)</f>
        <v>SLJS035</v>
      </c>
      <c r="E34" t="str">
        <f>IF(LEN(Library!G35)=0,"",Library!G35)</f>
        <v>No sWGA</v>
      </c>
      <c r="F34" t="str">
        <f>IF(LEN(Library!H35)=0,"",Library!H35)</f>
        <v>PCTB143_C2</v>
      </c>
      <c r="G34" t="str">
        <f>IF(LEN(Library!AF35)=0,"",Library!AF35)</f>
        <v>SLJS035_A5</v>
      </c>
      <c r="H34" t="str">
        <f>IF(LEN(Library!G35)=0,"",CONCATENATE("barcode",Library!L35))</f>
        <v>barcode33</v>
      </c>
      <c r="I34">
        <f>IF(LEN(Library!AC35)=0,"",IF(Library!AD35&gt;0,Library!AD35,Library!AC35))</f>
        <v>10</v>
      </c>
    </row>
    <row r="35" spans="1:9" x14ac:dyDescent="0.25">
      <c r="A35" t="str">
        <f>IF(LEN(Library!D36)=0,"",Library!D36)</f>
        <v>NTC</v>
      </c>
      <c r="B35" t="str">
        <f>IF(LEN(Library!E36)=0,"",Library!E36)</f>
        <v>NTC_PCTB143</v>
      </c>
      <c r="C35" t="str">
        <f>IF(LEN(Library!F36)=0,"",Library!F36)</f>
        <v>Negative</v>
      </c>
      <c r="D35" t="str">
        <f>IF(LEN(Library!G36)=0,"",exp_id)</f>
        <v>SLJS035</v>
      </c>
      <c r="E35" t="str">
        <f>IF(LEN(Library!G36)=0,"",Library!G36)</f>
        <v>No sWGA</v>
      </c>
      <c r="F35" t="str">
        <f>IF(LEN(Library!H36)=0,"",Library!H36)</f>
        <v>PCTB143_D2</v>
      </c>
      <c r="G35" t="str">
        <f>IF(LEN(Library!AF36)=0,"",Library!AF36)</f>
        <v>SLJS035_B5</v>
      </c>
      <c r="H35" t="str">
        <f>IF(LEN(Library!G36)=0,"",CONCATENATE("barcode",Library!L36))</f>
        <v>barcode34</v>
      </c>
      <c r="I35">
        <f>IF(LEN(Library!AC36)=0,"",IF(Library!AD36&gt;0,Library!AD36,Library!AC36))</f>
        <v>10</v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2024-10-31T19:26:33Z</dcterms:modified>
  <dc:language>en-GB</dc:language>
</cp:coreProperties>
</file>