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64991F3C-DFA7-403A-8196-42FD23760DB0}" xr6:coauthVersionLast="47" xr6:coauthVersionMax="47" xr10:uidLastSave="{00000000-0000-0000-0000-000000000000}"/>
  <bookViews>
    <workbookView xWindow="-120" yWindow="-120" windowWidth="57840" windowHeight="29625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<sst xmlns="http://schemas.openxmlformats.org/spreadsheetml/2006/main" count="482" uniqueCount="445">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</sst>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7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6"/>
    <tableColumn id="16" xr3:uid="{D11167BC-CEB0-4BCF-918C-7AFD807B17A9}" name="Column" dataDxfId="45">
      <calculatedColumnFormula>RIGHT(tbl_SeqLib[[#This Row],[Well]],LEN(tbl_SeqLib[[#This Row],[Well]])-1)</calculatedColumnFormula>
    </tableColumn>
    <tableColumn id="2" xr3:uid="{00000000-0010-0000-0000-000002000000}" name="Well" dataDxfId="44"/>
    <tableColumn id="3" xr3:uid="{00000000-0010-0000-0000-000003000000}" name="Sample ID" dataDxfId="43"/>
    <tableColumn id="4" xr3:uid="{00000000-0010-0000-0000-000004000000}" name="Extraction ID" dataDxfId="42"/>
    <tableColumn id="27" xr3:uid="{D655D6C8-1850-4AC0-8484-17625A62737D}" name="Sample Type" dataDxfId="41"/>
    <tableColumn id="5" xr3:uid="{00000000-0010-0000-0000-000005000000}" name="sWGA Identifier" dataDxfId="40"/>
    <tableColumn id="6" xr3:uid="{00000000-0010-0000-0000-000006000000}" name="PCR Identifier" dataDxfId="39"/>
    <tableColumn id="7" xr3:uid="{00000000-0010-0000-0000-000007000000}" name="Qubit PCR [DNA] (ng/µl)" dataDxfId="38"/>
    <tableColumn id="8" xr3:uid="{00000000-0010-0000-0000-000008000000}" name="PCR Dilution Factor" dataDxfId="37"/>
    <tableColumn id="9" xr3:uid="{00000000-0010-0000-0000-000009000000}" name="PCR [DNA] (ng / µl)"/>
    <tableColumn id="10" xr3:uid="{00000000-0010-0000-0000-00000A000000}" name="Barcode#" dataDxfId="36"/>
    <tableColumn id="26" xr3:uid="{F1EFF32A-7BE1-415D-A6C1-EB6298E86B67}" name="entry" dataDxfId="35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4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3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2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1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0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9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8">
      <calculatedColumnFormula>IF(tbl_SeqLib[[#This Row],[entry]]=2,tbl_SeqLib[[#This Row],[Max for col]],"")</calculatedColumnFormula>
    </tableColumn>
    <tableColumn id="34" xr3:uid="{B52F91B1-8FA3-4813-9699-EE87E0A73E1F}" name="1 per col (avg)" dataDxfId="27">
      <calculatedColumnFormula>IF(tbl_SeqLib[[#This Row],[entry]]=2,tbl_SeqLib[[#This Row],[Avg for col]],"")</calculatedColumnFormula>
    </tableColumn>
    <tableColumn id="22" xr3:uid="{3DBE046E-BBA1-40FE-9D15-A56B3030C6C7}" name="Avg per plate" dataDxfId="26">
      <calculatedColumnFormula>IF(tbl_SeqLib[[#This Row],[entry]]=2,AVERAGE(tbl_SeqLib[Exact]),"")</calculatedColumnFormula>
    </tableColumn>
    <tableColumn id="23" xr3:uid="{C00DCD81-1FEF-4ABB-8CC7-499C0C2570E9}" name="Max per plate" dataDxfId="25">
      <calculatedColumnFormula>IF(tbl_SeqLib[[#This Row],[entry]]=2,MAX(tbl_SeqLib[Exact]),"")</calculatedColumnFormula>
    </tableColumn>
    <tableColumn id="24" xr3:uid="{5078A409-FC75-4147-9A85-9D0F799A65C0}" name="2 per plate" dataDxfId="24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3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2">
      <calculatedColumnFormula>IF(tbl_SeqLib[[#This Row],[entry]]=1,ROUNDUP(AVERAGE(tbl_SeqLib[Exact]),1),"")</calculatedColumnFormula>
    </tableColumn>
    <tableColumn id="29" xr3:uid="{C102ACE7-217E-4DB5-BABC-91C1DAD8AB2B}" name="Avg per col (missing)" dataDxfId="21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0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9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8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5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opLeftCell="A20" zoomScale="160" zoomScaleNormal="160" workbookViewId="0">
      <selection activeCell="A11" sqref="A11:XFD11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5" t="s">
        <v>395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5.75" customHeight="1" x14ac:dyDescent="0.25">
      <c r="A2" s="96" t="s">
        <v>0</v>
      </c>
      <c r="B2" s="96"/>
      <c r="C2" s="97"/>
      <c r="D2" s="97"/>
      <c r="E2" s="97"/>
      <c r="F2" s="97"/>
      <c r="G2" s="98" t="s">
        <v>1</v>
      </c>
      <c r="H2" s="98"/>
      <c r="J2" s="99" t="s">
        <v>2</v>
      </c>
      <c r="K2" s="99"/>
    </row>
    <row r="3" spans="1:12" ht="15.75" customHeight="1" x14ac:dyDescent="0.25">
      <c r="A3" s="96" t="s">
        <v>3</v>
      </c>
      <c r="B3" s="96"/>
      <c r="C3" s="100"/>
      <c r="D3" s="100"/>
      <c r="E3" s="100"/>
      <c r="F3" s="100"/>
      <c r="G3" s="3" t="s">
        <v>4</v>
      </c>
      <c r="J3" s="101" t="s">
        <v>5</v>
      </c>
      <c r="K3" s="101"/>
    </row>
    <row r="4" spans="1:12" ht="15.75" customHeight="1" x14ac:dyDescent="0.25">
      <c r="A4" s="96" t="s">
        <v>6</v>
      </c>
      <c r="B4" s="96"/>
      <c r="C4" s="97"/>
      <c r="D4" s="97"/>
      <c r="E4" s="97"/>
      <c r="F4" s="97"/>
      <c r="G4" s="4" t="s">
        <v>7</v>
      </c>
      <c r="J4" s="102" t="s">
        <v>8</v>
      </c>
      <c r="K4" s="102"/>
    </row>
    <row r="5" spans="1:12" ht="15.75" customHeight="1" x14ac:dyDescent="0.25">
      <c r="A5" s="103" t="s">
        <v>9</v>
      </c>
      <c r="B5" s="103"/>
      <c r="C5" s="104" t="str">
        <f>IF(OR(ISBLANK(C3),ISBLANK(C4)),"",CONCATENATE("SL",VLOOKUP(C3,reference!H3:I9,2,FALSE()),C4))</f>
        <v/>
      </c>
      <c r="D5" s="104"/>
      <c r="E5" s="104"/>
      <c r="F5" s="104"/>
      <c r="G5" s="5" t="s">
        <v>10</v>
      </c>
      <c r="J5" s="105" t="s">
        <v>11</v>
      </c>
      <c r="K5" s="105"/>
    </row>
    <row r="6" spans="1:12" ht="15.75" customHeight="1" x14ac:dyDescent="0.25">
      <c r="A6" s="103" t="s">
        <v>12</v>
      </c>
      <c r="B6" s="103"/>
      <c r="C6" s="106" t="str">
        <f>IF(OR(ISBLANK(C2),ISBLANK(C3),ISBLANK(C4)),"",CONCATENATE(C2,"_SeqLib_",C5))</f>
        <v/>
      </c>
      <c r="D6" s="106"/>
      <c r="E6" s="106"/>
      <c r="F6" s="106"/>
      <c r="G6" s="5"/>
      <c r="J6" s="105"/>
      <c r="K6" s="105"/>
    </row>
    <row r="7" spans="1:12" ht="15.75" customHeight="1" x14ac:dyDescent="0.25">
      <c r="A7" s="107" t="s">
        <v>13</v>
      </c>
      <c r="B7" s="107"/>
      <c r="C7" s="108"/>
      <c r="D7" s="108"/>
      <c r="E7" s="108"/>
      <c r="F7" s="108"/>
      <c r="G7" s="5" t="s">
        <v>4</v>
      </c>
    </row>
    <row r="8" spans="1:12" ht="15.75" customHeight="1" x14ac:dyDescent="0.25">
      <c r="A8" s="107" t="s">
        <v>14</v>
      </c>
      <c r="B8" s="107"/>
      <c r="C8" s="108"/>
      <c r="D8" s="108"/>
      <c r="E8" s="108"/>
      <c r="F8" s="108"/>
      <c r="G8" s="3" t="s">
        <v>15</v>
      </c>
    </row>
    <row r="9" spans="1:12" ht="15.75" customHeight="1" x14ac:dyDescent="0.25">
      <c r="A9" s="109" t="s">
        <v>16</v>
      </c>
      <c r="B9" s="109"/>
      <c r="C9" s="110" t="str">
        <f>IF(OR(LEN(C7)=0, LEN(C8)=0),"",CONCATENATE(C7,"_Batch",C8))</f>
        <v/>
      </c>
      <c r="D9" s="110"/>
      <c r="E9" s="110"/>
      <c r="F9" s="110"/>
      <c r="G9" s="5" t="s">
        <v>17</v>
      </c>
    </row>
    <row r="10" spans="1:12" ht="15.75" customHeight="1" x14ac:dyDescent="0.25">
      <c r="A10" s="109" t="s">
        <v>18</v>
      </c>
      <c r="B10" s="109"/>
      <c r="C10" s="110" t="str">
        <f>IF(OR(LEN(C6)=0,LEN(exp_summary)=0),"",CONCATENATE(C6,"_",exp_summary))</f>
        <v/>
      </c>
      <c r="D10" s="110"/>
      <c r="E10" s="110"/>
      <c r="F10" s="110"/>
      <c r="G10" s="110"/>
      <c r="H10" s="110"/>
    </row>
    <row r="11" spans="1:12" ht="15.75" customHeight="1" x14ac:dyDescent="0.25">
      <c r="A11" s="96" t="s">
        <v>19</v>
      </c>
      <c r="B11" s="96"/>
      <c r="C11" s="27"/>
      <c r="D11" s="25"/>
      <c r="E11" s="25"/>
      <c r="F11" s="25"/>
      <c r="G11" s="5"/>
    </row>
    <row r="12" spans="1:12" ht="15.75" customHeight="1" x14ac:dyDescent="0.25">
      <c r="A12" s="96" t="s">
        <v>20</v>
      </c>
      <c r="B12" s="96"/>
      <c r="C12" s="111"/>
      <c r="D12" s="111"/>
      <c r="E12" s="111"/>
      <c r="F12" s="111"/>
      <c r="G12" s="111"/>
      <c r="H12" s="111"/>
      <c r="I12" s="111"/>
      <c r="J12" s="111"/>
      <c r="K12" s="111"/>
    </row>
    <row r="13" spans="1:12" x14ac:dyDescent="0.25">
      <c r="A13" s="1"/>
      <c r="B13" s="1"/>
      <c r="C13" s="111"/>
      <c r="D13" s="111"/>
      <c r="E13" s="111"/>
      <c r="F13" s="111"/>
      <c r="G13" s="111"/>
      <c r="H13" s="111"/>
      <c r="I13" s="111"/>
      <c r="J13" s="111"/>
      <c r="K13" s="111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12" t="s">
        <v>22</v>
      </c>
      <c r="J15" s="112"/>
      <c r="K15" s="112"/>
    </row>
    <row r="16" spans="1:12" x14ac:dyDescent="0.25">
      <c r="A16" s="9" t="s">
        <v>337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13" t="s">
        <v>25</v>
      </c>
      <c r="B18" s="113"/>
      <c r="C18" s="113"/>
      <c r="D18" s="114" t="s">
        <v>26</v>
      </c>
      <c r="E18" s="114"/>
      <c r="F18" s="114" t="str">
        <f>CONCATENATE("MM x",exp_rxns," (µl)")</f>
        <v>MM x (µl)</v>
      </c>
      <c r="G18" s="114"/>
      <c r="I18" s="115" t="s">
        <v>27</v>
      </c>
      <c r="J18" s="115"/>
      <c r="K18" s="11" t="s">
        <v>28</v>
      </c>
    </row>
    <row r="19" spans="1:11" s="3" customFormat="1" ht="15.75" customHeight="1" x14ac:dyDescent="0.25">
      <c r="A19" s="116" t="s">
        <v>29</v>
      </c>
      <c r="B19" s="116"/>
      <c r="C19" s="116"/>
      <c r="D19" s="117" t="s">
        <v>30</v>
      </c>
      <c r="E19" s="117"/>
      <c r="F19" s="118" t="s">
        <v>31</v>
      </c>
      <c r="G19" s="118"/>
      <c r="I19" s="119">
        <v>20</v>
      </c>
      <c r="J19" s="119"/>
      <c r="K19" s="8">
        <v>15</v>
      </c>
    </row>
    <row r="20" spans="1:11" s="3" customFormat="1" ht="18.75" customHeight="1" x14ac:dyDescent="0.25">
      <c r="A20" s="116" t="s">
        <v>32</v>
      </c>
      <c r="B20" s="116"/>
      <c r="C20" s="116"/>
      <c r="D20" s="117" t="str">
        <f>CONCATENATE(endrepair_maxvol, " - x")</f>
        <v>10 - x</v>
      </c>
      <c r="E20" s="117"/>
      <c r="F20" s="118" t="s">
        <v>31</v>
      </c>
      <c r="G20" s="118"/>
      <c r="I20" s="119">
        <v>65</v>
      </c>
      <c r="J20" s="119"/>
      <c r="K20" s="8">
        <v>15</v>
      </c>
    </row>
    <row r="21" spans="1:11" s="3" customFormat="1" ht="25.35" customHeight="1" x14ac:dyDescent="0.25">
      <c r="A21" s="116" t="s">
        <v>33</v>
      </c>
      <c r="B21" s="116"/>
      <c r="C21" s="116"/>
      <c r="D21" s="120">
        <v>1.4</v>
      </c>
      <c r="E21" s="120"/>
      <c r="F21" s="118">
        <f>SUM(D21*exp_rxns*(1+$D$17))</f>
        <v>0</v>
      </c>
      <c r="G21" s="118"/>
      <c r="I21" s="119">
        <v>4</v>
      </c>
      <c r="J21" s="119"/>
      <c r="K21" s="3" t="s">
        <v>34</v>
      </c>
    </row>
    <row r="22" spans="1:11" s="3" customFormat="1" ht="15.75" customHeight="1" x14ac:dyDescent="0.25">
      <c r="A22" s="116" t="s">
        <v>35</v>
      </c>
      <c r="B22" s="116"/>
      <c r="C22" s="116"/>
      <c r="D22" s="120">
        <v>0.6</v>
      </c>
      <c r="E22" s="120"/>
      <c r="F22" s="118">
        <f>SUM(D22*exp_rxns*(1+$D$17))</f>
        <v>0</v>
      </c>
      <c r="G22" s="118"/>
    </row>
    <row r="23" spans="1:11" s="3" customFormat="1" x14ac:dyDescent="0.25">
      <c r="A23" s="8"/>
      <c r="D23" s="121">
        <f>SUM(D21:D22)+endrepair_maxvol</f>
        <v>12</v>
      </c>
      <c r="E23" s="121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13" t="s">
        <v>25</v>
      </c>
      <c r="B26" s="113"/>
      <c r="C26" s="113"/>
      <c r="D26" s="114" t="s">
        <v>26</v>
      </c>
      <c r="E26" s="114"/>
      <c r="F26" s="114" t="str">
        <f>CONCATENATE("MM x",exp_rxns," (µl)")</f>
        <v>MM x (µl)</v>
      </c>
      <c r="G26" s="114"/>
      <c r="I26" s="115" t="s">
        <v>27</v>
      </c>
      <c r="J26" s="115"/>
      <c r="K26" s="11" t="s">
        <v>28</v>
      </c>
    </row>
    <row r="27" spans="1:11" s="3" customFormat="1" ht="15.75" customHeight="1" x14ac:dyDescent="0.25">
      <c r="A27" s="116" t="s">
        <v>37</v>
      </c>
      <c r="B27" s="116"/>
      <c r="C27" s="116"/>
      <c r="D27" s="117">
        <v>0.5</v>
      </c>
      <c r="E27" s="117"/>
      <c r="F27" s="118" t="s">
        <v>31</v>
      </c>
      <c r="G27" s="118"/>
      <c r="I27" s="119">
        <v>20</v>
      </c>
      <c r="J27" s="119"/>
      <c r="K27" s="8">
        <v>20</v>
      </c>
    </row>
    <row r="28" spans="1:11" s="3" customFormat="1" ht="15.75" customHeight="1" x14ac:dyDescent="0.25">
      <c r="A28" s="116" t="s">
        <v>38</v>
      </c>
      <c r="B28" s="116"/>
      <c r="C28" s="116"/>
      <c r="D28" s="117">
        <v>6</v>
      </c>
      <c r="E28" s="117"/>
      <c r="F28" s="118">
        <f>SUM(D28*exp_rxns*(1+$D$25))</f>
        <v>0</v>
      </c>
      <c r="G28" s="118"/>
      <c r="I28" s="119">
        <v>65</v>
      </c>
      <c r="J28" s="119"/>
      <c r="K28" s="8">
        <v>10</v>
      </c>
    </row>
    <row r="29" spans="1:11" s="3" customFormat="1" ht="15.75" customHeight="1" x14ac:dyDescent="0.25">
      <c r="A29" s="116" t="s">
        <v>39</v>
      </c>
      <c r="B29" s="116"/>
      <c r="C29" s="116"/>
      <c r="D29" s="117">
        <v>0.2</v>
      </c>
      <c r="E29" s="117"/>
      <c r="F29" s="118">
        <f>SUM(D29*exp_rxns*(1+$D$25))</f>
        <v>0</v>
      </c>
      <c r="G29" s="118"/>
      <c r="I29" s="119">
        <v>8</v>
      </c>
      <c r="J29" s="119"/>
      <c r="K29" s="3" t="s">
        <v>34</v>
      </c>
    </row>
    <row r="30" spans="1:11" s="3" customFormat="1" x14ac:dyDescent="0.25">
      <c r="A30" s="8"/>
      <c r="D30" s="122">
        <f>SUM(D27:D29)+D23</f>
        <v>18.7</v>
      </c>
      <c r="E30" s="122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422</v>
      </c>
      <c r="B33" s="87" t="s">
        <v>423</v>
      </c>
      <c r="C33" s="87" t="s">
        <v>427</v>
      </c>
      <c r="D33" s="87" t="s">
        <v>425</v>
      </c>
      <c r="E33" s="87" t="s">
        <v>426</v>
      </c>
      <c r="F33" s="87" t="s">
        <v>424</v>
      </c>
      <c r="G33" s="87" t="s">
        <v>428</v>
      </c>
    </row>
    <row r="34" spans="1:11" x14ac:dyDescent="0.25">
      <c r="A34" s="90"/>
      <c r="B34" s="89" t="str">
        <f>IF(OR(ISBLANK(A34),ISBLANK(exp_rxns)),"",SUM(A34*exp_rxns))</f>
        <v/>
      </c>
      <c r="C34" s="90">
        <v>0.4</v>
      </c>
      <c r="D34" s="89" t="str">
        <f>IFERROR(SUM(B34*C34),"")</f>
        <v/>
      </c>
      <c r="E34" s="90"/>
      <c r="F34" s="90"/>
      <c r="G34" s="90"/>
    </row>
    <row r="35" spans="1:11" ht="15.75" customHeight="1" x14ac:dyDescent="0.25">
      <c r="A35" s="71" t="s">
        <v>432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27" t="s">
        <v>431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 spans="1:11" ht="15.75" customHeight="1" x14ac:dyDescent="0.25">
      <c r="A37" s="71" t="s">
        <v>430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23" t="s">
        <v>44</v>
      </c>
      <c r="E38" s="123"/>
    </row>
    <row r="39" spans="1:11" x14ac:dyDescent="0.25">
      <c r="A39" s="17">
        <f>SUM(exp_rxns*D30)*0.4</f>
        <v>0</v>
      </c>
      <c r="B39" s="34"/>
      <c r="C39" s="34"/>
      <c r="D39" s="124">
        <f>SUM(B39*C39)</f>
        <v>0</v>
      </c>
      <c r="E39" s="124"/>
    </row>
    <row r="41" spans="1:11" x14ac:dyDescent="0.25">
      <c r="A41" s="7" t="s">
        <v>45</v>
      </c>
    </row>
    <row r="42" spans="1:11" x14ac:dyDescent="0.25">
      <c r="A42" s="5" t="s">
        <v>338</v>
      </c>
      <c r="B42" s="28"/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115" t="s">
        <v>25</v>
      </c>
      <c r="B43" s="115"/>
      <c r="C43" s="115"/>
      <c r="D43" s="125" t="s">
        <v>26</v>
      </c>
      <c r="E43" s="125"/>
      <c r="I43" s="115" t="s">
        <v>27</v>
      </c>
      <c r="J43" s="115"/>
      <c r="K43" s="11" t="s">
        <v>28</v>
      </c>
    </row>
    <row r="44" spans="1:11" ht="15.75" customHeight="1" x14ac:dyDescent="0.25">
      <c r="A44" s="116" t="s">
        <v>46</v>
      </c>
      <c r="B44" s="116"/>
      <c r="C44" s="116"/>
      <c r="D44" s="126">
        <f>IF(B39="",adaptlig_dna_maxvol,IF(SUM(adaptlig_targetmass/D39)&gt;adaptlig_dna_maxvol,adaptlig_dna_maxvol,SUM(adaptlig_targetmass/D39)))</f>
        <v>30</v>
      </c>
      <c r="E44" s="126"/>
      <c r="F44" s="5"/>
      <c r="I44" s="119" t="s">
        <v>47</v>
      </c>
      <c r="J44" s="119"/>
      <c r="K44" s="8">
        <v>10</v>
      </c>
    </row>
    <row r="45" spans="1:11" ht="15.75" customHeight="1" x14ac:dyDescent="0.25">
      <c r="A45" s="116" t="s">
        <v>32</v>
      </c>
      <c r="B45" s="116"/>
      <c r="C45" s="116"/>
      <c r="D45" s="126">
        <f>IFERROR(SUM(adaptlig_dna_maxvol-D44),"")</f>
        <v>0</v>
      </c>
      <c r="E45" s="126"/>
      <c r="F45" s="8"/>
    </row>
    <row r="46" spans="1:11" ht="15.75" customHeight="1" x14ac:dyDescent="0.25">
      <c r="A46" s="116" t="s">
        <v>48</v>
      </c>
      <c r="B46" s="116"/>
      <c r="C46" s="116"/>
      <c r="D46" s="104">
        <v>5</v>
      </c>
      <c r="E46" s="104"/>
    </row>
    <row r="47" spans="1:11" ht="15.75" customHeight="1" x14ac:dyDescent="0.25">
      <c r="A47" s="116" t="s">
        <v>388</v>
      </c>
      <c r="B47" s="116"/>
      <c r="C47" s="116"/>
      <c r="D47" s="104">
        <f>SUM(adaptlig_rxn_vol/5)</f>
        <v>10</v>
      </c>
      <c r="E47" s="104"/>
    </row>
    <row r="48" spans="1:11" ht="15.75" customHeight="1" x14ac:dyDescent="0.25">
      <c r="A48" s="116" t="s">
        <v>49</v>
      </c>
      <c r="B48" s="116"/>
      <c r="C48" s="116"/>
      <c r="D48" s="104">
        <f>SUM(adaptlig_rxn_vol/10)</f>
        <v>5</v>
      </c>
      <c r="E48" s="104"/>
    </row>
    <row r="49" spans="1:12" x14ac:dyDescent="0.25">
      <c r="D49" s="128">
        <f>SUM(D44:D48)</f>
        <v>50</v>
      </c>
      <c r="E49" s="128"/>
    </row>
    <row r="51" spans="1:12" x14ac:dyDescent="0.25">
      <c r="A51" s="7" t="s">
        <v>389</v>
      </c>
    </row>
    <row r="52" spans="1:12" x14ac:dyDescent="0.25">
      <c r="B52" s="1" t="s">
        <v>390</v>
      </c>
      <c r="C52" s="47"/>
      <c r="D52" s="71" t="s">
        <v>429</v>
      </c>
    </row>
    <row r="53" spans="1:12" x14ac:dyDescent="0.25">
      <c r="A53" s="131" t="s">
        <v>391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</row>
    <row r="54" spans="1:12" x14ac:dyDescent="0.25">
      <c r="A54" s="71" t="s">
        <v>430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13" t="s">
        <v>41</v>
      </c>
      <c r="B55" s="113"/>
      <c r="C55" s="113" t="s">
        <v>50</v>
      </c>
      <c r="D55" s="113"/>
      <c r="E55" s="113" t="s">
        <v>43</v>
      </c>
      <c r="F55" s="113"/>
      <c r="G55" s="113" t="s">
        <v>51</v>
      </c>
      <c r="H55" s="113"/>
    </row>
    <row r="56" spans="1:12" x14ac:dyDescent="0.25">
      <c r="A56" s="129">
        <f>SUM(adaptlig_rxn_vol*0.5)</f>
        <v>25</v>
      </c>
      <c r="B56" s="129"/>
      <c r="C56" s="130"/>
      <c r="D56" s="130"/>
      <c r="E56" s="130"/>
      <c r="F56" s="130"/>
      <c r="G56" s="119">
        <f>SUM(C56*E56)</f>
        <v>0</v>
      </c>
      <c r="H56" s="119"/>
    </row>
    <row r="58" spans="1:12" x14ac:dyDescent="0.25">
      <c r="A58" s="7" t="s">
        <v>52</v>
      </c>
    </row>
    <row r="59" spans="1:12" x14ac:dyDescent="0.25">
      <c r="A59" s="5" t="s">
        <v>338</v>
      </c>
      <c r="B59" s="28"/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115" t="s">
        <v>25</v>
      </c>
      <c r="B60" s="115"/>
      <c r="C60" s="115"/>
      <c r="D60" s="125" t="s">
        <v>26</v>
      </c>
      <c r="E60" s="125"/>
    </row>
    <row r="61" spans="1:12" ht="15.75" customHeight="1" x14ac:dyDescent="0.25">
      <c r="A61" s="123" t="s">
        <v>53</v>
      </c>
      <c r="B61" s="123"/>
      <c r="C61" s="123"/>
      <c r="D61" s="126">
        <f>IF(C56="",flowcell_maxvol,IF(SUM(flowcell_targetmass/G56)&gt;flowcell_maxvol,flowcell_maxvol,SUM(flowcell_targetmass/G56)))</f>
        <v>12</v>
      </c>
      <c r="E61" s="126"/>
    </row>
    <row r="62" spans="1:12" ht="15.75" customHeight="1" x14ac:dyDescent="0.25">
      <c r="A62" s="123" t="s">
        <v>54</v>
      </c>
      <c r="B62" s="123"/>
      <c r="C62" s="123"/>
      <c r="D62" s="126" t="str">
        <f>IFERROR((IF(SUM(12-D61)=0,"-",SUM(12-D61))),"")</f>
        <v>-</v>
      </c>
      <c r="E62" s="126"/>
    </row>
    <row r="63" spans="1:12" ht="15.75" customHeight="1" x14ac:dyDescent="0.25">
      <c r="A63" s="116" t="s">
        <v>396</v>
      </c>
      <c r="B63" s="116"/>
      <c r="C63" s="116"/>
      <c r="D63" s="132">
        <v>37.5</v>
      </c>
      <c r="E63" s="132"/>
    </row>
    <row r="64" spans="1:12" ht="15.75" customHeight="1" x14ac:dyDescent="0.25">
      <c r="A64" s="116" t="s">
        <v>397</v>
      </c>
      <c r="B64" s="116"/>
      <c r="C64" s="116"/>
      <c r="D64" s="132">
        <v>25.5</v>
      </c>
      <c r="E64" s="132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6" t="s">
        <v>57</v>
      </c>
      <c r="B67" s="96"/>
      <c r="C67" s="134"/>
      <c r="D67" s="134"/>
      <c r="E67" s="5" t="s">
        <v>4</v>
      </c>
    </row>
    <row r="68" spans="1:5" ht="15.75" customHeight="1" x14ac:dyDescent="0.25">
      <c r="A68" s="96" t="s">
        <v>59</v>
      </c>
      <c r="B68" s="96"/>
      <c r="C68" s="133"/>
      <c r="D68" s="133"/>
    </row>
    <row r="69" spans="1:5" ht="15.75" customHeight="1" x14ac:dyDescent="0.25">
      <c r="A69" s="96" t="s">
        <v>60</v>
      </c>
      <c r="B69" s="96"/>
      <c r="C69" s="133"/>
      <c r="D69" s="133"/>
    </row>
    <row r="70" spans="1:5" ht="15.75" customHeight="1" x14ac:dyDescent="0.25">
      <c r="A70" s="96" t="s">
        <v>61</v>
      </c>
      <c r="B70" s="96"/>
      <c r="C70" s="135" t="str">
        <f>IF(flowcell_status="New",0,"")</f>
        <v/>
      </c>
      <c r="D70" s="135"/>
      <c r="E70" s="9" t="s">
        <v>62</v>
      </c>
    </row>
    <row r="71" spans="1:5" ht="15.75" customHeight="1" x14ac:dyDescent="0.25">
      <c r="A71" s="96" t="s">
        <v>63</v>
      </c>
      <c r="B71" s="96"/>
      <c r="C71" s="134"/>
      <c r="D71" s="134"/>
      <c r="E71" s="5" t="s">
        <v>4</v>
      </c>
    </row>
    <row r="72" spans="1:5" ht="15.75" customHeight="1" x14ac:dyDescent="0.25">
      <c r="A72" s="96" t="s">
        <v>65</v>
      </c>
      <c r="B72" s="96"/>
      <c r="C72" s="133"/>
      <c r="D72" s="133"/>
      <c r="E72" s="9" t="s">
        <v>66</v>
      </c>
    </row>
    <row r="73" spans="1:5" ht="15.75" customHeight="1" x14ac:dyDescent="0.25">
      <c r="A73" s="96" t="s">
        <v>67</v>
      </c>
      <c r="B73" s="96"/>
      <c r="C73" s="133"/>
      <c r="D73" s="133"/>
      <c r="E73" s="9" t="s">
        <v>68</v>
      </c>
    </row>
  </sheetData>
  <sheetProtection sheet="1" objects="1" scenarios="1"/>
  <mergeCells count="116"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9">
    <cfRule type="expression" dxfId="14" priority="7">
      <formula>COUNTIF(B59,"")</formula>
    </cfRule>
  </conditionalFormatting>
  <conditionalFormatting sqref="C2:C4 C7:C8 F16 B39:C39 B42 C56:E56 C67:C69 C71:C73">
    <cfRule type="expression" dxfId="13" priority="10">
      <formula>COUNTIF(B2,"")</formula>
    </cfRule>
  </conditionalFormatting>
  <conditionalFormatting sqref="C11:C12 A34">
    <cfRule type="expression" dxfId="12" priority="5">
      <formula>COUNTIF(A11,"")</formula>
    </cfRule>
  </conditionalFormatting>
  <conditionalFormatting sqref="C34">
    <cfRule type="expression" dxfId="11" priority="1">
      <formula>COUNTIF(C34,"")</formula>
    </cfRule>
  </conditionalFormatting>
  <conditionalFormatting sqref="C52">
    <cfRule type="expression" dxfId="10" priority="2">
      <formula>COUNTIF(C52,"")</formula>
    </cfRule>
  </conditionalFormatting>
  <conditionalFormatting sqref="C72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39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4:G34">
    <cfRule type="expression" dxfId="4" priority="4">
      <formula>COUNTIF(E34,"")</formula>
    </cfRule>
  </conditionalFormatting>
  <conditionalFormatting sqref="F42">
    <cfRule type="expression" dxfId="3" priority="8">
      <formula>COUNTIF(F42,"")</formula>
    </cfRule>
  </conditionalFormatting>
  <conditionalFormatting sqref="G56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H15" sqref="H15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440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403</v>
      </c>
      <c r="N2" s="76" t="s">
        <v>365</v>
      </c>
      <c r="O2" s="76" t="s">
        <v>410</v>
      </c>
      <c r="P2" s="76" t="s">
        <v>411</v>
      </c>
      <c r="Q2" s="76" t="s">
        <v>419</v>
      </c>
      <c r="R2" s="76" t="s">
        <v>413</v>
      </c>
      <c r="S2" s="76" t="s">
        <v>412</v>
      </c>
      <c r="T2" s="76" t="s">
        <v>417</v>
      </c>
      <c r="U2" s="76" t="s">
        <v>418</v>
      </c>
      <c r="V2" s="76" t="s">
        <v>405</v>
      </c>
      <c r="W2" s="76" t="s">
        <v>371</v>
      </c>
      <c r="X2" s="76" t="s">
        <v>372</v>
      </c>
      <c r="Y2" s="76" t="s">
        <v>408</v>
      </c>
      <c r="Z2" s="76" t="s">
        <v>407</v>
      </c>
      <c r="AA2" s="76" t="s">
        <v>406</v>
      </c>
      <c r="AB2" s="76" t="s">
        <v>409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topLeftCell="A3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441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  <row r="37" spans="5:6" ht="16.5" thickBot="1" x14ac:dyDescent="0.3">
      <c r="E37" s="83" t="s">
        <v>436</v>
      </c>
      <c r="F37" s="80" t="s">
        <v>434</v>
      </c>
    </row>
    <row r="38" spans="5:6" x14ac:dyDescent="0.25">
      <c r="E38" s="47">
        <v>700</v>
      </c>
      <c r="F38" t="s">
        <v>433</v>
      </c>
    </row>
    <row r="39" spans="5:6" x14ac:dyDescent="0.25">
      <c r="E39" s="47">
        <v>200</v>
      </c>
      <c r="F39" t="s">
        <v>437</v>
      </c>
    </row>
    <row r="41" spans="5:6" ht="16.5" thickBot="1" x14ac:dyDescent="0.3">
      <c r="E41" s="83" t="s">
        <v>435</v>
      </c>
      <c r="F41" s="80" t="s">
        <v>434</v>
      </c>
    </row>
    <row r="42" spans="5:6" x14ac:dyDescent="0.25">
      <c r="E42" s="47">
        <v>35</v>
      </c>
      <c r="F42" t="s">
        <v>433</v>
      </c>
    </row>
    <row r="43" spans="5:6" x14ac:dyDescent="0.25">
      <c r="E43" s="47">
        <v>70</v>
      </c>
      <c r="F43" t="s">
        <v>438</v>
      </c>
    </row>
    <row r="45" spans="5:6" ht="16.5" thickBot="1" x14ac:dyDescent="0.3">
      <c r="E45" s="94" t="s">
        <v>440</v>
      </c>
    </row>
    <row r="46" spans="5:6" x14ac:dyDescent="0.25">
      <c r="E46" t="s">
        <v>442</v>
      </c>
    </row>
    <row r="47" spans="5:6" x14ac:dyDescent="0.25">
      <c r="E47" t="s">
        <v>443</v>
      </c>
    </row>
    <row r="48" spans="5:6" x14ac:dyDescent="0.25">
      <c r="E48" t="s">
        <v>444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439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2024-11-01T07:26:56Z</dcterms:modified>
  <dc:language>en-GB</dc:language>
</cp:coreProperties>
</file>