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4C8CCCE9-79EB-45DA-B82E-0AB109BA2E9A}" xr6:coauthVersionLast="47" xr6:coauthVersionMax="47" xr10:uidLastSave="{00000000-0000-0000-0000-000000000000}"/>
  <bookViews>
    <workbookView xWindow="-120" yWindow="-120" windowWidth="57840" windowHeight="29625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Assay!$F$43</definedName>
    <definedName name="adaptlig_targetmass">Assay!$B$43</definedName>
    <definedName name="DNAconc_library">Assay!$G$57</definedName>
    <definedName name="DNAconc_pooled">Assay!$D$40</definedName>
    <definedName name="endrepair_maxvol">reference!$B$3</definedName>
    <definedName name="endrepair_targetmass">Assay!$F$17</definedName>
    <definedName name="exp_date">Assay!$C$2</definedName>
    <definedName name="exp_id">Assay!$C$5</definedName>
    <definedName name="exp_notes">Assay!$C$13</definedName>
    <definedName name="exp_rxns">Assay!$C$12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Assay!$C$73</definedName>
    <definedName name="flowcell_chemisty">Assay!$C$72</definedName>
    <definedName name="flowcell_id">Assay!$C$69</definedName>
    <definedName name="flowcell_maxvol">reference!$B$5</definedName>
    <definedName name="flowcell_runduration">Assay!$C$74</definedName>
    <definedName name="flowcell_status">Assay!$C$70</definedName>
    <definedName name="flowcell_targetmass">Assay!$B$60</definedName>
    <definedName name="flowcell_usage_hrs">Assay!$C$71</definedName>
    <definedName name="library_washbuffer">Assay!$P$45</definedName>
    <definedName name="missing_qc_resolution">reference!$B$7</definedName>
    <definedName name="seq_platform">Assay!$C$68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5" i="1" l="1"/>
  <c r="D35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7" i="1"/>
  <c r="C60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1" i="1"/>
  <c r="F27" i="1"/>
  <c r="F24" i="1"/>
  <c r="D21" i="1"/>
  <c r="F19" i="1"/>
  <c r="C9" i="1"/>
  <c r="G2" i="5" s="1"/>
  <c r="C6" i="1"/>
  <c r="C5" i="1"/>
  <c r="A57" i="1"/>
  <c r="D49" i="1"/>
  <c r="D48" i="1"/>
  <c r="B4" i="4"/>
  <c r="G43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1" i="1"/>
  <c r="X2" i="5" s="1"/>
  <c r="G57" i="1"/>
  <c r="O2" i="5" s="1"/>
  <c r="D40" i="1"/>
  <c r="K2" i="5" s="1"/>
  <c r="F30" i="1"/>
  <c r="F29" i="1"/>
  <c r="D24" i="1"/>
  <c r="D31" i="1" s="1"/>
  <c r="A40" i="1" s="1"/>
  <c r="F23" i="1"/>
  <c r="F22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2" i="1"/>
  <c r="D63" i="1" s="1"/>
  <c r="D45" i="1"/>
  <c r="D46" i="1" s="1"/>
  <c r="D50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AB4" i="2" l="1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<sst xmlns="http://schemas.openxmlformats.org/spreadsheetml/2006/main" count="485" uniqueCount="447">
  <si>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</si>
  <si>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</si>
  <si>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</si>
  <si>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</si>
  <si>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</si>
  <si>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</si>
  <si>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</si>
  <si>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</si>
  <si>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</si>
  <si>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</si>
  <si>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</si>
  <si>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</si>
  <si>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</si>
  <si>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</si>
  <si>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</si>
  <si>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</si>
  <si>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</si>
  <si>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</si>
  <si>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</si>
  <si>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</si>
  <si>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</si>
  <si>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</si>
  <si>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</si>
  <si>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</si>
  <si>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</si>
  <si>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</si>
  <si>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</si>
  <si>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</si>
  <si>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</si>
  <si>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</si>
  <si>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</si>
  <si>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</si>
  <si>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</si>
  <si>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</si>
  <si>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</si>
  <si>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</si>
  <si>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</si>
  <si>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</si>
  <si>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</si>
  <si>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</si>
  <si>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</si>
  <si>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</si>
  <si>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</si>
  <si>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</si>
  <si>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</si>
  <si>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</si>
  <si>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</si>
  <si>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</si>
  <si>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</si>
  <si>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</si>
  <si>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</si>
  <si>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</si>
  <si>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</si>
  <si>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</si>
  <si>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</si>
  <si>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</si>
  <si>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</si>
  <si>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</si>
  <si>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</si>
  <si>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</si>
  <si>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</si>
  <si>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</si>
  <si>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</si>
  <si>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</si>
  <si>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</si>
  <si>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</si>
  <si>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</si>
  <si>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</si>
  <si>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</si>
  <si>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</si>
  <si>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</si>
  <si>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</si>
  <si>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</si>
  <si>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</si>
  <si>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</si>
  <si>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</si>
  <si>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</si>
  <si>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</si>
  <si>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</si>
  <si>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</si>
  <si>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</si>
  <si>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</si>
  <si>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</si>
  <si>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</si>
  <si>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</si>
  <si>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</si>
  <si>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</si>
  <si>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</si>
  <si>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</si>
  <si>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</si>
  <si>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</si>
  <si>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</si>
  <si>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</si>
  <si>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</si>
  <si>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</si>
  <si>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</si>
  <si>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</si>
  <si>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</si>
  <si>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</si>
  <si>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</si>
  <si>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</si>
  <si>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</si>
  <si>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</si>
  <si>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</si>
  <si>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</si>
  <si>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</si>
  <si>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</si>
  <si>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</si>
  <si>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</si>
  <si>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</si>
  <si>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</si>
  <si>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</si>
  <si>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</si>
  <si>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</si>
  <si>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</si>
  <si>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</si>
  <si>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</si>
  <si>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</si>
  <si>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</si>
  <si>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</si>
  <si>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</si>
  <si>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</si>
  <si>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</si>
  <si>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</si>
  <si>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</si>
  <si>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</si>
  <si>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</si>
  <si>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</si>
  <si>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</si>
  <si>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</si>
  <si>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</si>
  <si>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</si>
  <si>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</si>
  <si>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</si>
  <si>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</si>
  <si>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</si>
  <si>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</si>
  <si>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</si>
  <si>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</si>
  <si>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</si>
  <si>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</si>
  <si>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</si>
  <si>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</si>
  <si>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</si>
  <si>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</si>
  <si>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</si>
  <si>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</si>
  <si>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</si>
  <si>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</si>
  <si>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</si>
  <si>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</si>
  <si>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</si>
  <si>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</si>
  <si>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</si>
  <si>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</si>
  <si>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</si>
  <si>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</si>
  <si>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</si>
  <si>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</si>
  <si>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</si>
  <si>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</si>
  <si>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</si>
  <si>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</si>
  <si>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</si>
  <si>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</si>
  <si>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</si>
  <si>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</si>
  <si>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</si>
  <si>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</si>
  <si>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</si>
  <si>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</si>
  <si>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</si>
  <si>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</si>
  <si>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</si>
  <si>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</si>
  <si>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</si>
  <si>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</si>
  <si>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</si>
  <si>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</si>
  <si>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</si>
  <si>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</si>
  <si>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</si>
  <si>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</si>
  <si>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</si>
  <si>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</si>
  <si>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</si>
  <si>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</si>
  <si>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</si>
  <si>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</si>
  <si>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</si>
  <si>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</si>
  <si>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</si>
  <si>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</si>
  <si>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</si>
  <si>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</si>
  <si>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</si>
  <si>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</si>
  <si>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</si>
  <si>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</si>
  <si>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</si>
  <si>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</si>
  <si>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</si>
  <si>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</si>
  <si>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</si>
  <si>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</si>
  <si>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</si>
  <si>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</si>
  <si>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</si>
  <si>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</si>
  <si>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</si>
  <si>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</si>
  <si>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</si>
  <si>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</si>
  <si>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</si>
  <si>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</si>
  <si>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</si>
  <si>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</si>
  <si>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</si>
  <si>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</si>
  <si>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</si>
  <si>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</si>
  <si>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</si>
  <si>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</si>
  <si>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</si>
  <si>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</si>
  <si>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</si>
  <si>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</si>
  <si>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</si>
  <si>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</si>
  <si>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</si>
  <si>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</si>
  <si>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</si>
  <si>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</si>
  <si>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</si>
  <si>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</si>
  <si>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</si>
  <si>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</si>
  <si>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</si>
  <si>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</si>
  <si>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</si>
  <si>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</si>
  <si>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</si>
  <si>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</si>
  <si>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</si>
  <si>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</si>
  <si>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</si>
  <si>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</si>
  <si>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</si>
  <si>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</si>
  <si>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</si>
  <si>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</si>
  <si>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</si>
  <si>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</si>
  <si>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</si>
  <si>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</si>
  <si>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</si>
  <si>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</si>
  <si>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</si>
  <si>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</si>
  <si>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</si>
  <si>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</si>
  <si>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</si>
  <si>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</si>
  <si>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</si>
  <si>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</si>
  <si>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</si>
  <si>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</si>
  <si>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</si>
  <si>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</si>
  <si>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</si>
  <si>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</si>
  <si>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</si>
  <si>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</si>
  <si>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</si>
  <si>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</si>
  <si>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</si>
  <si>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</si>
  <si>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</si>
  <si>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</si>
  <si>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</si>
  <si>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</si>
  <si>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</si>
  <si>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</si>
  <si>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</si>
  <si>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</si>
  <si>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</si>
  <si>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</si>
  <si>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</si>
  <si>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</si>
  <si>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</si>
  <si>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</si>
  <si>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</si>
  <si>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</si>
  <si>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</si>
  <si>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</si>
  <si>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</si>
  <si>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</si>
  <si>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</si>
  <si>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</si>
  <si>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</si>
  <si>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</si>
  <si>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</si>
  <si>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</si>
  <si>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</si>
  <si>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</si>
  <si>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</si>
  <si>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</si>
  <si>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</si>
  <si>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</si>
  <si>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</si>
  <si>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</si>
  <si>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</si>
  <si>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</si>
  <si>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</si>
  <si>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</si>
  <si>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</si>
  <si>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</si>
  <si>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</si>
  <si>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</si>
  <si>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</si>
  <si>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</si>
  <si>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</si>
  <si>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</si>
  <si>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</si>
  <si>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</si>
  <si>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</si>
  <si>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</si>
  <si>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</si>
  <si>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</si>
  <si>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</si>
  <si>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</si>
  <si>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</si>
  <si>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</si>
  <si>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</si>
  <si>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</si>
  <si>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</si>
  <si>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</si>
  <si>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</si>
  <si>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</si>
  <si>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</si>
  <si>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</si>
  <si>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</si>
  <si>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</si>
  <si>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</si>
  <si>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</si>
  <si>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</si>
  <si>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</si>
  <si>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</si>
  <si>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</si>
  <si>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</si>
  <si>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</si>
  <si>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</si>
  <si>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</si>
  <si>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</si>
  <si>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</si>
  <si>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</si>
  <si>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</si>
  <si>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</si>
  <si>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</si>
  <si>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</si>
  <si>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</si>
  <si>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</si>
  <si>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</si>
  <si>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</si>
  <si>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</si>
  <si>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</si>
  <si>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</si>
  <si>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</si>
  <si>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</si>
  <si>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</si>
  <si>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</si>
  <si>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</si>
  <si>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</si>
  <si>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</si>
  <si>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</si>
  <si>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</si>
  <si>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</si>
  <si>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</si>
  <si>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</si>
  <si>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</si>
  <si>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</si>
  <si>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</si>
  <si>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</si>
  <si>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</si>
  <si>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</si>
  <si>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</si>
  <si>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</si>
  <si>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</si>
  <si>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</si>
  <si>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</si>
  <si>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</si>
  <si>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</si>
  <si>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</si>
  <si>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</si>
  <si>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</si>
  <si>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</si>
  <si>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</si>
  <si>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</si>
  <si>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</si>
  <si>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</si>
  <si>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</si>
  <si>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</si>
  <si>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</si>
  <si>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</si>
  <si>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</si>
  <si>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</si>
  <si>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</si>
  <si>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</si>
  <si>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</si>
  <si>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</si>
  <si>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</si>
  <si>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</si>
  <si>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</si>
  <si>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</si>
  <si>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</si>
  <si>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</si>
  <si>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</si>
  <si>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</si>
  <si>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</si>
  <si>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</si>
  <si>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</si>
  <si>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</si>
  <si>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Logic to deal with samples that have not been quantified</t>
  </si>
  <si>
    <t>DNA source:</t>
  </si>
  <si>
    <t>Incorporation of Anophelese protocol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</si>
  <si>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</si>
  <si>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</si>
  <si>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</si>
  <si>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</si>
  <si>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</si>
  <si>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</si>
  <si>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</si>
  <si>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</si>
  <si>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</si>
  <si>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</si>
  <si>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</si>
  <si>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</si>
  <si>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</si>
  <si>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</si>
  <si>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</si>
  <si>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</si>
  <si>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</si>
  <si>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</si>
  <si>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</si>
  <si>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field</t>
  </si>
  <si>
    <t>positive_control</t>
  </si>
  <si>
    <t>negative_control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</si>
</sst>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8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9" fillId="17" borderId="0" xfId="1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0" fontId="21" fillId="19" borderId="1" xfId="0" applyFont="1" applyFill="1" applyBorder="1"/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7">
    <dxf>
      <numFmt numFmtId="0" formatCode="General"/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6"/>
    <tableColumn id="16" xr3:uid="{D11167BC-CEB0-4BCF-918C-7AFD807B17A9}" name="Column" dataDxfId="45">
      <calculatedColumnFormula>RIGHT(tbl_SeqLib[[#This Row],[Well]],LEN(tbl_SeqLib[[#This Row],[Well]])-1)</calculatedColumnFormula>
    </tableColumn>
    <tableColumn id="2" xr3:uid="{00000000-0010-0000-0000-000002000000}" name="Well" dataDxfId="44"/>
    <tableColumn id="3" xr3:uid="{00000000-0010-0000-0000-000003000000}" name="Sample ID" dataDxfId="43"/>
    <tableColumn id="4" xr3:uid="{00000000-0010-0000-0000-000004000000}" name="Extraction ID" dataDxfId="16"/>
    <tableColumn id="27" xr3:uid="{D655D6C8-1850-4AC0-8484-17625A62737D}" name="Sample Type" dataDxfId="17"/>
    <tableColumn id="5" xr3:uid="{00000000-0010-0000-0000-000005000000}" name="sWGA Identifier" dataDxfId="42"/>
    <tableColumn id="6" xr3:uid="{00000000-0010-0000-0000-000006000000}" name="PCR Identifier" dataDxfId="41"/>
    <tableColumn id="7" xr3:uid="{00000000-0010-0000-0000-000007000000}" name="Qubit PCR [DNA] (ng/µl)" dataDxfId="40"/>
    <tableColumn id="8" xr3:uid="{00000000-0010-0000-0000-000008000000}" name="PCR Dilution Factor" dataDxfId="39"/>
    <tableColumn id="9" xr3:uid="{00000000-0010-0000-0000-000009000000}" name="PCR [DNA] (ng / µl)"/>
    <tableColumn id="10" xr3:uid="{00000000-0010-0000-0000-00000A000000}" name="Barcode#" dataDxfId="38"/>
    <tableColumn id="26" xr3:uid="{F1EFF32A-7BE1-415D-A6C1-EB6298E86B67}" name="entry" dataDxfId="37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6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5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4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3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2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31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30">
      <calculatedColumnFormula>IF(tbl_SeqLib[[#This Row],[entry]]=2,tbl_SeqLib[[#This Row],[Max for col]],"")</calculatedColumnFormula>
    </tableColumn>
    <tableColumn id="34" xr3:uid="{B52F91B1-8FA3-4813-9699-EE87E0A73E1F}" name="1 per col (avg)" dataDxfId="29">
      <calculatedColumnFormula>IF(tbl_SeqLib[[#This Row],[entry]]=2,tbl_SeqLib[[#This Row],[Avg for col]],"")</calculatedColumnFormula>
    </tableColumn>
    <tableColumn id="22" xr3:uid="{3DBE046E-BBA1-40FE-9D15-A56B3030C6C7}" name="Avg per plate" dataDxfId="28">
      <calculatedColumnFormula>IF(tbl_SeqLib[[#This Row],[entry]]=2,AVERAGE(tbl_SeqLib[Exact]),"")</calculatedColumnFormula>
    </tableColumn>
    <tableColumn id="23" xr3:uid="{C00DCD81-1FEF-4ABB-8CC7-499C0C2570E9}" name="Max per plate" dataDxfId="27">
      <calculatedColumnFormula>IF(tbl_SeqLib[[#This Row],[entry]]=2,MAX(tbl_SeqLib[Exact]),"")</calculatedColumnFormula>
    </tableColumn>
    <tableColumn id="24" xr3:uid="{5078A409-FC75-4147-9A85-9D0F799A65C0}" name="2 per plate" dataDxfId="26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5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4">
      <calculatedColumnFormula>IF(tbl_SeqLib[[#This Row],[entry]]=1,ROUNDUP(AVERAGE(tbl_SeqLib[Exact]),1),"")</calculatedColumnFormula>
    </tableColumn>
    <tableColumn id="29" xr3:uid="{C102ACE7-217E-4DB5-BABC-91C1DAD8AB2B}" name="Avg per col (missing)" dataDxfId="23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2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21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20"/>
    <tableColumn id="12" xr3:uid="{00000000-0010-0000-0000-00000C000000}" name="NF H20 (µl)" dataDxfId="19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0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4"/>
  <sheetViews>
    <sheetView topLeftCell="A13" zoomScale="160" zoomScaleNormal="160" workbookViewId="0">
      <selection activeCell="F35" sqref="F35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4" t="s">
        <v>395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5.75" customHeight="1" x14ac:dyDescent="0.25">
      <c r="A2" s="95" t="s">
        <v>0</v>
      </c>
      <c r="B2" s="95"/>
      <c r="C2" s="96"/>
      <c r="D2" s="96"/>
      <c r="E2" s="96"/>
      <c r="F2" s="96"/>
      <c r="G2" s="97" t="s">
        <v>1</v>
      </c>
      <c r="H2" s="97"/>
      <c r="J2" s="98" t="s">
        <v>2</v>
      </c>
      <c r="K2" s="98"/>
    </row>
    <row r="3" spans="1:12" ht="15.75" customHeight="1" x14ac:dyDescent="0.25">
      <c r="A3" s="95" t="s">
        <v>3</v>
      </c>
      <c r="B3" s="95"/>
      <c r="C3" s="99"/>
      <c r="D3" s="99"/>
      <c r="E3" s="99"/>
      <c r="F3" s="99"/>
      <c r="G3" s="3" t="s">
        <v>4</v>
      </c>
      <c r="J3" s="100" t="s">
        <v>5</v>
      </c>
      <c r="K3" s="100"/>
    </row>
    <row r="4" spans="1:12" ht="15.75" customHeight="1" x14ac:dyDescent="0.25">
      <c r="A4" s="95" t="s">
        <v>6</v>
      </c>
      <c r="B4" s="95"/>
      <c r="C4" s="96"/>
      <c r="D4" s="96"/>
      <c r="E4" s="96"/>
      <c r="F4" s="96"/>
      <c r="G4" s="4" t="s">
        <v>7</v>
      </c>
      <c r="J4" s="101" t="s">
        <v>8</v>
      </c>
      <c r="K4" s="101"/>
    </row>
    <row r="5" spans="1:12" ht="15.75" customHeight="1" x14ac:dyDescent="0.25">
      <c r="A5" s="102" t="s">
        <v>9</v>
      </c>
      <c r="B5" s="102"/>
      <c r="C5" s="103" t="str">
        <f>IF(OR(ISBLANK(C3),ISBLANK(C4)),"",CONCATENATE("SL",VLOOKUP(C3,reference!H3:I9,2,FALSE()),C4))</f>
        <v/>
      </c>
      <c r="D5" s="103"/>
      <c r="E5" s="103"/>
      <c r="F5" s="103"/>
      <c r="G5" s="5" t="s">
        <v>10</v>
      </c>
      <c r="J5" s="104" t="s">
        <v>11</v>
      </c>
      <c r="K5" s="104"/>
    </row>
    <row r="6" spans="1:12" ht="15.75" customHeight="1" x14ac:dyDescent="0.25">
      <c r="A6" s="102" t="s">
        <v>12</v>
      </c>
      <c r="B6" s="102"/>
      <c r="C6" s="105" t="str">
        <f>IF(OR(ISBLANK(C2),ISBLANK(C3),ISBLANK(C4)),"",CONCATENATE(C2,"_SeqLib_",C5))</f>
        <v/>
      </c>
      <c r="D6" s="105"/>
      <c r="E6" s="105"/>
      <c r="F6" s="105"/>
      <c r="G6" s="5"/>
      <c r="J6" s="104"/>
      <c r="K6" s="104"/>
    </row>
    <row r="7" spans="1:12" ht="15.75" customHeight="1" x14ac:dyDescent="0.25">
      <c r="A7" s="106" t="s">
        <v>13</v>
      </c>
      <c r="B7" s="106"/>
      <c r="C7" s="107"/>
      <c r="D7" s="107"/>
      <c r="E7" s="107"/>
      <c r="F7" s="107"/>
      <c r="G7" s="5" t="s">
        <v>4</v>
      </c>
    </row>
    <row r="8" spans="1:12" ht="15.75" customHeight="1" x14ac:dyDescent="0.25">
      <c r="A8" s="106" t="s">
        <v>14</v>
      </c>
      <c r="B8" s="106"/>
      <c r="C8" s="107"/>
      <c r="D8" s="107"/>
      <c r="E8" s="107"/>
      <c r="F8" s="107"/>
      <c r="G8" s="3" t="s">
        <v>15</v>
      </c>
    </row>
    <row r="9" spans="1:12" ht="15.75" customHeight="1" x14ac:dyDescent="0.25">
      <c r="A9" s="108" t="s">
        <v>16</v>
      </c>
      <c r="B9" s="108"/>
      <c r="C9" s="109" t="str">
        <f>IF(OR(LEN(C7)=0, LEN(C8)=0),"",CONCATENATE(C7,"_Batch",C8))</f>
        <v/>
      </c>
      <c r="D9" s="109"/>
      <c r="E9" s="109"/>
      <c r="F9" s="109"/>
      <c r="G9" s="5" t="s">
        <v>17</v>
      </c>
    </row>
    <row r="10" spans="1:12" ht="15.75" customHeight="1" x14ac:dyDescent="0.25">
      <c r="A10" s="108" t="s">
        <v>18</v>
      </c>
      <c r="B10" s="108"/>
      <c r="C10" s="109" t="str">
        <f>IF(OR(LEN(C6)=0,LEN(exp_summary)=0),"",CONCATENATE(C6,"_",exp_summary))</f>
        <v/>
      </c>
      <c r="D10" s="109"/>
      <c r="E10" s="109"/>
      <c r="F10" s="109"/>
      <c r="G10" s="109"/>
      <c r="H10" s="109"/>
    </row>
    <row r="11" spans="1:12" ht="15.75" customHeight="1" x14ac:dyDescent="0.25">
      <c r="A11" s="95" t="s">
        <v>423</v>
      </c>
      <c r="B11" s="95"/>
      <c r="C11" s="115"/>
      <c r="D11" s="115"/>
      <c r="E11" s="115"/>
      <c r="F11" s="115"/>
      <c r="G11" s="5" t="s">
        <v>4</v>
      </c>
      <c r="H11" s="25"/>
      <c r="I11" s="25"/>
    </row>
    <row r="12" spans="1:12" ht="15.75" customHeight="1" x14ac:dyDescent="0.25">
      <c r="A12" s="95" t="s">
        <v>19</v>
      </c>
      <c r="B12" s="95"/>
      <c r="C12" s="27"/>
      <c r="D12" s="25"/>
      <c r="E12" s="25"/>
      <c r="F12" s="25"/>
      <c r="G12" s="5"/>
    </row>
    <row r="13" spans="1:12" ht="15.75" customHeight="1" x14ac:dyDescent="0.25">
      <c r="A13" s="95" t="s">
        <v>20</v>
      </c>
      <c r="B13" s="95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2" x14ac:dyDescent="0.25">
      <c r="A14" s="1"/>
      <c r="B14" s="1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2" x14ac:dyDescent="0.25">
      <c r="C15" s="6"/>
    </row>
    <row r="16" spans="1:12" x14ac:dyDescent="0.25">
      <c r="A16" s="7" t="s">
        <v>21</v>
      </c>
      <c r="C16" s="8"/>
      <c r="G16" s="8"/>
      <c r="I16" s="111" t="s">
        <v>22</v>
      </c>
      <c r="J16" s="111"/>
      <c r="K16" s="111"/>
    </row>
    <row r="17" spans="1:11" x14ac:dyDescent="0.25">
      <c r="A17" s="9" t="s">
        <v>337</v>
      </c>
      <c r="B17" s="9"/>
      <c r="C17" s="9"/>
      <c r="D17" s="9"/>
      <c r="E17" s="9"/>
      <c r="F17" s="28"/>
      <c r="G17" s="9" t="str">
        <f>CONCATENATE("ng added, max vol = ", endrepair_maxvol, " µl, max 800ng")</f>
        <v>ng added, max vol = 10 µl, max 800ng</v>
      </c>
      <c r="H17" s="5"/>
    </row>
    <row r="18" spans="1:11" s="3" customFormat="1" x14ac:dyDescent="0.25">
      <c r="A18" s="5" t="s">
        <v>23</v>
      </c>
      <c r="C18" s="2" t="s">
        <v>24</v>
      </c>
      <c r="D18" s="33">
        <v>0.1</v>
      </c>
      <c r="F18" s="6"/>
    </row>
    <row r="19" spans="1:11" s="3" customFormat="1" ht="15.75" customHeight="1" x14ac:dyDescent="0.25">
      <c r="A19" s="112" t="s">
        <v>25</v>
      </c>
      <c r="B19" s="112"/>
      <c r="C19" s="112"/>
      <c r="D19" s="113" t="s">
        <v>26</v>
      </c>
      <c r="E19" s="113"/>
      <c r="F19" s="113" t="str">
        <f>CONCATENATE("MM x",exp_rxns," (µl)")</f>
        <v>MM x (µl)</v>
      </c>
      <c r="G19" s="113"/>
      <c r="I19" s="114" t="s">
        <v>27</v>
      </c>
      <c r="J19" s="114"/>
      <c r="K19" s="11" t="s">
        <v>28</v>
      </c>
    </row>
    <row r="20" spans="1:11" s="3" customFormat="1" ht="15.75" customHeight="1" x14ac:dyDescent="0.25">
      <c r="A20" s="116" t="s">
        <v>29</v>
      </c>
      <c r="B20" s="116"/>
      <c r="C20" s="116"/>
      <c r="D20" s="117" t="s">
        <v>30</v>
      </c>
      <c r="E20" s="117"/>
      <c r="F20" s="118" t="s">
        <v>31</v>
      </c>
      <c r="G20" s="118"/>
      <c r="I20" s="119">
        <v>20</v>
      </c>
      <c r="J20" s="119"/>
      <c r="K20" s="8">
        <v>15</v>
      </c>
    </row>
    <row r="21" spans="1:11" s="3" customFormat="1" ht="18.75" customHeight="1" x14ac:dyDescent="0.25">
      <c r="A21" s="116" t="s">
        <v>32</v>
      </c>
      <c r="B21" s="116"/>
      <c r="C21" s="116"/>
      <c r="D21" s="117" t="str">
        <f>CONCATENATE(endrepair_maxvol, " - x")</f>
        <v>10 - x</v>
      </c>
      <c r="E21" s="117"/>
      <c r="F21" s="118" t="s">
        <v>31</v>
      </c>
      <c r="G21" s="118"/>
      <c r="I21" s="119">
        <v>65</v>
      </c>
      <c r="J21" s="119"/>
      <c r="K21" s="8">
        <v>15</v>
      </c>
    </row>
    <row r="22" spans="1:11" s="3" customFormat="1" ht="25.35" customHeight="1" x14ac:dyDescent="0.25">
      <c r="A22" s="116" t="s">
        <v>33</v>
      </c>
      <c r="B22" s="116"/>
      <c r="C22" s="116"/>
      <c r="D22" s="120">
        <v>1.4</v>
      </c>
      <c r="E22" s="120"/>
      <c r="F22" s="118">
        <f>SUM(D22*exp_rxns*(1+$D$18))</f>
        <v>0</v>
      </c>
      <c r="G22" s="118"/>
      <c r="I22" s="119">
        <v>4</v>
      </c>
      <c r="J22" s="119"/>
      <c r="K22" s="3" t="s">
        <v>34</v>
      </c>
    </row>
    <row r="23" spans="1:11" s="3" customFormat="1" ht="15.75" customHeight="1" x14ac:dyDescent="0.25">
      <c r="A23" s="116" t="s">
        <v>35</v>
      </c>
      <c r="B23" s="116"/>
      <c r="C23" s="116"/>
      <c r="D23" s="120">
        <v>0.6</v>
      </c>
      <c r="E23" s="120"/>
      <c r="F23" s="118">
        <f>SUM(D23*exp_rxns*(1+$D$18))</f>
        <v>0</v>
      </c>
      <c r="G23" s="118"/>
    </row>
    <row r="24" spans="1:11" s="3" customFormat="1" x14ac:dyDescent="0.25">
      <c r="A24" s="8"/>
      <c r="D24" s="121">
        <f>SUM(D22:D23)+endrepair_maxvol</f>
        <v>12</v>
      </c>
      <c r="E24" s="121"/>
      <c r="F24" s="13" t="str">
        <f>CONCATENATE("Add ",SUM(D22:D23)," µl of MM to each")</f>
        <v>Add 2 µl of MM to each</v>
      </c>
    </row>
    <row r="25" spans="1:11" s="3" customFormat="1" x14ac:dyDescent="0.25">
      <c r="A25" s="8"/>
      <c r="D25" s="12"/>
      <c r="E25" s="12"/>
      <c r="F25" s="13"/>
    </row>
    <row r="26" spans="1:11" s="3" customFormat="1" x14ac:dyDescent="0.25">
      <c r="A26" s="9" t="s">
        <v>36</v>
      </c>
      <c r="B26" s="14"/>
      <c r="C26" s="2" t="s">
        <v>24</v>
      </c>
      <c r="D26" s="10">
        <v>0.1</v>
      </c>
    </row>
    <row r="27" spans="1:11" s="3" customFormat="1" ht="15.75" customHeight="1" x14ac:dyDescent="0.25">
      <c r="A27" s="112" t="s">
        <v>25</v>
      </c>
      <c r="B27" s="112"/>
      <c r="C27" s="112"/>
      <c r="D27" s="113" t="s">
        <v>26</v>
      </c>
      <c r="E27" s="113"/>
      <c r="F27" s="113" t="str">
        <f>CONCATENATE("MM x",exp_rxns," (µl)")</f>
        <v>MM x (µl)</v>
      </c>
      <c r="G27" s="113"/>
      <c r="I27" s="114" t="s">
        <v>27</v>
      </c>
      <c r="J27" s="114"/>
      <c r="K27" s="11" t="s">
        <v>28</v>
      </c>
    </row>
    <row r="28" spans="1:11" s="3" customFormat="1" ht="15.75" customHeight="1" x14ac:dyDescent="0.25">
      <c r="A28" s="116" t="s">
        <v>37</v>
      </c>
      <c r="B28" s="116"/>
      <c r="C28" s="116"/>
      <c r="D28" s="117">
        <v>0.5</v>
      </c>
      <c r="E28" s="117"/>
      <c r="F28" s="118" t="s">
        <v>31</v>
      </c>
      <c r="G28" s="118"/>
      <c r="I28" s="119">
        <v>20</v>
      </c>
      <c r="J28" s="119"/>
      <c r="K28" s="8">
        <v>20</v>
      </c>
    </row>
    <row r="29" spans="1:11" s="3" customFormat="1" ht="15.75" customHeight="1" x14ac:dyDescent="0.25">
      <c r="A29" s="116" t="s">
        <v>38</v>
      </c>
      <c r="B29" s="116"/>
      <c r="C29" s="116"/>
      <c r="D29" s="117">
        <v>6</v>
      </c>
      <c r="E29" s="117"/>
      <c r="F29" s="118">
        <f>SUM(D29*exp_rxns*(1+$D$26))</f>
        <v>0</v>
      </c>
      <c r="G29" s="118"/>
      <c r="I29" s="119">
        <v>65</v>
      </c>
      <c r="J29" s="119"/>
      <c r="K29" s="8">
        <v>10</v>
      </c>
    </row>
    <row r="30" spans="1:11" s="3" customFormat="1" ht="15.75" customHeight="1" x14ac:dyDescent="0.25">
      <c r="A30" s="116" t="s">
        <v>39</v>
      </c>
      <c r="B30" s="116"/>
      <c r="C30" s="116"/>
      <c r="D30" s="117">
        <v>0.2</v>
      </c>
      <c r="E30" s="117"/>
      <c r="F30" s="118">
        <f>SUM(D30*exp_rxns*(1+$D$26))</f>
        <v>0</v>
      </c>
      <c r="G30" s="118"/>
      <c r="I30" s="119">
        <v>8</v>
      </c>
      <c r="J30" s="119"/>
      <c r="K30" s="3" t="s">
        <v>34</v>
      </c>
    </row>
    <row r="31" spans="1:11" s="3" customFormat="1" x14ac:dyDescent="0.25">
      <c r="A31" s="8"/>
      <c r="D31" s="122">
        <f>SUM(D28:D30)+D24</f>
        <v>18.7</v>
      </c>
      <c r="E31" s="122"/>
      <c r="F31" s="13" t="str">
        <f>CONCATENATE("Add ",SUM(D29:D30)," µl of MM to each")</f>
        <v>Add 6.2 µl of MM to each</v>
      </c>
    </row>
    <row r="33" spans="1:11" x14ac:dyDescent="0.25">
      <c r="A33" s="7" t="s">
        <v>40</v>
      </c>
      <c r="C33" s="8"/>
    </row>
    <row r="34" spans="1:11" ht="48" thickBot="1" x14ac:dyDescent="0.3">
      <c r="A34" s="87" t="s">
        <v>425</v>
      </c>
      <c r="B34" s="87" t="s">
        <v>426</v>
      </c>
      <c r="C34" s="87" t="s">
        <v>430</v>
      </c>
      <c r="D34" s="87" t="s">
        <v>428</v>
      </c>
      <c r="E34" s="87" t="s">
        <v>429</v>
      </c>
      <c r="F34" s="87" t="s">
        <v>427</v>
      </c>
      <c r="G34" s="87" t="s">
        <v>431</v>
      </c>
    </row>
    <row r="35" spans="1:11" x14ac:dyDescent="0.25">
      <c r="A35" s="90"/>
      <c r="B35" s="89" t="str">
        <f>IF(OR(ISBLANK(A35),ISBLANK(exp_rxns)),"",SUM(A35*exp_rxns))</f>
        <v/>
      </c>
      <c r="C35" s="90">
        <v>0.4</v>
      </c>
      <c r="D35" s="89" t="str">
        <f>IFERROR(SUM(B35*C35),"")</f>
        <v/>
      </c>
      <c r="E35" s="90"/>
      <c r="F35" s="90"/>
      <c r="G35" s="90"/>
    </row>
    <row r="36" spans="1:11" ht="15.75" customHeight="1" x14ac:dyDescent="0.25">
      <c r="A36" s="71" t="s">
        <v>435</v>
      </c>
      <c r="B36" s="9"/>
      <c r="C36" s="9"/>
      <c r="D36" s="9"/>
      <c r="E36" s="9"/>
      <c r="F36" s="9"/>
      <c r="G36" s="26"/>
    </row>
    <row r="37" spans="1:11" ht="30.75" customHeight="1" x14ac:dyDescent="0.25">
      <c r="A37" s="127" t="s">
        <v>434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1:11" ht="15.75" customHeight="1" x14ac:dyDescent="0.25">
      <c r="A38" s="71" t="s">
        <v>433</v>
      </c>
      <c r="B38" s="9"/>
      <c r="C38" s="9"/>
      <c r="D38" s="9"/>
      <c r="E38" s="9"/>
      <c r="F38" s="9"/>
      <c r="G38" s="9"/>
    </row>
    <row r="39" spans="1:11" ht="46.5" customHeight="1" x14ac:dyDescent="0.25">
      <c r="A39" s="15" t="s">
        <v>41</v>
      </c>
      <c r="B39" s="16" t="s">
        <v>42</v>
      </c>
      <c r="C39" s="16" t="s">
        <v>43</v>
      </c>
      <c r="D39" s="123" t="s">
        <v>44</v>
      </c>
      <c r="E39" s="123"/>
    </row>
    <row r="40" spans="1:11" x14ac:dyDescent="0.25">
      <c r="A40" s="17">
        <f>SUM(exp_rxns*D31)*0.4</f>
        <v>0</v>
      </c>
      <c r="B40" s="34"/>
      <c r="C40" s="34"/>
      <c r="D40" s="124">
        <f>SUM(B40*C40)</f>
        <v>0</v>
      </c>
      <c r="E40" s="124"/>
    </row>
    <row r="42" spans="1:11" x14ac:dyDescent="0.25">
      <c r="A42" s="7" t="s">
        <v>45</v>
      </c>
    </row>
    <row r="43" spans="1:11" x14ac:dyDescent="0.25">
      <c r="A43" s="5" t="s">
        <v>338</v>
      </c>
      <c r="B43" s="28"/>
      <c r="C43" s="9" t="s">
        <v>339</v>
      </c>
      <c r="F43" s="28">
        <v>50</v>
      </c>
      <c r="G43" s="5" t="str">
        <f>_xlfn.CONCAT("µl (recommend 1500 ng of product in ",adaptlig_dna_maxvol," µl max)")</f>
        <v>µl (recommend 1500 ng of product in 30 µl max)</v>
      </c>
    </row>
    <row r="44" spans="1:11" ht="15.75" customHeight="1" thickBot="1" x14ac:dyDescent="0.3">
      <c r="A44" s="114" t="s">
        <v>25</v>
      </c>
      <c r="B44" s="114"/>
      <c r="C44" s="114"/>
      <c r="D44" s="125" t="s">
        <v>26</v>
      </c>
      <c r="E44" s="125"/>
      <c r="I44" s="114" t="s">
        <v>27</v>
      </c>
      <c r="J44" s="114"/>
      <c r="K44" s="11" t="s">
        <v>28</v>
      </c>
    </row>
    <row r="45" spans="1:11" ht="15.75" customHeight="1" x14ac:dyDescent="0.25">
      <c r="A45" s="116" t="s">
        <v>46</v>
      </c>
      <c r="B45" s="116"/>
      <c r="C45" s="116"/>
      <c r="D45" s="126">
        <f>IF(B40="",adaptlig_dna_maxvol,IF(SUM(adaptlig_targetmass/D40)&gt;adaptlig_dna_maxvol,adaptlig_dna_maxvol,SUM(adaptlig_targetmass/D40)))</f>
        <v>30</v>
      </c>
      <c r="E45" s="126"/>
      <c r="F45" s="5"/>
      <c r="I45" s="119" t="s">
        <v>47</v>
      </c>
      <c r="J45" s="119"/>
      <c r="K45" s="8">
        <v>10</v>
      </c>
    </row>
    <row r="46" spans="1:11" ht="15.75" customHeight="1" x14ac:dyDescent="0.25">
      <c r="A46" s="116" t="s">
        <v>32</v>
      </c>
      <c r="B46" s="116"/>
      <c r="C46" s="116"/>
      <c r="D46" s="126">
        <f>IFERROR(SUM(adaptlig_dna_maxvol-D45),"")</f>
        <v>0</v>
      </c>
      <c r="E46" s="126"/>
      <c r="F46" s="8"/>
    </row>
    <row r="47" spans="1:11" ht="15.75" customHeight="1" x14ac:dyDescent="0.25">
      <c r="A47" s="116" t="s">
        <v>48</v>
      </c>
      <c r="B47" s="116"/>
      <c r="C47" s="116"/>
      <c r="D47" s="103">
        <v>5</v>
      </c>
      <c r="E47" s="103"/>
    </row>
    <row r="48" spans="1:11" ht="15.75" customHeight="1" x14ac:dyDescent="0.25">
      <c r="A48" s="116" t="s">
        <v>388</v>
      </c>
      <c r="B48" s="116"/>
      <c r="C48" s="116"/>
      <c r="D48" s="103">
        <f>SUM(adaptlig_rxn_vol/5)</f>
        <v>10</v>
      </c>
      <c r="E48" s="103"/>
    </row>
    <row r="49" spans="1:12" ht="15.75" customHeight="1" x14ac:dyDescent="0.25">
      <c r="A49" s="116" t="s">
        <v>49</v>
      </c>
      <c r="B49" s="116"/>
      <c r="C49" s="116"/>
      <c r="D49" s="103">
        <f>SUM(adaptlig_rxn_vol/10)</f>
        <v>5</v>
      </c>
      <c r="E49" s="103"/>
    </row>
    <row r="50" spans="1:12" x14ac:dyDescent="0.25">
      <c r="D50" s="128">
        <f>SUM(D45:D49)</f>
        <v>50</v>
      </c>
      <c r="E50" s="128"/>
    </row>
    <row r="52" spans="1:12" x14ac:dyDescent="0.25">
      <c r="A52" s="7" t="s">
        <v>389</v>
      </c>
    </row>
    <row r="53" spans="1:12" x14ac:dyDescent="0.25">
      <c r="B53" s="1" t="s">
        <v>390</v>
      </c>
      <c r="C53" s="47"/>
      <c r="D53" s="71" t="s">
        <v>432</v>
      </c>
    </row>
    <row r="54" spans="1:12" x14ac:dyDescent="0.25">
      <c r="A54" s="131" t="s">
        <v>391</v>
      </c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</row>
    <row r="55" spans="1:12" x14ac:dyDescent="0.25">
      <c r="A55" s="71" t="s">
        <v>433</v>
      </c>
      <c r="B55" s="9"/>
      <c r="C55" s="9"/>
      <c r="D55" s="9"/>
      <c r="E55" s="9"/>
      <c r="F55" s="9"/>
      <c r="G55" s="9"/>
      <c r="I55" s="71"/>
      <c r="J55" s="71"/>
      <c r="K55" s="71"/>
      <c r="L55" s="88"/>
    </row>
    <row r="56" spans="1:12" ht="32.25" customHeight="1" thickBot="1" x14ac:dyDescent="0.3">
      <c r="A56" s="112" t="s">
        <v>41</v>
      </c>
      <c r="B56" s="112"/>
      <c r="C56" s="112" t="s">
        <v>50</v>
      </c>
      <c r="D56" s="112"/>
      <c r="E56" s="112" t="s">
        <v>43</v>
      </c>
      <c r="F56" s="112"/>
      <c r="G56" s="112" t="s">
        <v>51</v>
      </c>
      <c r="H56" s="112"/>
    </row>
    <row r="57" spans="1:12" x14ac:dyDescent="0.25">
      <c r="A57" s="129">
        <f>SUM(adaptlig_rxn_vol*0.5)</f>
        <v>25</v>
      </c>
      <c r="B57" s="129"/>
      <c r="C57" s="130"/>
      <c r="D57" s="130"/>
      <c r="E57" s="130"/>
      <c r="F57" s="130"/>
      <c r="G57" s="119">
        <f>SUM(C57*E57)</f>
        <v>0</v>
      </c>
      <c r="H57" s="119"/>
    </row>
    <row r="59" spans="1:12" x14ac:dyDescent="0.25">
      <c r="A59" s="7" t="s">
        <v>52</v>
      </c>
    </row>
    <row r="60" spans="1:12" x14ac:dyDescent="0.25">
      <c r="A60" s="5" t="s">
        <v>338</v>
      </c>
      <c r="B60" s="28"/>
      <c r="C60" s="9" t="str">
        <f>CONCATENATE("ng of library (max volume = ", flowcell_maxvol,"µl), recommend 800 ng")</f>
        <v>ng of library (max volume = 12µl), recommend 800 ng</v>
      </c>
      <c r="H60" s="18"/>
    </row>
    <row r="61" spans="1:12" ht="15.75" customHeight="1" x14ac:dyDescent="0.25">
      <c r="A61" s="114" t="s">
        <v>25</v>
      </c>
      <c r="B61" s="114"/>
      <c r="C61" s="114"/>
      <c r="D61" s="125" t="s">
        <v>26</v>
      </c>
      <c r="E61" s="125"/>
    </row>
    <row r="62" spans="1:12" ht="15.75" customHeight="1" x14ac:dyDescent="0.25">
      <c r="A62" s="123" t="s">
        <v>53</v>
      </c>
      <c r="B62" s="123"/>
      <c r="C62" s="123"/>
      <c r="D62" s="126">
        <f>IF(C57="",flowcell_maxvol,IF(SUM(flowcell_targetmass/G57)&gt;flowcell_maxvol,flowcell_maxvol,SUM(flowcell_targetmass/G57)))</f>
        <v>12</v>
      </c>
      <c r="E62" s="126"/>
    </row>
    <row r="63" spans="1:12" ht="15.75" customHeight="1" x14ac:dyDescent="0.25">
      <c r="A63" s="123" t="s">
        <v>54</v>
      </c>
      <c r="B63" s="123"/>
      <c r="C63" s="123"/>
      <c r="D63" s="126" t="str">
        <f>IFERROR((IF(SUM(12-D62)=0,"-",SUM(12-D62))),"")</f>
        <v>-</v>
      </c>
      <c r="E63" s="126"/>
    </row>
    <row r="64" spans="1:12" ht="15.75" customHeight="1" x14ac:dyDescent="0.25">
      <c r="A64" s="116" t="s">
        <v>396</v>
      </c>
      <c r="B64" s="116"/>
      <c r="C64" s="116"/>
      <c r="D64" s="132">
        <v>37.5</v>
      </c>
      <c r="E64" s="132"/>
    </row>
    <row r="65" spans="1:6" ht="15.75" customHeight="1" x14ac:dyDescent="0.25">
      <c r="A65" s="116" t="s">
        <v>397</v>
      </c>
      <c r="B65" s="116"/>
      <c r="C65" s="116"/>
      <c r="D65" s="132">
        <v>25.5</v>
      </c>
      <c r="E65" s="132"/>
      <c r="F65" s="5" t="s">
        <v>55</v>
      </c>
    </row>
    <row r="67" spans="1:6" x14ac:dyDescent="0.25">
      <c r="A67" s="7" t="s">
        <v>56</v>
      </c>
      <c r="C67" s="5"/>
    </row>
    <row r="68" spans="1:6" ht="15.75" customHeight="1" x14ac:dyDescent="0.25">
      <c r="A68" s="95" t="s">
        <v>57</v>
      </c>
      <c r="B68" s="95"/>
      <c r="C68" s="134"/>
      <c r="D68" s="134"/>
      <c r="E68" s="5" t="s">
        <v>4</v>
      </c>
    </row>
    <row r="69" spans="1:6" ht="15.75" customHeight="1" x14ac:dyDescent="0.25">
      <c r="A69" s="95" t="s">
        <v>59</v>
      </c>
      <c r="B69" s="95"/>
      <c r="C69" s="133"/>
      <c r="D69" s="133"/>
    </row>
    <row r="70" spans="1:6" ht="15.75" customHeight="1" x14ac:dyDescent="0.25">
      <c r="A70" s="95" t="s">
        <v>60</v>
      </c>
      <c r="B70" s="95"/>
      <c r="C70" s="133"/>
      <c r="D70" s="133"/>
    </row>
    <row r="71" spans="1:6" ht="15.75" customHeight="1" x14ac:dyDescent="0.25">
      <c r="A71" s="95" t="s">
        <v>61</v>
      </c>
      <c r="B71" s="95"/>
      <c r="C71" s="135" t="str">
        <f>IF(flowcell_status="New",0,"")</f>
        <v/>
      </c>
      <c r="D71" s="135"/>
      <c r="E71" s="9" t="s">
        <v>62</v>
      </c>
    </row>
    <row r="72" spans="1:6" ht="15.75" customHeight="1" x14ac:dyDescent="0.25">
      <c r="A72" s="95" t="s">
        <v>63</v>
      </c>
      <c r="B72" s="95"/>
      <c r="C72" s="134"/>
      <c r="D72" s="134"/>
      <c r="E72" s="5" t="s">
        <v>4</v>
      </c>
    </row>
    <row r="73" spans="1:6" ht="15.75" customHeight="1" x14ac:dyDescent="0.25">
      <c r="A73" s="95" t="s">
        <v>65</v>
      </c>
      <c r="B73" s="95"/>
      <c r="C73" s="133"/>
      <c r="D73" s="133"/>
      <c r="E73" s="9" t="s">
        <v>66</v>
      </c>
    </row>
    <row r="74" spans="1:6" ht="15.75" customHeight="1" x14ac:dyDescent="0.25">
      <c r="A74" s="95" t="s">
        <v>67</v>
      </c>
      <c r="B74" s="95"/>
      <c r="C74" s="133"/>
      <c r="D74" s="133"/>
      <c r="E74" s="9" t="s">
        <v>68</v>
      </c>
    </row>
  </sheetData>
  <sheetProtection sheet="1" objects="1" scenarios="1"/>
  <mergeCells count="118">
    <mergeCell ref="A73:B73"/>
    <mergeCell ref="C73:D73"/>
    <mergeCell ref="A74:B74"/>
    <mergeCell ref="C74:D74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B56"/>
    <mergeCell ref="C56:D56"/>
    <mergeCell ref="E56:F56"/>
    <mergeCell ref="G56:H56"/>
    <mergeCell ref="A57:B57"/>
    <mergeCell ref="C57:D57"/>
    <mergeCell ref="E57:F57"/>
    <mergeCell ref="G57:H57"/>
    <mergeCell ref="A54:L54"/>
    <mergeCell ref="A46:C46"/>
    <mergeCell ref="D46:E46"/>
    <mergeCell ref="A47:C47"/>
    <mergeCell ref="D47:E47"/>
    <mergeCell ref="A48:C48"/>
    <mergeCell ref="D48:E48"/>
    <mergeCell ref="A49:C49"/>
    <mergeCell ref="D49:E49"/>
    <mergeCell ref="D50:E50"/>
    <mergeCell ref="D39:E39"/>
    <mergeCell ref="D40:E40"/>
    <mergeCell ref="A44:C44"/>
    <mergeCell ref="D44:E44"/>
    <mergeCell ref="I44:J44"/>
    <mergeCell ref="A45:C45"/>
    <mergeCell ref="D45:E45"/>
    <mergeCell ref="I45:J45"/>
    <mergeCell ref="A37:K37"/>
    <mergeCell ref="A29:C29"/>
    <mergeCell ref="D29:E29"/>
    <mergeCell ref="F29:G29"/>
    <mergeCell ref="I29:J29"/>
    <mergeCell ref="A30:C30"/>
    <mergeCell ref="D30:E30"/>
    <mergeCell ref="F30:G30"/>
    <mergeCell ref="I30:J30"/>
    <mergeCell ref="D31:E31"/>
    <mergeCell ref="A23:C23"/>
    <mergeCell ref="D23:E23"/>
    <mergeCell ref="F23:G23"/>
    <mergeCell ref="D24:E24"/>
    <mergeCell ref="A27:C27"/>
    <mergeCell ref="D27:E27"/>
    <mergeCell ref="F27:G27"/>
    <mergeCell ref="I27:J27"/>
    <mergeCell ref="A28:C28"/>
    <mergeCell ref="D28:E28"/>
    <mergeCell ref="F28:G28"/>
    <mergeCell ref="I28:J28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I22:J22"/>
    <mergeCell ref="A9:B9"/>
    <mergeCell ref="C9:F9"/>
    <mergeCell ref="A10:B10"/>
    <mergeCell ref="C10:H10"/>
    <mergeCell ref="A12:B12"/>
    <mergeCell ref="A13:B13"/>
    <mergeCell ref="C13:K14"/>
    <mergeCell ref="I16:K16"/>
    <mergeCell ref="A19:C19"/>
    <mergeCell ref="D19:E19"/>
    <mergeCell ref="F19:G19"/>
    <mergeCell ref="I19:J19"/>
    <mergeCell ref="A11:B11"/>
    <mergeCell ref="C11:F11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A35">
    <cfRule type="expression" dxfId="15" priority="5">
      <formula>COUNTIF(A35,"")</formula>
    </cfRule>
  </conditionalFormatting>
  <conditionalFormatting sqref="B60">
    <cfRule type="expression" dxfId="14" priority="7">
      <formula>COUNTIF(B60,"")</formula>
    </cfRule>
  </conditionalFormatting>
  <conditionalFormatting sqref="C2:C4 C7:C8 C11:C13 F17 B40:C40 B43 C57:E57 C68:C70 C72:C74">
    <cfRule type="expression" dxfId="13" priority="10">
      <formula>COUNTIF(B2,"")</formula>
    </cfRule>
  </conditionalFormatting>
  <conditionalFormatting sqref="C35">
    <cfRule type="expression" dxfId="12" priority="1">
      <formula>COUNTIF(C35,"")</formula>
    </cfRule>
  </conditionalFormatting>
  <conditionalFormatting sqref="C53">
    <cfRule type="expression" dxfId="11" priority="2">
      <formula>COUNTIF(C53,"")</formula>
    </cfRule>
  </conditionalFormatting>
  <conditionalFormatting sqref="C73">
    <cfRule type="cellIs" dxfId="9" priority="11" operator="lessThan">
      <formula>800</formula>
    </cfRule>
    <cfRule type="cellIs" dxfId="8" priority="12" operator="greaterThanOrEqual">
      <formula>800</formula>
    </cfRule>
  </conditionalFormatting>
  <conditionalFormatting sqref="D40">
    <cfRule type="cellIs" dxfId="7" priority="15" operator="lessThan">
      <formula>2</formula>
    </cfRule>
    <cfRule type="cellIs" dxfId="6" priority="16" operator="greaterThanOrEqual">
      <formula>2</formula>
    </cfRule>
  </conditionalFormatting>
  <conditionalFormatting sqref="E35:G35">
    <cfRule type="expression" dxfId="5" priority="4">
      <formula>COUNTIF(E35,"")</formula>
    </cfRule>
  </conditionalFormatting>
  <conditionalFormatting sqref="F43">
    <cfRule type="expression" dxfId="4" priority="8">
      <formula>COUNTIF(F43,"")</formula>
    </cfRule>
  </conditionalFormatting>
  <conditionalFormatting sqref="G57">
    <cfRule type="cellIs" dxfId="3" priority="13" operator="lessThan">
      <formula>2</formula>
    </cfRule>
    <cfRule type="cellIs" dxfId="2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7" xr:uid="{77FA29BE-4BF7-4DBB-8F9D-E8DA28B60EE6}">
      <formula1>200</formula1>
      <formula2>800</formula2>
    </dataValidation>
    <dataValidation type="whole" allowBlank="1" showInputMessage="1" showErrorMessage="1" sqref="B60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COUNTIF($C$70,reference!$E$4)</xm:f>
            <x14:dxf>
              <fill>
                <patternFill>
                  <bgColor rgb="FFFFFF00"/>
                </patternFill>
              </fill>
            </x14:dxf>
          </x14:cfRule>
          <xm:sqref>C71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C70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C68:D68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C72:D72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F35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H15" sqref="H15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6" t="s">
        <v>69</v>
      </c>
      <c r="E1" s="136"/>
      <c r="F1" s="136"/>
      <c r="G1" s="72" t="s">
        <v>70</v>
      </c>
      <c r="H1" s="137" t="s">
        <v>71</v>
      </c>
      <c r="I1" s="137"/>
      <c r="J1" s="137"/>
      <c r="K1" s="137"/>
      <c r="L1" s="138" t="s">
        <v>72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443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403</v>
      </c>
      <c r="N2" s="76" t="s">
        <v>365</v>
      </c>
      <c r="O2" s="76" t="s">
        <v>410</v>
      </c>
      <c r="P2" s="76" t="s">
        <v>411</v>
      </c>
      <c r="Q2" s="76" t="s">
        <v>419</v>
      </c>
      <c r="R2" s="76" t="s">
        <v>413</v>
      </c>
      <c r="S2" s="76" t="s">
        <v>412</v>
      </c>
      <c r="T2" s="76" t="s">
        <v>417</v>
      </c>
      <c r="U2" s="76" t="s">
        <v>418</v>
      </c>
      <c r="V2" s="76" t="s">
        <v>405</v>
      </c>
      <c r="W2" s="76" t="s">
        <v>371</v>
      </c>
      <c r="X2" s="76" t="s">
        <v>372</v>
      </c>
      <c r="Y2" s="76" t="s">
        <v>408</v>
      </c>
      <c r="Z2" s="76" t="s">
        <v>407</v>
      </c>
      <c r="AA2" s="76" t="s">
        <v>406</v>
      </c>
      <c r="AB2" s="76" t="s">
        <v>409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2"/>
      <c r="G3" s="53"/>
      <c r="H3" s="54"/>
      <c r="I3" s="52"/>
      <c r="J3" s="52"/>
      <c r="K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6" t="s">
        <v>86</v>
      </c>
      <c r="M3" s="84">
        <f>IF(OR(ISBLANK(tbl_SeqLib[[#This Row],[Sample ID]]),ISBLANK(endrepair_targetmass)),0,IF(LEN(tbl_SeqLib[[#This Row],[PCR '[DNA'] (ng / µl)]])=0,1,2))</f>
        <v>0</v>
      </c>
      <c r="N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57" t="str">
        <f>IF(tbl_SeqLib[[#This Row],[entry]]=2,ROUNDUP(_xlfn.MINIFS(tbl_SeqLib[Exact],tbl_SeqLib[Column],tbl_SeqLib[[#This Row],[Column]]),1),"")</f>
        <v/>
      </c>
      <c r="P3" s="57" t="str">
        <f>IF(tbl_SeqLib[[#This Row],[entry]]=2,ROUNDDOWN(_xlfn.MAXIFS(tbl_SeqLib[Exact],tbl_SeqLib[Column],tbl_SeqLib[[#This Row],[Column]]),1),"")</f>
        <v/>
      </c>
      <c r="Q3" s="57" t="str">
        <f>IF(tbl_SeqLib[[#This Row],[entry]]=2,ROUNDUP(AVERAGEIFS(tbl_SeqLib[Exact],tbl_SeqLib[Column],tbl_SeqLib[[#This Row],[Column]]),1),"")</f>
        <v/>
      </c>
      <c r="R3" s="57" t="str" cm="1">
        <f t="array" ref="R3">_xlfn.XLOOKUP(0,ABS(tbl_SeqLib[[#This Row],[Min for col]:[Avg for col]]-tbl_SeqLib[[#This Row],[Exact]]),tbl_SeqLib[[#This Row],[Min for col]:[Avg for col]],"",1)</f>
        <v/>
      </c>
      <c r="S3" s="57" t="str" cm="1">
        <f t="array" ref="S3">_xlfn.XLOOKUP(0,ABS(tbl_SeqLib[[#This Row],[Max for col]:[Avg for col]]-tbl_SeqLib[[#This Row],[Exact]]),tbl_SeqLib[[#This Row],[Max for col]:[Avg for col]],"",1)</f>
        <v/>
      </c>
      <c r="T3" s="57" t="str">
        <f>IF(tbl_SeqLib[[#This Row],[entry]]=2,tbl_SeqLib[[#This Row],[Max for col]],"")</f>
        <v/>
      </c>
      <c r="U3" s="57" t="str">
        <f>IF(tbl_SeqLib[[#This Row],[entry]]=2,tbl_SeqLib[[#This Row],[Avg for col]],"")</f>
        <v/>
      </c>
      <c r="V3" s="57" t="str">
        <f>IF(tbl_SeqLib[[#This Row],[entry]]=2,AVERAGE(tbl_SeqLib[Exact]),"")</f>
        <v/>
      </c>
      <c r="W3" s="57" t="str">
        <f>IF(tbl_SeqLib[[#This Row],[entry]]=2,MAX(tbl_SeqLib[Exact]),"")</f>
        <v/>
      </c>
      <c r="X3" s="57" t="str" cm="1">
        <f t="array" ref="X3">_xlfn.XLOOKUP(0,ABS(tbl_SeqLib[[#This Row],[Avg per plate]:[Max per plate]]-tbl_SeqLib[[#This Row],[Exact]]),tbl_SeqLib[[#This Row],[Avg per plate]:[Max per plate]],,1)</f>
        <v/>
      </c>
      <c r="Y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 t="str">
        <f>IF(tbl_SeqLib[[#This Row],[entry]]=0,"",IF(tbl_SeqLib[[#This Row],[entry]]=1,tbl_SeqLib[[#This Row],[Not quantified]],IF(tbl_SeqLib[[#This Row],[entry]]=2,tbl_SeqLib[[#This Row],[Quantified]])))</f>
        <v/>
      </c>
      <c r="AD3" s="91"/>
      <c r="AE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" s="58" t="str">
        <f>IF(ISBLANK(tbl_SeqLib[[#This Row],[sWGA Identifier]]),"",CONCATENATE(exp_id,"_",tbl_SeqLib[[#This Row],[Well]]))</f>
        <v/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19"/>
      <c r="G4" s="29"/>
      <c r="H4" s="30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2" t="s">
        <v>88</v>
      </c>
      <c r="M4" s="85">
        <f>IF(OR(ISBLANK(tbl_SeqLib[[#This Row],[Sample ID]]),ISBLANK(endrepair_targetmass)),0,IF(LEN(tbl_SeqLib[[#This Row],[PCR '[DNA'] (ng / µl)]])=0,1,2))</f>
        <v>0</v>
      </c>
      <c r="N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44" t="str">
        <f>IF(tbl_SeqLib[[#This Row],[entry]]=2,ROUNDUP(_xlfn.MINIFS(tbl_SeqLib[Exact],tbl_SeqLib[Column],tbl_SeqLib[[#This Row],[Column]]),1),"")</f>
        <v/>
      </c>
      <c r="P4" s="44" t="str">
        <f>IF(tbl_SeqLib[[#This Row],[entry]]=2,ROUNDDOWN(_xlfn.MAXIFS(tbl_SeqLib[Exact],tbl_SeqLib[Column],tbl_SeqLib[[#This Row],[Column]]),1),"")</f>
        <v/>
      </c>
      <c r="Q4" s="44" t="str">
        <f>IF(tbl_SeqLib[[#This Row],[entry]]=2,ROUNDUP(AVERAGEIFS(tbl_SeqLib[Exact],tbl_SeqLib[Column],tbl_SeqLib[[#This Row],[Column]]),1),"")</f>
        <v/>
      </c>
      <c r="R4" s="44" t="str" cm="1">
        <f t="array" ref="R4">_xlfn.XLOOKUP(0,ABS(tbl_SeqLib[[#This Row],[Min for col]:[Avg for col]]-tbl_SeqLib[[#This Row],[Exact]]),tbl_SeqLib[[#This Row],[Min for col]:[Avg for col]],"",1)</f>
        <v/>
      </c>
      <c r="S4" s="44" t="str" cm="1">
        <f t="array" ref="S4">_xlfn.XLOOKUP(0,ABS(tbl_SeqLib[[#This Row],[Max for col]:[Avg for col]]-tbl_SeqLib[[#This Row],[Exact]]),tbl_SeqLib[[#This Row],[Max for col]:[Avg for col]],"",1)</f>
        <v/>
      </c>
      <c r="T4" s="44" t="str">
        <f>IF(tbl_SeqLib[[#This Row],[entry]]=2,tbl_SeqLib[[#This Row],[Max for col]],"")</f>
        <v/>
      </c>
      <c r="U4" s="44" t="str">
        <f>IF(tbl_SeqLib[[#This Row],[entry]]=2,tbl_SeqLib[[#This Row],[Avg for col]],"")</f>
        <v/>
      </c>
      <c r="V4" s="44" t="str">
        <f>IF(tbl_SeqLib[[#This Row],[entry]]=2,AVERAGE(tbl_SeqLib[Exact]),"")</f>
        <v/>
      </c>
      <c r="W4" s="44" t="str">
        <f>IF(tbl_SeqLib[[#This Row],[entry]]=2,MAX(tbl_SeqLib[Exact]),"")</f>
        <v/>
      </c>
      <c r="X4" s="44" t="str" cm="1">
        <f t="array" ref="X4">_xlfn.XLOOKUP(0,ABS(tbl_SeqLib[[#This Row],[Avg per plate]:[Max per plate]]-tbl_SeqLib[[#This Row],[Exact]]),tbl_SeqLib[[#This Row],[Avg per plate]:[Max per plate]],,1)</f>
        <v/>
      </c>
      <c r="Y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 t="str">
        <f>IF(tbl_SeqLib[[#This Row],[entry]]=0,"",IF(tbl_SeqLib[[#This Row],[entry]]=1,tbl_SeqLib[[#This Row],[Not quantified]],IF(tbl_SeqLib[[#This Row],[entry]]=2,tbl_SeqLib[[#This Row],[Quantified]])))</f>
        <v/>
      </c>
      <c r="AD4" s="92"/>
      <c r="AE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" s="60" t="str">
        <f>IF(ISBLANK(tbl_SeqLib[[#This Row],[sWGA Identifier]]),"",CONCATENATE(exp_id,"_",tbl_SeqLib[[#This Row],[Well]]))</f>
        <v/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19"/>
      <c r="G5" s="29"/>
      <c r="H5" s="30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2" t="s">
        <v>90</v>
      </c>
      <c r="M5" s="85">
        <f>IF(OR(ISBLANK(tbl_SeqLib[[#This Row],[Sample ID]]),ISBLANK(endrepair_targetmass)),0,IF(LEN(tbl_SeqLib[[#This Row],[PCR '[DNA'] (ng / µl)]])=0,1,2))</f>
        <v>0</v>
      </c>
      <c r="N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44" t="str">
        <f>IF(tbl_SeqLib[[#This Row],[entry]]=2,ROUNDUP(_xlfn.MINIFS(tbl_SeqLib[Exact],tbl_SeqLib[Column],tbl_SeqLib[[#This Row],[Column]]),1),"")</f>
        <v/>
      </c>
      <c r="P5" s="44" t="str">
        <f>IF(tbl_SeqLib[[#This Row],[entry]]=2,ROUNDDOWN(_xlfn.MAXIFS(tbl_SeqLib[Exact],tbl_SeqLib[Column],tbl_SeqLib[[#This Row],[Column]]),1),"")</f>
        <v/>
      </c>
      <c r="Q5" s="44" t="str">
        <f>IF(tbl_SeqLib[[#This Row],[entry]]=2,ROUNDUP(AVERAGEIFS(tbl_SeqLib[Exact],tbl_SeqLib[Column],tbl_SeqLib[[#This Row],[Column]]),1),"")</f>
        <v/>
      </c>
      <c r="R5" s="44" t="str" cm="1">
        <f t="array" ref="R5">_xlfn.XLOOKUP(0,ABS(tbl_SeqLib[[#This Row],[Min for col]:[Avg for col]]-tbl_SeqLib[[#This Row],[Exact]]),tbl_SeqLib[[#This Row],[Min for col]:[Avg for col]],"",1)</f>
        <v/>
      </c>
      <c r="S5" s="44" t="str" cm="1">
        <f t="array" ref="S5">_xlfn.XLOOKUP(0,ABS(tbl_SeqLib[[#This Row],[Max for col]:[Avg for col]]-tbl_SeqLib[[#This Row],[Exact]]),tbl_SeqLib[[#This Row],[Max for col]:[Avg for col]],"",1)</f>
        <v/>
      </c>
      <c r="T5" s="44" t="str">
        <f>IF(tbl_SeqLib[[#This Row],[entry]]=2,tbl_SeqLib[[#This Row],[Max for col]],"")</f>
        <v/>
      </c>
      <c r="U5" s="44" t="str">
        <f>IF(tbl_SeqLib[[#This Row],[entry]]=2,tbl_SeqLib[[#This Row],[Avg for col]],"")</f>
        <v/>
      </c>
      <c r="V5" s="44" t="str">
        <f>IF(tbl_SeqLib[[#This Row],[entry]]=2,AVERAGE(tbl_SeqLib[Exact]),"")</f>
        <v/>
      </c>
      <c r="W5" s="44" t="str">
        <f>IF(tbl_SeqLib[[#This Row],[entry]]=2,MAX(tbl_SeqLib[Exact]),"")</f>
        <v/>
      </c>
      <c r="X5" s="44" t="str" cm="1">
        <f t="array" ref="X5">_xlfn.XLOOKUP(0,ABS(tbl_SeqLib[[#This Row],[Avg per plate]:[Max per plate]]-tbl_SeqLib[[#This Row],[Exact]]),tbl_SeqLib[[#This Row],[Avg per plate]:[Max per plate]],,1)</f>
        <v/>
      </c>
      <c r="Y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 t="str">
        <f>IF(tbl_SeqLib[[#This Row],[entry]]=0,"",IF(tbl_SeqLib[[#This Row],[entry]]=1,tbl_SeqLib[[#This Row],[Not quantified]],IF(tbl_SeqLib[[#This Row],[entry]]=2,tbl_SeqLib[[#This Row],[Quantified]])))</f>
        <v/>
      </c>
      <c r="AD5" s="92"/>
      <c r="AE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" s="60" t="str">
        <f>IF(ISBLANK(tbl_SeqLib[[#This Row],[sWGA Identifier]]),"",CONCATENATE(exp_id,"_",tbl_SeqLib[[#This Row],[Well]]))</f>
        <v/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19"/>
      <c r="G6" s="29"/>
      <c r="H6" s="30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2" t="s">
        <v>92</v>
      </c>
      <c r="M6" s="85">
        <f>IF(OR(ISBLANK(tbl_SeqLib[[#This Row],[Sample ID]]),ISBLANK(endrepair_targetmass)),0,IF(LEN(tbl_SeqLib[[#This Row],[PCR '[DNA'] (ng / µl)]])=0,1,2))</f>
        <v>0</v>
      </c>
      <c r="N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44" t="str">
        <f>IF(tbl_SeqLib[[#This Row],[entry]]=2,ROUNDUP(_xlfn.MINIFS(tbl_SeqLib[Exact],tbl_SeqLib[Column],tbl_SeqLib[[#This Row],[Column]]),1),"")</f>
        <v/>
      </c>
      <c r="P6" s="44" t="str">
        <f>IF(tbl_SeqLib[[#This Row],[entry]]=2,ROUNDDOWN(_xlfn.MAXIFS(tbl_SeqLib[Exact],tbl_SeqLib[Column],tbl_SeqLib[[#This Row],[Column]]),1),"")</f>
        <v/>
      </c>
      <c r="Q6" s="44" t="str">
        <f>IF(tbl_SeqLib[[#This Row],[entry]]=2,ROUNDUP(AVERAGEIFS(tbl_SeqLib[Exact],tbl_SeqLib[Column],tbl_SeqLib[[#This Row],[Column]]),1),"")</f>
        <v/>
      </c>
      <c r="R6" s="44" t="str" cm="1">
        <f t="array" ref="R6">_xlfn.XLOOKUP(0,ABS(tbl_SeqLib[[#This Row],[Min for col]:[Avg for col]]-tbl_SeqLib[[#This Row],[Exact]]),tbl_SeqLib[[#This Row],[Min for col]:[Avg for col]],"",1)</f>
        <v/>
      </c>
      <c r="S6" s="44" t="str" cm="1">
        <f t="array" ref="S6">_xlfn.XLOOKUP(0,ABS(tbl_SeqLib[[#This Row],[Max for col]:[Avg for col]]-tbl_SeqLib[[#This Row],[Exact]]),tbl_SeqLib[[#This Row],[Max for col]:[Avg for col]],"",1)</f>
        <v/>
      </c>
      <c r="T6" s="44" t="str">
        <f>IF(tbl_SeqLib[[#This Row],[entry]]=2,tbl_SeqLib[[#This Row],[Max for col]],"")</f>
        <v/>
      </c>
      <c r="U6" s="44" t="str">
        <f>IF(tbl_SeqLib[[#This Row],[entry]]=2,tbl_SeqLib[[#This Row],[Avg for col]],"")</f>
        <v/>
      </c>
      <c r="V6" s="44" t="str">
        <f>IF(tbl_SeqLib[[#This Row],[entry]]=2,AVERAGE(tbl_SeqLib[Exact]),"")</f>
        <v/>
      </c>
      <c r="W6" s="44" t="str">
        <f>IF(tbl_SeqLib[[#This Row],[entry]]=2,MAX(tbl_SeqLib[Exact]),"")</f>
        <v/>
      </c>
      <c r="X6" s="44" t="str" cm="1">
        <f t="array" ref="X6">_xlfn.XLOOKUP(0,ABS(tbl_SeqLib[[#This Row],[Avg per plate]:[Max per plate]]-tbl_SeqLib[[#This Row],[Exact]]),tbl_SeqLib[[#This Row],[Avg per plate]:[Max per plate]],,1)</f>
        <v/>
      </c>
      <c r="Y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 t="str">
        <f>IF(tbl_SeqLib[[#This Row],[entry]]=0,"",IF(tbl_SeqLib[[#This Row],[entry]]=1,tbl_SeqLib[[#This Row],[Not quantified]],IF(tbl_SeqLib[[#This Row],[entry]]=2,tbl_SeqLib[[#This Row],[Quantified]])))</f>
        <v/>
      </c>
      <c r="AD6" s="92"/>
      <c r="AE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" s="60" t="str">
        <f>IF(ISBLANK(tbl_SeqLib[[#This Row],[sWGA Identifier]]),"",CONCATENATE(exp_id,"_",tbl_SeqLib[[#This Row],[Well]]))</f>
        <v/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19"/>
      <c r="G7" s="29"/>
      <c r="H7" s="30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2" t="s">
        <v>94</v>
      </c>
      <c r="M7" s="85">
        <f>IF(OR(ISBLANK(tbl_SeqLib[[#This Row],[Sample ID]]),ISBLANK(endrepair_targetmass)),0,IF(LEN(tbl_SeqLib[[#This Row],[PCR '[DNA'] (ng / µl)]])=0,1,2))</f>
        <v>0</v>
      </c>
      <c r="N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44" t="str">
        <f>IF(tbl_SeqLib[[#This Row],[entry]]=2,ROUNDUP(_xlfn.MINIFS(tbl_SeqLib[Exact],tbl_SeqLib[Column],tbl_SeqLib[[#This Row],[Column]]),1),"")</f>
        <v/>
      </c>
      <c r="P7" s="44" t="str">
        <f>IF(tbl_SeqLib[[#This Row],[entry]]=2,ROUNDDOWN(_xlfn.MAXIFS(tbl_SeqLib[Exact],tbl_SeqLib[Column],tbl_SeqLib[[#This Row],[Column]]),1),"")</f>
        <v/>
      </c>
      <c r="Q7" s="44" t="str">
        <f>IF(tbl_SeqLib[[#This Row],[entry]]=2,ROUNDUP(AVERAGEIFS(tbl_SeqLib[Exact],tbl_SeqLib[Column],tbl_SeqLib[[#This Row],[Column]]),1),"")</f>
        <v/>
      </c>
      <c r="R7" s="44" t="str" cm="1">
        <f t="array" ref="R7">_xlfn.XLOOKUP(0,ABS(tbl_SeqLib[[#This Row],[Min for col]:[Avg for col]]-tbl_SeqLib[[#This Row],[Exact]]),tbl_SeqLib[[#This Row],[Min for col]:[Avg for col]],"",1)</f>
        <v/>
      </c>
      <c r="S7" s="44" t="str" cm="1">
        <f t="array" ref="S7">_xlfn.XLOOKUP(0,ABS(tbl_SeqLib[[#This Row],[Max for col]:[Avg for col]]-tbl_SeqLib[[#This Row],[Exact]]),tbl_SeqLib[[#This Row],[Max for col]:[Avg for col]],"",1)</f>
        <v/>
      </c>
      <c r="T7" s="44" t="str">
        <f>IF(tbl_SeqLib[[#This Row],[entry]]=2,tbl_SeqLib[[#This Row],[Max for col]],"")</f>
        <v/>
      </c>
      <c r="U7" s="44" t="str">
        <f>IF(tbl_SeqLib[[#This Row],[entry]]=2,tbl_SeqLib[[#This Row],[Avg for col]],"")</f>
        <v/>
      </c>
      <c r="V7" s="44" t="str">
        <f>IF(tbl_SeqLib[[#This Row],[entry]]=2,AVERAGE(tbl_SeqLib[Exact]),"")</f>
        <v/>
      </c>
      <c r="W7" s="44" t="str">
        <f>IF(tbl_SeqLib[[#This Row],[entry]]=2,MAX(tbl_SeqLib[Exact]),"")</f>
        <v/>
      </c>
      <c r="X7" s="44" t="str" cm="1">
        <f t="array" ref="X7">_xlfn.XLOOKUP(0,ABS(tbl_SeqLib[[#This Row],[Avg per plate]:[Max per plate]]-tbl_SeqLib[[#This Row],[Exact]]),tbl_SeqLib[[#This Row],[Avg per plate]:[Max per plate]],,1)</f>
        <v/>
      </c>
      <c r="Y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 t="str">
        <f>IF(tbl_SeqLib[[#This Row],[entry]]=0,"",IF(tbl_SeqLib[[#This Row],[entry]]=1,tbl_SeqLib[[#This Row],[Not quantified]],IF(tbl_SeqLib[[#This Row],[entry]]=2,tbl_SeqLib[[#This Row],[Quantified]])))</f>
        <v/>
      </c>
      <c r="AD7" s="92"/>
      <c r="AE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" s="60" t="str">
        <f>IF(ISBLANK(tbl_SeqLib[[#This Row],[sWGA Identifier]]),"",CONCATENATE(exp_id,"_",tbl_SeqLib[[#This Row],[Well]]))</f>
        <v/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19"/>
      <c r="G8" s="29"/>
      <c r="H8" s="30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2" t="s">
        <v>96</v>
      </c>
      <c r="M8" s="85">
        <f>IF(OR(ISBLANK(tbl_SeqLib[[#This Row],[Sample ID]]),ISBLANK(endrepair_targetmass)),0,IF(LEN(tbl_SeqLib[[#This Row],[PCR '[DNA'] (ng / µl)]])=0,1,2))</f>
        <v>0</v>
      </c>
      <c r="N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44" t="str">
        <f>IF(tbl_SeqLib[[#This Row],[entry]]=2,ROUNDUP(_xlfn.MINIFS(tbl_SeqLib[Exact],tbl_SeqLib[Column],tbl_SeqLib[[#This Row],[Column]]),1),"")</f>
        <v/>
      </c>
      <c r="P8" s="44" t="str">
        <f>IF(tbl_SeqLib[[#This Row],[entry]]=2,ROUNDDOWN(_xlfn.MAXIFS(tbl_SeqLib[Exact],tbl_SeqLib[Column],tbl_SeqLib[[#This Row],[Column]]),1),"")</f>
        <v/>
      </c>
      <c r="Q8" s="44" t="str">
        <f>IF(tbl_SeqLib[[#This Row],[entry]]=2,ROUNDUP(AVERAGEIFS(tbl_SeqLib[Exact],tbl_SeqLib[Column],tbl_SeqLib[[#This Row],[Column]]),1),"")</f>
        <v/>
      </c>
      <c r="R8" s="44" t="str" cm="1">
        <f t="array" ref="R8">_xlfn.XLOOKUP(0,ABS(tbl_SeqLib[[#This Row],[Min for col]:[Avg for col]]-tbl_SeqLib[[#This Row],[Exact]]),tbl_SeqLib[[#This Row],[Min for col]:[Avg for col]],"",1)</f>
        <v/>
      </c>
      <c r="S8" s="44" t="str" cm="1">
        <f t="array" ref="S8">_xlfn.XLOOKUP(0,ABS(tbl_SeqLib[[#This Row],[Max for col]:[Avg for col]]-tbl_SeqLib[[#This Row],[Exact]]),tbl_SeqLib[[#This Row],[Max for col]:[Avg for col]],"",1)</f>
        <v/>
      </c>
      <c r="T8" s="44" t="str">
        <f>IF(tbl_SeqLib[[#This Row],[entry]]=2,tbl_SeqLib[[#This Row],[Max for col]],"")</f>
        <v/>
      </c>
      <c r="U8" s="44" t="str">
        <f>IF(tbl_SeqLib[[#This Row],[entry]]=2,tbl_SeqLib[[#This Row],[Avg for col]],"")</f>
        <v/>
      </c>
      <c r="V8" s="44" t="str">
        <f>IF(tbl_SeqLib[[#This Row],[entry]]=2,AVERAGE(tbl_SeqLib[Exact]),"")</f>
        <v/>
      </c>
      <c r="W8" s="44" t="str">
        <f>IF(tbl_SeqLib[[#This Row],[entry]]=2,MAX(tbl_SeqLib[Exact]),"")</f>
        <v/>
      </c>
      <c r="X8" s="44" t="str" cm="1">
        <f t="array" ref="X8">_xlfn.XLOOKUP(0,ABS(tbl_SeqLib[[#This Row],[Avg per plate]:[Max per plate]]-tbl_SeqLib[[#This Row],[Exact]]),tbl_SeqLib[[#This Row],[Avg per plate]:[Max per plate]],,1)</f>
        <v/>
      </c>
      <c r="Y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 t="str">
        <f>IF(tbl_SeqLib[[#This Row],[entry]]=0,"",IF(tbl_SeqLib[[#This Row],[entry]]=1,tbl_SeqLib[[#This Row],[Not quantified]],IF(tbl_SeqLib[[#This Row],[entry]]=2,tbl_SeqLib[[#This Row],[Quantified]])))</f>
        <v/>
      </c>
      <c r="AD8" s="92"/>
      <c r="AE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" s="60" t="str">
        <f>IF(ISBLANK(tbl_SeqLib[[#This Row],[sWGA Identifier]]),"",CONCATENATE(exp_id,"_",tbl_SeqLib[[#This Row],[Well]]))</f>
        <v/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19"/>
      <c r="G9" s="29"/>
      <c r="H9" s="30"/>
      <c r="I9" s="31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2" t="s">
        <v>98</v>
      </c>
      <c r="M9" s="85">
        <f>IF(OR(ISBLANK(tbl_SeqLib[[#This Row],[Sample ID]]),ISBLANK(endrepair_targetmass)),0,IF(LEN(tbl_SeqLib[[#This Row],[PCR '[DNA'] (ng / µl)]])=0,1,2))</f>
        <v>0</v>
      </c>
      <c r="N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44" t="str">
        <f>IF(tbl_SeqLib[[#This Row],[entry]]=2,ROUNDUP(_xlfn.MINIFS(tbl_SeqLib[Exact],tbl_SeqLib[Column],tbl_SeqLib[[#This Row],[Column]]),1),"")</f>
        <v/>
      </c>
      <c r="P9" s="44" t="str">
        <f>IF(tbl_SeqLib[[#This Row],[entry]]=2,ROUNDDOWN(_xlfn.MAXIFS(tbl_SeqLib[Exact],tbl_SeqLib[Column],tbl_SeqLib[[#This Row],[Column]]),1),"")</f>
        <v/>
      </c>
      <c r="Q9" s="44" t="str">
        <f>IF(tbl_SeqLib[[#This Row],[entry]]=2,ROUNDUP(AVERAGEIFS(tbl_SeqLib[Exact],tbl_SeqLib[Column],tbl_SeqLib[[#This Row],[Column]]),1),"")</f>
        <v/>
      </c>
      <c r="R9" s="44" t="str" cm="1">
        <f t="array" ref="R9">_xlfn.XLOOKUP(0,ABS(tbl_SeqLib[[#This Row],[Min for col]:[Avg for col]]-tbl_SeqLib[[#This Row],[Exact]]),tbl_SeqLib[[#This Row],[Min for col]:[Avg for col]],"",1)</f>
        <v/>
      </c>
      <c r="S9" s="44" t="str" cm="1">
        <f t="array" ref="S9">_xlfn.XLOOKUP(0,ABS(tbl_SeqLib[[#This Row],[Max for col]:[Avg for col]]-tbl_SeqLib[[#This Row],[Exact]]),tbl_SeqLib[[#This Row],[Max for col]:[Avg for col]],"",1)</f>
        <v/>
      </c>
      <c r="T9" s="44" t="str">
        <f>IF(tbl_SeqLib[[#This Row],[entry]]=2,tbl_SeqLib[[#This Row],[Max for col]],"")</f>
        <v/>
      </c>
      <c r="U9" s="44" t="str">
        <f>IF(tbl_SeqLib[[#This Row],[entry]]=2,tbl_SeqLib[[#This Row],[Avg for col]],"")</f>
        <v/>
      </c>
      <c r="V9" s="44" t="str">
        <f>IF(tbl_SeqLib[[#This Row],[entry]]=2,AVERAGE(tbl_SeqLib[Exact]),"")</f>
        <v/>
      </c>
      <c r="W9" s="44" t="str">
        <f>IF(tbl_SeqLib[[#This Row],[entry]]=2,MAX(tbl_SeqLib[Exact]),"")</f>
        <v/>
      </c>
      <c r="X9" s="44" t="str" cm="1">
        <f t="array" ref="X9">_xlfn.XLOOKUP(0,ABS(tbl_SeqLib[[#This Row],[Avg per plate]:[Max per plate]]-tbl_SeqLib[[#This Row],[Exact]]),tbl_SeqLib[[#This Row],[Avg per plate]:[Max per plate]],,1)</f>
        <v/>
      </c>
      <c r="Y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 t="str">
        <f>IF(tbl_SeqLib[[#This Row],[entry]]=0,"",IF(tbl_SeqLib[[#This Row],[entry]]=1,tbl_SeqLib[[#This Row],[Not quantified]],IF(tbl_SeqLib[[#This Row],[entry]]=2,tbl_SeqLib[[#This Row],[Quantified]])))</f>
        <v/>
      </c>
      <c r="AD9" s="92"/>
      <c r="AE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" s="60" t="str">
        <f>IF(ISBLANK(tbl_SeqLib[[#This Row],[sWGA Identifier]]),"",CONCATENATE(exp_id,"_",tbl_SeqLib[[#This Row],[Well]]))</f>
        <v/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3"/>
      <c r="G10" s="65"/>
      <c r="H10" s="63"/>
      <c r="I10" s="65"/>
      <c r="J10" s="63"/>
      <c r="K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7" t="s">
        <v>100</v>
      </c>
      <c r="M10" s="86">
        <f>IF(OR(ISBLANK(tbl_SeqLib[[#This Row],[Sample ID]]),ISBLANK(endrepair_targetmass)),0,IF(LEN(tbl_SeqLib[[#This Row],[PCR '[DNA'] (ng / µl)]])=0,1,2))</f>
        <v>0</v>
      </c>
      <c r="N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68" t="str">
        <f>IF(tbl_SeqLib[[#This Row],[entry]]=2,ROUNDUP(_xlfn.MINIFS(tbl_SeqLib[Exact],tbl_SeqLib[Column],tbl_SeqLib[[#This Row],[Column]]),1),"")</f>
        <v/>
      </c>
      <c r="P10" s="68" t="str">
        <f>IF(tbl_SeqLib[[#This Row],[entry]]=2,ROUNDDOWN(_xlfn.MAXIFS(tbl_SeqLib[Exact],tbl_SeqLib[Column],tbl_SeqLib[[#This Row],[Column]]),1),"")</f>
        <v/>
      </c>
      <c r="Q10" s="68" t="str">
        <f>IF(tbl_SeqLib[[#This Row],[entry]]=2,ROUNDUP(AVERAGEIFS(tbl_SeqLib[Exact],tbl_SeqLib[Column],tbl_SeqLib[[#This Row],[Column]]),1),"")</f>
        <v/>
      </c>
      <c r="R10" s="68" t="str" cm="1">
        <f t="array" ref="R10">_xlfn.XLOOKUP(0,ABS(tbl_SeqLib[[#This Row],[Min for col]:[Avg for col]]-tbl_SeqLib[[#This Row],[Exact]]),tbl_SeqLib[[#This Row],[Min for col]:[Avg for col]],"",1)</f>
        <v/>
      </c>
      <c r="S10" s="68" t="str" cm="1">
        <f t="array" ref="S10">_xlfn.XLOOKUP(0,ABS(tbl_SeqLib[[#This Row],[Max for col]:[Avg for col]]-tbl_SeqLib[[#This Row],[Exact]]),tbl_SeqLib[[#This Row],[Max for col]:[Avg for col]],"",1)</f>
        <v/>
      </c>
      <c r="T10" s="68" t="str">
        <f>IF(tbl_SeqLib[[#This Row],[entry]]=2,tbl_SeqLib[[#This Row],[Max for col]],"")</f>
        <v/>
      </c>
      <c r="U10" s="68" t="str">
        <f>IF(tbl_SeqLib[[#This Row],[entry]]=2,tbl_SeqLib[[#This Row],[Avg for col]],"")</f>
        <v/>
      </c>
      <c r="V10" s="68" t="str">
        <f>IF(tbl_SeqLib[[#This Row],[entry]]=2,AVERAGE(tbl_SeqLib[Exact]),"")</f>
        <v/>
      </c>
      <c r="W10" s="68" t="str">
        <f>IF(tbl_SeqLib[[#This Row],[entry]]=2,MAX(tbl_SeqLib[Exact]),"")</f>
        <v/>
      </c>
      <c r="X10" s="68" t="str" cm="1">
        <f t="array" ref="X10">_xlfn.XLOOKUP(0,ABS(tbl_SeqLib[[#This Row],[Avg per plate]:[Max per plate]]-tbl_SeqLib[[#This Row],[Exact]]),tbl_SeqLib[[#This Row],[Avg per plate]:[Max per plate]],,1)</f>
        <v/>
      </c>
      <c r="Y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 t="str">
        <f>IF(tbl_SeqLib[[#This Row],[entry]]=0,"",IF(tbl_SeqLib[[#This Row],[entry]]=1,tbl_SeqLib[[#This Row],[Not quantified]],IF(tbl_SeqLib[[#This Row],[entry]]=2,tbl_SeqLib[[#This Row],[Quantified]])))</f>
        <v/>
      </c>
      <c r="AD10" s="93"/>
      <c r="AE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0" s="69" t="str">
        <f>IF(ISBLANK(tbl_SeqLib[[#This Row],[sWGA Identifier]]),"",CONCATENATE(exp_id,"_",tbl_SeqLib[[#This Row],[Well]]))</f>
        <v/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2"/>
      <c r="K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56" t="s">
        <v>102</v>
      </c>
      <c r="M11" s="84">
        <f>IF(OR(ISBLANK(tbl_SeqLib[[#This Row],[Sample ID]]),ISBLANK(endrepair_targetmass)),0,IF(LEN(tbl_SeqLib[[#This Row],[PCR '[DNA'] (ng / µl)]])=0,1,2))</f>
        <v>0</v>
      </c>
      <c r="N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57" t="str">
        <f>IF(tbl_SeqLib[[#This Row],[entry]]=2,ROUNDUP(_xlfn.MINIFS(tbl_SeqLib[Exact],tbl_SeqLib[Column],tbl_SeqLib[[#This Row],[Column]]),1),"")</f>
        <v/>
      </c>
      <c r="P11" s="57" t="str">
        <f>IF(tbl_SeqLib[[#This Row],[entry]]=2,ROUNDDOWN(_xlfn.MAXIFS(tbl_SeqLib[Exact],tbl_SeqLib[Column],tbl_SeqLib[[#This Row],[Column]]),1),"")</f>
        <v/>
      </c>
      <c r="Q11" s="57" t="str">
        <f>IF(tbl_SeqLib[[#This Row],[entry]]=2,ROUNDUP(AVERAGEIFS(tbl_SeqLib[Exact],tbl_SeqLib[Column],tbl_SeqLib[[#This Row],[Column]]),1),"")</f>
        <v/>
      </c>
      <c r="R11" s="57" t="str" cm="1">
        <f t="array" ref="R11">_xlfn.XLOOKUP(0,ABS(tbl_SeqLib[[#This Row],[Min for col]:[Avg for col]]-tbl_SeqLib[[#This Row],[Exact]]),tbl_SeqLib[[#This Row],[Min for col]:[Avg for col]],"",1)</f>
        <v/>
      </c>
      <c r="S11" s="57" t="str" cm="1">
        <f t="array" ref="S11">_xlfn.XLOOKUP(0,ABS(tbl_SeqLib[[#This Row],[Max for col]:[Avg for col]]-tbl_SeqLib[[#This Row],[Exact]]),tbl_SeqLib[[#This Row],[Max for col]:[Avg for col]],"",1)</f>
        <v/>
      </c>
      <c r="T11" s="57" t="str">
        <f>IF(tbl_SeqLib[[#This Row],[entry]]=2,tbl_SeqLib[[#This Row],[Max for col]],"")</f>
        <v/>
      </c>
      <c r="U11" s="57" t="str">
        <f>IF(tbl_SeqLib[[#This Row],[entry]]=2,tbl_SeqLib[[#This Row],[Avg for col]],"")</f>
        <v/>
      </c>
      <c r="V11" s="57" t="str">
        <f>IF(tbl_SeqLib[[#This Row],[entry]]=2,AVERAGE(tbl_SeqLib[Exact]),"")</f>
        <v/>
      </c>
      <c r="W11" s="57" t="str">
        <f>IF(tbl_SeqLib[[#This Row],[entry]]=2,MAX(tbl_SeqLib[Exact]),"")</f>
        <v/>
      </c>
      <c r="X11" s="57" t="str" cm="1">
        <f t="array" ref="X11">_xlfn.XLOOKUP(0,ABS(tbl_SeqLib[[#This Row],[Avg per plate]:[Max per plate]]-tbl_SeqLib[[#This Row],[Exact]]),tbl_SeqLib[[#This Row],[Avg per plate]:[Max per plate]],,1)</f>
        <v/>
      </c>
      <c r="Y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 t="str">
        <f>IF(tbl_SeqLib[[#This Row],[entry]]=0,"",IF(tbl_SeqLib[[#This Row],[entry]]=1,tbl_SeqLib[[#This Row],[Not quantified]],IF(tbl_SeqLib[[#This Row],[entry]]=2,tbl_SeqLib[[#This Row],[Quantified]])))</f>
        <v/>
      </c>
      <c r="AD11" s="91"/>
      <c r="AE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1" s="58" t="str">
        <f>IF(ISBLANK(tbl_SeqLib[[#This Row],[sWGA Identifier]]),"",CONCATENATE(exp_id,"_",tbl_SeqLib[[#This Row],[Well]]))</f>
        <v/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19"/>
      <c r="G12" s="31"/>
      <c r="H12" s="19"/>
      <c r="I12" s="31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2" t="s">
        <v>104</v>
      </c>
      <c r="M12" s="85">
        <f>IF(OR(ISBLANK(tbl_SeqLib[[#This Row],[Sample ID]]),ISBLANK(endrepair_targetmass)),0,IF(LEN(tbl_SeqLib[[#This Row],[PCR '[DNA'] (ng / µl)]])=0,1,2))</f>
        <v>0</v>
      </c>
      <c r="N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44" t="str">
        <f>IF(tbl_SeqLib[[#This Row],[entry]]=2,ROUNDUP(_xlfn.MINIFS(tbl_SeqLib[Exact],tbl_SeqLib[Column],tbl_SeqLib[[#This Row],[Column]]),1),"")</f>
        <v/>
      </c>
      <c r="P12" s="44" t="str">
        <f>IF(tbl_SeqLib[[#This Row],[entry]]=2,ROUNDDOWN(_xlfn.MAXIFS(tbl_SeqLib[Exact],tbl_SeqLib[Column],tbl_SeqLib[[#This Row],[Column]]),1),"")</f>
        <v/>
      </c>
      <c r="Q12" s="44" t="str">
        <f>IF(tbl_SeqLib[[#This Row],[entry]]=2,ROUNDUP(AVERAGEIFS(tbl_SeqLib[Exact],tbl_SeqLib[Column],tbl_SeqLib[[#This Row],[Column]]),1),"")</f>
        <v/>
      </c>
      <c r="R12" s="44" t="str" cm="1">
        <f t="array" ref="R12">_xlfn.XLOOKUP(0,ABS(tbl_SeqLib[[#This Row],[Min for col]:[Avg for col]]-tbl_SeqLib[[#This Row],[Exact]]),tbl_SeqLib[[#This Row],[Min for col]:[Avg for col]],"",1)</f>
        <v/>
      </c>
      <c r="S12" s="44" t="str" cm="1">
        <f t="array" ref="S12">_xlfn.XLOOKUP(0,ABS(tbl_SeqLib[[#This Row],[Max for col]:[Avg for col]]-tbl_SeqLib[[#This Row],[Exact]]),tbl_SeqLib[[#This Row],[Max for col]:[Avg for col]],"",1)</f>
        <v/>
      </c>
      <c r="T12" s="44" t="str">
        <f>IF(tbl_SeqLib[[#This Row],[entry]]=2,tbl_SeqLib[[#This Row],[Max for col]],"")</f>
        <v/>
      </c>
      <c r="U12" s="44" t="str">
        <f>IF(tbl_SeqLib[[#This Row],[entry]]=2,tbl_SeqLib[[#This Row],[Avg for col]],"")</f>
        <v/>
      </c>
      <c r="V12" s="44" t="str">
        <f>IF(tbl_SeqLib[[#This Row],[entry]]=2,AVERAGE(tbl_SeqLib[Exact]),"")</f>
        <v/>
      </c>
      <c r="W12" s="44" t="str">
        <f>IF(tbl_SeqLib[[#This Row],[entry]]=2,MAX(tbl_SeqLib[Exact]),"")</f>
        <v/>
      </c>
      <c r="X12" s="44" t="str" cm="1">
        <f t="array" ref="X12">_xlfn.XLOOKUP(0,ABS(tbl_SeqLib[[#This Row],[Avg per plate]:[Max per plate]]-tbl_SeqLib[[#This Row],[Exact]]),tbl_SeqLib[[#This Row],[Avg per plate]:[Max per plate]],,1)</f>
        <v/>
      </c>
      <c r="Y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 t="str">
        <f>IF(tbl_SeqLib[[#This Row],[entry]]=0,"",IF(tbl_SeqLib[[#This Row],[entry]]=1,tbl_SeqLib[[#This Row],[Not quantified]],IF(tbl_SeqLib[[#This Row],[entry]]=2,tbl_SeqLib[[#This Row],[Quantified]])))</f>
        <v/>
      </c>
      <c r="AD12" s="92"/>
      <c r="AE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2" s="60" t="str">
        <f>IF(ISBLANK(tbl_SeqLib[[#This Row],[sWGA Identifier]]),"",CONCATENATE(exp_id,"_",tbl_SeqLib[[#This Row],[Well]]))</f>
        <v/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19"/>
      <c r="G13" s="31"/>
      <c r="H13" s="19"/>
      <c r="I13" s="31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2" t="s">
        <v>106</v>
      </c>
      <c r="M13" s="85">
        <f>IF(OR(ISBLANK(tbl_SeqLib[[#This Row],[Sample ID]]),ISBLANK(endrepair_targetmass)),0,IF(LEN(tbl_SeqLib[[#This Row],[PCR '[DNA'] (ng / µl)]])=0,1,2))</f>
        <v>0</v>
      </c>
      <c r="N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44" t="str">
        <f>IF(tbl_SeqLib[[#This Row],[entry]]=2,ROUNDUP(_xlfn.MINIFS(tbl_SeqLib[Exact],tbl_SeqLib[Column],tbl_SeqLib[[#This Row],[Column]]),1),"")</f>
        <v/>
      </c>
      <c r="P13" s="44" t="str">
        <f>IF(tbl_SeqLib[[#This Row],[entry]]=2,ROUNDDOWN(_xlfn.MAXIFS(tbl_SeqLib[Exact],tbl_SeqLib[Column],tbl_SeqLib[[#This Row],[Column]]),1),"")</f>
        <v/>
      </c>
      <c r="Q13" s="44" t="str">
        <f>IF(tbl_SeqLib[[#This Row],[entry]]=2,ROUNDUP(AVERAGEIFS(tbl_SeqLib[Exact],tbl_SeqLib[Column],tbl_SeqLib[[#This Row],[Column]]),1),"")</f>
        <v/>
      </c>
      <c r="R13" s="44" t="str" cm="1">
        <f t="array" ref="R13">_xlfn.XLOOKUP(0,ABS(tbl_SeqLib[[#This Row],[Min for col]:[Avg for col]]-tbl_SeqLib[[#This Row],[Exact]]),tbl_SeqLib[[#This Row],[Min for col]:[Avg for col]],"",1)</f>
        <v/>
      </c>
      <c r="S13" s="44" t="str" cm="1">
        <f t="array" ref="S13">_xlfn.XLOOKUP(0,ABS(tbl_SeqLib[[#This Row],[Max for col]:[Avg for col]]-tbl_SeqLib[[#This Row],[Exact]]),tbl_SeqLib[[#This Row],[Max for col]:[Avg for col]],"",1)</f>
        <v/>
      </c>
      <c r="T13" s="44" t="str">
        <f>IF(tbl_SeqLib[[#This Row],[entry]]=2,tbl_SeqLib[[#This Row],[Max for col]],"")</f>
        <v/>
      </c>
      <c r="U13" s="44" t="str">
        <f>IF(tbl_SeqLib[[#This Row],[entry]]=2,tbl_SeqLib[[#This Row],[Avg for col]],"")</f>
        <v/>
      </c>
      <c r="V13" s="44" t="str">
        <f>IF(tbl_SeqLib[[#This Row],[entry]]=2,AVERAGE(tbl_SeqLib[Exact]),"")</f>
        <v/>
      </c>
      <c r="W13" s="44" t="str">
        <f>IF(tbl_SeqLib[[#This Row],[entry]]=2,MAX(tbl_SeqLib[Exact]),"")</f>
        <v/>
      </c>
      <c r="X13" s="44" t="str" cm="1">
        <f t="array" ref="X13">_xlfn.XLOOKUP(0,ABS(tbl_SeqLib[[#This Row],[Avg per plate]:[Max per plate]]-tbl_SeqLib[[#This Row],[Exact]]),tbl_SeqLib[[#This Row],[Avg per plate]:[Max per plate]],,1)</f>
        <v/>
      </c>
      <c r="Y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 t="str">
        <f>IF(tbl_SeqLib[[#This Row],[entry]]=0,"",IF(tbl_SeqLib[[#This Row],[entry]]=1,tbl_SeqLib[[#This Row],[Not quantified]],IF(tbl_SeqLib[[#This Row],[entry]]=2,tbl_SeqLib[[#This Row],[Quantified]])))</f>
        <v/>
      </c>
      <c r="AD13" s="92"/>
      <c r="AE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3" s="60" t="str">
        <f>IF(ISBLANK(tbl_SeqLib[[#This Row],[sWGA Identifier]]),"",CONCATENATE(exp_id,"_",tbl_SeqLib[[#This Row],[Well]]))</f>
        <v/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19"/>
      <c r="G14" s="31"/>
      <c r="H14" s="19"/>
      <c r="I14" s="31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2" t="s">
        <v>108</v>
      </c>
      <c r="M14" s="85">
        <f>IF(OR(ISBLANK(tbl_SeqLib[[#This Row],[Sample ID]]),ISBLANK(endrepair_targetmass)),0,IF(LEN(tbl_SeqLib[[#This Row],[PCR '[DNA'] (ng / µl)]])=0,1,2))</f>
        <v>0</v>
      </c>
      <c r="N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44" t="str">
        <f>IF(tbl_SeqLib[[#This Row],[entry]]=2,ROUNDUP(_xlfn.MINIFS(tbl_SeqLib[Exact],tbl_SeqLib[Column],tbl_SeqLib[[#This Row],[Column]]),1),"")</f>
        <v/>
      </c>
      <c r="P14" s="44" t="str">
        <f>IF(tbl_SeqLib[[#This Row],[entry]]=2,ROUNDDOWN(_xlfn.MAXIFS(tbl_SeqLib[Exact],tbl_SeqLib[Column],tbl_SeqLib[[#This Row],[Column]]),1),"")</f>
        <v/>
      </c>
      <c r="Q14" s="44" t="str">
        <f>IF(tbl_SeqLib[[#This Row],[entry]]=2,ROUNDUP(AVERAGEIFS(tbl_SeqLib[Exact],tbl_SeqLib[Column],tbl_SeqLib[[#This Row],[Column]]),1),"")</f>
        <v/>
      </c>
      <c r="R14" s="44" t="str" cm="1">
        <f t="array" ref="R14">_xlfn.XLOOKUP(0,ABS(tbl_SeqLib[[#This Row],[Min for col]:[Avg for col]]-tbl_SeqLib[[#This Row],[Exact]]),tbl_SeqLib[[#This Row],[Min for col]:[Avg for col]],"",1)</f>
        <v/>
      </c>
      <c r="S14" s="44" t="str" cm="1">
        <f t="array" ref="S14">_xlfn.XLOOKUP(0,ABS(tbl_SeqLib[[#This Row],[Max for col]:[Avg for col]]-tbl_SeqLib[[#This Row],[Exact]]),tbl_SeqLib[[#This Row],[Max for col]:[Avg for col]],"",1)</f>
        <v/>
      </c>
      <c r="T14" s="44" t="str">
        <f>IF(tbl_SeqLib[[#This Row],[entry]]=2,tbl_SeqLib[[#This Row],[Max for col]],"")</f>
        <v/>
      </c>
      <c r="U14" s="44" t="str">
        <f>IF(tbl_SeqLib[[#This Row],[entry]]=2,tbl_SeqLib[[#This Row],[Avg for col]],"")</f>
        <v/>
      </c>
      <c r="V14" s="44" t="str">
        <f>IF(tbl_SeqLib[[#This Row],[entry]]=2,AVERAGE(tbl_SeqLib[Exact]),"")</f>
        <v/>
      </c>
      <c r="W14" s="44" t="str">
        <f>IF(tbl_SeqLib[[#This Row],[entry]]=2,MAX(tbl_SeqLib[Exact]),"")</f>
        <v/>
      </c>
      <c r="X14" s="44" t="str" cm="1">
        <f t="array" ref="X14">_xlfn.XLOOKUP(0,ABS(tbl_SeqLib[[#This Row],[Avg per plate]:[Max per plate]]-tbl_SeqLib[[#This Row],[Exact]]),tbl_SeqLib[[#This Row],[Avg per plate]:[Max per plate]],,1)</f>
        <v/>
      </c>
      <c r="Y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 t="str">
        <f>IF(tbl_SeqLib[[#This Row],[entry]]=0,"",IF(tbl_SeqLib[[#This Row],[entry]]=1,tbl_SeqLib[[#This Row],[Not quantified]],IF(tbl_SeqLib[[#This Row],[entry]]=2,tbl_SeqLib[[#This Row],[Quantified]])))</f>
        <v/>
      </c>
      <c r="AD14" s="92"/>
      <c r="AE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4" s="60" t="str">
        <f>IF(ISBLANK(tbl_SeqLib[[#This Row],[sWGA Identifier]]),"",CONCATENATE(exp_id,"_",tbl_SeqLib[[#This Row],[Well]]))</f>
        <v/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19"/>
      <c r="G15" s="31"/>
      <c r="H15" s="19"/>
      <c r="I15" s="31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2" t="s">
        <v>110</v>
      </c>
      <c r="M15" s="85">
        <f>IF(OR(ISBLANK(tbl_SeqLib[[#This Row],[Sample ID]]),ISBLANK(endrepair_targetmass)),0,IF(LEN(tbl_SeqLib[[#This Row],[PCR '[DNA'] (ng / µl)]])=0,1,2))</f>
        <v>0</v>
      </c>
      <c r="N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44" t="str">
        <f>IF(tbl_SeqLib[[#This Row],[entry]]=2,ROUNDUP(_xlfn.MINIFS(tbl_SeqLib[Exact],tbl_SeqLib[Column],tbl_SeqLib[[#This Row],[Column]]),1),"")</f>
        <v/>
      </c>
      <c r="P15" s="44" t="str">
        <f>IF(tbl_SeqLib[[#This Row],[entry]]=2,ROUNDDOWN(_xlfn.MAXIFS(tbl_SeqLib[Exact],tbl_SeqLib[Column],tbl_SeqLib[[#This Row],[Column]]),1),"")</f>
        <v/>
      </c>
      <c r="Q15" s="44" t="str">
        <f>IF(tbl_SeqLib[[#This Row],[entry]]=2,ROUNDUP(AVERAGEIFS(tbl_SeqLib[Exact],tbl_SeqLib[Column],tbl_SeqLib[[#This Row],[Column]]),1),"")</f>
        <v/>
      </c>
      <c r="R15" s="44" t="str" cm="1">
        <f t="array" ref="R15">_xlfn.XLOOKUP(0,ABS(tbl_SeqLib[[#This Row],[Min for col]:[Avg for col]]-tbl_SeqLib[[#This Row],[Exact]]),tbl_SeqLib[[#This Row],[Min for col]:[Avg for col]],"",1)</f>
        <v/>
      </c>
      <c r="S15" s="44" t="str" cm="1">
        <f t="array" ref="S15">_xlfn.XLOOKUP(0,ABS(tbl_SeqLib[[#This Row],[Max for col]:[Avg for col]]-tbl_SeqLib[[#This Row],[Exact]]),tbl_SeqLib[[#This Row],[Max for col]:[Avg for col]],"",1)</f>
        <v/>
      </c>
      <c r="T15" s="44" t="str">
        <f>IF(tbl_SeqLib[[#This Row],[entry]]=2,tbl_SeqLib[[#This Row],[Max for col]],"")</f>
        <v/>
      </c>
      <c r="U15" s="44" t="str">
        <f>IF(tbl_SeqLib[[#This Row],[entry]]=2,tbl_SeqLib[[#This Row],[Avg for col]],"")</f>
        <v/>
      </c>
      <c r="V15" s="44" t="str">
        <f>IF(tbl_SeqLib[[#This Row],[entry]]=2,AVERAGE(tbl_SeqLib[Exact]),"")</f>
        <v/>
      </c>
      <c r="W15" s="44" t="str">
        <f>IF(tbl_SeqLib[[#This Row],[entry]]=2,MAX(tbl_SeqLib[Exact]),"")</f>
        <v/>
      </c>
      <c r="X15" s="44" t="str" cm="1">
        <f t="array" ref="X15">_xlfn.XLOOKUP(0,ABS(tbl_SeqLib[[#This Row],[Avg per plate]:[Max per plate]]-tbl_SeqLib[[#This Row],[Exact]]),tbl_SeqLib[[#This Row],[Avg per plate]:[Max per plate]],,1)</f>
        <v/>
      </c>
      <c r="Y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 t="str">
        <f>IF(tbl_SeqLib[[#This Row],[entry]]=0,"",IF(tbl_SeqLib[[#This Row],[entry]]=1,tbl_SeqLib[[#This Row],[Not quantified]],IF(tbl_SeqLib[[#This Row],[entry]]=2,tbl_SeqLib[[#This Row],[Quantified]])))</f>
        <v/>
      </c>
      <c r="AD15" s="92"/>
      <c r="AE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5" s="60" t="str">
        <f>IF(ISBLANK(tbl_SeqLib[[#This Row],[sWGA Identifier]]),"",CONCATENATE(exp_id,"_",tbl_SeqLib[[#This Row],[Well]]))</f>
        <v/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19"/>
      <c r="G16" s="31"/>
      <c r="H16" s="19"/>
      <c r="I16" s="31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2" t="s">
        <v>112</v>
      </c>
      <c r="M16" s="85">
        <f>IF(OR(ISBLANK(tbl_SeqLib[[#This Row],[Sample ID]]),ISBLANK(endrepair_targetmass)),0,IF(LEN(tbl_SeqLib[[#This Row],[PCR '[DNA'] (ng / µl)]])=0,1,2))</f>
        <v>0</v>
      </c>
      <c r="N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44" t="str">
        <f>IF(tbl_SeqLib[[#This Row],[entry]]=2,ROUNDUP(_xlfn.MINIFS(tbl_SeqLib[Exact],tbl_SeqLib[Column],tbl_SeqLib[[#This Row],[Column]]),1),"")</f>
        <v/>
      </c>
      <c r="P16" s="44" t="str">
        <f>IF(tbl_SeqLib[[#This Row],[entry]]=2,ROUNDDOWN(_xlfn.MAXIFS(tbl_SeqLib[Exact],tbl_SeqLib[Column],tbl_SeqLib[[#This Row],[Column]]),1),"")</f>
        <v/>
      </c>
      <c r="Q16" s="44" t="str">
        <f>IF(tbl_SeqLib[[#This Row],[entry]]=2,ROUNDUP(AVERAGEIFS(tbl_SeqLib[Exact],tbl_SeqLib[Column],tbl_SeqLib[[#This Row],[Column]]),1),"")</f>
        <v/>
      </c>
      <c r="R16" s="44" t="str" cm="1">
        <f t="array" ref="R16">_xlfn.XLOOKUP(0,ABS(tbl_SeqLib[[#This Row],[Min for col]:[Avg for col]]-tbl_SeqLib[[#This Row],[Exact]]),tbl_SeqLib[[#This Row],[Min for col]:[Avg for col]],"",1)</f>
        <v/>
      </c>
      <c r="S16" s="44" t="str" cm="1">
        <f t="array" ref="S16">_xlfn.XLOOKUP(0,ABS(tbl_SeqLib[[#This Row],[Max for col]:[Avg for col]]-tbl_SeqLib[[#This Row],[Exact]]),tbl_SeqLib[[#This Row],[Max for col]:[Avg for col]],"",1)</f>
        <v/>
      </c>
      <c r="T16" s="44" t="str">
        <f>IF(tbl_SeqLib[[#This Row],[entry]]=2,tbl_SeqLib[[#This Row],[Max for col]],"")</f>
        <v/>
      </c>
      <c r="U16" s="44" t="str">
        <f>IF(tbl_SeqLib[[#This Row],[entry]]=2,tbl_SeqLib[[#This Row],[Avg for col]],"")</f>
        <v/>
      </c>
      <c r="V16" s="44" t="str">
        <f>IF(tbl_SeqLib[[#This Row],[entry]]=2,AVERAGE(tbl_SeqLib[Exact]),"")</f>
        <v/>
      </c>
      <c r="W16" s="44" t="str">
        <f>IF(tbl_SeqLib[[#This Row],[entry]]=2,MAX(tbl_SeqLib[Exact]),"")</f>
        <v/>
      </c>
      <c r="X16" s="44" t="str" cm="1">
        <f t="array" ref="X16">_xlfn.XLOOKUP(0,ABS(tbl_SeqLib[[#This Row],[Avg per plate]:[Max per plate]]-tbl_SeqLib[[#This Row],[Exact]]),tbl_SeqLib[[#This Row],[Avg per plate]:[Max per plate]],,1)</f>
        <v/>
      </c>
      <c r="Y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 t="str">
        <f>IF(tbl_SeqLib[[#This Row],[entry]]=0,"",IF(tbl_SeqLib[[#This Row],[entry]]=1,tbl_SeqLib[[#This Row],[Not quantified]],IF(tbl_SeqLib[[#This Row],[entry]]=2,tbl_SeqLib[[#This Row],[Quantified]])))</f>
        <v/>
      </c>
      <c r="AD16" s="92"/>
      <c r="AE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6" s="60" t="str">
        <f>IF(ISBLANK(tbl_SeqLib[[#This Row],[sWGA Identifier]]),"",CONCATENATE(exp_id,"_",tbl_SeqLib[[#This Row],[Well]]))</f>
        <v/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19"/>
      <c r="G17" s="31"/>
      <c r="H17" s="19"/>
      <c r="I17" s="31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2" t="s">
        <v>114</v>
      </c>
      <c r="M17" s="85">
        <f>IF(OR(ISBLANK(tbl_SeqLib[[#This Row],[Sample ID]]),ISBLANK(endrepair_targetmass)),0,IF(LEN(tbl_SeqLib[[#This Row],[PCR '[DNA'] (ng / µl)]])=0,1,2))</f>
        <v>0</v>
      </c>
      <c r="N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44" t="str">
        <f>IF(tbl_SeqLib[[#This Row],[entry]]=2,ROUNDUP(_xlfn.MINIFS(tbl_SeqLib[Exact],tbl_SeqLib[Column],tbl_SeqLib[[#This Row],[Column]]),1),"")</f>
        <v/>
      </c>
      <c r="P17" s="44" t="str">
        <f>IF(tbl_SeqLib[[#This Row],[entry]]=2,ROUNDDOWN(_xlfn.MAXIFS(tbl_SeqLib[Exact],tbl_SeqLib[Column],tbl_SeqLib[[#This Row],[Column]]),1),"")</f>
        <v/>
      </c>
      <c r="Q17" s="44" t="str">
        <f>IF(tbl_SeqLib[[#This Row],[entry]]=2,ROUNDUP(AVERAGEIFS(tbl_SeqLib[Exact],tbl_SeqLib[Column],tbl_SeqLib[[#This Row],[Column]]),1),"")</f>
        <v/>
      </c>
      <c r="R17" s="44" t="str" cm="1">
        <f t="array" ref="R17">_xlfn.XLOOKUP(0,ABS(tbl_SeqLib[[#This Row],[Min for col]:[Avg for col]]-tbl_SeqLib[[#This Row],[Exact]]),tbl_SeqLib[[#This Row],[Min for col]:[Avg for col]],"",1)</f>
        <v/>
      </c>
      <c r="S17" s="44" t="str" cm="1">
        <f t="array" ref="S17">_xlfn.XLOOKUP(0,ABS(tbl_SeqLib[[#This Row],[Max for col]:[Avg for col]]-tbl_SeqLib[[#This Row],[Exact]]),tbl_SeqLib[[#This Row],[Max for col]:[Avg for col]],"",1)</f>
        <v/>
      </c>
      <c r="T17" s="44" t="str">
        <f>IF(tbl_SeqLib[[#This Row],[entry]]=2,tbl_SeqLib[[#This Row],[Max for col]],"")</f>
        <v/>
      </c>
      <c r="U17" s="44" t="str">
        <f>IF(tbl_SeqLib[[#This Row],[entry]]=2,tbl_SeqLib[[#This Row],[Avg for col]],"")</f>
        <v/>
      </c>
      <c r="V17" s="44" t="str">
        <f>IF(tbl_SeqLib[[#This Row],[entry]]=2,AVERAGE(tbl_SeqLib[Exact]),"")</f>
        <v/>
      </c>
      <c r="W17" s="44" t="str">
        <f>IF(tbl_SeqLib[[#This Row],[entry]]=2,MAX(tbl_SeqLib[Exact]),"")</f>
        <v/>
      </c>
      <c r="X17" s="44" t="str" cm="1">
        <f t="array" ref="X17">_xlfn.XLOOKUP(0,ABS(tbl_SeqLib[[#This Row],[Avg per plate]:[Max per plate]]-tbl_SeqLib[[#This Row],[Exact]]),tbl_SeqLib[[#This Row],[Avg per plate]:[Max per plate]],,1)</f>
        <v/>
      </c>
      <c r="Y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 t="str">
        <f>IF(tbl_SeqLib[[#This Row],[entry]]=0,"",IF(tbl_SeqLib[[#This Row],[entry]]=1,tbl_SeqLib[[#This Row],[Not quantified]],IF(tbl_SeqLib[[#This Row],[entry]]=2,tbl_SeqLib[[#This Row],[Quantified]])))</f>
        <v/>
      </c>
      <c r="AD17" s="92"/>
      <c r="AE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7" s="60" t="str">
        <f>IF(ISBLANK(tbl_SeqLib[[#This Row],[sWGA Identifier]]),"",CONCATENATE(exp_id,"_",tbl_SeqLib[[#This Row],[Well]]))</f>
        <v/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3"/>
      <c r="G18" s="65"/>
      <c r="H18" s="63"/>
      <c r="I18" s="65"/>
      <c r="J18" s="65"/>
      <c r="K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7" t="s">
        <v>116</v>
      </c>
      <c r="M18" s="86">
        <f>IF(OR(ISBLANK(tbl_SeqLib[[#This Row],[Sample ID]]),ISBLANK(endrepair_targetmass)),0,IF(LEN(tbl_SeqLib[[#This Row],[PCR '[DNA'] (ng / µl)]])=0,1,2))</f>
        <v>0</v>
      </c>
      <c r="N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68" t="str">
        <f>IF(tbl_SeqLib[[#This Row],[entry]]=2,ROUNDUP(_xlfn.MINIFS(tbl_SeqLib[Exact],tbl_SeqLib[Column],tbl_SeqLib[[#This Row],[Column]]),1),"")</f>
        <v/>
      </c>
      <c r="P18" s="68" t="str">
        <f>IF(tbl_SeqLib[[#This Row],[entry]]=2,ROUNDDOWN(_xlfn.MAXIFS(tbl_SeqLib[Exact],tbl_SeqLib[Column],tbl_SeqLib[[#This Row],[Column]]),1),"")</f>
        <v/>
      </c>
      <c r="Q18" s="68" t="str">
        <f>IF(tbl_SeqLib[[#This Row],[entry]]=2,ROUNDUP(AVERAGEIFS(tbl_SeqLib[Exact],tbl_SeqLib[Column],tbl_SeqLib[[#This Row],[Column]]),1),"")</f>
        <v/>
      </c>
      <c r="R18" s="68" t="str" cm="1">
        <f t="array" ref="R18">_xlfn.XLOOKUP(0,ABS(tbl_SeqLib[[#This Row],[Min for col]:[Avg for col]]-tbl_SeqLib[[#This Row],[Exact]]),tbl_SeqLib[[#This Row],[Min for col]:[Avg for col]],"",1)</f>
        <v/>
      </c>
      <c r="S18" s="68" t="str" cm="1">
        <f t="array" ref="S18">_xlfn.XLOOKUP(0,ABS(tbl_SeqLib[[#This Row],[Max for col]:[Avg for col]]-tbl_SeqLib[[#This Row],[Exact]]),tbl_SeqLib[[#This Row],[Max for col]:[Avg for col]],"",1)</f>
        <v/>
      </c>
      <c r="T18" s="68" t="str">
        <f>IF(tbl_SeqLib[[#This Row],[entry]]=2,tbl_SeqLib[[#This Row],[Max for col]],"")</f>
        <v/>
      </c>
      <c r="U18" s="68" t="str">
        <f>IF(tbl_SeqLib[[#This Row],[entry]]=2,tbl_SeqLib[[#This Row],[Avg for col]],"")</f>
        <v/>
      </c>
      <c r="V18" s="68" t="str">
        <f>IF(tbl_SeqLib[[#This Row],[entry]]=2,AVERAGE(tbl_SeqLib[Exact]),"")</f>
        <v/>
      </c>
      <c r="W18" s="68" t="str">
        <f>IF(tbl_SeqLib[[#This Row],[entry]]=2,MAX(tbl_SeqLib[Exact]),"")</f>
        <v/>
      </c>
      <c r="X18" s="68" t="str" cm="1">
        <f t="array" ref="X18">_xlfn.XLOOKUP(0,ABS(tbl_SeqLib[[#This Row],[Avg per plate]:[Max per plate]]-tbl_SeqLib[[#This Row],[Exact]]),tbl_SeqLib[[#This Row],[Avg per plate]:[Max per plate]],,1)</f>
        <v/>
      </c>
      <c r="Y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 t="str">
        <f>IF(tbl_SeqLib[[#This Row],[entry]]=0,"",IF(tbl_SeqLib[[#This Row],[entry]]=1,tbl_SeqLib[[#This Row],[Not quantified]],IF(tbl_SeqLib[[#This Row],[entry]]=2,tbl_SeqLib[[#This Row],[Quantified]])))</f>
        <v/>
      </c>
      <c r="AD18" s="93"/>
      <c r="AE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8" s="69" t="str">
        <f>IF(ISBLANK(tbl_SeqLib[[#This Row],[sWGA Identifier]]),"",CONCATENATE(exp_id,"_",tbl_SeqLib[[#This Row],[Well]]))</f>
        <v/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2"/>
      <c r="K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6" t="s">
        <v>118</v>
      </c>
      <c r="M19" s="84">
        <f>IF(OR(ISBLANK(tbl_SeqLib[[#This Row],[Sample ID]]),ISBLANK(endrepair_targetmass)),0,IF(LEN(tbl_SeqLib[[#This Row],[PCR '[DNA'] (ng / µl)]])=0,1,2))</f>
        <v>0</v>
      </c>
      <c r="N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57" t="str">
        <f>IF(tbl_SeqLib[[#This Row],[entry]]=2,ROUNDUP(_xlfn.MINIFS(tbl_SeqLib[Exact],tbl_SeqLib[Column],tbl_SeqLib[[#This Row],[Column]]),1),"")</f>
        <v/>
      </c>
      <c r="P19" s="57" t="str">
        <f>IF(tbl_SeqLib[[#This Row],[entry]]=2,ROUNDDOWN(_xlfn.MAXIFS(tbl_SeqLib[Exact],tbl_SeqLib[Column],tbl_SeqLib[[#This Row],[Column]]),1),"")</f>
        <v/>
      </c>
      <c r="Q19" s="57" t="str">
        <f>IF(tbl_SeqLib[[#This Row],[entry]]=2,ROUNDUP(AVERAGEIFS(tbl_SeqLib[Exact],tbl_SeqLib[Column],tbl_SeqLib[[#This Row],[Column]]),1),"")</f>
        <v/>
      </c>
      <c r="R19" s="57" t="str" cm="1">
        <f t="array" ref="R19">_xlfn.XLOOKUP(0,ABS(tbl_SeqLib[[#This Row],[Min for col]:[Avg for col]]-tbl_SeqLib[[#This Row],[Exact]]),tbl_SeqLib[[#This Row],[Min for col]:[Avg for col]],"",1)</f>
        <v/>
      </c>
      <c r="S19" s="57" t="str" cm="1">
        <f t="array" ref="S19">_xlfn.XLOOKUP(0,ABS(tbl_SeqLib[[#This Row],[Max for col]:[Avg for col]]-tbl_SeqLib[[#This Row],[Exact]]),tbl_SeqLib[[#This Row],[Max for col]:[Avg for col]],"",1)</f>
        <v/>
      </c>
      <c r="T19" s="57" t="str">
        <f>IF(tbl_SeqLib[[#This Row],[entry]]=2,tbl_SeqLib[[#This Row],[Max for col]],"")</f>
        <v/>
      </c>
      <c r="U19" s="57" t="str">
        <f>IF(tbl_SeqLib[[#This Row],[entry]]=2,tbl_SeqLib[[#This Row],[Avg for col]],"")</f>
        <v/>
      </c>
      <c r="V19" s="57" t="str">
        <f>IF(tbl_SeqLib[[#This Row],[entry]]=2,AVERAGE(tbl_SeqLib[Exact]),"")</f>
        <v/>
      </c>
      <c r="W19" s="57" t="str">
        <f>IF(tbl_SeqLib[[#This Row],[entry]]=2,MAX(tbl_SeqLib[Exact]),"")</f>
        <v/>
      </c>
      <c r="X19" s="57" t="str" cm="1">
        <f t="array" ref="X19">_xlfn.XLOOKUP(0,ABS(tbl_SeqLib[[#This Row],[Avg per plate]:[Max per plate]]-tbl_SeqLib[[#This Row],[Exact]]),tbl_SeqLib[[#This Row],[Avg per plate]:[Max per plate]],,1)</f>
        <v/>
      </c>
      <c r="Y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 t="str">
        <f>IF(tbl_SeqLib[[#This Row],[entry]]=0,"",IF(tbl_SeqLib[[#This Row],[entry]]=1,tbl_SeqLib[[#This Row],[Not quantified]],IF(tbl_SeqLib[[#This Row],[entry]]=2,tbl_SeqLib[[#This Row],[Quantified]])))</f>
        <v/>
      </c>
      <c r="AD19" s="91"/>
      <c r="AE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9" s="58" t="str">
        <f>IF(ISBLANK(tbl_SeqLib[[#This Row],[sWGA Identifier]]),"",CONCATENATE(exp_id,"_",tbl_SeqLib[[#This Row],[Well]]))</f>
        <v/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19"/>
      <c r="G20" s="31"/>
      <c r="H20" s="19"/>
      <c r="I20" s="31"/>
      <c r="J20" s="31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2" t="s">
        <v>120</v>
      </c>
      <c r="M20" s="85">
        <f>IF(OR(ISBLANK(tbl_SeqLib[[#This Row],[Sample ID]]),ISBLANK(endrepair_targetmass)),0,IF(LEN(tbl_SeqLib[[#This Row],[PCR '[DNA'] (ng / µl)]])=0,1,2))</f>
        <v>0</v>
      </c>
      <c r="N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44" t="str">
        <f>IF(tbl_SeqLib[[#This Row],[entry]]=2,ROUNDUP(_xlfn.MINIFS(tbl_SeqLib[Exact],tbl_SeqLib[Column],tbl_SeqLib[[#This Row],[Column]]),1),"")</f>
        <v/>
      </c>
      <c r="P20" s="44" t="str">
        <f>IF(tbl_SeqLib[[#This Row],[entry]]=2,ROUNDDOWN(_xlfn.MAXIFS(tbl_SeqLib[Exact],tbl_SeqLib[Column],tbl_SeqLib[[#This Row],[Column]]),1),"")</f>
        <v/>
      </c>
      <c r="Q20" s="44" t="str">
        <f>IF(tbl_SeqLib[[#This Row],[entry]]=2,ROUNDUP(AVERAGEIFS(tbl_SeqLib[Exact],tbl_SeqLib[Column],tbl_SeqLib[[#This Row],[Column]]),1),"")</f>
        <v/>
      </c>
      <c r="R20" s="44" t="str" cm="1">
        <f t="array" ref="R20">_xlfn.XLOOKUP(0,ABS(tbl_SeqLib[[#This Row],[Min for col]:[Avg for col]]-tbl_SeqLib[[#This Row],[Exact]]),tbl_SeqLib[[#This Row],[Min for col]:[Avg for col]],"",1)</f>
        <v/>
      </c>
      <c r="S20" s="44" t="str" cm="1">
        <f t="array" ref="S20">_xlfn.XLOOKUP(0,ABS(tbl_SeqLib[[#This Row],[Max for col]:[Avg for col]]-tbl_SeqLib[[#This Row],[Exact]]),tbl_SeqLib[[#This Row],[Max for col]:[Avg for col]],"",1)</f>
        <v/>
      </c>
      <c r="T20" s="44" t="str">
        <f>IF(tbl_SeqLib[[#This Row],[entry]]=2,tbl_SeqLib[[#This Row],[Max for col]],"")</f>
        <v/>
      </c>
      <c r="U20" s="44" t="str">
        <f>IF(tbl_SeqLib[[#This Row],[entry]]=2,tbl_SeqLib[[#This Row],[Avg for col]],"")</f>
        <v/>
      </c>
      <c r="V20" s="44" t="str">
        <f>IF(tbl_SeqLib[[#This Row],[entry]]=2,AVERAGE(tbl_SeqLib[Exact]),"")</f>
        <v/>
      </c>
      <c r="W20" s="44" t="str">
        <f>IF(tbl_SeqLib[[#This Row],[entry]]=2,MAX(tbl_SeqLib[Exact]),"")</f>
        <v/>
      </c>
      <c r="X20" s="44" t="str" cm="1">
        <f t="array" ref="X20">_xlfn.XLOOKUP(0,ABS(tbl_SeqLib[[#This Row],[Avg per plate]:[Max per plate]]-tbl_SeqLib[[#This Row],[Exact]]),tbl_SeqLib[[#This Row],[Avg per plate]:[Max per plate]],,1)</f>
        <v/>
      </c>
      <c r="Y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 t="str">
        <f>IF(tbl_SeqLib[[#This Row],[entry]]=0,"",IF(tbl_SeqLib[[#This Row],[entry]]=1,tbl_SeqLib[[#This Row],[Not quantified]],IF(tbl_SeqLib[[#This Row],[entry]]=2,tbl_SeqLib[[#This Row],[Quantified]])))</f>
        <v/>
      </c>
      <c r="AD20" s="92"/>
      <c r="AE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0" s="60" t="str">
        <f>IF(ISBLANK(tbl_SeqLib[[#This Row],[sWGA Identifier]]),"",CONCATENATE(exp_id,"_",tbl_SeqLib[[#This Row],[Well]]))</f>
        <v/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19"/>
      <c r="G21" s="31"/>
      <c r="H21" s="19"/>
      <c r="I21" s="31"/>
      <c r="J21" s="31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2" t="s">
        <v>122</v>
      </c>
      <c r="M21" s="85">
        <f>IF(OR(ISBLANK(tbl_SeqLib[[#This Row],[Sample ID]]),ISBLANK(endrepair_targetmass)),0,IF(LEN(tbl_SeqLib[[#This Row],[PCR '[DNA'] (ng / µl)]])=0,1,2))</f>
        <v>0</v>
      </c>
      <c r="N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44" t="str">
        <f>IF(tbl_SeqLib[[#This Row],[entry]]=2,ROUNDUP(_xlfn.MINIFS(tbl_SeqLib[Exact],tbl_SeqLib[Column],tbl_SeqLib[[#This Row],[Column]]),1),"")</f>
        <v/>
      </c>
      <c r="P21" s="44" t="str">
        <f>IF(tbl_SeqLib[[#This Row],[entry]]=2,ROUNDDOWN(_xlfn.MAXIFS(tbl_SeqLib[Exact],tbl_SeqLib[Column],tbl_SeqLib[[#This Row],[Column]]),1),"")</f>
        <v/>
      </c>
      <c r="Q21" s="44" t="str">
        <f>IF(tbl_SeqLib[[#This Row],[entry]]=2,ROUNDUP(AVERAGEIFS(tbl_SeqLib[Exact],tbl_SeqLib[Column],tbl_SeqLib[[#This Row],[Column]]),1),"")</f>
        <v/>
      </c>
      <c r="R21" s="44" t="str" cm="1">
        <f t="array" ref="R21">_xlfn.XLOOKUP(0,ABS(tbl_SeqLib[[#This Row],[Min for col]:[Avg for col]]-tbl_SeqLib[[#This Row],[Exact]]),tbl_SeqLib[[#This Row],[Min for col]:[Avg for col]],"",1)</f>
        <v/>
      </c>
      <c r="S21" s="44" t="str" cm="1">
        <f t="array" ref="S21">_xlfn.XLOOKUP(0,ABS(tbl_SeqLib[[#This Row],[Max for col]:[Avg for col]]-tbl_SeqLib[[#This Row],[Exact]]),tbl_SeqLib[[#This Row],[Max for col]:[Avg for col]],"",1)</f>
        <v/>
      </c>
      <c r="T21" s="44" t="str">
        <f>IF(tbl_SeqLib[[#This Row],[entry]]=2,tbl_SeqLib[[#This Row],[Max for col]],"")</f>
        <v/>
      </c>
      <c r="U21" s="44" t="str">
        <f>IF(tbl_SeqLib[[#This Row],[entry]]=2,tbl_SeqLib[[#This Row],[Avg for col]],"")</f>
        <v/>
      </c>
      <c r="V21" s="44" t="str">
        <f>IF(tbl_SeqLib[[#This Row],[entry]]=2,AVERAGE(tbl_SeqLib[Exact]),"")</f>
        <v/>
      </c>
      <c r="W21" s="44" t="str">
        <f>IF(tbl_SeqLib[[#This Row],[entry]]=2,MAX(tbl_SeqLib[Exact]),"")</f>
        <v/>
      </c>
      <c r="X21" s="44" t="str" cm="1">
        <f t="array" ref="X21">_xlfn.XLOOKUP(0,ABS(tbl_SeqLib[[#This Row],[Avg per plate]:[Max per plate]]-tbl_SeqLib[[#This Row],[Exact]]),tbl_SeqLib[[#This Row],[Avg per plate]:[Max per plate]],,1)</f>
        <v/>
      </c>
      <c r="Y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 t="str">
        <f>IF(tbl_SeqLib[[#This Row],[entry]]=0,"",IF(tbl_SeqLib[[#This Row],[entry]]=1,tbl_SeqLib[[#This Row],[Not quantified]],IF(tbl_SeqLib[[#This Row],[entry]]=2,tbl_SeqLib[[#This Row],[Quantified]])))</f>
        <v/>
      </c>
      <c r="AD21" s="92"/>
      <c r="AE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1" s="60" t="str">
        <f>IF(ISBLANK(tbl_SeqLib[[#This Row],[sWGA Identifier]]),"",CONCATENATE(exp_id,"_",tbl_SeqLib[[#This Row],[Well]]))</f>
        <v/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19"/>
      <c r="G22" s="31"/>
      <c r="H22" s="19"/>
      <c r="I22" s="31"/>
      <c r="J22" s="31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2" t="s">
        <v>124</v>
      </c>
      <c r="M22" s="85">
        <f>IF(OR(ISBLANK(tbl_SeqLib[[#This Row],[Sample ID]]),ISBLANK(endrepair_targetmass)),0,IF(LEN(tbl_SeqLib[[#This Row],[PCR '[DNA'] (ng / µl)]])=0,1,2))</f>
        <v>0</v>
      </c>
      <c r="N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44" t="str">
        <f>IF(tbl_SeqLib[[#This Row],[entry]]=2,ROUNDUP(_xlfn.MINIFS(tbl_SeqLib[Exact],tbl_SeqLib[Column],tbl_SeqLib[[#This Row],[Column]]),1),"")</f>
        <v/>
      </c>
      <c r="P22" s="44" t="str">
        <f>IF(tbl_SeqLib[[#This Row],[entry]]=2,ROUNDDOWN(_xlfn.MAXIFS(tbl_SeqLib[Exact],tbl_SeqLib[Column],tbl_SeqLib[[#This Row],[Column]]),1),"")</f>
        <v/>
      </c>
      <c r="Q22" s="44" t="str">
        <f>IF(tbl_SeqLib[[#This Row],[entry]]=2,ROUNDUP(AVERAGEIFS(tbl_SeqLib[Exact],tbl_SeqLib[Column],tbl_SeqLib[[#This Row],[Column]]),1),"")</f>
        <v/>
      </c>
      <c r="R22" s="44" t="str" cm="1">
        <f t="array" ref="R22">_xlfn.XLOOKUP(0,ABS(tbl_SeqLib[[#This Row],[Min for col]:[Avg for col]]-tbl_SeqLib[[#This Row],[Exact]]),tbl_SeqLib[[#This Row],[Min for col]:[Avg for col]],"",1)</f>
        <v/>
      </c>
      <c r="S22" s="44" t="str" cm="1">
        <f t="array" ref="S22">_xlfn.XLOOKUP(0,ABS(tbl_SeqLib[[#This Row],[Max for col]:[Avg for col]]-tbl_SeqLib[[#This Row],[Exact]]),tbl_SeqLib[[#This Row],[Max for col]:[Avg for col]],"",1)</f>
        <v/>
      </c>
      <c r="T22" s="44" t="str">
        <f>IF(tbl_SeqLib[[#This Row],[entry]]=2,tbl_SeqLib[[#This Row],[Max for col]],"")</f>
        <v/>
      </c>
      <c r="U22" s="44" t="str">
        <f>IF(tbl_SeqLib[[#This Row],[entry]]=2,tbl_SeqLib[[#This Row],[Avg for col]],"")</f>
        <v/>
      </c>
      <c r="V22" s="44" t="str">
        <f>IF(tbl_SeqLib[[#This Row],[entry]]=2,AVERAGE(tbl_SeqLib[Exact]),"")</f>
        <v/>
      </c>
      <c r="W22" s="44" t="str">
        <f>IF(tbl_SeqLib[[#This Row],[entry]]=2,MAX(tbl_SeqLib[Exact]),"")</f>
        <v/>
      </c>
      <c r="X22" s="44" t="str" cm="1">
        <f t="array" ref="X22">_xlfn.XLOOKUP(0,ABS(tbl_SeqLib[[#This Row],[Avg per plate]:[Max per plate]]-tbl_SeqLib[[#This Row],[Exact]]),tbl_SeqLib[[#This Row],[Avg per plate]:[Max per plate]],,1)</f>
        <v/>
      </c>
      <c r="Y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 t="str">
        <f>IF(tbl_SeqLib[[#This Row],[entry]]=0,"",IF(tbl_SeqLib[[#This Row],[entry]]=1,tbl_SeqLib[[#This Row],[Not quantified]],IF(tbl_SeqLib[[#This Row],[entry]]=2,tbl_SeqLib[[#This Row],[Quantified]])))</f>
        <v/>
      </c>
      <c r="AD22" s="92"/>
      <c r="AE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2" s="60" t="str">
        <f>IF(ISBLANK(tbl_SeqLib[[#This Row],[sWGA Identifier]]),"",CONCATENATE(exp_id,"_",tbl_SeqLib[[#This Row],[Well]]))</f>
        <v/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19"/>
      <c r="G23" s="31"/>
      <c r="H23" s="19"/>
      <c r="I23" s="31"/>
      <c r="J23" s="31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2" t="s">
        <v>126</v>
      </c>
      <c r="M23" s="85">
        <f>IF(OR(ISBLANK(tbl_SeqLib[[#This Row],[Sample ID]]),ISBLANK(endrepair_targetmass)),0,IF(LEN(tbl_SeqLib[[#This Row],[PCR '[DNA'] (ng / µl)]])=0,1,2))</f>
        <v>0</v>
      </c>
      <c r="N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44" t="str">
        <f>IF(tbl_SeqLib[[#This Row],[entry]]=2,ROUNDUP(_xlfn.MINIFS(tbl_SeqLib[Exact],tbl_SeqLib[Column],tbl_SeqLib[[#This Row],[Column]]),1),"")</f>
        <v/>
      </c>
      <c r="P23" s="44" t="str">
        <f>IF(tbl_SeqLib[[#This Row],[entry]]=2,ROUNDDOWN(_xlfn.MAXIFS(tbl_SeqLib[Exact],tbl_SeqLib[Column],tbl_SeqLib[[#This Row],[Column]]),1),"")</f>
        <v/>
      </c>
      <c r="Q23" s="44" t="str">
        <f>IF(tbl_SeqLib[[#This Row],[entry]]=2,ROUNDUP(AVERAGEIFS(tbl_SeqLib[Exact],tbl_SeqLib[Column],tbl_SeqLib[[#This Row],[Column]]),1),"")</f>
        <v/>
      </c>
      <c r="R23" s="44" t="str" cm="1">
        <f t="array" ref="R23">_xlfn.XLOOKUP(0,ABS(tbl_SeqLib[[#This Row],[Min for col]:[Avg for col]]-tbl_SeqLib[[#This Row],[Exact]]),tbl_SeqLib[[#This Row],[Min for col]:[Avg for col]],"",1)</f>
        <v/>
      </c>
      <c r="S23" s="44" t="str" cm="1">
        <f t="array" ref="S23">_xlfn.XLOOKUP(0,ABS(tbl_SeqLib[[#This Row],[Max for col]:[Avg for col]]-tbl_SeqLib[[#This Row],[Exact]]),tbl_SeqLib[[#This Row],[Max for col]:[Avg for col]],"",1)</f>
        <v/>
      </c>
      <c r="T23" s="44" t="str">
        <f>IF(tbl_SeqLib[[#This Row],[entry]]=2,tbl_SeqLib[[#This Row],[Max for col]],"")</f>
        <v/>
      </c>
      <c r="U23" s="44" t="str">
        <f>IF(tbl_SeqLib[[#This Row],[entry]]=2,tbl_SeqLib[[#This Row],[Avg for col]],"")</f>
        <v/>
      </c>
      <c r="V23" s="44" t="str">
        <f>IF(tbl_SeqLib[[#This Row],[entry]]=2,AVERAGE(tbl_SeqLib[Exact]),"")</f>
        <v/>
      </c>
      <c r="W23" s="44" t="str">
        <f>IF(tbl_SeqLib[[#This Row],[entry]]=2,MAX(tbl_SeqLib[Exact]),"")</f>
        <v/>
      </c>
      <c r="X23" s="44" t="str" cm="1">
        <f t="array" ref="X23">_xlfn.XLOOKUP(0,ABS(tbl_SeqLib[[#This Row],[Avg per plate]:[Max per plate]]-tbl_SeqLib[[#This Row],[Exact]]),tbl_SeqLib[[#This Row],[Avg per plate]:[Max per plate]],,1)</f>
        <v/>
      </c>
      <c r="Y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 t="str">
        <f>IF(tbl_SeqLib[[#This Row],[entry]]=0,"",IF(tbl_SeqLib[[#This Row],[entry]]=1,tbl_SeqLib[[#This Row],[Not quantified]],IF(tbl_SeqLib[[#This Row],[entry]]=2,tbl_SeqLib[[#This Row],[Quantified]])))</f>
        <v/>
      </c>
      <c r="AD23" s="92"/>
      <c r="AE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3" s="60" t="str">
        <f>IF(ISBLANK(tbl_SeqLib[[#This Row],[sWGA Identifier]]),"",CONCATENATE(exp_id,"_",tbl_SeqLib[[#This Row],[Well]]))</f>
        <v/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19"/>
      <c r="G24" s="31"/>
      <c r="H24" s="19"/>
      <c r="I24" s="31"/>
      <c r="J24" s="31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2" t="s">
        <v>128</v>
      </c>
      <c r="M24" s="85">
        <f>IF(OR(ISBLANK(tbl_SeqLib[[#This Row],[Sample ID]]),ISBLANK(endrepair_targetmass)),0,IF(LEN(tbl_SeqLib[[#This Row],[PCR '[DNA'] (ng / µl)]])=0,1,2))</f>
        <v>0</v>
      </c>
      <c r="N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44" t="str">
        <f>IF(tbl_SeqLib[[#This Row],[entry]]=2,ROUNDUP(_xlfn.MINIFS(tbl_SeqLib[Exact],tbl_SeqLib[Column],tbl_SeqLib[[#This Row],[Column]]),1),"")</f>
        <v/>
      </c>
      <c r="P24" s="44" t="str">
        <f>IF(tbl_SeqLib[[#This Row],[entry]]=2,ROUNDDOWN(_xlfn.MAXIFS(tbl_SeqLib[Exact],tbl_SeqLib[Column],tbl_SeqLib[[#This Row],[Column]]),1),"")</f>
        <v/>
      </c>
      <c r="Q24" s="44" t="str">
        <f>IF(tbl_SeqLib[[#This Row],[entry]]=2,ROUNDUP(AVERAGEIFS(tbl_SeqLib[Exact],tbl_SeqLib[Column],tbl_SeqLib[[#This Row],[Column]]),1),"")</f>
        <v/>
      </c>
      <c r="R24" s="44" t="str" cm="1">
        <f t="array" ref="R24">_xlfn.XLOOKUP(0,ABS(tbl_SeqLib[[#This Row],[Min for col]:[Avg for col]]-tbl_SeqLib[[#This Row],[Exact]]),tbl_SeqLib[[#This Row],[Min for col]:[Avg for col]],"",1)</f>
        <v/>
      </c>
      <c r="S24" s="44" t="str" cm="1">
        <f t="array" ref="S24">_xlfn.XLOOKUP(0,ABS(tbl_SeqLib[[#This Row],[Max for col]:[Avg for col]]-tbl_SeqLib[[#This Row],[Exact]]),tbl_SeqLib[[#This Row],[Max for col]:[Avg for col]],"",1)</f>
        <v/>
      </c>
      <c r="T24" s="44" t="str">
        <f>IF(tbl_SeqLib[[#This Row],[entry]]=2,tbl_SeqLib[[#This Row],[Max for col]],"")</f>
        <v/>
      </c>
      <c r="U24" s="44" t="str">
        <f>IF(tbl_SeqLib[[#This Row],[entry]]=2,tbl_SeqLib[[#This Row],[Avg for col]],"")</f>
        <v/>
      </c>
      <c r="V24" s="44" t="str">
        <f>IF(tbl_SeqLib[[#This Row],[entry]]=2,AVERAGE(tbl_SeqLib[Exact]),"")</f>
        <v/>
      </c>
      <c r="W24" s="44" t="str">
        <f>IF(tbl_SeqLib[[#This Row],[entry]]=2,MAX(tbl_SeqLib[Exact]),"")</f>
        <v/>
      </c>
      <c r="X24" s="44" t="str" cm="1">
        <f t="array" ref="X24">_xlfn.XLOOKUP(0,ABS(tbl_SeqLib[[#This Row],[Avg per plate]:[Max per plate]]-tbl_SeqLib[[#This Row],[Exact]]),tbl_SeqLib[[#This Row],[Avg per plate]:[Max per plate]],,1)</f>
        <v/>
      </c>
      <c r="Y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 t="str">
        <f>IF(tbl_SeqLib[[#This Row],[entry]]=0,"",IF(tbl_SeqLib[[#This Row],[entry]]=1,tbl_SeqLib[[#This Row],[Not quantified]],IF(tbl_SeqLib[[#This Row],[entry]]=2,tbl_SeqLib[[#This Row],[Quantified]])))</f>
        <v/>
      </c>
      <c r="AD24" s="92"/>
      <c r="AE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4" s="60" t="str">
        <f>IF(ISBLANK(tbl_SeqLib[[#This Row],[sWGA Identifier]]),"",CONCATENATE(exp_id,"_",tbl_SeqLib[[#This Row],[Well]]))</f>
        <v/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19"/>
      <c r="G25" s="31"/>
      <c r="H25" s="19"/>
      <c r="I25" s="31"/>
      <c r="J25" s="31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2" t="s">
        <v>130</v>
      </c>
      <c r="M25" s="85">
        <f>IF(OR(ISBLANK(tbl_SeqLib[[#This Row],[Sample ID]]),ISBLANK(endrepair_targetmass)),0,IF(LEN(tbl_SeqLib[[#This Row],[PCR '[DNA'] (ng / µl)]])=0,1,2))</f>
        <v>0</v>
      </c>
      <c r="N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44" t="str">
        <f>IF(tbl_SeqLib[[#This Row],[entry]]=2,ROUNDUP(_xlfn.MINIFS(tbl_SeqLib[Exact],tbl_SeqLib[Column],tbl_SeqLib[[#This Row],[Column]]),1),"")</f>
        <v/>
      </c>
      <c r="P25" s="44" t="str">
        <f>IF(tbl_SeqLib[[#This Row],[entry]]=2,ROUNDDOWN(_xlfn.MAXIFS(tbl_SeqLib[Exact],tbl_SeqLib[Column],tbl_SeqLib[[#This Row],[Column]]),1),"")</f>
        <v/>
      </c>
      <c r="Q25" s="44" t="str">
        <f>IF(tbl_SeqLib[[#This Row],[entry]]=2,ROUNDUP(AVERAGEIFS(tbl_SeqLib[Exact],tbl_SeqLib[Column],tbl_SeqLib[[#This Row],[Column]]),1),"")</f>
        <v/>
      </c>
      <c r="R25" s="44" t="str" cm="1">
        <f t="array" ref="R25">_xlfn.XLOOKUP(0,ABS(tbl_SeqLib[[#This Row],[Min for col]:[Avg for col]]-tbl_SeqLib[[#This Row],[Exact]]),tbl_SeqLib[[#This Row],[Min for col]:[Avg for col]],"",1)</f>
        <v/>
      </c>
      <c r="S25" s="44" t="str" cm="1">
        <f t="array" ref="S25">_xlfn.XLOOKUP(0,ABS(tbl_SeqLib[[#This Row],[Max for col]:[Avg for col]]-tbl_SeqLib[[#This Row],[Exact]]),tbl_SeqLib[[#This Row],[Max for col]:[Avg for col]],"",1)</f>
        <v/>
      </c>
      <c r="T25" s="44" t="str">
        <f>IF(tbl_SeqLib[[#This Row],[entry]]=2,tbl_SeqLib[[#This Row],[Max for col]],"")</f>
        <v/>
      </c>
      <c r="U25" s="44" t="str">
        <f>IF(tbl_SeqLib[[#This Row],[entry]]=2,tbl_SeqLib[[#This Row],[Avg for col]],"")</f>
        <v/>
      </c>
      <c r="V25" s="44" t="str">
        <f>IF(tbl_SeqLib[[#This Row],[entry]]=2,AVERAGE(tbl_SeqLib[Exact]),"")</f>
        <v/>
      </c>
      <c r="W25" s="44" t="str">
        <f>IF(tbl_SeqLib[[#This Row],[entry]]=2,MAX(tbl_SeqLib[Exact]),"")</f>
        <v/>
      </c>
      <c r="X25" s="44" t="str" cm="1">
        <f t="array" ref="X25">_xlfn.XLOOKUP(0,ABS(tbl_SeqLib[[#This Row],[Avg per plate]:[Max per plate]]-tbl_SeqLib[[#This Row],[Exact]]),tbl_SeqLib[[#This Row],[Avg per plate]:[Max per plate]],,1)</f>
        <v/>
      </c>
      <c r="Y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 t="str">
        <f>IF(tbl_SeqLib[[#This Row],[entry]]=0,"",IF(tbl_SeqLib[[#This Row],[entry]]=1,tbl_SeqLib[[#This Row],[Not quantified]],IF(tbl_SeqLib[[#This Row],[entry]]=2,tbl_SeqLib[[#This Row],[Quantified]])))</f>
        <v/>
      </c>
      <c r="AD25" s="92"/>
      <c r="AE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5" s="60" t="str">
        <f>IF(ISBLANK(tbl_SeqLib[[#This Row],[sWGA Identifier]]),"",CONCATENATE(exp_id,"_",tbl_SeqLib[[#This Row],[Well]]))</f>
        <v/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3"/>
      <c r="G26" s="65"/>
      <c r="H26" s="63"/>
      <c r="I26" s="65"/>
      <c r="J26" s="65"/>
      <c r="K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7" t="s">
        <v>132</v>
      </c>
      <c r="M26" s="86">
        <f>IF(OR(ISBLANK(tbl_SeqLib[[#This Row],[Sample ID]]),ISBLANK(endrepair_targetmass)),0,IF(LEN(tbl_SeqLib[[#This Row],[PCR '[DNA'] (ng / µl)]])=0,1,2))</f>
        <v>0</v>
      </c>
      <c r="N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68" t="str">
        <f>IF(tbl_SeqLib[[#This Row],[entry]]=2,ROUNDUP(_xlfn.MINIFS(tbl_SeqLib[Exact],tbl_SeqLib[Column],tbl_SeqLib[[#This Row],[Column]]),1),"")</f>
        <v/>
      </c>
      <c r="P26" s="68" t="str">
        <f>IF(tbl_SeqLib[[#This Row],[entry]]=2,ROUNDDOWN(_xlfn.MAXIFS(tbl_SeqLib[Exact],tbl_SeqLib[Column],tbl_SeqLib[[#This Row],[Column]]),1),"")</f>
        <v/>
      </c>
      <c r="Q26" s="68" t="str">
        <f>IF(tbl_SeqLib[[#This Row],[entry]]=2,ROUNDUP(AVERAGEIFS(tbl_SeqLib[Exact],tbl_SeqLib[Column],tbl_SeqLib[[#This Row],[Column]]),1),"")</f>
        <v/>
      </c>
      <c r="R26" s="68" t="str" cm="1">
        <f t="array" ref="R26">_xlfn.XLOOKUP(0,ABS(tbl_SeqLib[[#This Row],[Min for col]:[Avg for col]]-tbl_SeqLib[[#This Row],[Exact]]),tbl_SeqLib[[#This Row],[Min for col]:[Avg for col]],"",1)</f>
        <v/>
      </c>
      <c r="S26" s="68" t="str" cm="1">
        <f t="array" ref="S26">_xlfn.XLOOKUP(0,ABS(tbl_SeqLib[[#This Row],[Max for col]:[Avg for col]]-tbl_SeqLib[[#This Row],[Exact]]),tbl_SeqLib[[#This Row],[Max for col]:[Avg for col]],"",1)</f>
        <v/>
      </c>
      <c r="T26" s="68" t="str">
        <f>IF(tbl_SeqLib[[#This Row],[entry]]=2,tbl_SeqLib[[#This Row],[Max for col]],"")</f>
        <v/>
      </c>
      <c r="U26" s="68" t="str">
        <f>IF(tbl_SeqLib[[#This Row],[entry]]=2,tbl_SeqLib[[#This Row],[Avg for col]],"")</f>
        <v/>
      </c>
      <c r="V26" s="68" t="str">
        <f>IF(tbl_SeqLib[[#This Row],[entry]]=2,AVERAGE(tbl_SeqLib[Exact]),"")</f>
        <v/>
      </c>
      <c r="W26" s="68" t="str">
        <f>IF(tbl_SeqLib[[#This Row],[entry]]=2,MAX(tbl_SeqLib[Exact]),"")</f>
        <v/>
      </c>
      <c r="X26" s="68" t="str" cm="1">
        <f t="array" ref="X26">_xlfn.XLOOKUP(0,ABS(tbl_SeqLib[[#This Row],[Avg per plate]:[Max per plate]]-tbl_SeqLib[[#This Row],[Exact]]),tbl_SeqLib[[#This Row],[Avg per plate]:[Max per plate]],,1)</f>
        <v/>
      </c>
      <c r="Y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 t="str">
        <f>IF(tbl_SeqLib[[#This Row],[entry]]=0,"",IF(tbl_SeqLib[[#This Row],[entry]]=1,tbl_SeqLib[[#This Row],[Not quantified]],IF(tbl_SeqLib[[#This Row],[entry]]=2,tbl_SeqLib[[#This Row],[Quantified]])))</f>
        <v/>
      </c>
      <c r="AD26" s="93"/>
      <c r="AE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6" s="69" t="str">
        <f>IF(ISBLANK(tbl_SeqLib[[#This Row],[sWGA Identifier]]),"",CONCATENATE(exp_id,"_",tbl_SeqLib[[#This Row],[Well]]))</f>
        <v/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2"/>
      <c r="K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6" t="s">
        <v>134</v>
      </c>
      <c r="M27" s="84">
        <f>IF(OR(ISBLANK(tbl_SeqLib[[#This Row],[Sample ID]]),ISBLANK(endrepair_targetmass)),0,IF(LEN(tbl_SeqLib[[#This Row],[PCR '[DNA'] (ng / µl)]])=0,1,2))</f>
        <v>0</v>
      </c>
      <c r="N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57" t="str">
        <f>IF(tbl_SeqLib[[#This Row],[entry]]=2,ROUNDUP(_xlfn.MINIFS(tbl_SeqLib[Exact],tbl_SeqLib[Column],tbl_SeqLib[[#This Row],[Column]]),1),"")</f>
        <v/>
      </c>
      <c r="P27" s="57" t="str">
        <f>IF(tbl_SeqLib[[#This Row],[entry]]=2,ROUNDDOWN(_xlfn.MAXIFS(tbl_SeqLib[Exact],tbl_SeqLib[Column],tbl_SeqLib[[#This Row],[Column]]),1),"")</f>
        <v/>
      </c>
      <c r="Q27" s="57" t="str">
        <f>IF(tbl_SeqLib[[#This Row],[entry]]=2,ROUNDUP(AVERAGEIFS(tbl_SeqLib[Exact],tbl_SeqLib[Column],tbl_SeqLib[[#This Row],[Column]]),1),"")</f>
        <v/>
      </c>
      <c r="R27" s="57" t="str" cm="1">
        <f t="array" ref="R27">_xlfn.XLOOKUP(0,ABS(tbl_SeqLib[[#This Row],[Min for col]:[Avg for col]]-tbl_SeqLib[[#This Row],[Exact]]),tbl_SeqLib[[#This Row],[Min for col]:[Avg for col]],"",1)</f>
        <v/>
      </c>
      <c r="S27" s="57" t="str" cm="1">
        <f t="array" ref="S27">_xlfn.XLOOKUP(0,ABS(tbl_SeqLib[[#This Row],[Max for col]:[Avg for col]]-tbl_SeqLib[[#This Row],[Exact]]),tbl_SeqLib[[#This Row],[Max for col]:[Avg for col]],"",1)</f>
        <v/>
      </c>
      <c r="T27" s="57" t="str">
        <f>IF(tbl_SeqLib[[#This Row],[entry]]=2,tbl_SeqLib[[#This Row],[Max for col]],"")</f>
        <v/>
      </c>
      <c r="U27" s="57" t="str">
        <f>IF(tbl_SeqLib[[#This Row],[entry]]=2,tbl_SeqLib[[#This Row],[Avg for col]],"")</f>
        <v/>
      </c>
      <c r="V27" s="57" t="str">
        <f>IF(tbl_SeqLib[[#This Row],[entry]]=2,AVERAGE(tbl_SeqLib[Exact]),"")</f>
        <v/>
      </c>
      <c r="W27" s="57" t="str">
        <f>IF(tbl_SeqLib[[#This Row],[entry]]=2,MAX(tbl_SeqLib[Exact]),"")</f>
        <v/>
      </c>
      <c r="X27" s="57" t="str" cm="1">
        <f t="array" ref="X27">_xlfn.XLOOKUP(0,ABS(tbl_SeqLib[[#This Row],[Avg per plate]:[Max per plate]]-tbl_SeqLib[[#This Row],[Exact]]),tbl_SeqLib[[#This Row],[Avg per plate]:[Max per plate]],,1)</f>
        <v/>
      </c>
      <c r="Y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 t="str">
        <f>IF(tbl_SeqLib[[#This Row],[entry]]=0,"",IF(tbl_SeqLib[[#This Row],[entry]]=1,tbl_SeqLib[[#This Row],[Not quantified]],IF(tbl_SeqLib[[#This Row],[entry]]=2,tbl_SeqLib[[#This Row],[Quantified]])))</f>
        <v/>
      </c>
      <c r="AD27" s="91"/>
      <c r="AE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7" s="58" t="str">
        <f>IF(ISBLANK(tbl_SeqLib[[#This Row],[sWGA Identifier]]),"",CONCATENATE(exp_id,"_",tbl_SeqLib[[#This Row],[Well]]))</f>
        <v/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19"/>
      <c r="G28" s="31"/>
      <c r="H28" s="19"/>
      <c r="I28" s="31"/>
      <c r="J28" s="31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2" t="s">
        <v>136</v>
      </c>
      <c r="M28" s="85">
        <f>IF(OR(ISBLANK(tbl_SeqLib[[#This Row],[Sample ID]]),ISBLANK(endrepair_targetmass)),0,IF(LEN(tbl_SeqLib[[#This Row],[PCR '[DNA'] (ng / µl)]])=0,1,2))</f>
        <v>0</v>
      </c>
      <c r="N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44" t="str">
        <f>IF(tbl_SeqLib[[#This Row],[entry]]=2,ROUNDUP(_xlfn.MINIFS(tbl_SeqLib[Exact],tbl_SeqLib[Column],tbl_SeqLib[[#This Row],[Column]]),1),"")</f>
        <v/>
      </c>
      <c r="P28" s="44" t="str">
        <f>IF(tbl_SeqLib[[#This Row],[entry]]=2,ROUNDDOWN(_xlfn.MAXIFS(tbl_SeqLib[Exact],tbl_SeqLib[Column],tbl_SeqLib[[#This Row],[Column]]),1),"")</f>
        <v/>
      </c>
      <c r="Q28" s="44" t="str">
        <f>IF(tbl_SeqLib[[#This Row],[entry]]=2,ROUNDUP(AVERAGEIFS(tbl_SeqLib[Exact],tbl_SeqLib[Column],tbl_SeqLib[[#This Row],[Column]]),1),"")</f>
        <v/>
      </c>
      <c r="R28" s="44" t="str" cm="1">
        <f t="array" ref="R28">_xlfn.XLOOKUP(0,ABS(tbl_SeqLib[[#This Row],[Min for col]:[Avg for col]]-tbl_SeqLib[[#This Row],[Exact]]),tbl_SeqLib[[#This Row],[Min for col]:[Avg for col]],"",1)</f>
        <v/>
      </c>
      <c r="S28" s="44" t="str" cm="1">
        <f t="array" ref="S28">_xlfn.XLOOKUP(0,ABS(tbl_SeqLib[[#This Row],[Max for col]:[Avg for col]]-tbl_SeqLib[[#This Row],[Exact]]),tbl_SeqLib[[#This Row],[Max for col]:[Avg for col]],"",1)</f>
        <v/>
      </c>
      <c r="T28" s="44" t="str">
        <f>IF(tbl_SeqLib[[#This Row],[entry]]=2,tbl_SeqLib[[#This Row],[Max for col]],"")</f>
        <v/>
      </c>
      <c r="U28" s="44" t="str">
        <f>IF(tbl_SeqLib[[#This Row],[entry]]=2,tbl_SeqLib[[#This Row],[Avg for col]],"")</f>
        <v/>
      </c>
      <c r="V28" s="44" t="str">
        <f>IF(tbl_SeqLib[[#This Row],[entry]]=2,AVERAGE(tbl_SeqLib[Exact]),"")</f>
        <v/>
      </c>
      <c r="W28" s="44" t="str">
        <f>IF(tbl_SeqLib[[#This Row],[entry]]=2,MAX(tbl_SeqLib[Exact]),"")</f>
        <v/>
      </c>
      <c r="X28" s="44" t="str" cm="1">
        <f t="array" ref="X28">_xlfn.XLOOKUP(0,ABS(tbl_SeqLib[[#This Row],[Avg per plate]:[Max per plate]]-tbl_SeqLib[[#This Row],[Exact]]),tbl_SeqLib[[#This Row],[Avg per plate]:[Max per plate]],,1)</f>
        <v/>
      </c>
      <c r="Y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 t="str">
        <f>IF(tbl_SeqLib[[#This Row],[entry]]=0,"",IF(tbl_SeqLib[[#This Row],[entry]]=1,tbl_SeqLib[[#This Row],[Not quantified]],IF(tbl_SeqLib[[#This Row],[entry]]=2,tbl_SeqLib[[#This Row],[Quantified]])))</f>
        <v/>
      </c>
      <c r="AD28" s="92"/>
      <c r="AE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8" s="60" t="str">
        <f>IF(ISBLANK(tbl_SeqLib[[#This Row],[sWGA Identifier]]),"",CONCATENATE(exp_id,"_",tbl_SeqLib[[#This Row],[Well]]))</f>
        <v/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19"/>
      <c r="G29" s="31"/>
      <c r="H29" s="19"/>
      <c r="I29" s="31"/>
      <c r="J29" s="31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2" t="s">
        <v>138</v>
      </c>
      <c r="M29" s="85">
        <f>IF(OR(ISBLANK(tbl_SeqLib[[#This Row],[Sample ID]]),ISBLANK(endrepair_targetmass)),0,IF(LEN(tbl_SeqLib[[#This Row],[PCR '[DNA'] (ng / µl)]])=0,1,2))</f>
        <v>0</v>
      </c>
      <c r="N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44" t="str">
        <f>IF(tbl_SeqLib[[#This Row],[entry]]=2,ROUNDUP(_xlfn.MINIFS(tbl_SeqLib[Exact],tbl_SeqLib[Column],tbl_SeqLib[[#This Row],[Column]]),1),"")</f>
        <v/>
      </c>
      <c r="P29" s="44" t="str">
        <f>IF(tbl_SeqLib[[#This Row],[entry]]=2,ROUNDDOWN(_xlfn.MAXIFS(tbl_SeqLib[Exact],tbl_SeqLib[Column],tbl_SeqLib[[#This Row],[Column]]),1),"")</f>
        <v/>
      </c>
      <c r="Q29" s="44" t="str">
        <f>IF(tbl_SeqLib[[#This Row],[entry]]=2,ROUNDUP(AVERAGEIFS(tbl_SeqLib[Exact],tbl_SeqLib[Column],tbl_SeqLib[[#This Row],[Column]]),1),"")</f>
        <v/>
      </c>
      <c r="R29" s="44" t="str" cm="1">
        <f t="array" ref="R29">_xlfn.XLOOKUP(0,ABS(tbl_SeqLib[[#This Row],[Min for col]:[Avg for col]]-tbl_SeqLib[[#This Row],[Exact]]),tbl_SeqLib[[#This Row],[Min for col]:[Avg for col]],"",1)</f>
        <v/>
      </c>
      <c r="S29" s="44" t="str" cm="1">
        <f t="array" ref="S29">_xlfn.XLOOKUP(0,ABS(tbl_SeqLib[[#This Row],[Max for col]:[Avg for col]]-tbl_SeqLib[[#This Row],[Exact]]),tbl_SeqLib[[#This Row],[Max for col]:[Avg for col]],"",1)</f>
        <v/>
      </c>
      <c r="T29" s="44" t="str">
        <f>IF(tbl_SeqLib[[#This Row],[entry]]=2,tbl_SeqLib[[#This Row],[Max for col]],"")</f>
        <v/>
      </c>
      <c r="U29" s="44" t="str">
        <f>IF(tbl_SeqLib[[#This Row],[entry]]=2,tbl_SeqLib[[#This Row],[Avg for col]],"")</f>
        <v/>
      </c>
      <c r="V29" s="44" t="str">
        <f>IF(tbl_SeqLib[[#This Row],[entry]]=2,AVERAGE(tbl_SeqLib[Exact]),"")</f>
        <v/>
      </c>
      <c r="W29" s="44" t="str">
        <f>IF(tbl_SeqLib[[#This Row],[entry]]=2,MAX(tbl_SeqLib[Exact]),"")</f>
        <v/>
      </c>
      <c r="X29" s="44" t="str" cm="1">
        <f t="array" ref="X29">_xlfn.XLOOKUP(0,ABS(tbl_SeqLib[[#This Row],[Avg per plate]:[Max per plate]]-tbl_SeqLib[[#This Row],[Exact]]),tbl_SeqLib[[#This Row],[Avg per plate]:[Max per plate]],,1)</f>
        <v/>
      </c>
      <c r="Y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 t="str">
        <f>IF(tbl_SeqLib[[#This Row],[entry]]=0,"",IF(tbl_SeqLib[[#This Row],[entry]]=1,tbl_SeqLib[[#This Row],[Not quantified]],IF(tbl_SeqLib[[#This Row],[entry]]=2,tbl_SeqLib[[#This Row],[Quantified]])))</f>
        <v/>
      </c>
      <c r="AD29" s="92"/>
      <c r="AE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9" s="60" t="str">
        <f>IF(ISBLANK(tbl_SeqLib[[#This Row],[sWGA Identifier]]),"",CONCATENATE(exp_id,"_",tbl_SeqLib[[#This Row],[Well]]))</f>
        <v/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19"/>
      <c r="G30" s="31"/>
      <c r="H30" s="19"/>
      <c r="I30" s="31"/>
      <c r="J30" s="31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2" t="s">
        <v>140</v>
      </c>
      <c r="M30" s="85">
        <f>IF(OR(ISBLANK(tbl_SeqLib[[#This Row],[Sample ID]]),ISBLANK(endrepair_targetmass)),0,IF(LEN(tbl_SeqLib[[#This Row],[PCR '[DNA'] (ng / µl)]])=0,1,2))</f>
        <v>0</v>
      </c>
      <c r="N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44" t="str">
        <f>IF(tbl_SeqLib[[#This Row],[entry]]=2,ROUNDUP(_xlfn.MINIFS(tbl_SeqLib[Exact],tbl_SeqLib[Column],tbl_SeqLib[[#This Row],[Column]]),1),"")</f>
        <v/>
      </c>
      <c r="P30" s="44" t="str">
        <f>IF(tbl_SeqLib[[#This Row],[entry]]=2,ROUNDDOWN(_xlfn.MAXIFS(tbl_SeqLib[Exact],tbl_SeqLib[Column],tbl_SeqLib[[#This Row],[Column]]),1),"")</f>
        <v/>
      </c>
      <c r="Q30" s="44" t="str">
        <f>IF(tbl_SeqLib[[#This Row],[entry]]=2,ROUNDUP(AVERAGEIFS(tbl_SeqLib[Exact],tbl_SeqLib[Column],tbl_SeqLib[[#This Row],[Column]]),1),"")</f>
        <v/>
      </c>
      <c r="R30" s="44" t="str" cm="1">
        <f t="array" ref="R30">_xlfn.XLOOKUP(0,ABS(tbl_SeqLib[[#This Row],[Min for col]:[Avg for col]]-tbl_SeqLib[[#This Row],[Exact]]),tbl_SeqLib[[#This Row],[Min for col]:[Avg for col]],"",1)</f>
        <v/>
      </c>
      <c r="S30" s="44" t="str" cm="1">
        <f t="array" ref="S30">_xlfn.XLOOKUP(0,ABS(tbl_SeqLib[[#This Row],[Max for col]:[Avg for col]]-tbl_SeqLib[[#This Row],[Exact]]),tbl_SeqLib[[#This Row],[Max for col]:[Avg for col]],"",1)</f>
        <v/>
      </c>
      <c r="T30" s="44" t="str">
        <f>IF(tbl_SeqLib[[#This Row],[entry]]=2,tbl_SeqLib[[#This Row],[Max for col]],"")</f>
        <v/>
      </c>
      <c r="U30" s="44" t="str">
        <f>IF(tbl_SeqLib[[#This Row],[entry]]=2,tbl_SeqLib[[#This Row],[Avg for col]],"")</f>
        <v/>
      </c>
      <c r="V30" s="44" t="str">
        <f>IF(tbl_SeqLib[[#This Row],[entry]]=2,AVERAGE(tbl_SeqLib[Exact]),"")</f>
        <v/>
      </c>
      <c r="W30" s="44" t="str">
        <f>IF(tbl_SeqLib[[#This Row],[entry]]=2,MAX(tbl_SeqLib[Exact]),"")</f>
        <v/>
      </c>
      <c r="X30" s="44" t="str" cm="1">
        <f t="array" ref="X30">_xlfn.XLOOKUP(0,ABS(tbl_SeqLib[[#This Row],[Avg per plate]:[Max per plate]]-tbl_SeqLib[[#This Row],[Exact]]),tbl_SeqLib[[#This Row],[Avg per plate]:[Max per plate]],,1)</f>
        <v/>
      </c>
      <c r="Y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 t="str">
        <f>IF(tbl_SeqLib[[#This Row],[entry]]=0,"",IF(tbl_SeqLib[[#This Row],[entry]]=1,tbl_SeqLib[[#This Row],[Not quantified]],IF(tbl_SeqLib[[#This Row],[entry]]=2,tbl_SeqLib[[#This Row],[Quantified]])))</f>
        <v/>
      </c>
      <c r="AD30" s="92"/>
      <c r="AE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0" s="60" t="str">
        <f>IF(ISBLANK(tbl_SeqLib[[#This Row],[sWGA Identifier]]),"",CONCATENATE(exp_id,"_",tbl_SeqLib[[#This Row],[Well]]))</f>
        <v/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19"/>
      <c r="G31" s="31"/>
      <c r="H31" s="19"/>
      <c r="I31" s="31"/>
      <c r="J31" s="31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2" t="s">
        <v>142</v>
      </c>
      <c r="M31" s="85">
        <f>IF(OR(ISBLANK(tbl_SeqLib[[#This Row],[Sample ID]]),ISBLANK(endrepair_targetmass)),0,IF(LEN(tbl_SeqLib[[#This Row],[PCR '[DNA'] (ng / µl)]])=0,1,2))</f>
        <v>0</v>
      </c>
      <c r="N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44" t="str">
        <f>IF(tbl_SeqLib[[#This Row],[entry]]=2,ROUNDUP(_xlfn.MINIFS(tbl_SeqLib[Exact],tbl_SeqLib[Column],tbl_SeqLib[[#This Row],[Column]]),1),"")</f>
        <v/>
      </c>
      <c r="P31" s="44" t="str">
        <f>IF(tbl_SeqLib[[#This Row],[entry]]=2,ROUNDDOWN(_xlfn.MAXIFS(tbl_SeqLib[Exact],tbl_SeqLib[Column],tbl_SeqLib[[#This Row],[Column]]),1),"")</f>
        <v/>
      </c>
      <c r="Q31" s="44" t="str">
        <f>IF(tbl_SeqLib[[#This Row],[entry]]=2,ROUNDUP(AVERAGEIFS(tbl_SeqLib[Exact],tbl_SeqLib[Column],tbl_SeqLib[[#This Row],[Column]]),1),"")</f>
        <v/>
      </c>
      <c r="R31" s="44" t="str" cm="1">
        <f t="array" ref="R31">_xlfn.XLOOKUP(0,ABS(tbl_SeqLib[[#This Row],[Min for col]:[Avg for col]]-tbl_SeqLib[[#This Row],[Exact]]),tbl_SeqLib[[#This Row],[Min for col]:[Avg for col]],"",1)</f>
        <v/>
      </c>
      <c r="S31" s="44" t="str" cm="1">
        <f t="array" ref="S31">_xlfn.XLOOKUP(0,ABS(tbl_SeqLib[[#This Row],[Max for col]:[Avg for col]]-tbl_SeqLib[[#This Row],[Exact]]),tbl_SeqLib[[#This Row],[Max for col]:[Avg for col]],"",1)</f>
        <v/>
      </c>
      <c r="T31" s="44" t="str">
        <f>IF(tbl_SeqLib[[#This Row],[entry]]=2,tbl_SeqLib[[#This Row],[Max for col]],"")</f>
        <v/>
      </c>
      <c r="U31" s="44" t="str">
        <f>IF(tbl_SeqLib[[#This Row],[entry]]=2,tbl_SeqLib[[#This Row],[Avg for col]],"")</f>
        <v/>
      </c>
      <c r="V31" s="44" t="str">
        <f>IF(tbl_SeqLib[[#This Row],[entry]]=2,AVERAGE(tbl_SeqLib[Exact]),"")</f>
        <v/>
      </c>
      <c r="W31" s="44" t="str">
        <f>IF(tbl_SeqLib[[#This Row],[entry]]=2,MAX(tbl_SeqLib[Exact]),"")</f>
        <v/>
      </c>
      <c r="X31" s="44" t="str" cm="1">
        <f t="array" ref="X31">_xlfn.XLOOKUP(0,ABS(tbl_SeqLib[[#This Row],[Avg per plate]:[Max per plate]]-tbl_SeqLib[[#This Row],[Exact]]),tbl_SeqLib[[#This Row],[Avg per plate]:[Max per plate]],,1)</f>
        <v/>
      </c>
      <c r="Y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 t="str">
        <f>IF(tbl_SeqLib[[#This Row],[entry]]=0,"",IF(tbl_SeqLib[[#This Row],[entry]]=1,tbl_SeqLib[[#This Row],[Not quantified]],IF(tbl_SeqLib[[#This Row],[entry]]=2,tbl_SeqLib[[#This Row],[Quantified]])))</f>
        <v/>
      </c>
      <c r="AD31" s="92"/>
      <c r="AE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1" s="60" t="str">
        <f>IF(ISBLANK(tbl_SeqLib[[#This Row],[sWGA Identifier]]),"",CONCATENATE(exp_id,"_",tbl_SeqLib[[#This Row],[Well]]))</f>
        <v/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19"/>
      <c r="G32" s="31"/>
      <c r="H32" s="19"/>
      <c r="I32" s="31"/>
      <c r="J32" s="31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2" t="s">
        <v>144</v>
      </c>
      <c r="M32" s="85">
        <f>IF(OR(ISBLANK(tbl_SeqLib[[#This Row],[Sample ID]]),ISBLANK(endrepair_targetmass)),0,IF(LEN(tbl_SeqLib[[#This Row],[PCR '[DNA'] (ng / µl)]])=0,1,2))</f>
        <v>0</v>
      </c>
      <c r="N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44" t="str">
        <f>IF(tbl_SeqLib[[#This Row],[entry]]=2,ROUNDUP(_xlfn.MINIFS(tbl_SeqLib[Exact],tbl_SeqLib[Column],tbl_SeqLib[[#This Row],[Column]]),1),"")</f>
        <v/>
      </c>
      <c r="P32" s="44" t="str">
        <f>IF(tbl_SeqLib[[#This Row],[entry]]=2,ROUNDDOWN(_xlfn.MAXIFS(tbl_SeqLib[Exact],tbl_SeqLib[Column],tbl_SeqLib[[#This Row],[Column]]),1),"")</f>
        <v/>
      </c>
      <c r="Q32" s="44" t="str">
        <f>IF(tbl_SeqLib[[#This Row],[entry]]=2,ROUNDUP(AVERAGEIFS(tbl_SeqLib[Exact],tbl_SeqLib[Column],tbl_SeqLib[[#This Row],[Column]]),1),"")</f>
        <v/>
      </c>
      <c r="R32" s="44" t="str" cm="1">
        <f t="array" ref="R32">_xlfn.XLOOKUP(0,ABS(tbl_SeqLib[[#This Row],[Min for col]:[Avg for col]]-tbl_SeqLib[[#This Row],[Exact]]),tbl_SeqLib[[#This Row],[Min for col]:[Avg for col]],"",1)</f>
        <v/>
      </c>
      <c r="S32" s="44" t="str" cm="1">
        <f t="array" ref="S32">_xlfn.XLOOKUP(0,ABS(tbl_SeqLib[[#This Row],[Max for col]:[Avg for col]]-tbl_SeqLib[[#This Row],[Exact]]),tbl_SeqLib[[#This Row],[Max for col]:[Avg for col]],"",1)</f>
        <v/>
      </c>
      <c r="T32" s="44" t="str">
        <f>IF(tbl_SeqLib[[#This Row],[entry]]=2,tbl_SeqLib[[#This Row],[Max for col]],"")</f>
        <v/>
      </c>
      <c r="U32" s="44" t="str">
        <f>IF(tbl_SeqLib[[#This Row],[entry]]=2,tbl_SeqLib[[#This Row],[Avg for col]],"")</f>
        <v/>
      </c>
      <c r="V32" s="44" t="str">
        <f>IF(tbl_SeqLib[[#This Row],[entry]]=2,AVERAGE(tbl_SeqLib[Exact]),"")</f>
        <v/>
      </c>
      <c r="W32" s="44" t="str">
        <f>IF(tbl_SeqLib[[#This Row],[entry]]=2,MAX(tbl_SeqLib[Exact]),"")</f>
        <v/>
      </c>
      <c r="X32" s="44" t="str" cm="1">
        <f t="array" ref="X32">_xlfn.XLOOKUP(0,ABS(tbl_SeqLib[[#This Row],[Avg per plate]:[Max per plate]]-tbl_SeqLib[[#This Row],[Exact]]),tbl_SeqLib[[#This Row],[Avg per plate]:[Max per plate]],,1)</f>
        <v/>
      </c>
      <c r="Y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 t="str">
        <f>IF(tbl_SeqLib[[#This Row],[entry]]=0,"",IF(tbl_SeqLib[[#This Row],[entry]]=1,tbl_SeqLib[[#This Row],[Not quantified]],IF(tbl_SeqLib[[#This Row],[entry]]=2,tbl_SeqLib[[#This Row],[Quantified]])))</f>
        <v/>
      </c>
      <c r="AD32" s="92"/>
      <c r="AE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2" s="60" t="str">
        <f>IF(ISBLANK(tbl_SeqLib[[#This Row],[sWGA Identifier]]),"",CONCATENATE(exp_id,"_",tbl_SeqLib[[#This Row],[Well]]))</f>
        <v/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19"/>
      <c r="G33" s="31"/>
      <c r="H33" s="19"/>
      <c r="I33" s="31"/>
      <c r="J33" s="31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2" t="s">
        <v>146</v>
      </c>
      <c r="M33" s="85">
        <f>IF(OR(ISBLANK(tbl_SeqLib[[#This Row],[Sample ID]]),ISBLANK(endrepair_targetmass)),0,IF(LEN(tbl_SeqLib[[#This Row],[PCR '[DNA'] (ng / µl)]])=0,1,2))</f>
        <v>0</v>
      </c>
      <c r="N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44" t="str">
        <f>IF(tbl_SeqLib[[#This Row],[entry]]=2,ROUNDUP(_xlfn.MINIFS(tbl_SeqLib[Exact],tbl_SeqLib[Column],tbl_SeqLib[[#This Row],[Column]]),1),"")</f>
        <v/>
      </c>
      <c r="P33" s="44" t="str">
        <f>IF(tbl_SeqLib[[#This Row],[entry]]=2,ROUNDDOWN(_xlfn.MAXIFS(tbl_SeqLib[Exact],tbl_SeqLib[Column],tbl_SeqLib[[#This Row],[Column]]),1),"")</f>
        <v/>
      </c>
      <c r="Q33" s="44" t="str">
        <f>IF(tbl_SeqLib[[#This Row],[entry]]=2,ROUNDUP(AVERAGEIFS(tbl_SeqLib[Exact],tbl_SeqLib[Column],tbl_SeqLib[[#This Row],[Column]]),1),"")</f>
        <v/>
      </c>
      <c r="R33" s="44" t="str" cm="1">
        <f t="array" ref="R33">_xlfn.XLOOKUP(0,ABS(tbl_SeqLib[[#This Row],[Min for col]:[Avg for col]]-tbl_SeqLib[[#This Row],[Exact]]),tbl_SeqLib[[#This Row],[Min for col]:[Avg for col]],"",1)</f>
        <v/>
      </c>
      <c r="S33" s="44" t="str" cm="1">
        <f t="array" ref="S33">_xlfn.XLOOKUP(0,ABS(tbl_SeqLib[[#This Row],[Max for col]:[Avg for col]]-tbl_SeqLib[[#This Row],[Exact]]),tbl_SeqLib[[#This Row],[Max for col]:[Avg for col]],"",1)</f>
        <v/>
      </c>
      <c r="T33" s="44" t="str">
        <f>IF(tbl_SeqLib[[#This Row],[entry]]=2,tbl_SeqLib[[#This Row],[Max for col]],"")</f>
        <v/>
      </c>
      <c r="U33" s="44" t="str">
        <f>IF(tbl_SeqLib[[#This Row],[entry]]=2,tbl_SeqLib[[#This Row],[Avg for col]],"")</f>
        <v/>
      </c>
      <c r="V33" s="44" t="str">
        <f>IF(tbl_SeqLib[[#This Row],[entry]]=2,AVERAGE(tbl_SeqLib[Exact]),"")</f>
        <v/>
      </c>
      <c r="W33" s="44" t="str">
        <f>IF(tbl_SeqLib[[#This Row],[entry]]=2,MAX(tbl_SeqLib[Exact]),"")</f>
        <v/>
      </c>
      <c r="X33" s="44" t="str" cm="1">
        <f t="array" ref="X33">_xlfn.XLOOKUP(0,ABS(tbl_SeqLib[[#This Row],[Avg per plate]:[Max per plate]]-tbl_SeqLib[[#This Row],[Exact]]),tbl_SeqLib[[#This Row],[Avg per plate]:[Max per plate]],,1)</f>
        <v/>
      </c>
      <c r="Y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 t="str">
        <f>IF(tbl_SeqLib[[#This Row],[entry]]=0,"",IF(tbl_SeqLib[[#This Row],[entry]]=1,tbl_SeqLib[[#This Row],[Not quantified]],IF(tbl_SeqLib[[#This Row],[entry]]=2,tbl_SeqLib[[#This Row],[Quantified]])))</f>
        <v/>
      </c>
      <c r="AD33" s="92"/>
      <c r="AE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3" s="60" t="str">
        <f>IF(ISBLANK(tbl_SeqLib[[#This Row],[sWGA Identifier]]),"",CONCATENATE(exp_id,"_",tbl_SeqLib[[#This Row],[Well]]))</f>
        <v/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3"/>
      <c r="G34" s="65"/>
      <c r="H34" s="63"/>
      <c r="I34" s="65"/>
      <c r="J34" s="65"/>
      <c r="K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7" t="s">
        <v>148</v>
      </c>
      <c r="M34" s="86">
        <f>IF(OR(ISBLANK(tbl_SeqLib[[#This Row],[Sample ID]]),ISBLANK(endrepair_targetmass)),0,IF(LEN(tbl_SeqLib[[#This Row],[PCR '[DNA'] (ng / µl)]])=0,1,2))</f>
        <v>0</v>
      </c>
      <c r="N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68" t="str">
        <f>IF(tbl_SeqLib[[#This Row],[entry]]=2,ROUNDUP(_xlfn.MINIFS(tbl_SeqLib[Exact],tbl_SeqLib[Column],tbl_SeqLib[[#This Row],[Column]]),1),"")</f>
        <v/>
      </c>
      <c r="P34" s="68" t="str">
        <f>IF(tbl_SeqLib[[#This Row],[entry]]=2,ROUNDDOWN(_xlfn.MAXIFS(tbl_SeqLib[Exact],tbl_SeqLib[Column],tbl_SeqLib[[#This Row],[Column]]),1),"")</f>
        <v/>
      </c>
      <c r="Q34" s="68" t="str">
        <f>IF(tbl_SeqLib[[#This Row],[entry]]=2,ROUNDUP(AVERAGEIFS(tbl_SeqLib[Exact],tbl_SeqLib[Column],tbl_SeqLib[[#This Row],[Column]]),1),"")</f>
        <v/>
      </c>
      <c r="R34" s="68" t="str" cm="1">
        <f t="array" ref="R34">_xlfn.XLOOKUP(0,ABS(tbl_SeqLib[[#This Row],[Min for col]:[Avg for col]]-tbl_SeqLib[[#This Row],[Exact]]),tbl_SeqLib[[#This Row],[Min for col]:[Avg for col]],"",1)</f>
        <v/>
      </c>
      <c r="S34" s="68" t="str" cm="1">
        <f t="array" ref="S34">_xlfn.XLOOKUP(0,ABS(tbl_SeqLib[[#This Row],[Max for col]:[Avg for col]]-tbl_SeqLib[[#This Row],[Exact]]),tbl_SeqLib[[#This Row],[Max for col]:[Avg for col]],"",1)</f>
        <v/>
      </c>
      <c r="T34" s="68" t="str">
        <f>IF(tbl_SeqLib[[#This Row],[entry]]=2,tbl_SeqLib[[#This Row],[Max for col]],"")</f>
        <v/>
      </c>
      <c r="U34" s="68" t="str">
        <f>IF(tbl_SeqLib[[#This Row],[entry]]=2,tbl_SeqLib[[#This Row],[Avg for col]],"")</f>
        <v/>
      </c>
      <c r="V34" s="68" t="str">
        <f>IF(tbl_SeqLib[[#This Row],[entry]]=2,AVERAGE(tbl_SeqLib[Exact]),"")</f>
        <v/>
      </c>
      <c r="W34" s="68" t="str">
        <f>IF(tbl_SeqLib[[#This Row],[entry]]=2,MAX(tbl_SeqLib[Exact]),"")</f>
        <v/>
      </c>
      <c r="X34" s="68" t="str" cm="1">
        <f t="array" ref="X34">_xlfn.XLOOKUP(0,ABS(tbl_SeqLib[[#This Row],[Avg per plate]:[Max per plate]]-tbl_SeqLib[[#This Row],[Exact]]),tbl_SeqLib[[#This Row],[Avg per plate]:[Max per plate]],,1)</f>
        <v/>
      </c>
      <c r="Y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 t="str">
        <f>IF(tbl_SeqLib[[#This Row],[entry]]=0,"",IF(tbl_SeqLib[[#This Row],[entry]]=1,tbl_SeqLib[[#This Row],[Not quantified]],IF(tbl_SeqLib[[#This Row],[entry]]=2,tbl_SeqLib[[#This Row],[Quantified]])))</f>
        <v/>
      </c>
      <c r="AD34" s="93"/>
      <c r="AE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4" s="69" t="str">
        <f>IF(ISBLANK(tbl_SeqLib[[#This Row],[sWGA Identifier]]),"",CONCATENATE(exp_id,"_",tbl_SeqLib[[#This Row],[Well]]))</f>
        <v/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2"/>
      <c r="K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6" t="s">
        <v>150</v>
      </c>
      <c r="M35" s="84">
        <f>IF(OR(ISBLANK(tbl_SeqLib[[#This Row],[Sample ID]]),ISBLANK(endrepair_targetmass)),0,IF(LEN(tbl_SeqLib[[#This Row],[PCR '[DNA'] (ng / µl)]])=0,1,2))</f>
        <v>0</v>
      </c>
      <c r="N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57" t="str">
        <f>IF(tbl_SeqLib[[#This Row],[entry]]=2,ROUNDUP(_xlfn.MINIFS(tbl_SeqLib[Exact],tbl_SeqLib[Column],tbl_SeqLib[[#This Row],[Column]]),1),"")</f>
        <v/>
      </c>
      <c r="P35" s="57" t="str">
        <f>IF(tbl_SeqLib[[#This Row],[entry]]=2,ROUNDDOWN(_xlfn.MAXIFS(tbl_SeqLib[Exact],tbl_SeqLib[Column],tbl_SeqLib[[#This Row],[Column]]),1),"")</f>
        <v/>
      </c>
      <c r="Q35" s="57" t="str">
        <f>IF(tbl_SeqLib[[#This Row],[entry]]=2,ROUNDUP(AVERAGEIFS(tbl_SeqLib[Exact],tbl_SeqLib[Column],tbl_SeqLib[[#This Row],[Column]]),1),"")</f>
        <v/>
      </c>
      <c r="R35" s="57" t="str" cm="1">
        <f t="array" ref="R35">_xlfn.XLOOKUP(0,ABS(tbl_SeqLib[[#This Row],[Min for col]:[Avg for col]]-tbl_SeqLib[[#This Row],[Exact]]),tbl_SeqLib[[#This Row],[Min for col]:[Avg for col]],"",1)</f>
        <v/>
      </c>
      <c r="S35" s="57" t="str" cm="1">
        <f t="array" ref="S35">_xlfn.XLOOKUP(0,ABS(tbl_SeqLib[[#This Row],[Max for col]:[Avg for col]]-tbl_SeqLib[[#This Row],[Exact]]),tbl_SeqLib[[#This Row],[Max for col]:[Avg for col]],"",1)</f>
        <v/>
      </c>
      <c r="T35" s="57" t="str">
        <f>IF(tbl_SeqLib[[#This Row],[entry]]=2,tbl_SeqLib[[#This Row],[Max for col]],"")</f>
        <v/>
      </c>
      <c r="U35" s="57" t="str">
        <f>IF(tbl_SeqLib[[#This Row],[entry]]=2,tbl_SeqLib[[#This Row],[Avg for col]],"")</f>
        <v/>
      </c>
      <c r="V35" s="57" t="str">
        <f>IF(tbl_SeqLib[[#This Row],[entry]]=2,AVERAGE(tbl_SeqLib[Exact]),"")</f>
        <v/>
      </c>
      <c r="W35" s="57" t="str">
        <f>IF(tbl_SeqLib[[#This Row],[entry]]=2,MAX(tbl_SeqLib[Exact]),"")</f>
        <v/>
      </c>
      <c r="X35" s="57" t="str" cm="1">
        <f t="array" ref="X35">_xlfn.XLOOKUP(0,ABS(tbl_SeqLib[[#This Row],[Avg per plate]:[Max per plate]]-tbl_SeqLib[[#This Row],[Exact]]),tbl_SeqLib[[#This Row],[Avg per plate]:[Max per plate]],,1)</f>
        <v/>
      </c>
      <c r="Y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 t="str">
        <f>IF(tbl_SeqLib[[#This Row],[entry]]=0,"",IF(tbl_SeqLib[[#This Row],[entry]]=1,tbl_SeqLib[[#This Row],[Not quantified]],IF(tbl_SeqLib[[#This Row],[entry]]=2,tbl_SeqLib[[#This Row],[Quantified]])))</f>
        <v/>
      </c>
      <c r="AD35" s="91"/>
      <c r="AE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5" s="58" t="str">
        <f>IF(ISBLANK(tbl_SeqLib[[#This Row],[sWGA Identifier]]),"",CONCATENATE(exp_id,"_",tbl_SeqLib[[#This Row],[Well]]))</f>
        <v/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19"/>
      <c r="G36" s="31"/>
      <c r="H36" s="19"/>
      <c r="I36" s="31"/>
      <c r="J36" s="31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2" t="s">
        <v>152</v>
      </c>
      <c r="M36" s="85">
        <f>IF(OR(ISBLANK(tbl_SeqLib[[#This Row],[Sample ID]]),ISBLANK(endrepair_targetmass)),0,IF(LEN(tbl_SeqLib[[#This Row],[PCR '[DNA'] (ng / µl)]])=0,1,2))</f>
        <v>0</v>
      </c>
      <c r="N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44" t="str">
        <f>IF(tbl_SeqLib[[#This Row],[entry]]=2,ROUNDUP(_xlfn.MINIFS(tbl_SeqLib[Exact],tbl_SeqLib[Column],tbl_SeqLib[[#This Row],[Column]]),1),"")</f>
        <v/>
      </c>
      <c r="P36" s="44" t="str">
        <f>IF(tbl_SeqLib[[#This Row],[entry]]=2,ROUNDDOWN(_xlfn.MAXIFS(tbl_SeqLib[Exact],tbl_SeqLib[Column],tbl_SeqLib[[#This Row],[Column]]),1),"")</f>
        <v/>
      </c>
      <c r="Q36" s="44" t="str">
        <f>IF(tbl_SeqLib[[#This Row],[entry]]=2,ROUNDUP(AVERAGEIFS(tbl_SeqLib[Exact],tbl_SeqLib[Column],tbl_SeqLib[[#This Row],[Column]]),1),"")</f>
        <v/>
      </c>
      <c r="R36" s="44" t="str" cm="1">
        <f t="array" ref="R36">_xlfn.XLOOKUP(0,ABS(tbl_SeqLib[[#This Row],[Min for col]:[Avg for col]]-tbl_SeqLib[[#This Row],[Exact]]),tbl_SeqLib[[#This Row],[Min for col]:[Avg for col]],"",1)</f>
        <v/>
      </c>
      <c r="S36" s="44" t="str" cm="1">
        <f t="array" ref="S36">_xlfn.XLOOKUP(0,ABS(tbl_SeqLib[[#This Row],[Max for col]:[Avg for col]]-tbl_SeqLib[[#This Row],[Exact]]),tbl_SeqLib[[#This Row],[Max for col]:[Avg for col]],"",1)</f>
        <v/>
      </c>
      <c r="T36" s="44" t="str">
        <f>IF(tbl_SeqLib[[#This Row],[entry]]=2,tbl_SeqLib[[#This Row],[Max for col]],"")</f>
        <v/>
      </c>
      <c r="U36" s="44" t="str">
        <f>IF(tbl_SeqLib[[#This Row],[entry]]=2,tbl_SeqLib[[#This Row],[Avg for col]],"")</f>
        <v/>
      </c>
      <c r="V36" s="44" t="str">
        <f>IF(tbl_SeqLib[[#This Row],[entry]]=2,AVERAGE(tbl_SeqLib[Exact]),"")</f>
        <v/>
      </c>
      <c r="W36" s="44" t="str">
        <f>IF(tbl_SeqLib[[#This Row],[entry]]=2,MAX(tbl_SeqLib[Exact]),"")</f>
        <v/>
      </c>
      <c r="X36" s="44" t="str" cm="1">
        <f t="array" ref="X36">_xlfn.XLOOKUP(0,ABS(tbl_SeqLib[[#This Row],[Avg per plate]:[Max per plate]]-tbl_SeqLib[[#This Row],[Exact]]),tbl_SeqLib[[#This Row],[Avg per plate]:[Max per plate]],,1)</f>
        <v/>
      </c>
      <c r="Y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 t="str">
        <f>IF(tbl_SeqLib[[#This Row],[entry]]=0,"",IF(tbl_SeqLib[[#This Row],[entry]]=1,tbl_SeqLib[[#This Row],[Not quantified]],IF(tbl_SeqLib[[#This Row],[entry]]=2,tbl_SeqLib[[#This Row],[Quantified]])))</f>
        <v/>
      </c>
      <c r="AD36" s="92"/>
      <c r="AE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6" s="60" t="str">
        <f>IF(ISBLANK(tbl_SeqLib[[#This Row],[sWGA Identifier]]),"",CONCATENATE(exp_id,"_",tbl_SeqLib[[#This Row],[Well]]))</f>
        <v/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L3:L98 D1:J98">
    <cfRule type="expression" dxfId="1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topLeftCell="A3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8" t="s">
        <v>420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398</v>
      </c>
      <c r="B7" s="48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7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422</v>
      </c>
      <c r="E14" t="s">
        <v>359</v>
      </c>
      <c r="H14" s="82" t="s">
        <v>302</v>
      </c>
    </row>
    <row r="15" spans="1:16" x14ac:dyDescent="0.25">
      <c r="A15" t="s">
        <v>424</v>
      </c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  <row r="37" spans="5:6" ht="16.5" thickBot="1" x14ac:dyDescent="0.3">
      <c r="E37" s="83" t="s">
        <v>439</v>
      </c>
      <c r="F37" s="80" t="s">
        <v>437</v>
      </c>
    </row>
    <row r="38" spans="5:6" x14ac:dyDescent="0.25">
      <c r="E38" s="47">
        <v>700</v>
      </c>
      <c r="F38" t="s">
        <v>436</v>
      </c>
    </row>
    <row r="39" spans="5:6" x14ac:dyDescent="0.25">
      <c r="E39" s="47">
        <v>200</v>
      </c>
      <c r="F39" t="s">
        <v>440</v>
      </c>
    </row>
    <row r="41" spans="5:6" ht="16.5" thickBot="1" x14ac:dyDescent="0.3">
      <c r="E41" s="83" t="s">
        <v>438</v>
      </c>
      <c r="F41" s="80" t="s">
        <v>437</v>
      </c>
    </row>
    <row r="42" spans="5:6" x14ac:dyDescent="0.25">
      <c r="E42" s="47">
        <v>35</v>
      </c>
      <c r="F42" t="s">
        <v>436</v>
      </c>
    </row>
    <row r="43" spans="5:6" x14ac:dyDescent="0.25">
      <c r="E43" s="47">
        <v>70</v>
      </c>
      <c r="F43" t="s">
        <v>441</v>
      </c>
    </row>
    <row r="45" spans="5:6" ht="16.5" thickBot="1" x14ac:dyDescent="0.3">
      <c r="E45" s="139" t="s">
        <v>443</v>
      </c>
    </row>
    <row r="46" spans="5:6" x14ac:dyDescent="0.25">
      <c r="E46" t="s">
        <v>444</v>
      </c>
    </row>
    <row r="47" spans="5:6" x14ac:dyDescent="0.25">
      <c r="E47" t="s">
        <v>445</v>
      </c>
    </row>
    <row r="48" spans="5:6" x14ac:dyDescent="0.25">
      <c r="E48" t="s">
        <v>446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7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442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2024-10-31T15:16:11Z</dcterms:modified>
  <dc:language>en-GB</dc:language>
</cp:coreProperties>
</file>