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A966024F-D691-4F48-AB74-4EEF4B1F1117}" xr6:coauthVersionLast="36" xr6:coauthVersionMax="36" xr10:uidLastSave="{00000000-0000-0000-0000-000000000000}"/>
  <bookViews>
    <workbookView xWindow="0" yWindow="0" windowWidth="19200" windowHeight="6930" firstSheet="1" activeTab="5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L30" i="1"/>
  <c r="B26" i="1"/>
  <c r="E4" i="10"/>
  <c r="E3" i="10"/>
  <c r="B3" i="9" l="1"/>
  <c r="B2" i="9"/>
  <c r="C2" i="10"/>
  <c r="B47" i="1" l="1"/>
  <c r="P3" i="1" l="1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12" i="10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9" i="1" l="1"/>
  <c r="B2" i="1" s="1"/>
  <c r="N2" i="1" s="1"/>
  <c r="O2" i="1" s="1"/>
  <c r="E2" i="10"/>
  <c r="F2" i="10"/>
  <c r="F3" i="10"/>
  <c r="C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D97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J97" i="6"/>
  <c r="R97" i="6"/>
  <c r="T97" i="6"/>
  <c r="BP97" i="6"/>
  <c r="B4" i="1" s="1"/>
  <c r="N4" i="1" s="1"/>
  <c r="O4" i="1" s="1"/>
  <c r="B46" i="1" s="1"/>
  <c r="BR97" i="6"/>
  <c r="BN97" i="6"/>
  <c r="B7" i="1" s="1"/>
  <c r="N7" i="1" s="1"/>
  <c r="O7" i="1" s="1"/>
  <c r="BL97" i="6"/>
  <c r="B5" i="1" s="1"/>
  <c r="N5" i="1" s="1"/>
  <c r="O5" i="1" s="1"/>
  <c r="G97" i="6"/>
  <c r="B8" i="1" s="1"/>
  <c r="F97" i="6"/>
  <c r="BO97" i="6"/>
  <c r="B3" i="1" s="1"/>
  <c r="N3" i="1" s="1"/>
  <c r="O3" i="1" s="1"/>
  <c r="BK97" i="6"/>
  <c r="B6" i="1" s="1"/>
  <c r="N6" i="1" s="1"/>
  <c r="O6" i="1" s="1"/>
  <c r="B103" i="6" l="1"/>
  <c r="B105" i="6" l="1"/>
  <c r="B106" i="6" s="1"/>
</calcChain>
</file>

<file path=xl/sharedStrings.xml><?xml version="1.0" encoding="utf-8"?>
<sst xmlns="http://schemas.openxmlformats.org/spreadsheetml/2006/main" count="1158" uniqueCount="650">
  <si>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</si>
  <si>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</si>
  <si>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</si>
  <si>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</si>
  <si>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</si>
  <si>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</si>
  <si>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</si>
  <si>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</si>
  <si>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</si>
  <si>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</si>
  <si>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</si>
  <si>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</si>
  <si>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</si>
  <si>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</si>
  <si>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</si>
  <si>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</si>
  <si>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</si>
  <si>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</si>
  <si>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</si>
  <si>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</si>
  <si>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</si>
  <si>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</si>
  <si>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</si>
  <si>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</si>
  <si>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</si>
  <si>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</si>
  <si>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</si>
  <si>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</si>
  <si>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</si>
  <si>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</si>
  <si>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</si>
  <si>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</si>
  <si>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</si>
  <si>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</si>
  <si>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</si>
  <si>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</si>
  <si>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</si>
  <si>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</si>
  <si>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</si>
  <si>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</si>
  <si>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</si>
  <si>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</si>
  <si>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</si>
  <si>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</si>
  <si>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</si>
  <si>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</si>
  <si>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</si>
  <si>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</si>
  <si>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</si>
  <si>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</si>
  <si>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</si>
  <si>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</si>
  <si>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</si>
  <si>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</si>
  <si>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</si>
  <si>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</si>
  <si>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</si>
  <si>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</si>
  <si>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</si>
  <si>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</si>
  <si>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</si>
  <si>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</si>
  <si>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</si>
  <si>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</si>
  <si>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</si>
  <si>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</si>
  <si>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</si>
  <si>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</si>
  <si>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</si>
  <si>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</si>
  <si>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</si>
  <si>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</si>
  <si>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</si>
  <si>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</si>
  <si>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</si>
  <si>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</si>
  <si>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</si>
  <si>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</si>
  <si>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</si>
  <si>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</si>
  <si>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</si>
  <si>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</si>
  <si>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</si>
  <si>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</si>
  <si>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</si>
  <si>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</si>
  <si>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</si>
  <si>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</si>
  <si>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</si>
  <si>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</si>
  <si>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</si>
  <si>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</si>
  <si>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</si>
  <si>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</si>
  <si>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</si>
  <si>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</si>
  <si>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</si>
  <si>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</si>
  <si>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</si>
  <si>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</si>
  <si>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</si>
  <si>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</si>
  <si>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</si>
  <si>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</si>
  <si>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</si>
  <si>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</si>
  <si>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</si>
  <si>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</si>
  <si>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</si>
  <si>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</si>
  <si>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</si>
  <si>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</si>
  <si>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</si>
  <si>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</si>
  <si>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</si>
  <si>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</si>
  <si>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</si>
  <si>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</si>
  <si>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</si>
  <si>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</si>
  <si>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</si>
  <si>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</si>
  <si>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</si>
  <si>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</si>
  <si>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</si>
  <si>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</si>
  <si>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</si>
  <si>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</si>
  <si>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</si>
  <si>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</si>
  <si>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</si>
  <si>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</si>
  <si>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</si>
  <si>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</si>
  <si>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</si>
  <si>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</si>
  <si>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</si>
  <si>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</si>
  <si>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</si>
  <si>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</si>
  <si>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</si>
  <si>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</si>
  <si>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</si>
  <si>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</si>
  <si>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</si>
  <si>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</si>
  <si>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</si>
  <si>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</si>
  <si>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</si>
  <si>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</si>
  <si>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</si>
  <si>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</si>
  <si>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</si>
  <si>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</si>
  <si>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</si>
  <si>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</si>
  <si>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</si>
  <si>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</si>
  <si>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</si>
  <si>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</si>
  <si>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</si>
  <si>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</si>
  <si>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</si>
  <si>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</si>
  <si>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</si>
  <si>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</si>
  <si>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</si>
  <si>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</si>
  <si>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</si>
  <si>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</si>
  <si>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</si>
  <si>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</si>
  <si>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</si>
  <si>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</si>
  <si>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</si>
  <si>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</si>
  <si>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</si>
  <si>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</si>
  <si>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</si>
  <si>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</si>
  <si>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</si>
  <si>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</si>
  <si>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</si>
  <si>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</si>
  <si>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</si>
  <si>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</si>
  <si>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</si>
  <si>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</si>
  <si>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</si>
  <si>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</si>
  <si>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</si>
  <si>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</si>
  <si>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</si>
  <si>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</si>
  <si>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</si>
  <si>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</si>
  <si>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</si>
  <si>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</si>
  <si>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</si>
  <si>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</si>
  <si>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</si>
  <si>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</si>
  <si>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</si>
  <si>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</si>
  <si>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</si>
  <si>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</si>
  <si>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</si>
  <si>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</si>
  <si>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</si>
  <si>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</si>
  <si>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</si>
  <si>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</si>
  <si>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</si>
  <si>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</si>
  <si>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</si>
  <si>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</si>
  <si>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</si>
  <si>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</si>
  <si>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</si>
  <si>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</si>
  <si>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</si>
  <si>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</si>
  <si>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</si>
  <si>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</si>
  <si>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</si>
  <si>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</si>
  <si>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</si>
  <si>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</si>
  <si>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</si>
  <si>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</si>
  <si>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</si>
  <si>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</si>
  <si>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</si>
  <si>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</si>
  <si>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</si>
  <si>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</si>
  <si>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</si>
  <si>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</si>
  <si>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</si>
  <si>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</si>
  <si>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</si>
  <si>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</si>
  <si>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</si>
  <si>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</si>
  <si>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</si>
  <si>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</si>
  <si>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</si>
  <si>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</si>
  <si>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</si>
  <si>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</si>
  <si>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</si>
  <si>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</si>
  <si>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</si>
  <si>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</si>
  <si>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</si>
  <si>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</si>
  <si>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</si>
  <si>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</si>
  <si>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</si>
  <si>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</si>
  <si>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</si>
  <si>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</si>
  <si>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</si>
  <si>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</si>
  <si>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</si>
  <si>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</si>
  <si>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</si>
  <si>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</si>
  <si>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</si>
  <si>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</si>
  <si>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</si>
  <si>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</si>
  <si>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</si>
  <si>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</si>
  <si>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</si>
  <si>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</si>
  <si>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</si>
  <si>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</si>
  <si>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</si>
  <si>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</si>
  <si>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</si>
  <si>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</si>
  <si>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</si>
  <si>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</si>
  <si>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</si>
  <si>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</si>
  <si>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</si>
  <si>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</si>
  <si>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</si>
  <si>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</si>
  <si>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</si>
  <si>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</si>
  <si>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</si>
  <si>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</si>
  <si>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</si>
  <si>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</si>
  <si>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</si>
  <si>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</si>
  <si>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</si>
  <si>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</si>
  <si>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</si>
  <si>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</si>
  <si>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</si>
  <si>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</si>
  <si>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</si>
  <si>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</si>
  <si>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</si>
  <si>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</si>
  <si>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</si>
  <si>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</si>
  <si>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</si>
  <si>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</si>
  <si>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</si>
  <si>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</si>
  <si>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</si>
  <si>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</si>
  <si>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</si>
  <si>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</si>
  <si>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</si>
  <si>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</si>
  <si>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</si>
  <si>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</si>
  <si>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</si>
  <si>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</si>
  <si>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</si>
  <si>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</si>
  <si>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</si>
  <si>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</si>
  <si>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</si>
  <si>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</si>
  <si>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</si>
  <si>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</si>
  <si>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</si>
  <si>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</si>
  <si>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</si>
  <si>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</si>
  <si>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</si>
  <si>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</si>
  <si>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</si>
  <si>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</si>
  <si>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</si>
  <si>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</si>
  <si>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</si>
  <si>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</si>
  <si>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</si>
  <si>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</si>
  <si>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</si>
  <si>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</si>
  <si>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</si>
  <si>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</si>
  <si>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</si>
  <si>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</si>
  <si>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</si>
  <si>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</si>
  <si>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</si>
  <si>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</si>
  <si>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</si>
  <si>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</si>
  <si>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</si>
  <si>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</si>
  <si>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</si>
  <si>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</si>
  <si>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</si>
  <si>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</si>
  <si>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</si>
  <si>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</si>
  <si>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</si>
  <si>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</si>
  <si>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</si>
  <si>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</si>
  <si>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</si>
  <si>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</si>
  <si>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</si>
  <si>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</si>
  <si>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</si>
  <si>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</si>
  <si>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</si>
  <si>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</si>
  <si>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</si>
  <si>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</si>
  <si>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</si>
  <si>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</si>
  <si>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</si>
  <si>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</si>
  <si>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</si>
  <si>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</si>
  <si>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</si>
  <si>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</si>
  <si>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</si>
  <si>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</si>
  <si>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</si>
  <si>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</si>
  <si>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</si>
  <si>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</si>
  <si>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</si>
  <si>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</si>
  <si>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</si>
  <si>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</si>
  <si>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</si>
  <si>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</si>
  <si>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</si>
  <si>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</si>
  <si>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</si>
  <si>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</si>
  <si>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</si>
  <si>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</si>
  <si>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</si>
  <si>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</si>
  <si>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</si>
  <si>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</si>
  <si>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</si>
  <si>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</si>
  <si>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</si>
  <si>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</si>
  <si>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</si>
  <si>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</si>
  <si>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</si>
  <si>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</si>
  <si>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</si>
  <si>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</si>
  <si>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</si>
  <si>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</si>
  <si>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</si>
  <si>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</si>
  <si>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</si>
  <si>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</si>
  <si>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</si>
  <si>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</si>
  <si>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</si>
  <si>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</si>
  <si>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</si>
  <si>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</si>
  <si>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</si>
  <si>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</si>
  <si>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</si>
  <si>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</si>
  <si>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</si>
  <si>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</si>
  <si>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</si>
  <si>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</si>
  <si>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</si>
  <si>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</si>
  <si>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</si>
  <si>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</si>
  <si>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</si>
  <si>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</si>
  <si>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</si>
  <si>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</si>
  <si>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</si>
  <si>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</si>
  <si>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</si>
  <si>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</si>
  <si>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</si>
  <si>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</si>
  <si>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</si>
  <si>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</si>
  <si>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</si>
  <si>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</si>
  <si>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</si>
  <si>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</si>
  <si>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</si>
  <si>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</si>
  <si>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</si>
  <si>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</si>
  <si>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</si>
  <si>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</si>
  <si>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</si>
  <si>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</si>
  <si>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</si>
  <si>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</si>
  <si>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</si>
  <si>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</si>
  <si>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</si>
  <si>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</si>
  <si>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</si>
  <si>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</si>
  <si>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</si>
  <si>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</si>
  <si>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</si>
  <si>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</si>
  <si>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</si>
  <si>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</si>
  <si>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</si>
  <si>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</si>
  <si>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</si>
  <si>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</si>
  <si>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</si>
  <si>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</si>
  <si>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</si>
  <si>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</si>
  <si>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</si>
  <si>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</si>
  <si>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</si>
  <si>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</si>
  <si>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</si>
  <si>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</si>
  <si>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</si>
  <si>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</si>
  <si>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</si>
  <si>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</si>
  <si>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</si>
  <si>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</si>
  <si>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</si>
  <si>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</si>
  <si>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</si>
  <si>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</si>
  <si>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</si>
  <si>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</si>
  <si>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</si>
  <si>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</si>
  <si>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</si>
  <si>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</si>
  <si>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</si>
  <si>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</si>
  <si>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</si>
  <si>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</si>
  <si>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</si>
  <si>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</si>
  <si>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</si>
  <si>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</si>
  <si>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</si>
  <si>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</si>
  <si>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</si>
  <si>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</si>
  <si>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</si>
  <si>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</si>
  <si>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</si>
  <si>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</si>
  <si>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</si>
  <si>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</si>
  <si>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</si>
  <si>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</si>
  <si>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</si>
  <si>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</si>
  <si>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</si>
  <si>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</si>
  <si>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</si>
  <si>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</si>
  <si>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</si>
  <si>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</si>
  <si>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</si>
  <si>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</si>
  <si>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</si>
  <si>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</si>
  <si>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</si>
  <si>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</si>
  <si>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</si>
  <si>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</si>
  <si>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</si>
  <si>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</si>
  <si>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</si>
  <si>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</si>
  <si>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</si>
  <si>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</si>
  <si>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</si>
  <si>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</si>
  <si>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</si>
  <si>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</si>
  <si>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</si>
  <si>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</si>
  <si>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</si>
  <si>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</si>
  <si>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</si>
  <si>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</si>
  <si>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</si>
  <si>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</si>
  <si>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</si>
  <si>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</si>
  <si>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</si>
  <si>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</si>
  <si>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</si>
  <si>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</si>
  <si>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</si>
  <si>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</si>
  <si>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</si>
  <si>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</si>
  <si>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</si>
  <si>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</si>
  <si>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</si>
  <si>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</si>
  <si>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</si>
  <si>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</si>
  <si>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</si>
  <si>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</si>
  <si>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</si>
  <si>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</si>
  <si>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</si>
  <si>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</si>
  <si>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</si>
  <si>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</si>
  <si>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</si>
  <si>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</si>
  <si>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</si>
  <si>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</si>
  <si>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</si>
  <si>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</si>
  <si>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</si>
  <si>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</si>
  <si>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</si>
  <si>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</si>
  <si>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</si>
  <si>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</si>
  <si>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</si>
  <si>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</si>
  <si>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</si>
  <si>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</si>
  <si>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</si>
  <si>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</si>
  <si>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</si>
  <si>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</si>
  <si>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</si>
  <si>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</si>
  <si>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</si>
  <si>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</si>
  <si>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</si>
  <si>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</si>
  <si>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</si>
  <si>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</si>
  <si>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</si>
  <si>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</si>
  <si>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</si>
  <si>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</si>
  <si>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</si>
  <si>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</si>
  <si>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</si>
  <si>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</si>
  <si>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</si>
  <si>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</si>
  <si>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</si>
  <si>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</si>
  <si>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</si>
  <si>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</si>
  <si>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</si>
  <si>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</si>
  <si>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</si>
  <si>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</si>
  <si>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</si>
  <si>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</si>
  <si>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</si>
  <si>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</si>
  <si>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</si>
  <si>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</si>
  <si>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</si>
  <si>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</si>
  <si>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</si>
  <si>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</si>
  <si>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</si>
  <si>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</si>
  <si>
    <t>kgX/kgS</t>
  </si>
  <si>
    <t>kg/l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</si>
</sst>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C1" activePane="topRight" state="frozen"/>
      <selection pane="topRight" activeCell="A89" sqref="A8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475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zoomScale="85" zoomScaleNormal="85" workbookViewId="0">
      <selection activeCell="R1" sqref="R1:R104857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7.5429687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36328125" bestFit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480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481</v>
      </c>
      <c r="S1" s="15" t="s">
        <v>55</v>
      </c>
      <c r="T1" s="15" t="s">
        <v>482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479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v>0.1</v>
      </c>
      <c r="D4" s="18">
        <f>'Composition of waste'!$D4*$C4/100</f>
        <v>2.8733333333333336E-2</v>
      </c>
      <c r="E4" s="18">
        <f>'Composition of waste'!$E4*$C4/100</f>
        <v>7.1266666666666673E-2</v>
      </c>
      <c r="F4" s="18">
        <f>'Composition of waste'!$F4*$E4/100</f>
        <v>7.0491871581264159E-2</v>
      </c>
      <c r="G4" s="18">
        <f>'Composition of waste'!$G4*$E4/100</f>
        <v>7.7479508540252359E-4</v>
      </c>
      <c r="H4" s="18">
        <v>16.627433191921021</v>
      </c>
      <c r="I4" s="18">
        <v>439.60033976579871</v>
      </c>
      <c r="J4" s="18">
        <f>'Composition of waste'!$J4*'Composition (mass)'!$E4/100</f>
        <v>3.1716468880760559E-2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1.808453827404019E-3</v>
      </c>
      <c r="S4" s="18">
        <v>4.6191977462024525E-3</v>
      </c>
      <c r="T4" s="18">
        <f>'Composition of waste'!$T4*'Composition (mass)'!$E4/100</f>
        <v>3.2373258259211106E-2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3.5573346589988968E-5</v>
      </c>
      <c r="BO4" s="18">
        <f>'Composition of waste'!$BO4*$E4/100</f>
        <v>1.0303212742503478E-2</v>
      </c>
      <c r="BP4" s="18">
        <f>'Composition of waste'!$BP4*$E4/100</f>
        <v>1.5235145824644483E-3</v>
      </c>
      <c r="BQ4" s="18">
        <v>0</v>
      </c>
      <c r="BR4" s="18">
        <f>'Composition of waste'!$BR4*$E4/100</f>
        <v>5.8665144256296209E-2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v>0.1</v>
      </c>
      <c r="D8" s="18">
        <f>'Composition of waste'!$D8*$C8/100</f>
        <v>5.4807142857142867E-2</v>
      </c>
      <c r="E8" s="18">
        <f>'Composition of waste'!$E8*$C8/100</f>
        <v>4.5214285714285714E-2</v>
      </c>
      <c r="F8" s="18">
        <f>'Composition of waste'!$F8*$E8/100</f>
        <v>4.3385644184889216E-2</v>
      </c>
      <c r="G8" s="18">
        <f>'Composition of waste'!$G8*$E8/100</f>
        <v>1.8286415293965069E-3</v>
      </c>
      <c r="H8" s="18">
        <v>20.474824810998559</v>
      </c>
      <c r="I8" s="18">
        <v>569.08710458364942</v>
      </c>
      <c r="J8" s="18">
        <f>'Composition of waste'!$J8*'Composition (mass)'!$E8/100</f>
        <v>2.2401094352076486E-2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1.5499796816644746E-3</v>
      </c>
      <c r="S8" s="18">
        <v>1.0497922947116964</v>
      </c>
      <c r="T8" s="18">
        <f>'Composition of waste'!$T8*'Composition (mass)'!$E8/100</f>
        <v>1.5951484864190537E-2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9.703481071480731E-3</v>
      </c>
      <c r="BP8" s="18">
        <f>'Composition of waste'!$BP8*$E8/100</f>
        <v>9.8472031930800508E-3</v>
      </c>
      <c r="BQ8" s="18">
        <v>0</v>
      </c>
      <c r="BR8" s="18">
        <f>'Composition of waste'!$BR8*$E8/100</f>
        <v>2.3832905205389419E-2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v>0.1</v>
      </c>
      <c r="D10" s="18">
        <f>'Composition of waste'!$D10*$C10/100</f>
        <v>8.0565217391304345E-2</v>
      </c>
      <c r="E10" s="18">
        <f>'Composition of waste'!$E10*$C10/100</f>
        <v>1.9443478260869562E-2</v>
      </c>
      <c r="F10" s="18">
        <f>'Composition of waste'!$F10*$E10/100</f>
        <v>1.8125307102994925E-2</v>
      </c>
      <c r="G10" s="18">
        <f>'Composition of waste'!$G10*$E10/100</f>
        <v>1.318171157874638E-3</v>
      </c>
      <c r="H10" s="18">
        <v>18.958190859816952</v>
      </c>
      <c r="I10" s="18">
        <v>539.36806460390744</v>
      </c>
      <c r="J10" s="18">
        <f>'Composition of waste'!$J10*'Composition (mass)'!$E10/100</f>
        <v>9.0386262008220666E-3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9.1664084725802885E-4</v>
      </c>
      <c r="S10" s="18">
        <v>0.35185081082960012</v>
      </c>
      <c r="T10" s="18">
        <f>'Composition of waste'!$T10*'Composition (mass)'!$E10/100</f>
        <v>6.7062230236507071E-3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7.1392451092023269E-5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5.8474846176671388E-3</v>
      </c>
      <c r="BP10" s="18">
        <f>'Composition of waste'!$BP10*$E10/100</f>
        <v>2.9798291519103066E-3</v>
      </c>
      <c r="BQ10" s="18">
        <v>0</v>
      </c>
      <c r="BR10" s="18">
        <f>'Composition of waste'!$BR10*$E10/100</f>
        <v>9.3192533643276145E-3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v>0.1</v>
      </c>
      <c r="D15" s="18">
        <f>'Composition of waste'!$D15*$C15/100</f>
        <v>7.8433333333333341E-2</v>
      </c>
      <c r="E15" s="18">
        <f>'Composition of waste'!$E15*$C15/100</f>
        <v>2.1566666666666668E-2</v>
      </c>
      <c r="F15" s="18">
        <f>'Composition of waste'!$F15*$E15/100</f>
        <v>2.0599565638159265E-2</v>
      </c>
      <c r="G15" s="18">
        <f>'Composition of waste'!$G15*$E15/100</f>
        <v>9.671010285074071E-4</v>
      </c>
      <c r="H15" s="18">
        <v>15.282541504397559</v>
      </c>
      <c r="I15" s="18">
        <v>430.95009533617895</v>
      </c>
      <c r="J15" s="18">
        <f>'Composition of waste'!$J15*'Composition (mass)'!$E15/100</f>
        <v>8.8842650613060667E-3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3.3011906452216943E-4</v>
      </c>
      <c r="S15" s="18">
        <v>0</v>
      </c>
      <c r="T15" s="18">
        <f>'Composition of waste'!$T15*'Composition (mass)'!$E15/100</f>
        <v>9.9973835506028171E-3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2.0632441532635591E-3</v>
      </c>
      <c r="BP15" s="18">
        <f>'Composition of waste'!$BP15*$E15/100</f>
        <v>2.6946746556193337E-4</v>
      </c>
      <c r="BQ15" s="18">
        <v>0</v>
      </c>
      <c r="BR15" s="18">
        <f>'Composition of waste'!$BR15*$E15/100</f>
        <v>1.826685401933377E-2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0.1</v>
      </c>
      <c r="D20" s="18">
        <f>'Composition of waste'!$D20*$C20/100</f>
        <v>9.5000000000000001E-2</v>
      </c>
      <c r="E20" s="18">
        <f>'Composition of waste'!$E20*$C20/100</f>
        <v>5.000000000000001E-3</v>
      </c>
      <c r="F20" s="18">
        <f>'Composition of waste'!$F20*$E20/100</f>
        <v>4.4688892105305481E-3</v>
      </c>
      <c r="G20" s="18">
        <f>'Composition of waste'!$G20*$E20/100</f>
        <v>5.3111078946945205E-4</v>
      </c>
      <c r="H20" s="18">
        <v>15.543519724145114</v>
      </c>
      <c r="I20" s="18">
        <v>463.22916666666657</v>
      </c>
      <c r="J20" s="18">
        <f>'Composition of waste'!$J20*'Composition (mass)'!$E20/100</f>
        <v>2.0177105024934351E-3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1.9168971765223035E-4</v>
      </c>
      <c r="S20" s="18">
        <v>0.32354684978798454</v>
      </c>
      <c r="T20" s="18">
        <f>'Composition of waste'!$T20*'Composition (mass)'!$E20/100</f>
        <v>1.9333749459037983E-3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1.201170775638861E-3</v>
      </c>
      <c r="BP20" s="18">
        <f>'Composition of waste'!$BP20*$E20/100</f>
        <v>1.9608079638474776E-4</v>
      </c>
      <c r="BQ20" s="18">
        <v>0</v>
      </c>
      <c r="BR20" s="18">
        <f>'Composition of waste'!$BR20*$E20/100</f>
        <v>3.1056512439491171E-3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v>0.1</v>
      </c>
      <c r="D21" s="18">
        <f>'Composition of waste'!$D21*$C21/100</f>
        <v>8.9033333333333339E-2</v>
      </c>
      <c r="E21" s="18">
        <f>'Composition of waste'!$E21*$C21/100</f>
        <v>1.0966666666666666E-2</v>
      </c>
      <c r="F21" s="18">
        <f>'Composition of waste'!$F21*$E21/100</f>
        <v>1.0233902997532834E-2</v>
      </c>
      <c r="G21" s="18">
        <f>'Composition of waste'!$G21*$E21/100</f>
        <v>7.3276366913383253E-4</v>
      </c>
      <c r="H21" s="18">
        <v>15.262831968450998</v>
      </c>
      <c r="I21" s="18">
        <v>442.57711745134185</v>
      </c>
      <c r="J21" s="18">
        <f>'Composition of waste'!$J21*'Composition (mass)'!$E21/100</f>
        <v>4.4462907587101055E-3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1.3376068489710292E-4</v>
      </c>
      <c r="S21" s="18">
        <v>0.60266301973521763</v>
      </c>
      <c r="T21" s="18">
        <f>'Composition of waste'!$T21*'Composition (mass)'!$E21/100</f>
        <v>4.9498765686469878E-3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9.513248829204153E-4</v>
      </c>
      <c r="BL21" s="18">
        <f>'Composition of waste'!$BL21*$E21/100</f>
        <v>0</v>
      </c>
      <c r="BM21" s="18">
        <v>0</v>
      </c>
      <c r="BN21" s="18">
        <f>'Composition of waste'!$BN21*$E21/100</f>
        <v>6.0083676816026239E-5</v>
      </c>
      <c r="BO21" s="18">
        <f>'Composition of waste'!$BO21*$E21/100</f>
        <v>8.2987575529258823E-4</v>
      </c>
      <c r="BP21" s="18">
        <f>'Composition of waste'!$BP21*$E21/100</f>
        <v>4.0055784544017496E-4</v>
      </c>
      <c r="BQ21" s="18">
        <v>0</v>
      </c>
      <c r="BR21" s="18">
        <f>'Composition of waste'!$BR21*$E21/100</f>
        <v>9.0034693968000703E-3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242</v>
      </c>
      <c r="C97" s="20">
        <f>SUM(C2:C95)</f>
        <v>0.6</v>
      </c>
      <c r="D97" s="20">
        <f>SUM(D2:D95)</f>
        <v>0.4265723602484473</v>
      </c>
      <c r="E97" s="20">
        <f>SUM(E2:E95)</f>
        <v>0.17345776397515528</v>
      </c>
      <c r="F97" s="20">
        <f>SUM(F2:F95)</f>
        <v>0.16730518071537093</v>
      </c>
      <c r="G97" s="20">
        <f>SUM(G2:G95)</f>
        <v>6.1525832597843604E-3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7.8504455756168726E-2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4.9306438233980244E-3</v>
      </c>
      <c r="S97" s="20">
        <f t="shared" si="0"/>
        <v>37.864632672965826</v>
      </c>
      <c r="T97" s="20">
        <f t="shared" si="0"/>
        <v>7.1911601212205939E-2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1.0227173340124386E-3</v>
      </c>
      <c r="BL97" s="20">
        <f t="shared" si="0"/>
        <v>0</v>
      </c>
      <c r="BM97" s="20"/>
      <c r="BN97" s="20">
        <f t="shared" si="0"/>
        <v>9.5657023406015213E-5</v>
      </c>
      <c r="BO97" s="20">
        <f t="shared" si="0"/>
        <v>2.9948469115846359E-2</v>
      </c>
      <c r="BP97" s="20">
        <f t="shared" si="0"/>
        <v>1.5216653034841663E-2</v>
      </c>
      <c r="BQ97" s="20"/>
      <c r="BR97" s="20">
        <f t="shared" si="0"/>
        <v>0.12219327748609618</v>
      </c>
    </row>
    <row r="98" spans="1:70" x14ac:dyDescent="0.35">
      <c r="B98" s="21"/>
    </row>
    <row r="103" spans="1:70" x14ac:dyDescent="0.35">
      <c r="A103" t="s">
        <v>484</v>
      </c>
      <c r="B103">
        <f>J97/R97</f>
        <v>15.921745428787887</v>
      </c>
    </row>
    <row r="104" spans="1:70" x14ac:dyDescent="0.35">
      <c r="A104" t="s">
        <v>483</v>
      </c>
      <c r="B104">
        <v>200</v>
      </c>
    </row>
    <row r="105" spans="1:70" x14ac:dyDescent="0.35">
      <c r="A105" t="s">
        <v>485</v>
      </c>
      <c r="B105">
        <f>((C97*B103)-(30*C97))/(30-B104)</f>
        <v>4.9687957310160395E-2</v>
      </c>
    </row>
    <row r="106" spans="1:70" x14ac:dyDescent="0.35">
      <c r="A106" t="s">
        <v>486</v>
      </c>
      <c r="B106">
        <f>((C97*B103)+(B105*B104))/(C97+B105)</f>
        <v>30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zoomScale="84" zoomScaleNormal="115" workbookViewId="0">
      <selection activeCell="A26" sqref="A26:XFD26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520</v>
      </c>
      <c r="B1" s="1" t="s">
        <v>385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436</v>
      </c>
      <c r="O1" t="s">
        <v>640</v>
      </c>
      <c r="P1" t="s">
        <v>647</v>
      </c>
      <c r="R1" t="s">
        <v>521</v>
      </c>
    </row>
    <row r="2" spans="1:22" x14ac:dyDescent="0.35">
      <c r="A2" s="2" t="s">
        <v>308</v>
      </c>
      <c r="B2" s="2">
        <f>'Composition (mass)'!BR97/B39</f>
        <v>0.20365546247682698</v>
      </c>
      <c r="C2" s="2" t="s">
        <v>531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 t="shared" ref="N2:N7" si="0">(B2*B$39)/(L2*0.001)</f>
        <v>0.67885154158942329</v>
      </c>
      <c r="O2">
        <f t="shared" ref="O2:O7" si="1">F2*N2*12</f>
        <v>48.877310994438474</v>
      </c>
      <c r="R2" t="s">
        <v>523</v>
      </c>
      <c r="S2" t="s">
        <v>309</v>
      </c>
      <c r="T2" t="s">
        <v>6</v>
      </c>
      <c r="U2" t="s">
        <v>524</v>
      </c>
      <c r="V2" t="s">
        <v>17</v>
      </c>
    </row>
    <row r="3" spans="1:22" x14ac:dyDescent="0.35">
      <c r="A3" s="2" t="s">
        <v>6</v>
      </c>
      <c r="B3" s="2">
        <f>'Composition (mass)'!BO97/B39</f>
        <v>4.9914115193077264E-2</v>
      </c>
      <c r="C3" s="2" t="s">
        <v>531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2">($F3*12)+($G3*1)+($H3*16)+($I3*14)</f>
        <v>352</v>
      </c>
      <c r="M3">
        <v>1</v>
      </c>
      <c r="N3">
        <f t="shared" si="0"/>
        <v>8.5080878170018068E-2</v>
      </c>
      <c r="O3">
        <f t="shared" si="1"/>
        <v>16.335528608643468</v>
      </c>
      <c r="P3">
        <f>I3*N3*14</f>
        <v>4.7645291775210117</v>
      </c>
      <c r="Q3" t="s">
        <v>466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2.5361088391402772E-2</v>
      </c>
      <c r="C4" s="2" t="s">
        <v>531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2"/>
        <v>393</v>
      </c>
      <c r="M4">
        <v>2</v>
      </c>
      <c r="N4">
        <f t="shared" si="0"/>
        <v>3.871921891817217E-2</v>
      </c>
      <c r="O4">
        <f t="shared" si="1"/>
        <v>11.615765675451652</v>
      </c>
      <c r="Q4" t="s">
        <v>467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</v>
      </c>
      <c r="C5" s="2" t="s">
        <v>531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2"/>
        <v>282</v>
      </c>
      <c r="M5">
        <v>3</v>
      </c>
      <c r="N5">
        <f t="shared" si="0"/>
        <v>0</v>
      </c>
      <c r="O5">
        <f t="shared" si="1"/>
        <v>0</v>
      </c>
      <c r="Q5" t="s">
        <v>468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1.704528890020731E-3</v>
      </c>
      <c r="C6" s="2" t="s">
        <v>531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0"/>
        <v>5.6817629667357704E-3</v>
      </c>
      <c r="O6">
        <f t="shared" si="1"/>
        <v>0.40908693360497544</v>
      </c>
      <c r="Q6" t="s">
        <v>469</v>
      </c>
      <c r="T6">
        <f>I3</f>
        <v>4</v>
      </c>
    </row>
    <row r="7" spans="1:22" x14ac:dyDescent="0.35">
      <c r="A7" s="2" t="s">
        <v>17</v>
      </c>
      <c r="B7" s="2">
        <f>'Composition (mass)'!BN97/B39</f>
        <v>1.5942837234335871E-4</v>
      </c>
      <c r="C7" s="2" t="s">
        <v>531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2"/>
        <v>366</v>
      </c>
      <c r="M7">
        <v>5</v>
      </c>
      <c r="N7">
        <f t="shared" si="0"/>
        <v>2.6135798744812905E-4</v>
      </c>
      <c r="O7">
        <f t="shared" si="1"/>
        <v>6.2725916987550978E-2</v>
      </c>
      <c r="Q7" t="s">
        <v>522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1.0254305432973935E-2</v>
      </c>
      <c r="C8" s="2" t="s">
        <v>531</v>
      </c>
      <c r="D8" s="2" t="s">
        <v>283</v>
      </c>
      <c r="L8">
        <f t="shared" si="2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2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2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2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2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2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531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531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2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531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2"/>
        <v>113</v>
      </c>
      <c r="M16">
        <v>14</v>
      </c>
    </row>
    <row r="17" spans="1:14" x14ac:dyDescent="0.35">
      <c r="A17" s="2" t="s">
        <v>32</v>
      </c>
      <c r="B17">
        <f>(B39*0.01)/B39/10</f>
        <v>1E-3</v>
      </c>
      <c r="C17" s="2" t="s">
        <v>531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2"/>
        <v>113</v>
      </c>
      <c r="M17">
        <v>15</v>
      </c>
    </row>
    <row r="18" spans="1:14" x14ac:dyDescent="0.35">
      <c r="A18" s="2" t="s">
        <v>34</v>
      </c>
      <c r="B18">
        <f>(B39*0.01)/B39/10</f>
        <v>1E-3</v>
      </c>
      <c r="C18" s="2" t="s">
        <v>531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2"/>
        <v>247</v>
      </c>
      <c r="M18">
        <v>16</v>
      </c>
    </row>
    <row r="19" spans="1:14" x14ac:dyDescent="0.35">
      <c r="A19" s="2" t="s">
        <v>36</v>
      </c>
      <c r="B19">
        <f>(B39*0.01)/B39/10</f>
        <v>1E-3</v>
      </c>
      <c r="C19" s="2" t="s">
        <v>531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2"/>
        <v>247</v>
      </c>
      <c r="M19">
        <v>17</v>
      </c>
    </row>
    <row r="20" spans="1:14" x14ac:dyDescent="0.35">
      <c r="A20" s="2" t="s">
        <v>387</v>
      </c>
      <c r="B20">
        <f>(B39*0.01)/B39/10</f>
        <v>1E-3</v>
      </c>
      <c r="C20" s="2" t="s">
        <v>531</v>
      </c>
      <c r="D20" s="2" t="s">
        <v>444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2"/>
        <v>113</v>
      </c>
    </row>
    <row r="21" spans="1:14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2"/>
        <v>113</v>
      </c>
      <c r="M21">
        <v>18</v>
      </c>
    </row>
    <row r="22" spans="1:14" x14ac:dyDescent="0.35">
      <c r="A22" s="2" t="s">
        <v>342</v>
      </c>
      <c r="B22">
        <f>'Composition (mass)'!D97/B39</f>
        <v>0.71095393374741223</v>
      </c>
      <c r="C22" s="2" t="s">
        <v>5</v>
      </c>
      <c r="D22" s="2" t="s">
        <v>337</v>
      </c>
      <c r="G22">
        <v>2</v>
      </c>
      <c r="H22">
        <v>1</v>
      </c>
      <c r="L22">
        <f t="shared" si="2"/>
        <v>18</v>
      </c>
    </row>
    <row r="23" spans="1:14" x14ac:dyDescent="0.35">
      <c r="A23" s="2" t="s">
        <v>350</v>
      </c>
      <c r="B23">
        <v>0</v>
      </c>
      <c r="C23" s="2" t="s">
        <v>5</v>
      </c>
      <c r="D23" s="2" t="s">
        <v>351</v>
      </c>
      <c r="H23">
        <v>2</v>
      </c>
      <c r="L23">
        <f t="shared" si="2"/>
        <v>32</v>
      </c>
    </row>
    <row r="24" spans="1:14" x14ac:dyDescent="0.35">
      <c r="A24" s="2" t="s">
        <v>352</v>
      </c>
      <c r="C24" s="2" t="s">
        <v>5</v>
      </c>
      <c r="D24" s="2" t="s">
        <v>353</v>
      </c>
      <c r="F24">
        <v>1</v>
      </c>
      <c r="H24">
        <v>2</v>
      </c>
      <c r="L24">
        <f t="shared" si="2"/>
        <v>44</v>
      </c>
    </row>
    <row r="25" spans="1:14" x14ac:dyDescent="0.35">
      <c r="A25" s="2" t="s">
        <v>637</v>
      </c>
      <c r="C25" s="2"/>
      <c r="D25" s="2" t="s">
        <v>638</v>
      </c>
      <c r="E25" t="s">
        <v>639</v>
      </c>
      <c r="H25">
        <v>3</v>
      </c>
      <c r="I25">
        <v>1</v>
      </c>
      <c r="L25">
        <f t="shared" si="2"/>
        <v>62</v>
      </c>
    </row>
    <row r="26" spans="1:14" x14ac:dyDescent="0.35">
      <c r="A26" s="2" t="s">
        <v>382</v>
      </c>
      <c r="B26">
        <f>(('Composition (mass)'!R97)-(Variables!P3*0.001))/B39</f>
        <v>2.7685774312835446E-4</v>
      </c>
      <c r="C26" s="2" t="s">
        <v>5</v>
      </c>
      <c r="D26" s="2" t="s">
        <v>20</v>
      </c>
      <c r="G26">
        <v>3</v>
      </c>
      <c r="I26">
        <v>1</v>
      </c>
      <c r="L26">
        <f t="shared" si="2"/>
        <v>17</v>
      </c>
    </row>
    <row r="27" spans="1:14" x14ac:dyDescent="0.35">
      <c r="A27" s="2" t="s">
        <v>354</v>
      </c>
      <c r="C27" s="2" t="s">
        <v>349</v>
      </c>
      <c r="D27" s="2" t="s">
        <v>368</v>
      </c>
    </row>
    <row r="28" spans="1:14" x14ac:dyDescent="0.35">
      <c r="A28" s="2" t="s">
        <v>355</v>
      </c>
      <c r="C28" s="2" t="s">
        <v>349</v>
      </c>
      <c r="D28" s="2" t="s">
        <v>369</v>
      </c>
    </row>
    <row r="29" spans="1:14" x14ac:dyDescent="0.35">
      <c r="A29" s="2" t="s">
        <v>356</v>
      </c>
      <c r="C29" s="2" t="s">
        <v>349</v>
      </c>
      <c r="D29" s="2" t="s">
        <v>370</v>
      </c>
    </row>
    <row r="30" spans="1:14" x14ac:dyDescent="0.35">
      <c r="A30" s="2" t="s">
        <v>357</v>
      </c>
      <c r="C30" s="2" t="s">
        <v>349</v>
      </c>
      <c r="D30" s="2" t="s">
        <v>371</v>
      </c>
      <c r="L30">
        <f>B26*(1+((4*0.001)/0.014))</f>
        <v>3.559599554507414E-4</v>
      </c>
      <c r="N30">
        <v>3.5595995545074102E-4</v>
      </c>
    </row>
    <row r="31" spans="1:14" x14ac:dyDescent="0.35">
      <c r="A31" s="2" t="s">
        <v>358</v>
      </c>
      <c r="C31" s="2" t="s">
        <v>349</v>
      </c>
      <c r="D31" s="2" t="s">
        <v>372</v>
      </c>
    </row>
    <row r="32" spans="1:14" x14ac:dyDescent="0.35">
      <c r="A32" s="2" t="s">
        <v>359</v>
      </c>
      <c r="C32" s="2" t="s">
        <v>349</v>
      </c>
      <c r="D32" s="2" t="s">
        <v>361</v>
      </c>
    </row>
    <row r="33" spans="1:4" x14ac:dyDescent="0.35">
      <c r="A33" s="2" t="s">
        <v>360</v>
      </c>
      <c r="C33" s="2" t="s">
        <v>349</v>
      </c>
      <c r="D33" s="2" t="s">
        <v>362</v>
      </c>
    </row>
    <row r="34" spans="1:4" x14ac:dyDescent="0.35">
      <c r="A34" s="2" t="s">
        <v>356</v>
      </c>
      <c r="C34" s="2" t="s">
        <v>349</v>
      </c>
      <c r="D34" s="2" t="s">
        <v>363</v>
      </c>
    </row>
    <row r="35" spans="1:4" x14ac:dyDescent="0.35">
      <c r="A35" s="2" t="s">
        <v>357</v>
      </c>
      <c r="C35" s="2" t="s">
        <v>349</v>
      </c>
      <c r="D35" s="2" t="s">
        <v>364</v>
      </c>
    </row>
    <row r="36" spans="1:4" x14ac:dyDescent="0.35">
      <c r="A36" s="2" t="s">
        <v>358</v>
      </c>
      <c r="C36" s="2" t="s">
        <v>349</v>
      </c>
      <c r="D36" s="2" t="s">
        <v>365</v>
      </c>
    </row>
    <row r="37" spans="1:4" x14ac:dyDescent="0.35">
      <c r="A37" s="2" t="s">
        <v>335</v>
      </c>
      <c r="C37" s="2" t="s">
        <v>366</v>
      </c>
      <c r="D37" s="2" t="s">
        <v>384</v>
      </c>
    </row>
    <row r="38" spans="1:4" x14ac:dyDescent="0.35">
      <c r="A38" s="2" t="s">
        <v>367</v>
      </c>
      <c r="C38" s="2" t="s">
        <v>366</v>
      </c>
      <c r="D38" s="2" t="s">
        <v>383</v>
      </c>
    </row>
    <row r="39" spans="1:4" x14ac:dyDescent="0.35">
      <c r="A39" s="2" t="s">
        <v>528</v>
      </c>
      <c r="B39">
        <f>'Composition (mass)'!C97</f>
        <v>0.6</v>
      </c>
      <c r="C39" s="2" t="s">
        <v>5</v>
      </c>
      <c r="D39" s="2" t="s">
        <v>527</v>
      </c>
    </row>
    <row r="40" spans="1:4" x14ac:dyDescent="0.35">
      <c r="A40" s="2" t="s">
        <v>558</v>
      </c>
      <c r="C40" s="2" t="s">
        <v>559</v>
      </c>
    </row>
    <row r="41" spans="1:4" x14ac:dyDescent="0.35">
      <c r="A41" s="2" t="s">
        <v>575</v>
      </c>
      <c r="B41" s="39">
        <v>2E-3</v>
      </c>
      <c r="C41" s="2" t="s">
        <v>576</v>
      </c>
      <c r="D41" s="2" t="s">
        <v>577</v>
      </c>
    </row>
    <row r="46" spans="1:4" x14ac:dyDescent="0.35">
      <c r="A46" t="s">
        <v>641</v>
      </c>
      <c r="B46">
        <f>SUM(O2:O7)</f>
        <v>77.300418129126129</v>
      </c>
    </row>
    <row r="47" spans="1:4" x14ac:dyDescent="0.35">
      <c r="A47" t="s">
        <v>642</v>
      </c>
      <c r="B47">
        <f>(B46*0.001)/B39</f>
        <v>0.12883403021521023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J26"/>
  <sheetViews>
    <sheetView topLeftCell="F1" workbookViewId="0">
      <selection activeCell="F1" sqref="F1:O1048576"/>
    </sheetView>
  </sheetViews>
  <sheetFormatPr baseColWidth="10" defaultRowHeight="14.5" x14ac:dyDescent="0.35"/>
  <sheetData>
    <row r="1" spans="1:36" x14ac:dyDescent="0.35"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636</v>
      </c>
      <c r="H1" t="s">
        <v>618</v>
      </c>
    </row>
    <row r="2" spans="1:36" x14ac:dyDescent="0.35">
      <c r="A2" t="s">
        <v>580</v>
      </c>
      <c r="B2">
        <v>0.35</v>
      </c>
      <c r="C2">
        <f>(Variables!L14/Variables!L23)*(stoe!B3/(6-(5*stoe!B3)))</f>
        <v>0.61286157024793375</v>
      </c>
      <c r="D2">
        <f>(Variables!L14/Variables!L26)</f>
        <v>6.6470588235294121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619</v>
      </c>
      <c r="J2">
        <v>0.61286157024793375</v>
      </c>
      <c r="L2" t="s">
        <v>648</v>
      </c>
    </row>
    <row r="3" spans="1:36" x14ac:dyDescent="0.35">
      <c r="A3" t="s">
        <v>581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620</v>
      </c>
      <c r="J3">
        <v>0.34845814977973566</v>
      </c>
      <c r="L3">
        <v>0.61286157024793375</v>
      </c>
      <c r="M3">
        <v>0.34845814977973566</v>
      </c>
      <c r="N3">
        <v>0.15679878540876441</v>
      </c>
      <c r="O3">
        <v>0.61286157024793375</v>
      </c>
      <c r="P3">
        <v>0.34845814977973566</v>
      </c>
      <c r="Q3">
        <v>0.15679878540876441</v>
      </c>
      <c r="R3">
        <v>0.61286157024793375</v>
      </c>
      <c r="S3">
        <v>0.34845814977973566</v>
      </c>
      <c r="T3">
        <v>0.15679878540876441</v>
      </c>
      <c r="U3">
        <v>0.19196328081035452</v>
      </c>
      <c r="V3">
        <v>0.61286157024793375</v>
      </c>
      <c r="W3">
        <v>0.34845814977973566</v>
      </c>
      <c r="X3">
        <v>0.15679878540876441</v>
      </c>
      <c r="Y3">
        <v>0.19196328081035452</v>
      </c>
      <c r="Z3">
        <v>0.59266453382084072</v>
      </c>
      <c r="AA3">
        <v>0.34183471727955711</v>
      </c>
      <c r="AB3">
        <v>0.14872079850398687</v>
      </c>
      <c r="AC3">
        <v>0.18993587130957534</v>
      </c>
      <c r="AD3">
        <v>0.21008868149029522</v>
      </c>
      <c r="AE3">
        <v>0.59266453382084072</v>
      </c>
      <c r="AF3">
        <v>0.34183471727955711</v>
      </c>
      <c r="AG3">
        <v>0.14872079850398687</v>
      </c>
      <c r="AH3">
        <v>0.18993587130957534</v>
      </c>
      <c r="AI3">
        <v>0.21008868149029522</v>
      </c>
      <c r="AJ3">
        <v>4.0522540983606553E-2</v>
      </c>
    </row>
    <row r="4" spans="1:36" x14ac:dyDescent="0.35">
      <c r="A4" t="s">
        <v>582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621</v>
      </c>
      <c r="J4">
        <v>0.15679878540876441</v>
      </c>
    </row>
    <row r="5" spans="1:36" x14ac:dyDescent="0.35">
      <c r="A5" t="s">
        <v>583</v>
      </c>
      <c r="B5">
        <v>0.35</v>
      </c>
      <c r="C5">
        <f t="shared" ref="C5:F7" si="0">C2</f>
        <v>0.61286157024793375</v>
      </c>
      <c r="D5">
        <f t="shared" si="0"/>
        <v>6.6470588235294121</v>
      </c>
      <c r="E5">
        <f t="shared" si="0"/>
        <v>0.44571750563486096</v>
      </c>
      <c r="F5">
        <f t="shared" si="0"/>
        <v>0.71648550724637672</v>
      </c>
      <c r="H5" t="s">
        <v>622</v>
      </c>
      <c r="J5">
        <v>0.61286157024793375</v>
      </c>
    </row>
    <row r="6" spans="1:36" x14ac:dyDescent="0.35">
      <c r="A6" t="s">
        <v>584</v>
      </c>
      <c r="B6">
        <v>0.35</v>
      </c>
      <c r="C6">
        <f t="shared" si="0"/>
        <v>0.34845814977973566</v>
      </c>
      <c r="D6">
        <f t="shared" si="0"/>
        <v>2.4906254472591955</v>
      </c>
      <c r="E6">
        <f t="shared" si="0"/>
        <v>0.26543624161073825</v>
      </c>
      <c r="F6">
        <f t="shared" si="0"/>
        <v>1.7919884666872614</v>
      </c>
      <c r="H6" t="s">
        <v>623</v>
      </c>
      <c r="J6">
        <v>0.34845814977973566</v>
      </c>
      <c r="L6">
        <v>6.6470588235294104</v>
      </c>
      <c r="M6">
        <v>0.70588235294117652</v>
      </c>
      <c r="N6">
        <v>2.4906254472591955</v>
      </c>
      <c r="O6">
        <v>6.6470588235294121</v>
      </c>
      <c r="P6">
        <v>0.70588235294117652</v>
      </c>
      <c r="Q6">
        <v>2.4906254472591955</v>
      </c>
      <c r="R6">
        <v>6.6470588235294121</v>
      </c>
      <c r="S6">
        <v>0.70588235294117652</v>
      </c>
      <c r="T6">
        <v>2.4906254472591955</v>
      </c>
      <c r="U6">
        <v>6.6470588235294121</v>
      </c>
      <c r="V6">
        <v>6.6470588235294121</v>
      </c>
      <c r="W6">
        <v>0.70588235294117652</v>
      </c>
      <c r="X6">
        <v>2.4906254472591955</v>
      </c>
      <c r="Y6">
        <v>6.6470588235294121</v>
      </c>
      <c r="Z6">
        <v>6.6470588235294121</v>
      </c>
      <c r="AA6">
        <v>14.529411764705882</v>
      </c>
      <c r="AB6">
        <v>2.0698699461283123</v>
      </c>
      <c r="AC6">
        <v>14.529411764705882</v>
      </c>
      <c r="AD6">
        <v>14.529411764705882</v>
      </c>
      <c r="AE6">
        <v>14.529411764705882</v>
      </c>
      <c r="AF6">
        <v>14.529411764705882</v>
      </c>
      <c r="AG6">
        <v>2.0698699461283123</v>
      </c>
      <c r="AH6">
        <v>14.529411764705882</v>
      </c>
      <c r="AI6">
        <v>14.529411764705882</v>
      </c>
      <c r="AJ6">
        <v>14.529411764705882</v>
      </c>
    </row>
    <row r="7" spans="1:36" x14ac:dyDescent="0.35">
      <c r="A7" t="s">
        <v>585</v>
      </c>
      <c r="B7">
        <v>0.35</v>
      </c>
      <c r="C7">
        <f t="shared" si="0"/>
        <v>0.15679878540876441</v>
      </c>
      <c r="D7">
        <f t="shared" si="0"/>
        <v>6.6470588235294121</v>
      </c>
      <c r="E7">
        <f t="shared" si="0"/>
        <v>0.16528408426291219</v>
      </c>
      <c r="F7">
        <f t="shared" si="0"/>
        <v>0.38083634706418507</v>
      </c>
      <c r="H7" t="s">
        <v>624</v>
      </c>
      <c r="J7">
        <v>0.15679878540876441</v>
      </c>
    </row>
    <row r="8" spans="1:36" x14ac:dyDescent="0.35">
      <c r="A8" t="s">
        <v>586</v>
      </c>
      <c r="B8">
        <v>0.35</v>
      </c>
      <c r="C8">
        <f t="shared" ref="C8:F10" si="1">C2</f>
        <v>0.61286157024793375</v>
      </c>
      <c r="D8">
        <f t="shared" si="1"/>
        <v>6.6470588235294121</v>
      </c>
      <c r="E8">
        <f t="shared" si="1"/>
        <v>0.44571750563486096</v>
      </c>
      <c r="F8">
        <f t="shared" si="1"/>
        <v>0.71648550724637672</v>
      </c>
      <c r="H8" t="s">
        <v>625</v>
      </c>
      <c r="J8">
        <v>0.61286157024793375</v>
      </c>
    </row>
    <row r="9" spans="1:36" x14ac:dyDescent="0.35">
      <c r="A9" t="s">
        <v>587</v>
      </c>
      <c r="B9">
        <v>0.35</v>
      </c>
      <c r="C9">
        <f t="shared" si="1"/>
        <v>0.34845814977973566</v>
      </c>
      <c r="D9">
        <f t="shared" si="1"/>
        <v>2.4906254472591955</v>
      </c>
      <c r="E9">
        <f t="shared" si="1"/>
        <v>0.26543624161073825</v>
      </c>
      <c r="F9">
        <f t="shared" si="1"/>
        <v>1.7919884666872614</v>
      </c>
      <c r="H9" t="s">
        <v>626</v>
      </c>
      <c r="J9">
        <v>0.34845814977973566</v>
      </c>
    </row>
    <row r="10" spans="1:36" x14ac:dyDescent="0.35">
      <c r="A10" t="s">
        <v>588</v>
      </c>
      <c r="B10">
        <v>0.35</v>
      </c>
      <c r="C10">
        <f t="shared" si="1"/>
        <v>0.15679878540876441</v>
      </c>
      <c r="D10">
        <f t="shared" si="1"/>
        <v>6.6470588235294121</v>
      </c>
      <c r="E10">
        <f t="shared" si="1"/>
        <v>0.16528408426291219</v>
      </c>
      <c r="F10">
        <f t="shared" si="1"/>
        <v>0.38083634706418507</v>
      </c>
      <c r="H10" t="s">
        <v>627</v>
      </c>
      <c r="J10">
        <v>0.15679878540876441</v>
      </c>
    </row>
    <row r="11" spans="1:36" x14ac:dyDescent="0.35">
      <c r="A11" t="s">
        <v>589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628</v>
      </c>
      <c r="J11">
        <v>0.19196328081035452</v>
      </c>
    </row>
    <row r="12" spans="1:36" x14ac:dyDescent="0.35">
      <c r="A12" t="s">
        <v>590</v>
      </c>
      <c r="B12">
        <v>0.35</v>
      </c>
      <c r="C12">
        <f t="shared" ref="C12:F14" si="2">C2</f>
        <v>0.61286157024793375</v>
      </c>
      <c r="D12">
        <f t="shared" si="2"/>
        <v>6.6470588235294121</v>
      </c>
      <c r="E12">
        <f t="shared" si="2"/>
        <v>0.44571750563486096</v>
      </c>
      <c r="F12">
        <f t="shared" si="2"/>
        <v>0.71648550724637672</v>
      </c>
      <c r="H12" t="s">
        <v>629</v>
      </c>
      <c r="J12">
        <v>0.61286157024793375</v>
      </c>
    </row>
    <row r="13" spans="1:36" x14ac:dyDescent="0.35">
      <c r="A13" t="s">
        <v>591</v>
      </c>
      <c r="B13">
        <v>0.35</v>
      </c>
      <c r="C13">
        <f t="shared" si="2"/>
        <v>0.34845814977973566</v>
      </c>
      <c r="D13">
        <f t="shared" si="2"/>
        <v>2.4906254472591955</v>
      </c>
      <c r="E13">
        <f t="shared" si="2"/>
        <v>0.26543624161073825</v>
      </c>
      <c r="F13">
        <f t="shared" si="2"/>
        <v>1.7919884666872614</v>
      </c>
      <c r="H13" t="s">
        <v>630</v>
      </c>
      <c r="J13">
        <v>0.34845814977973566</v>
      </c>
    </row>
    <row r="14" spans="1:36" x14ac:dyDescent="0.35">
      <c r="A14" t="s">
        <v>592</v>
      </c>
      <c r="B14">
        <v>0.35</v>
      </c>
      <c r="C14">
        <f t="shared" si="2"/>
        <v>0.15679878540876441</v>
      </c>
      <c r="D14">
        <f t="shared" si="2"/>
        <v>6.6470588235294121</v>
      </c>
      <c r="E14">
        <f t="shared" si="2"/>
        <v>0.16528408426291219</v>
      </c>
      <c r="F14">
        <f t="shared" si="2"/>
        <v>0.38083634706418507</v>
      </c>
      <c r="H14" t="s">
        <v>631</v>
      </c>
      <c r="J14">
        <v>0.15679878540876441</v>
      </c>
    </row>
    <row r="15" spans="1:36" x14ac:dyDescent="0.35">
      <c r="A15" t="s">
        <v>593</v>
      </c>
      <c r="B15">
        <v>0.35</v>
      </c>
      <c r="C15">
        <f>C11</f>
        <v>0.19196328081035452</v>
      </c>
      <c r="D15">
        <f>D11</f>
        <v>6.6470588235294121</v>
      </c>
      <c r="E15">
        <f>E11</f>
        <v>0.13960965877116693</v>
      </c>
      <c r="F15">
        <f>F11</f>
        <v>0.32944009850789513</v>
      </c>
      <c r="H15" t="s">
        <v>632</v>
      </c>
      <c r="J15">
        <v>0.19196328081035452</v>
      </c>
    </row>
    <row r="16" spans="1:36" x14ac:dyDescent="0.35">
      <c r="A16" t="s">
        <v>594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633</v>
      </c>
      <c r="J16">
        <v>0.59266453382084072</v>
      </c>
    </row>
    <row r="17" spans="1:10" x14ac:dyDescent="0.35">
      <c r="A17" t="s">
        <v>595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609</v>
      </c>
      <c r="J17">
        <v>0.34183471727955711</v>
      </c>
    </row>
    <row r="18" spans="1:10" x14ac:dyDescent="0.35">
      <c r="A18" t="s">
        <v>596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611</v>
      </c>
      <c r="J18">
        <v>0.14872079850398687</v>
      </c>
    </row>
    <row r="19" spans="1:10" x14ac:dyDescent="0.35">
      <c r="A19" t="s">
        <v>597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613</v>
      </c>
      <c r="J19">
        <v>0.18993587130957534</v>
      </c>
    </row>
    <row r="20" spans="1:10" x14ac:dyDescent="0.35">
      <c r="A20" t="s">
        <v>598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615</v>
      </c>
      <c r="J20">
        <v>0.21008868149029522</v>
      </c>
    </row>
    <row r="21" spans="1:10" x14ac:dyDescent="0.35">
      <c r="A21" t="s">
        <v>599</v>
      </c>
      <c r="B21">
        <v>0.35</v>
      </c>
      <c r="C21">
        <f t="shared" ref="C21:F25" si="3">C16</f>
        <v>0.59266453382084072</v>
      </c>
      <c r="D21">
        <f t="shared" si="3"/>
        <v>14.529411764705882</v>
      </c>
      <c r="E21">
        <f t="shared" si="3"/>
        <v>0.41509282970550565</v>
      </c>
      <c r="F21">
        <f t="shared" si="3"/>
        <v>0.83045148895292964</v>
      </c>
      <c r="H21" t="s">
        <v>616</v>
      </c>
      <c r="J21">
        <v>0.59266453382084072</v>
      </c>
    </row>
    <row r="22" spans="1:10" x14ac:dyDescent="0.35">
      <c r="A22" t="s">
        <v>600</v>
      </c>
      <c r="B22">
        <v>0.35</v>
      </c>
      <c r="C22">
        <f t="shared" si="3"/>
        <v>0.34183471727955711</v>
      </c>
      <c r="D22">
        <f t="shared" si="3"/>
        <v>2.0698699461283123</v>
      </c>
      <c r="E22">
        <f t="shared" si="3"/>
        <v>0.25426470588235289</v>
      </c>
      <c r="F22">
        <f t="shared" si="3"/>
        <v>2.7284986729789824</v>
      </c>
      <c r="H22" t="s">
        <v>610</v>
      </c>
      <c r="J22">
        <v>0.34183471727955711</v>
      </c>
    </row>
    <row r="23" spans="1:10" x14ac:dyDescent="0.35">
      <c r="A23" t="s">
        <v>601</v>
      </c>
      <c r="B23">
        <v>0.35</v>
      </c>
      <c r="C23">
        <f t="shared" si="3"/>
        <v>0.14872079850398687</v>
      </c>
      <c r="D23">
        <f t="shared" si="3"/>
        <v>14.529411764705882</v>
      </c>
      <c r="E23">
        <f t="shared" si="3"/>
        <v>0.16088252564187555</v>
      </c>
      <c r="F23">
        <f t="shared" si="3"/>
        <v>0.41080205601442249</v>
      </c>
      <c r="H23" t="s">
        <v>612</v>
      </c>
      <c r="J23">
        <v>0.14872079850398687</v>
      </c>
    </row>
    <row r="24" spans="1:10" x14ac:dyDescent="0.35">
      <c r="A24" t="s">
        <v>602</v>
      </c>
      <c r="B24">
        <v>0.35</v>
      </c>
      <c r="C24">
        <f t="shared" si="3"/>
        <v>0.18993587130957534</v>
      </c>
      <c r="D24">
        <f t="shared" si="3"/>
        <v>14.529411764705882</v>
      </c>
      <c r="E24">
        <f t="shared" si="3"/>
        <v>0.13645628402800014</v>
      </c>
      <c r="F24">
        <f t="shared" si="3"/>
        <v>0.35162784939961444</v>
      </c>
      <c r="H24" t="s">
        <v>614</v>
      </c>
      <c r="J24">
        <v>0.18993587130957534</v>
      </c>
    </row>
    <row r="25" spans="1:10" x14ac:dyDescent="0.35">
      <c r="A25" t="s">
        <v>603</v>
      </c>
      <c r="B25">
        <v>0.35</v>
      </c>
      <c r="C25">
        <f t="shared" si="3"/>
        <v>0.21008868149029522</v>
      </c>
      <c r="D25">
        <f t="shared" si="3"/>
        <v>14.529411764705882</v>
      </c>
      <c r="E25">
        <f t="shared" si="3"/>
        <v>0.19653096971353326</v>
      </c>
      <c r="F25">
        <f t="shared" si="3"/>
        <v>0.6259362128927346</v>
      </c>
      <c r="H25" t="s">
        <v>617</v>
      </c>
      <c r="J25">
        <v>0.21008868149029522</v>
      </c>
    </row>
    <row r="26" spans="1:10" x14ac:dyDescent="0.35">
      <c r="A26" t="s">
        <v>634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635</v>
      </c>
      <c r="J26">
        <v>4.0522540983606553E-2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388</v>
      </c>
      <c r="B1" t="s">
        <v>389</v>
      </c>
    </row>
    <row r="2" spans="1:3" x14ac:dyDescent="0.35">
      <c r="A2" t="s">
        <v>390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386</v>
      </c>
      <c r="B12" s="2">
        <v>0.2</v>
      </c>
    </row>
    <row r="13" spans="1:3" x14ac:dyDescent="0.35">
      <c r="A13" s="2" t="s">
        <v>432</v>
      </c>
      <c r="B13">
        <v>1.83</v>
      </c>
      <c r="C13" t="s">
        <v>438</v>
      </c>
    </row>
    <row r="14" spans="1:3" x14ac:dyDescent="0.35">
      <c r="A14" s="2" t="s">
        <v>433</v>
      </c>
      <c r="B14">
        <v>1.98</v>
      </c>
    </row>
    <row r="15" spans="1:3" x14ac:dyDescent="0.35">
      <c r="A15" s="2" t="s">
        <v>434</v>
      </c>
      <c r="B15">
        <v>2.1000000000000001E-2</v>
      </c>
    </row>
    <row r="16" spans="1:3" x14ac:dyDescent="0.35">
      <c r="A16" s="2" t="s">
        <v>435</v>
      </c>
      <c r="B16">
        <v>1.0409999999999999</v>
      </c>
    </row>
    <row r="17" spans="1:2" x14ac:dyDescent="0.35">
      <c r="A17" s="2" t="s">
        <v>436</v>
      </c>
      <c r="B17">
        <v>0.98</v>
      </c>
    </row>
    <row r="18" spans="1:2" x14ac:dyDescent="0.35">
      <c r="A18" s="2" t="s">
        <v>437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abSelected="1" topLeftCell="A17" workbookViewId="0">
      <selection activeCell="D35" sqref="D35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503</v>
      </c>
      <c r="G1" s="1" t="s">
        <v>504</v>
      </c>
      <c r="H1" s="1" t="s">
        <v>501</v>
      </c>
      <c r="I1" s="1" t="s">
        <v>502</v>
      </c>
    </row>
    <row r="2" spans="1:11" x14ac:dyDescent="0.35">
      <c r="A2" s="2" t="s">
        <v>489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508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490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508</v>
      </c>
      <c r="K3" s="2">
        <f t="shared" si="0"/>
        <v>0.48</v>
      </c>
    </row>
    <row r="4" spans="1:11" x14ac:dyDescent="0.35">
      <c r="A4" s="2" t="s">
        <v>491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508</v>
      </c>
      <c r="K4" s="2">
        <f t="shared" si="0"/>
        <v>0.24</v>
      </c>
    </row>
    <row r="5" spans="1:11" x14ac:dyDescent="0.35">
      <c r="A5" s="2" t="s">
        <v>492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508</v>
      </c>
      <c r="K5" s="2">
        <f t="shared" si="0"/>
        <v>0.48</v>
      </c>
    </row>
    <row r="6" spans="1:11" x14ac:dyDescent="0.35">
      <c r="A6" s="2" t="s">
        <v>493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508</v>
      </c>
      <c r="K6" s="2">
        <f t="shared" si="0"/>
        <v>0.96</v>
      </c>
    </row>
    <row r="7" spans="1:11" x14ac:dyDescent="0.35">
      <c r="A7" s="2" t="s">
        <v>494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508</v>
      </c>
      <c r="K7" s="2">
        <f t="shared" si="0"/>
        <v>0.24</v>
      </c>
    </row>
    <row r="8" spans="1:11" x14ac:dyDescent="0.35">
      <c r="A8" s="2" t="s">
        <v>495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508</v>
      </c>
      <c r="K8" s="2">
        <f t="shared" si="0"/>
        <v>0.21599999999999997</v>
      </c>
    </row>
    <row r="9" spans="1:11" x14ac:dyDescent="0.35">
      <c r="A9" s="2" t="s">
        <v>496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508</v>
      </c>
      <c r="K9" s="2">
        <f t="shared" si="0"/>
        <v>0.16800000000000001</v>
      </c>
    </row>
    <row r="10" spans="1:11" x14ac:dyDescent="0.35">
      <c r="A10" s="2" t="s">
        <v>497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508</v>
      </c>
      <c r="K10" s="2">
        <f t="shared" si="0"/>
        <v>0.16800000000000001</v>
      </c>
    </row>
    <row r="11" spans="1:11" x14ac:dyDescent="0.35">
      <c r="A11" s="2" t="s">
        <v>498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508</v>
      </c>
      <c r="K11" s="2">
        <f t="shared" si="0"/>
        <v>0.21599999999999997</v>
      </c>
    </row>
    <row r="12" spans="1:11" x14ac:dyDescent="0.35">
      <c r="A12" s="2" t="s">
        <v>499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508</v>
      </c>
      <c r="K12" s="2">
        <f t="shared" si="0"/>
        <v>0.16800000000000001</v>
      </c>
    </row>
    <row r="13" spans="1:11" x14ac:dyDescent="0.35">
      <c r="A13" s="2" t="s">
        <v>500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508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508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508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508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508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508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508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508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508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508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508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508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508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508</v>
      </c>
      <c r="K26" s="2">
        <f t="shared" si="0"/>
        <v>0.06</v>
      </c>
    </row>
    <row r="27" spans="1:11" x14ac:dyDescent="0.35">
      <c r="A27" s="23" t="s">
        <v>430</v>
      </c>
      <c r="B27" s="23">
        <v>0.03</v>
      </c>
      <c r="C27" s="23" t="s">
        <v>255</v>
      </c>
      <c r="D27" s="23" t="s">
        <v>431</v>
      </c>
      <c r="E27" s="23">
        <v>25</v>
      </c>
      <c r="F27" s="23" t="s">
        <v>505</v>
      </c>
      <c r="G27" s="23" t="s">
        <v>506</v>
      </c>
    </row>
    <row r="28" spans="1:11" x14ac:dyDescent="0.35">
      <c r="A28" s="27" t="s">
        <v>439</v>
      </c>
      <c r="B28" s="2">
        <v>4.2000000000000003E-2</v>
      </c>
      <c r="C28" s="2" t="s">
        <v>536</v>
      </c>
      <c r="D28" s="2" t="s">
        <v>441</v>
      </c>
      <c r="E28" s="23">
        <v>26</v>
      </c>
      <c r="F28" s="23" t="s">
        <v>505</v>
      </c>
      <c r="G28" s="23" t="s">
        <v>507</v>
      </c>
      <c r="H28" s="27">
        <v>1</v>
      </c>
      <c r="I28" s="27" t="s">
        <v>440</v>
      </c>
    </row>
    <row r="29" spans="1:11" x14ac:dyDescent="0.35">
      <c r="A29" s="2" t="s">
        <v>442</v>
      </c>
      <c r="B29" s="2">
        <v>8.3000000000000001E-3</v>
      </c>
      <c r="C29" s="23" t="s">
        <v>255</v>
      </c>
      <c r="D29" s="2" t="s">
        <v>443</v>
      </c>
      <c r="E29" s="23">
        <v>27</v>
      </c>
      <c r="F29" s="23" t="s">
        <v>505</v>
      </c>
      <c r="G29" s="23" t="s">
        <v>506</v>
      </c>
    </row>
    <row r="30" spans="1:11" hidden="1" x14ac:dyDescent="0.35">
      <c r="A30" s="2" t="s">
        <v>373</v>
      </c>
      <c r="B30" s="24">
        <v>9.9999999999999995E-8</v>
      </c>
      <c r="C30" s="2" t="s">
        <v>374</v>
      </c>
      <c r="D30" s="2" t="s">
        <v>379</v>
      </c>
      <c r="E30" s="23">
        <v>25</v>
      </c>
      <c r="F30" s="2" t="s">
        <v>508</v>
      </c>
    </row>
    <row r="31" spans="1:11" hidden="1" x14ac:dyDescent="0.35">
      <c r="A31" s="2" t="s">
        <v>375</v>
      </c>
      <c r="B31" s="24">
        <v>9.9999999999999995E-7</v>
      </c>
      <c r="C31" s="2" t="s">
        <v>374</v>
      </c>
      <c r="D31" s="2" t="s">
        <v>378</v>
      </c>
      <c r="E31" s="23">
        <v>26</v>
      </c>
      <c r="F31" s="2" t="s">
        <v>508</v>
      </c>
    </row>
    <row r="32" spans="1:11" hidden="1" x14ac:dyDescent="0.35">
      <c r="A32" s="2" t="s">
        <v>376</v>
      </c>
      <c r="B32" s="24">
        <v>9.9999999999999995E-8</v>
      </c>
      <c r="C32" s="2" t="s">
        <v>374</v>
      </c>
      <c r="D32" s="2" t="s">
        <v>380</v>
      </c>
      <c r="E32" s="23">
        <v>27</v>
      </c>
      <c r="F32" s="2" t="s">
        <v>508</v>
      </c>
    </row>
    <row r="33" spans="1:8" hidden="1" x14ac:dyDescent="0.35">
      <c r="A33" s="2" t="s">
        <v>377</v>
      </c>
      <c r="B33" s="24">
        <v>9.9999999999999995E-8</v>
      </c>
      <c r="C33" s="2" t="s">
        <v>374</v>
      </c>
      <c r="D33" s="2" t="s">
        <v>381</v>
      </c>
      <c r="E33" s="23">
        <v>28</v>
      </c>
      <c r="F33" s="2" t="s">
        <v>508</v>
      </c>
    </row>
    <row r="34" spans="1:8" x14ac:dyDescent="0.35">
      <c r="A34" s="2" t="s">
        <v>391</v>
      </c>
      <c r="B34" s="24">
        <v>1E-4</v>
      </c>
      <c r="C34" s="2" t="s">
        <v>530</v>
      </c>
      <c r="D34" s="2" t="s">
        <v>519</v>
      </c>
      <c r="E34" s="23">
        <v>29</v>
      </c>
      <c r="F34" s="2" t="s">
        <v>508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508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508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508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508</v>
      </c>
    </row>
    <row r="39" spans="1:8" x14ac:dyDescent="0.35">
      <c r="A39" s="2" t="s">
        <v>427</v>
      </c>
      <c r="B39" s="2">
        <v>57.2</v>
      </c>
      <c r="C39" s="2" t="s">
        <v>323</v>
      </c>
      <c r="D39" s="2" t="s">
        <v>330</v>
      </c>
      <c r="F39" s="2" t="s">
        <v>508</v>
      </c>
    </row>
    <row r="40" spans="1:8" x14ac:dyDescent="0.35">
      <c r="A40" s="2" t="s">
        <v>426</v>
      </c>
      <c r="B40" s="2">
        <v>65.5</v>
      </c>
      <c r="C40" s="23" t="s">
        <v>323</v>
      </c>
      <c r="D40" s="2" t="s">
        <v>331</v>
      </c>
      <c r="F40" s="2" t="s">
        <v>508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346</v>
      </c>
    </row>
    <row r="42" spans="1:8" s="26" customFormat="1" x14ac:dyDescent="0.35">
      <c r="A42" s="28" t="s">
        <v>533</v>
      </c>
      <c r="B42" s="26">
        <v>0.2</v>
      </c>
      <c r="C42" s="26" t="s">
        <v>534</v>
      </c>
      <c r="D42" s="28" t="s">
        <v>526</v>
      </c>
      <c r="F42" s="2" t="s">
        <v>508</v>
      </c>
      <c r="G42" s="28">
        <v>6.4000000000000003E-3</v>
      </c>
      <c r="H42" s="28" t="s">
        <v>649</v>
      </c>
    </row>
    <row r="43" spans="1:8" s="26" customFormat="1" hidden="1" x14ac:dyDescent="0.35">
      <c r="A43" s="28" t="s">
        <v>336</v>
      </c>
      <c r="B43" s="29">
        <v>0.4</v>
      </c>
      <c r="C43" s="28" t="s">
        <v>341</v>
      </c>
      <c r="D43" s="28" t="s">
        <v>338</v>
      </c>
      <c r="F43" s="2" t="s">
        <v>508</v>
      </c>
    </row>
    <row r="44" spans="1:8" s="26" customFormat="1" hidden="1" x14ac:dyDescent="0.35">
      <c r="A44" s="28" t="s">
        <v>339</v>
      </c>
      <c r="B44" s="28">
        <v>0.6</v>
      </c>
      <c r="C44" s="28" t="s">
        <v>341</v>
      </c>
      <c r="D44" s="28" t="s">
        <v>340</v>
      </c>
      <c r="F44" s="2" t="s">
        <v>508</v>
      </c>
    </row>
    <row r="45" spans="1:8" s="26" customFormat="1" x14ac:dyDescent="0.35">
      <c r="A45" s="27" t="s">
        <v>343</v>
      </c>
      <c r="C45" s="27" t="s">
        <v>334</v>
      </c>
      <c r="D45" s="27" t="s">
        <v>344</v>
      </c>
      <c r="E45" s="26" t="s">
        <v>346</v>
      </c>
      <c r="F45" s="2" t="s">
        <v>508</v>
      </c>
    </row>
    <row r="46" spans="1:8" x14ac:dyDescent="0.35">
      <c r="A46" s="2" t="s">
        <v>345</v>
      </c>
      <c r="B46" s="24">
        <v>4.9999999999999998E-8</v>
      </c>
      <c r="C46" s="2" t="s">
        <v>529</v>
      </c>
      <c r="D46" s="2" t="s">
        <v>532</v>
      </c>
      <c r="F46" s="2" t="s">
        <v>508</v>
      </c>
    </row>
    <row r="47" spans="1:8" x14ac:dyDescent="0.35">
      <c r="A47" s="2" t="s">
        <v>347</v>
      </c>
      <c r="B47" s="24">
        <v>6.2000000000000003E-5</v>
      </c>
      <c r="C47" s="2" t="s">
        <v>529</v>
      </c>
      <c r="D47" s="2" t="s">
        <v>348</v>
      </c>
      <c r="F47" s="2" t="s">
        <v>508</v>
      </c>
    </row>
    <row r="48" spans="1:8" x14ac:dyDescent="0.35">
      <c r="A48" s="23" t="s">
        <v>535</v>
      </c>
      <c r="B48" s="36">
        <v>8.4000000000000005E-2</v>
      </c>
      <c r="C48" s="2" t="s">
        <v>529</v>
      </c>
    </row>
    <row r="49" spans="1:8" s="34" customFormat="1" hidden="1" x14ac:dyDescent="0.35">
      <c r="A49" s="34" t="s">
        <v>402</v>
      </c>
      <c r="B49" s="34">
        <v>404</v>
      </c>
      <c r="C49" s="34" t="s">
        <v>403</v>
      </c>
      <c r="D49" s="34" t="s">
        <v>404</v>
      </c>
      <c r="E49" s="34" t="s">
        <v>405</v>
      </c>
    </row>
    <row r="50" spans="1:8" s="34" customFormat="1" hidden="1" x14ac:dyDescent="0.35">
      <c r="A50" s="34" t="s">
        <v>406</v>
      </c>
      <c r="B50" s="34">
        <v>1005</v>
      </c>
      <c r="C50" s="34" t="s">
        <v>408</v>
      </c>
      <c r="D50" s="34" t="s">
        <v>407</v>
      </c>
      <c r="E50" s="34" t="s">
        <v>409</v>
      </c>
    </row>
    <row r="51" spans="1:8" s="34" customFormat="1" hidden="1" x14ac:dyDescent="0.35">
      <c r="A51" s="34" t="s">
        <v>413</v>
      </c>
      <c r="B51" s="34">
        <v>710</v>
      </c>
      <c r="C51" s="34" t="s">
        <v>408</v>
      </c>
      <c r="D51" s="34" t="s">
        <v>422</v>
      </c>
      <c r="E51" s="34" t="s">
        <v>420</v>
      </c>
      <c r="F51" s="34" t="s">
        <v>423</v>
      </c>
    </row>
    <row r="52" spans="1:8" s="34" customFormat="1" hidden="1" x14ac:dyDescent="0.35">
      <c r="A52" s="34" t="s">
        <v>414</v>
      </c>
      <c r="B52" s="34">
        <v>1000</v>
      </c>
      <c r="C52" s="34" t="s">
        <v>408</v>
      </c>
    </row>
    <row r="53" spans="1:8" s="34" customFormat="1" hidden="1" x14ac:dyDescent="0.35">
      <c r="A53" s="34" t="s">
        <v>415</v>
      </c>
      <c r="B53" s="35">
        <v>1260</v>
      </c>
      <c r="C53" s="34" t="s">
        <v>408</v>
      </c>
      <c r="D53" s="34" t="s">
        <v>418</v>
      </c>
      <c r="E53" s="34" t="s">
        <v>419</v>
      </c>
    </row>
    <row r="54" spans="1:8" s="34" customFormat="1" hidden="1" x14ac:dyDescent="0.35">
      <c r="A54" s="34" t="s">
        <v>416</v>
      </c>
      <c r="B54" s="34">
        <v>1542</v>
      </c>
      <c r="C54" s="34" t="s">
        <v>408</v>
      </c>
      <c r="D54" s="34" t="s">
        <v>424</v>
      </c>
      <c r="E54" s="34" t="s">
        <v>425</v>
      </c>
    </row>
    <row r="55" spans="1:8" s="34" customFormat="1" hidden="1" x14ac:dyDescent="0.35">
      <c r="A55" s="34" t="s">
        <v>417</v>
      </c>
      <c r="B55" s="34">
        <v>1305</v>
      </c>
      <c r="C55" s="34" t="s">
        <v>408</v>
      </c>
      <c r="E55" s="34" t="s">
        <v>421</v>
      </c>
    </row>
    <row r="56" spans="1:8" x14ac:dyDescent="0.35">
      <c r="A56" s="2" t="s">
        <v>428</v>
      </c>
      <c r="B56" s="23">
        <v>0.2</v>
      </c>
      <c r="C56"/>
      <c r="D56" s="2" t="s">
        <v>429</v>
      </c>
      <c r="E56" s="23">
        <v>54</v>
      </c>
      <c r="F56" s="23" t="s">
        <v>505</v>
      </c>
      <c r="G56" s="23" t="s">
        <v>506</v>
      </c>
    </row>
    <row r="57" spans="1:8" x14ac:dyDescent="0.35">
      <c r="A57" s="26" t="s">
        <v>537</v>
      </c>
      <c r="B57" s="26">
        <v>0.2</v>
      </c>
      <c r="C57" s="26" t="s">
        <v>445</v>
      </c>
      <c r="D57" s="27" t="s">
        <v>446</v>
      </c>
      <c r="F57" s="23" t="s">
        <v>505</v>
      </c>
      <c r="G57" s="23" t="s">
        <v>538</v>
      </c>
    </row>
    <row r="58" spans="1:8" x14ac:dyDescent="0.35">
      <c r="A58" s="23" t="s">
        <v>470</v>
      </c>
      <c r="B58" s="38">
        <v>5.352E-4</v>
      </c>
      <c r="C58" s="26" t="s">
        <v>556</v>
      </c>
      <c r="D58" s="27" t="s">
        <v>488</v>
      </c>
      <c r="F58" s="37" t="s">
        <v>557</v>
      </c>
    </row>
    <row r="59" spans="1:8" x14ac:dyDescent="0.35">
      <c r="A59" s="23" t="s">
        <v>487</v>
      </c>
      <c r="B59" s="26">
        <v>0.72</v>
      </c>
      <c r="C59" s="26" t="s">
        <v>529</v>
      </c>
      <c r="D59" s="27" t="s">
        <v>509</v>
      </c>
      <c r="F59" s="23" t="s">
        <v>555</v>
      </c>
      <c r="G59" s="23" t="s">
        <v>507</v>
      </c>
    </row>
    <row r="60" spans="1:8" x14ac:dyDescent="0.35">
      <c r="A60" s="23" t="s">
        <v>514</v>
      </c>
      <c r="B60" s="26">
        <v>3.3000000000000002E-2</v>
      </c>
      <c r="C60" s="23" t="s">
        <v>534</v>
      </c>
      <c r="D60" s="23" t="s">
        <v>515</v>
      </c>
      <c r="F60" s="23" t="s">
        <v>555</v>
      </c>
    </row>
    <row r="61" spans="1:8" x14ac:dyDescent="0.35">
      <c r="A61" s="23" t="s">
        <v>516</v>
      </c>
      <c r="B61" s="38">
        <v>400000</v>
      </c>
      <c r="C61" s="23" t="s">
        <v>554</v>
      </c>
      <c r="D61" s="23" t="s">
        <v>517</v>
      </c>
      <c r="F61" s="23" t="s">
        <v>518</v>
      </c>
    </row>
    <row r="62" spans="1:8" x14ac:dyDescent="0.35">
      <c r="A62" s="23" t="s">
        <v>525</v>
      </c>
      <c r="B62" s="36">
        <v>1.9000000000000001E-5</v>
      </c>
      <c r="C62" s="23" t="s">
        <v>534</v>
      </c>
      <c r="G62" s="38">
        <v>6.0800000000000004E-7</v>
      </c>
      <c r="H62" s="23" t="s">
        <v>649</v>
      </c>
    </row>
    <row r="63" spans="1:8" x14ac:dyDescent="0.35">
      <c r="A63" s="23" t="s">
        <v>336</v>
      </c>
      <c r="B63" s="26">
        <v>0.4</v>
      </c>
    </row>
    <row r="64" spans="1:8" x14ac:dyDescent="0.35">
      <c r="A64" s="23" t="s">
        <v>339</v>
      </c>
      <c r="B64" s="26">
        <v>0.6</v>
      </c>
    </row>
    <row r="65" spans="1:6" x14ac:dyDescent="0.35">
      <c r="A65" s="23" t="s">
        <v>549</v>
      </c>
      <c r="B65" s="23">
        <v>0.26700000000000002</v>
      </c>
      <c r="C65" s="23" t="s">
        <v>539</v>
      </c>
      <c r="D65" s="23" t="s">
        <v>540</v>
      </c>
    </row>
    <row r="66" spans="1:6" x14ac:dyDescent="0.35">
      <c r="A66" s="23" t="s">
        <v>550</v>
      </c>
      <c r="B66" s="23">
        <v>0.375</v>
      </c>
      <c r="C66" s="23" t="s">
        <v>541</v>
      </c>
      <c r="D66" s="23" t="s">
        <v>542</v>
      </c>
    </row>
    <row r="67" spans="1:6" x14ac:dyDescent="0.35">
      <c r="A67" s="23" t="s">
        <v>551</v>
      </c>
      <c r="B67" s="23">
        <v>0.70699999999999996</v>
      </c>
      <c r="C67" s="23" t="s">
        <v>543</v>
      </c>
      <c r="D67" s="23" t="s">
        <v>544</v>
      </c>
    </row>
    <row r="68" spans="1:6" x14ac:dyDescent="0.35">
      <c r="A68" s="23" t="s">
        <v>552</v>
      </c>
      <c r="B68" s="23">
        <v>0.28399999999999997</v>
      </c>
      <c r="C68" s="23" t="s">
        <v>545</v>
      </c>
      <c r="D68" s="23" t="s">
        <v>546</v>
      </c>
    </row>
    <row r="69" spans="1:6" x14ac:dyDescent="0.35">
      <c r="A69" s="23" t="s">
        <v>553</v>
      </c>
      <c r="B69" s="23">
        <v>0.53500000000000003</v>
      </c>
      <c r="C69" s="23" t="s">
        <v>547</v>
      </c>
      <c r="D69" s="23" t="s">
        <v>548</v>
      </c>
    </row>
    <row r="70" spans="1:6" x14ac:dyDescent="0.35">
      <c r="A70" s="23" t="s">
        <v>560</v>
      </c>
      <c r="B70" s="23">
        <v>1.1200000000000001</v>
      </c>
      <c r="C70" s="23" t="s">
        <v>562</v>
      </c>
      <c r="D70" t="s">
        <v>561</v>
      </c>
      <c r="F70" t="s">
        <v>563</v>
      </c>
    </row>
    <row r="71" spans="1:6" x14ac:dyDescent="0.35">
      <c r="A71" s="23" t="s">
        <v>564</v>
      </c>
      <c r="B71" s="23">
        <v>440</v>
      </c>
      <c r="C71" s="23" t="s">
        <v>565</v>
      </c>
      <c r="D71" s="23" t="s">
        <v>566</v>
      </c>
    </row>
    <row r="72" spans="1:6" x14ac:dyDescent="0.35">
      <c r="A72" s="26" t="s">
        <v>510</v>
      </c>
      <c r="B72" s="26">
        <v>0.44</v>
      </c>
      <c r="C72" s="26" t="s">
        <v>511</v>
      </c>
      <c r="D72" s="27" t="s">
        <v>512</v>
      </c>
      <c r="E72" s="26"/>
      <c r="F72" s="26" t="s">
        <v>513</v>
      </c>
    </row>
    <row r="73" spans="1:6" x14ac:dyDescent="0.35">
      <c r="A73" s="23" t="s">
        <v>567</v>
      </c>
      <c r="B73" s="36">
        <v>1.0049999999999999</v>
      </c>
      <c r="C73" s="23" t="s">
        <v>569</v>
      </c>
    </row>
    <row r="74" spans="1:6" x14ac:dyDescent="0.35">
      <c r="A74" s="23" t="s">
        <v>568</v>
      </c>
    </row>
    <row r="75" spans="1:6" x14ac:dyDescent="0.35">
      <c r="A75" s="23" t="s">
        <v>644</v>
      </c>
      <c r="B75" s="36">
        <v>600</v>
      </c>
      <c r="C75" s="23" t="s">
        <v>645</v>
      </c>
    </row>
    <row r="76" spans="1:6" x14ac:dyDescent="0.35">
      <c r="A76" s="23" t="s">
        <v>646</v>
      </c>
      <c r="B76" s="23">
        <v>1.2929999999999999</v>
      </c>
      <c r="C76" s="23" t="s">
        <v>645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B7" sqref="B7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400</v>
      </c>
      <c r="C1" s="2" t="s">
        <v>398</v>
      </c>
      <c r="D1" s="2" t="s">
        <v>410</v>
      </c>
      <c r="E1" s="2" t="s">
        <v>643</v>
      </c>
      <c r="J1" t="s">
        <v>459</v>
      </c>
    </row>
    <row r="2" spans="1:14" x14ac:dyDescent="0.35">
      <c r="A2" s="2" t="s">
        <v>460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455</v>
      </c>
      <c r="J2" t="s">
        <v>457</v>
      </c>
      <c r="K2">
        <v>0.12</v>
      </c>
      <c r="N2" s="31" t="s">
        <v>447</v>
      </c>
    </row>
    <row r="3" spans="1:14" x14ac:dyDescent="0.35">
      <c r="A3" s="2" t="s">
        <v>461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393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458</v>
      </c>
      <c r="K4">
        <v>0.2</v>
      </c>
    </row>
    <row r="5" spans="1:14" x14ac:dyDescent="0.35">
      <c r="A5" s="2" t="s">
        <v>394</v>
      </c>
      <c r="B5" s="2">
        <v>10</v>
      </c>
      <c r="C5" s="2">
        <v>15</v>
      </c>
      <c r="D5">
        <v>20</v>
      </c>
    </row>
    <row r="6" spans="1:14" x14ac:dyDescent="0.35">
      <c r="A6" s="2" t="s">
        <v>395</v>
      </c>
      <c r="B6" s="2" t="s">
        <v>456</v>
      </c>
      <c r="C6" s="2" t="s">
        <v>336</v>
      </c>
      <c r="D6" s="2" t="s">
        <v>412</v>
      </c>
      <c r="E6">
        <f>0.066</f>
        <v>6.6000000000000003E-2</v>
      </c>
    </row>
    <row r="7" spans="1:14" x14ac:dyDescent="0.35">
      <c r="A7" s="2" t="s">
        <v>396</v>
      </c>
      <c r="B7" s="2" t="s">
        <v>397</v>
      </c>
      <c r="C7" s="2" t="s">
        <v>399</v>
      </c>
      <c r="D7" s="2" t="s">
        <v>411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451</v>
      </c>
      <c r="C9" s="2" t="s">
        <v>448</v>
      </c>
      <c r="D9" t="s">
        <v>471</v>
      </c>
      <c r="E9" s="2" t="s">
        <v>473</v>
      </c>
      <c r="F9" s="2" t="s">
        <v>472</v>
      </c>
    </row>
    <row r="10" spans="1:14" ht="24.5" x14ac:dyDescent="0.35">
      <c r="A10" s="2" t="s">
        <v>453</v>
      </c>
      <c r="B10" s="30" t="s">
        <v>452</v>
      </c>
      <c r="C10" s="2">
        <f>(1.01*1*4)+(1.01*1.01)</f>
        <v>5.0601000000000003</v>
      </c>
      <c r="D10">
        <f>(1/(0.018/0.12))</f>
        <v>6.666666666666667</v>
      </c>
      <c r="F10" t="s">
        <v>449</v>
      </c>
      <c r="G10" s="31" t="s">
        <v>450</v>
      </c>
    </row>
    <row r="11" spans="1:14" ht="24.5" x14ac:dyDescent="0.35">
      <c r="A11" s="2" t="s">
        <v>454</v>
      </c>
      <c r="B11" s="30" t="s">
        <v>452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393</v>
      </c>
      <c r="B12" s="30" t="s">
        <v>464</v>
      </c>
      <c r="C12">
        <f>(1.5*0.8*3)+(1.5*1)</f>
        <v>5.1000000000000005</v>
      </c>
      <c r="D12">
        <f>(1/(0.018/0.12))</f>
        <v>6.666666666666667</v>
      </c>
      <c r="F12" t="s">
        <v>462</v>
      </c>
      <c r="G12" s="31" t="s">
        <v>463</v>
      </c>
    </row>
    <row r="13" spans="1:14" x14ac:dyDescent="0.35">
      <c r="A13" s="2" t="s">
        <v>578</v>
      </c>
      <c r="B13" s="30" t="s">
        <v>579</v>
      </c>
      <c r="G13" s="31"/>
    </row>
    <row r="14" spans="1:14" x14ac:dyDescent="0.35">
      <c r="A14" s="2" t="s">
        <v>465</v>
      </c>
    </row>
    <row r="15" spans="1:14" x14ac:dyDescent="0.35">
      <c r="A15" s="2" t="s">
        <v>474</v>
      </c>
    </row>
    <row r="16" spans="1:14" x14ac:dyDescent="0.35">
      <c r="A16" s="2" t="s">
        <v>476</v>
      </c>
    </row>
    <row r="17" spans="1:7" x14ac:dyDescent="0.35">
      <c r="A17" s="2" t="s">
        <v>477</v>
      </c>
      <c r="G17" t="s">
        <v>435</v>
      </c>
    </row>
    <row r="18" spans="1:7" x14ac:dyDescent="0.35">
      <c r="A18" s="2" t="s">
        <v>478</v>
      </c>
      <c r="G18" t="s">
        <v>336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B1" t="s">
        <v>410</v>
      </c>
    </row>
    <row r="2" spans="1:3" x14ac:dyDescent="0.35">
      <c r="A2" t="s">
        <v>570</v>
      </c>
      <c r="B2">
        <f>0.0000015*3600*('Composition (mass)'!C97-aer!D97)</f>
        <v>3.2400000000000003E-3</v>
      </c>
      <c r="C2" t="s">
        <v>573</v>
      </c>
    </row>
    <row r="3" spans="1:3" x14ac:dyDescent="0.35">
      <c r="A3" t="s">
        <v>571</v>
      </c>
      <c r="B3">
        <f>0.0006*1.2*60*'Composition (mass)'!C97</f>
        <v>2.5919999999999995E-2</v>
      </c>
      <c r="C3" t="s">
        <v>574</v>
      </c>
    </row>
    <row r="4" spans="1:3" x14ac:dyDescent="0.35">
      <c r="B4" t="s">
        <v>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392</v>
      </c>
    </row>
    <row r="2" spans="1:2" x14ac:dyDescent="0.35">
      <c r="A2" t="s">
        <v>401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2024-06-19T14:49:38Z</dcterms:modified>
</cp:coreProperties>
</file>