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6E9CD06F-CFCE-4B27-AA50-27AD97286E81}" xr6:coauthVersionLast="36" xr6:coauthVersionMax="36" xr10:uidLastSave="{00000000-0000-0000-0000-000000000000}"/>
  <bookViews>
    <workbookView xWindow="0" yWindow="0" windowWidth="19200" windowHeight="6930" activeTab="1" xr2:uid="{14B8D0C9-091E-43B5-9C59-8A05020574F1}"/>
  </bookViews>
  <sheets>
    <sheet name="Composition of waste" sheetId="4" r:id="rId1"/>
    <sheet name="Composition (mass)" sheetId="6" r:id="rId2"/>
    <sheet name="Variables" sheetId="1" r:id="rId3"/>
    <sheet name="stoe" sheetId="7" r:id="rId4"/>
    <sheet name="Xyield" sheetId="10" r:id="rId5"/>
    <sheet name="kinetics" sheetId="2" r:id="rId6"/>
    <sheet name="tech" sheetId="3" r:id="rId7"/>
    <sheet name="aer" sheetId="9" r:id="rId8"/>
    <sheet name="reg" sheetId="8" r:id="rId9"/>
  </sheets>
  <definedNames>
    <definedName name="_xlnm._FilterDatabase" localSheetId="1" hidden="1">'Composition (mass)'!$B$1:$B$97</definedName>
    <definedName name="_xlnm._FilterDatabase" localSheetId="0" hidden="1">'Composition of waste'!$B$1:$B$113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P3" i="1"/>
  <c r="E6" i="3" l="1"/>
  <c r="E4" i="3"/>
  <c r="E2" i="3"/>
  <c r="E3" i="3" s="1"/>
  <c r="G26" i="10" l="1"/>
  <c r="L25" i="1"/>
  <c r="F26" i="10"/>
  <c r="C26" i="10"/>
  <c r="D20" i="10" l="1"/>
  <c r="D25" i="10" s="1"/>
  <c r="D19" i="10"/>
  <c r="D24" i="10" s="1"/>
  <c r="D18" i="10"/>
  <c r="D23" i="10" s="1"/>
  <c r="D16" i="10"/>
  <c r="D21" i="10" s="1"/>
  <c r="D11" i="10"/>
  <c r="D15" i="10" s="1"/>
  <c r="D4" i="10"/>
  <c r="D14" i="10" s="1"/>
  <c r="D8" i="10"/>
  <c r="D5" i="10"/>
  <c r="D2" i="10"/>
  <c r="D12" i="10" s="1"/>
  <c r="L20" i="1"/>
  <c r="L23" i="1"/>
  <c r="L24" i="1"/>
  <c r="L26" i="1"/>
  <c r="L22" i="1"/>
  <c r="D10" i="10" l="1"/>
  <c r="D7" i="10"/>
  <c r="D12" i="3"/>
  <c r="D11" i="3"/>
  <c r="D10" i="3"/>
  <c r="L14" i="1" l="1"/>
  <c r="S5" i="1" l="1"/>
  <c r="V5" i="1"/>
  <c r="U5" i="1"/>
  <c r="V4" i="1"/>
  <c r="U4" i="1"/>
  <c r="V3" i="1"/>
  <c r="U3" i="1"/>
  <c r="R5" i="1"/>
  <c r="S4" i="1"/>
  <c r="S3" i="1"/>
  <c r="T4" i="1"/>
  <c r="T3" i="1"/>
  <c r="B2" i="2" l="1"/>
  <c r="B3" i="2"/>
  <c r="B4" i="2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4" i="2"/>
  <c r="K3" i="2"/>
  <c r="K2" i="2"/>
  <c r="T6" i="1" l="1"/>
  <c r="T5" i="1"/>
  <c r="R4" i="1"/>
  <c r="R3" i="1"/>
  <c r="B4" i="3"/>
  <c r="C4" i="3"/>
  <c r="C12" i="3"/>
  <c r="C3" i="3"/>
  <c r="B3" i="3"/>
  <c r="C11" i="3"/>
  <c r="C2" i="3"/>
  <c r="B2" i="3"/>
  <c r="C10" i="3"/>
  <c r="L15" i="1" l="1"/>
  <c r="L16" i="1"/>
  <c r="L17" i="1"/>
  <c r="L18" i="1"/>
  <c r="L19" i="1"/>
  <c r="L21" i="1"/>
  <c r="L8" i="1"/>
  <c r="L9" i="1"/>
  <c r="L10" i="1"/>
  <c r="L11" i="1"/>
  <c r="L12" i="1"/>
  <c r="L13" i="1"/>
  <c r="L3" i="1"/>
  <c r="T7" i="1" s="1"/>
  <c r="L4" i="1"/>
  <c r="R7" i="1" s="1"/>
  <c r="L5" i="1"/>
  <c r="S7" i="1" s="1"/>
  <c r="L7" i="1"/>
  <c r="V7" i="1" s="1"/>
  <c r="L2" i="1"/>
  <c r="U7" i="1" s="1"/>
  <c r="B11" i="7" l="1"/>
  <c r="B10" i="7"/>
  <c r="B6" i="7"/>
  <c r="B5" i="7"/>
  <c r="B9" i="7"/>
  <c r="B8" i="7"/>
  <c r="B4" i="7"/>
  <c r="B3" i="7"/>
  <c r="B7" i="7"/>
  <c r="H97" i="6"/>
  <c r="I97" i="6"/>
  <c r="K97" i="6"/>
  <c r="L97" i="6"/>
  <c r="M97" i="6"/>
  <c r="N97" i="6"/>
  <c r="O97" i="6"/>
  <c r="P97" i="6"/>
  <c r="Q97" i="6"/>
  <c r="S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BP21" i="6" s="1"/>
  <c r="E22" i="6"/>
  <c r="E23" i="6"/>
  <c r="BN23" i="6" s="1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BO53" i="6" s="1"/>
  <c r="E54" i="6"/>
  <c r="E55" i="6"/>
  <c r="E56" i="6"/>
  <c r="E57" i="6"/>
  <c r="E58" i="6"/>
  <c r="BK58" i="6" s="1"/>
  <c r="E59" i="6"/>
  <c r="E60" i="6"/>
  <c r="E61" i="6"/>
  <c r="BO61" i="6" s="1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BP85" i="6" s="1"/>
  <c r="E86" i="6"/>
  <c r="E87" i="6"/>
  <c r="E88" i="6"/>
  <c r="F88" i="6" s="1"/>
  <c r="E89" i="6"/>
  <c r="E90" i="6"/>
  <c r="E91" i="6"/>
  <c r="E92" i="6"/>
  <c r="E93" i="6"/>
  <c r="E94" i="6"/>
  <c r="E95" i="6"/>
  <c r="E2" i="6"/>
  <c r="R2" i="6" s="1"/>
  <c r="D2" i="6"/>
  <c r="C97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3" i="6"/>
  <c r="C98" i="4"/>
  <c r="B3" i="9" l="1"/>
  <c r="B2" i="9"/>
  <c r="B39" i="1"/>
  <c r="B2" i="1" s="1"/>
  <c r="N2" i="1" s="1"/>
  <c r="O2" i="1" s="1"/>
  <c r="C2" i="10"/>
  <c r="E2" i="10"/>
  <c r="F2" i="10"/>
  <c r="F3" i="10"/>
  <c r="C3" i="10"/>
  <c r="E3" i="10"/>
  <c r="D3" i="10"/>
  <c r="C17" i="10"/>
  <c r="C22" i="10" s="1"/>
  <c r="D17" i="10"/>
  <c r="D22" i="10" s="1"/>
  <c r="F17" i="10"/>
  <c r="F22" i="10" s="1"/>
  <c r="E17" i="10"/>
  <c r="E22" i="10" s="1"/>
  <c r="C18" i="10"/>
  <c r="C23" i="10" s="1"/>
  <c r="F18" i="10"/>
  <c r="F23" i="10" s="1"/>
  <c r="E18" i="10"/>
  <c r="E23" i="10" s="1"/>
  <c r="F4" i="10"/>
  <c r="E4" i="10"/>
  <c r="C4" i="10"/>
  <c r="F11" i="10"/>
  <c r="F15" i="10" s="1"/>
  <c r="E11" i="10"/>
  <c r="E15" i="10" s="1"/>
  <c r="C11" i="10"/>
  <c r="C15" i="10" s="1"/>
  <c r="E19" i="10"/>
  <c r="E24" i="10" s="1"/>
  <c r="C19" i="10"/>
  <c r="C24" i="10" s="1"/>
  <c r="F19" i="10"/>
  <c r="F24" i="10" s="1"/>
  <c r="F16" i="10"/>
  <c r="F21" i="10" s="1"/>
  <c r="C16" i="10"/>
  <c r="C21" i="10" s="1"/>
  <c r="E16" i="10"/>
  <c r="E21" i="10" s="1"/>
  <c r="C20" i="10"/>
  <c r="C25" i="10" s="1"/>
  <c r="F20" i="10"/>
  <c r="F25" i="10" s="1"/>
  <c r="E20" i="10"/>
  <c r="E25" i="10" s="1"/>
  <c r="BR93" i="6"/>
  <c r="T93" i="6"/>
  <c r="R93" i="6"/>
  <c r="J93" i="6"/>
  <c r="BR29" i="6"/>
  <c r="T29" i="6"/>
  <c r="R29" i="6"/>
  <c r="J29" i="6"/>
  <c r="T89" i="6"/>
  <c r="R89" i="6"/>
  <c r="J89" i="6"/>
  <c r="T81" i="6"/>
  <c r="R81" i="6"/>
  <c r="J81" i="6"/>
  <c r="T73" i="6"/>
  <c r="R73" i="6"/>
  <c r="J73" i="6"/>
  <c r="T65" i="6"/>
  <c r="R65" i="6"/>
  <c r="J65" i="6"/>
  <c r="T57" i="6"/>
  <c r="R57" i="6"/>
  <c r="J57" i="6"/>
  <c r="T49" i="6"/>
  <c r="R49" i="6"/>
  <c r="J49" i="6"/>
  <c r="T41" i="6"/>
  <c r="J41" i="6"/>
  <c r="R41" i="6"/>
  <c r="J33" i="6"/>
  <c r="T33" i="6"/>
  <c r="R33" i="6"/>
  <c r="T25" i="6"/>
  <c r="J25" i="6"/>
  <c r="R25" i="6"/>
  <c r="T17" i="6"/>
  <c r="R17" i="6"/>
  <c r="J17" i="6"/>
  <c r="T9" i="6"/>
  <c r="R9" i="6"/>
  <c r="J9" i="6"/>
  <c r="F81" i="6"/>
  <c r="F49" i="6"/>
  <c r="F69" i="6"/>
  <c r="T69" i="6"/>
  <c r="R69" i="6"/>
  <c r="J69" i="6"/>
  <c r="F45" i="6"/>
  <c r="T45" i="6"/>
  <c r="R45" i="6"/>
  <c r="J45" i="6"/>
  <c r="T80" i="6"/>
  <c r="R80" i="6"/>
  <c r="J80" i="6"/>
  <c r="T72" i="6"/>
  <c r="R72" i="6"/>
  <c r="J72" i="6"/>
  <c r="T64" i="6"/>
  <c r="R64" i="6"/>
  <c r="J64" i="6"/>
  <c r="T56" i="6"/>
  <c r="R56" i="6"/>
  <c r="J56" i="6"/>
  <c r="T40" i="6"/>
  <c r="R40" i="6"/>
  <c r="J40" i="6"/>
  <c r="T32" i="6"/>
  <c r="R32" i="6"/>
  <c r="J32" i="6"/>
  <c r="T24" i="6"/>
  <c r="R24" i="6"/>
  <c r="J24" i="6"/>
  <c r="T8" i="6"/>
  <c r="R8" i="6"/>
  <c r="J8" i="6"/>
  <c r="F80" i="6"/>
  <c r="F41" i="6"/>
  <c r="BP61" i="6"/>
  <c r="T61" i="6"/>
  <c r="R61" i="6"/>
  <c r="J61" i="6"/>
  <c r="F95" i="6"/>
  <c r="J95" i="6"/>
  <c r="R95" i="6"/>
  <c r="T95" i="6"/>
  <c r="F87" i="6"/>
  <c r="T87" i="6"/>
  <c r="R87" i="6"/>
  <c r="J87" i="6"/>
  <c r="BN79" i="6"/>
  <c r="T79" i="6"/>
  <c r="R79" i="6"/>
  <c r="J79" i="6"/>
  <c r="BN71" i="6"/>
  <c r="T71" i="6"/>
  <c r="R71" i="6"/>
  <c r="J71" i="6"/>
  <c r="F63" i="6"/>
  <c r="T63" i="6"/>
  <c r="R63" i="6"/>
  <c r="J63" i="6"/>
  <c r="F55" i="6"/>
  <c r="T55" i="6"/>
  <c r="R55" i="6"/>
  <c r="J55" i="6"/>
  <c r="BL47" i="6"/>
  <c r="T47" i="6"/>
  <c r="R47" i="6"/>
  <c r="J47" i="6"/>
  <c r="BL39" i="6"/>
  <c r="T39" i="6"/>
  <c r="R39" i="6"/>
  <c r="J39" i="6"/>
  <c r="F31" i="6"/>
  <c r="T31" i="6"/>
  <c r="R31" i="6"/>
  <c r="J31" i="6"/>
  <c r="F23" i="6"/>
  <c r="T23" i="6"/>
  <c r="R23" i="6"/>
  <c r="J23" i="6"/>
  <c r="BN15" i="6"/>
  <c r="T15" i="6"/>
  <c r="R15" i="6"/>
  <c r="J15" i="6"/>
  <c r="F73" i="6"/>
  <c r="F40" i="6"/>
  <c r="BP93" i="6"/>
  <c r="F94" i="6"/>
  <c r="T94" i="6"/>
  <c r="R94" i="6"/>
  <c r="J94" i="6"/>
  <c r="F86" i="6"/>
  <c r="T86" i="6"/>
  <c r="R86" i="6"/>
  <c r="J86" i="6"/>
  <c r="F78" i="6"/>
  <c r="T78" i="6"/>
  <c r="R78" i="6"/>
  <c r="J78" i="6"/>
  <c r="F70" i="6"/>
  <c r="T70" i="6"/>
  <c r="R70" i="6"/>
  <c r="J70" i="6"/>
  <c r="F62" i="6"/>
  <c r="T62" i="6"/>
  <c r="R62" i="6"/>
  <c r="J62" i="6"/>
  <c r="F54" i="6"/>
  <c r="T54" i="6"/>
  <c r="R54" i="6"/>
  <c r="J54" i="6"/>
  <c r="F38" i="6"/>
  <c r="T38" i="6"/>
  <c r="R38" i="6"/>
  <c r="J38" i="6"/>
  <c r="F30" i="6"/>
  <c r="T30" i="6"/>
  <c r="R30" i="6"/>
  <c r="J30" i="6"/>
  <c r="F22" i="6"/>
  <c r="T22" i="6"/>
  <c r="R22" i="6"/>
  <c r="J22" i="6"/>
  <c r="F14" i="6"/>
  <c r="T14" i="6"/>
  <c r="R14" i="6"/>
  <c r="J14" i="6"/>
  <c r="T6" i="6"/>
  <c r="R6" i="6"/>
  <c r="J6" i="6"/>
  <c r="F72" i="6"/>
  <c r="F33" i="6"/>
  <c r="BL63" i="6"/>
  <c r="F65" i="6"/>
  <c r="F32" i="6"/>
  <c r="BL55" i="6"/>
  <c r="BP29" i="6"/>
  <c r="F13" i="6"/>
  <c r="T13" i="6"/>
  <c r="R13" i="6"/>
  <c r="J13" i="6"/>
  <c r="F92" i="6"/>
  <c r="T92" i="6"/>
  <c r="R92" i="6"/>
  <c r="J92" i="6"/>
  <c r="F84" i="6"/>
  <c r="J84" i="6"/>
  <c r="T84" i="6"/>
  <c r="R84" i="6"/>
  <c r="F76" i="6"/>
  <c r="R76" i="6"/>
  <c r="T76" i="6"/>
  <c r="J76" i="6"/>
  <c r="F68" i="6"/>
  <c r="T68" i="6"/>
  <c r="R68" i="6"/>
  <c r="J68" i="6"/>
  <c r="F60" i="6"/>
  <c r="T60" i="6"/>
  <c r="R60" i="6"/>
  <c r="J60" i="6"/>
  <c r="F52" i="6"/>
  <c r="T52" i="6"/>
  <c r="R52" i="6"/>
  <c r="J52" i="6"/>
  <c r="F44" i="6"/>
  <c r="T44" i="6"/>
  <c r="R44" i="6"/>
  <c r="J44" i="6"/>
  <c r="F36" i="6"/>
  <c r="T36" i="6"/>
  <c r="R36" i="6"/>
  <c r="J36" i="6"/>
  <c r="F28" i="6"/>
  <c r="T28" i="6"/>
  <c r="R28" i="6"/>
  <c r="J28" i="6"/>
  <c r="F20" i="6"/>
  <c r="T20" i="6"/>
  <c r="R20" i="6"/>
  <c r="J20" i="6"/>
  <c r="F64" i="6"/>
  <c r="F25" i="6"/>
  <c r="BN95" i="6"/>
  <c r="BR85" i="6"/>
  <c r="T85" i="6"/>
  <c r="R85" i="6"/>
  <c r="J85" i="6"/>
  <c r="F37" i="6"/>
  <c r="T37" i="6"/>
  <c r="R37" i="6"/>
  <c r="J37" i="6"/>
  <c r="T83" i="6"/>
  <c r="R83" i="6"/>
  <c r="J83" i="6"/>
  <c r="G75" i="6"/>
  <c r="T75" i="6"/>
  <c r="R75" i="6"/>
  <c r="J75" i="6"/>
  <c r="G67" i="6"/>
  <c r="T67" i="6"/>
  <c r="R67" i="6"/>
  <c r="J67" i="6"/>
  <c r="G59" i="6"/>
  <c r="T59" i="6"/>
  <c r="R59" i="6"/>
  <c r="J59" i="6"/>
  <c r="R51" i="6"/>
  <c r="T51" i="6"/>
  <c r="J51" i="6"/>
  <c r="G43" i="6"/>
  <c r="T43" i="6"/>
  <c r="R43" i="6"/>
  <c r="J43" i="6"/>
  <c r="T35" i="6"/>
  <c r="R35" i="6"/>
  <c r="J35" i="6"/>
  <c r="T27" i="6"/>
  <c r="R27" i="6"/>
  <c r="J27" i="6"/>
  <c r="T19" i="6"/>
  <c r="R19" i="6"/>
  <c r="J19" i="6"/>
  <c r="F57" i="6"/>
  <c r="F24" i="6"/>
  <c r="BN87" i="6"/>
  <c r="BR61" i="6"/>
  <c r="F77" i="6"/>
  <c r="T77" i="6"/>
  <c r="R77" i="6"/>
  <c r="J77" i="6"/>
  <c r="BR21" i="6"/>
  <c r="T21" i="6"/>
  <c r="R21" i="6"/>
  <c r="J21" i="6"/>
  <c r="T82" i="6"/>
  <c r="R82" i="6"/>
  <c r="J82" i="6"/>
  <c r="T74" i="6"/>
  <c r="R74" i="6"/>
  <c r="J74" i="6"/>
  <c r="T66" i="6"/>
  <c r="R66" i="6"/>
  <c r="J66" i="6"/>
  <c r="T58" i="6"/>
  <c r="R58" i="6"/>
  <c r="J58" i="6"/>
  <c r="T50" i="6"/>
  <c r="R50" i="6"/>
  <c r="J50" i="6"/>
  <c r="BK42" i="6"/>
  <c r="T42" i="6"/>
  <c r="R42" i="6"/>
  <c r="J42" i="6"/>
  <c r="T34" i="6"/>
  <c r="R34" i="6"/>
  <c r="J34" i="6"/>
  <c r="BK26" i="6"/>
  <c r="T26" i="6"/>
  <c r="R26" i="6"/>
  <c r="J26" i="6"/>
  <c r="T18" i="6"/>
  <c r="R18" i="6"/>
  <c r="J18" i="6"/>
  <c r="T10" i="6"/>
  <c r="R10" i="6"/>
  <c r="J10" i="6"/>
  <c r="F89" i="6"/>
  <c r="F56" i="6"/>
  <c r="F17" i="6"/>
  <c r="BN31" i="6"/>
  <c r="BP53" i="6"/>
  <c r="T53" i="6"/>
  <c r="R53" i="6"/>
  <c r="J53" i="6"/>
  <c r="BR53" i="6"/>
  <c r="T48" i="6"/>
  <c r="R48" i="6"/>
  <c r="J48" i="6"/>
  <c r="F48" i="6"/>
  <c r="F46" i="6"/>
  <c r="R46" i="6"/>
  <c r="T46" i="6"/>
  <c r="J46" i="6"/>
  <c r="F12" i="6"/>
  <c r="R12" i="6"/>
  <c r="T12" i="6"/>
  <c r="J12" i="6"/>
  <c r="G11" i="6"/>
  <c r="R11" i="6"/>
  <c r="J11" i="6"/>
  <c r="T11" i="6"/>
  <c r="J88" i="6"/>
  <c r="R88" i="6"/>
  <c r="T88" i="6"/>
  <c r="J90" i="6"/>
  <c r="R90" i="6"/>
  <c r="T90" i="6"/>
  <c r="T16" i="6"/>
  <c r="R16" i="6"/>
  <c r="J16" i="6"/>
  <c r="F16" i="6"/>
  <c r="BN7" i="6"/>
  <c r="T7" i="6"/>
  <c r="R7" i="6"/>
  <c r="J7" i="6"/>
  <c r="BP5" i="6"/>
  <c r="T5" i="6"/>
  <c r="R5" i="6"/>
  <c r="J5" i="6"/>
  <c r="J4" i="6"/>
  <c r="T4" i="6"/>
  <c r="R4" i="6"/>
  <c r="R3" i="6"/>
  <c r="J3" i="6"/>
  <c r="T3" i="6"/>
  <c r="J2" i="6"/>
  <c r="T2" i="6"/>
  <c r="F91" i="6"/>
  <c r="R91" i="6"/>
  <c r="J91" i="6"/>
  <c r="T91" i="6"/>
  <c r="D97" i="6"/>
  <c r="BN51" i="6"/>
  <c r="BL51" i="6"/>
  <c r="BR51" i="6"/>
  <c r="BP51" i="6"/>
  <c r="BO51" i="6"/>
  <c r="BK51" i="6"/>
  <c r="BN19" i="6"/>
  <c r="BL19" i="6"/>
  <c r="BR19" i="6"/>
  <c r="BP19" i="6"/>
  <c r="BO19" i="6"/>
  <c r="BK19" i="6"/>
  <c r="BR90" i="6"/>
  <c r="BP90" i="6"/>
  <c r="BO90" i="6"/>
  <c r="G90" i="6"/>
  <c r="BN90" i="6"/>
  <c r="BL90" i="6"/>
  <c r="BR34" i="6"/>
  <c r="BP34" i="6"/>
  <c r="BO34" i="6"/>
  <c r="G34" i="6"/>
  <c r="BN34" i="6"/>
  <c r="BL34" i="6"/>
  <c r="BR89" i="6"/>
  <c r="BP89" i="6"/>
  <c r="BO89" i="6"/>
  <c r="G89" i="6"/>
  <c r="BK89" i="6"/>
  <c r="BN89" i="6"/>
  <c r="BL89" i="6"/>
  <c r="BR81" i="6"/>
  <c r="BP81" i="6"/>
  <c r="BO81" i="6"/>
  <c r="G81" i="6"/>
  <c r="BK81" i="6"/>
  <c r="BN81" i="6"/>
  <c r="BL81" i="6"/>
  <c r="BR73" i="6"/>
  <c r="BP73" i="6"/>
  <c r="BO73" i="6"/>
  <c r="G73" i="6"/>
  <c r="BK73" i="6"/>
  <c r="BN73" i="6"/>
  <c r="BL73" i="6"/>
  <c r="BR65" i="6"/>
  <c r="BP65" i="6"/>
  <c r="BO65" i="6"/>
  <c r="G65" i="6"/>
  <c r="BK65" i="6"/>
  <c r="BN65" i="6"/>
  <c r="BL65" i="6"/>
  <c r="BR57" i="6"/>
  <c r="BP57" i="6"/>
  <c r="BO57" i="6"/>
  <c r="G57" i="6"/>
  <c r="BK57" i="6"/>
  <c r="BN57" i="6"/>
  <c r="BL57" i="6"/>
  <c r="BR49" i="6"/>
  <c r="BP49" i="6"/>
  <c r="BO49" i="6"/>
  <c r="G49" i="6"/>
  <c r="BK49" i="6"/>
  <c r="BN49" i="6"/>
  <c r="BL49" i="6"/>
  <c r="BR41" i="6"/>
  <c r="BP41" i="6"/>
  <c r="BO41" i="6"/>
  <c r="G41" i="6"/>
  <c r="BK41" i="6"/>
  <c r="BN41" i="6"/>
  <c r="BL41" i="6"/>
  <c r="BR33" i="6"/>
  <c r="BP33" i="6"/>
  <c r="BO33" i="6"/>
  <c r="G33" i="6"/>
  <c r="BK33" i="6"/>
  <c r="BN33" i="6"/>
  <c r="BL33" i="6"/>
  <c r="BR25" i="6"/>
  <c r="BP25" i="6"/>
  <c r="BO25" i="6"/>
  <c r="G25" i="6"/>
  <c r="BK25" i="6"/>
  <c r="BN25" i="6"/>
  <c r="BL25" i="6"/>
  <c r="BR17" i="6"/>
  <c r="BP17" i="6"/>
  <c r="BO17" i="6"/>
  <c r="G17" i="6"/>
  <c r="BK17" i="6"/>
  <c r="BN17" i="6"/>
  <c r="BL17" i="6"/>
  <c r="BR9" i="6"/>
  <c r="BP9" i="6"/>
  <c r="BO9" i="6"/>
  <c r="F9" i="6"/>
  <c r="G9" i="6"/>
  <c r="BK9" i="6"/>
  <c r="BN9" i="6"/>
  <c r="BL9" i="6"/>
  <c r="F79" i="6"/>
  <c r="F71" i="6"/>
  <c r="F47" i="6"/>
  <c r="F39" i="6"/>
  <c r="F15" i="6"/>
  <c r="BO45" i="6"/>
  <c r="BP77" i="6"/>
  <c r="BP13" i="6"/>
  <c r="BR45" i="6"/>
  <c r="BN75" i="6"/>
  <c r="BL75" i="6"/>
  <c r="BR75" i="6"/>
  <c r="BP75" i="6"/>
  <c r="BO75" i="6"/>
  <c r="BK75" i="6"/>
  <c r="BN3" i="6"/>
  <c r="BL3" i="6"/>
  <c r="BR3" i="6"/>
  <c r="BP3" i="6"/>
  <c r="BO3" i="6"/>
  <c r="F3" i="6"/>
  <c r="BK3" i="6"/>
  <c r="BR58" i="6"/>
  <c r="BP58" i="6"/>
  <c r="BO58" i="6"/>
  <c r="G58" i="6"/>
  <c r="BN58" i="6"/>
  <c r="BL58" i="6"/>
  <c r="BR18" i="6"/>
  <c r="BP18" i="6"/>
  <c r="BO18" i="6"/>
  <c r="G18" i="6"/>
  <c r="BN18" i="6"/>
  <c r="BL18" i="6"/>
  <c r="G19" i="6"/>
  <c r="BO2" i="6"/>
  <c r="F2" i="6"/>
  <c r="G2" i="6"/>
  <c r="BN2" i="6"/>
  <c r="BL2" i="6"/>
  <c r="BR2" i="6"/>
  <c r="BP2" i="6"/>
  <c r="BK2" i="6"/>
  <c r="G88" i="6"/>
  <c r="BK88" i="6"/>
  <c r="BN88" i="6"/>
  <c r="BL88" i="6"/>
  <c r="BR88" i="6"/>
  <c r="BP88" i="6"/>
  <c r="BO88" i="6"/>
  <c r="G80" i="6"/>
  <c r="BK80" i="6"/>
  <c r="BN80" i="6"/>
  <c r="BL80" i="6"/>
  <c r="BR80" i="6"/>
  <c r="BP80" i="6"/>
  <c r="BO80" i="6"/>
  <c r="G72" i="6"/>
  <c r="BK72" i="6"/>
  <c r="BN72" i="6"/>
  <c r="BL72" i="6"/>
  <c r="BR72" i="6"/>
  <c r="BP72" i="6"/>
  <c r="BO72" i="6"/>
  <c r="G64" i="6"/>
  <c r="BK64" i="6"/>
  <c r="BN64" i="6"/>
  <c r="BL64" i="6"/>
  <c r="BR64" i="6"/>
  <c r="BP64" i="6"/>
  <c r="BO64" i="6"/>
  <c r="G56" i="6"/>
  <c r="BK56" i="6"/>
  <c r="BN56" i="6"/>
  <c r="BL56" i="6"/>
  <c r="BR56" i="6"/>
  <c r="BP56" i="6"/>
  <c r="BO56" i="6"/>
  <c r="G48" i="6"/>
  <c r="BK48" i="6"/>
  <c r="BN48" i="6"/>
  <c r="BL48" i="6"/>
  <c r="BR48" i="6"/>
  <c r="BP48" i="6"/>
  <c r="BO48" i="6"/>
  <c r="G40" i="6"/>
  <c r="BK40" i="6"/>
  <c r="BN40" i="6"/>
  <c r="BL40" i="6"/>
  <c r="BR40" i="6"/>
  <c r="BP40" i="6"/>
  <c r="BO40" i="6"/>
  <c r="G32" i="6"/>
  <c r="BK32" i="6"/>
  <c r="BN32" i="6"/>
  <c r="BL32" i="6"/>
  <c r="BR32" i="6"/>
  <c r="BP32" i="6"/>
  <c r="BO32" i="6"/>
  <c r="G24" i="6"/>
  <c r="BK24" i="6"/>
  <c r="BN24" i="6"/>
  <c r="BL24" i="6"/>
  <c r="BR24" i="6"/>
  <c r="BP24" i="6"/>
  <c r="BO24" i="6"/>
  <c r="G16" i="6"/>
  <c r="BK16" i="6"/>
  <c r="BN16" i="6"/>
  <c r="BL16" i="6"/>
  <c r="BR16" i="6"/>
  <c r="BP16" i="6"/>
  <c r="BO16" i="6"/>
  <c r="G8" i="6"/>
  <c r="BK8" i="6"/>
  <c r="BN8" i="6"/>
  <c r="BL8" i="6"/>
  <c r="BR8" i="6"/>
  <c r="BP8" i="6"/>
  <c r="BO8" i="6"/>
  <c r="F8" i="6"/>
  <c r="G3" i="6"/>
  <c r="BK34" i="6"/>
  <c r="BO37" i="6"/>
  <c r="BP69" i="6"/>
  <c r="BR37" i="6"/>
  <c r="BN67" i="6"/>
  <c r="BL67" i="6"/>
  <c r="BR67" i="6"/>
  <c r="BP67" i="6"/>
  <c r="BO67" i="6"/>
  <c r="BK67" i="6"/>
  <c r="BN11" i="6"/>
  <c r="BL11" i="6"/>
  <c r="BR11" i="6"/>
  <c r="BP11" i="6"/>
  <c r="BO11" i="6"/>
  <c r="BK11" i="6"/>
  <c r="BR74" i="6"/>
  <c r="BP74" i="6"/>
  <c r="BO74" i="6"/>
  <c r="G74" i="6"/>
  <c r="BN74" i="6"/>
  <c r="BL74" i="6"/>
  <c r="BR42" i="6"/>
  <c r="BP42" i="6"/>
  <c r="BO42" i="6"/>
  <c r="G42" i="6"/>
  <c r="BN42" i="6"/>
  <c r="BL42" i="6"/>
  <c r="BR10" i="6"/>
  <c r="BP10" i="6"/>
  <c r="BO10" i="6"/>
  <c r="F10" i="6"/>
  <c r="G10" i="6"/>
  <c r="BN10" i="6"/>
  <c r="BL10" i="6"/>
  <c r="G95" i="6"/>
  <c r="BK95" i="6"/>
  <c r="BR95" i="6"/>
  <c r="BP95" i="6"/>
  <c r="BO95" i="6"/>
  <c r="G87" i="6"/>
  <c r="BK87" i="6"/>
  <c r="BR87" i="6"/>
  <c r="BP87" i="6"/>
  <c r="BO87" i="6"/>
  <c r="G79" i="6"/>
  <c r="BK79" i="6"/>
  <c r="BR79" i="6"/>
  <c r="BP79" i="6"/>
  <c r="BO79" i="6"/>
  <c r="G71" i="6"/>
  <c r="BK71" i="6"/>
  <c r="BR71" i="6"/>
  <c r="BP71" i="6"/>
  <c r="BO71" i="6"/>
  <c r="G63" i="6"/>
  <c r="BK63" i="6"/>
  <c r="BR63" i="6"/>
  <c r="BP63" i="6"/>
  <c r="BO63" i="6"/>
  <c r="G55" i="6"/>
  <c r="BK55" i="6"/>
  <c r="BR55" i="6"/>
  <c r="BP55" i="6"/>
  <c r="BO55" i="6"/>
  <c r="G47" i="6"/>
  <c r="BK47" i="6"/>
  <c r="BR47" i="6"/>
  <c r="BP47" i="6"/>
  <c r="BO47" i="6"/>
  <c r="G39" i="6"/>
  <c r="BK39" i="6"/>
  <c r="BR39" i="6"/>
  <c r="BP39" i="6"/>
  <c r="BO39" i="6"/>
  <c r="G31" i="6"/>
  <c r="BK31" i="6"/>
  <c r="BR31" i="6"/>
  <c r="BP31" i="6"/>
  <c r="BO31" i="6"/>
  <c r="G23" i="6"/>
  <c r="BK23" i="6"/>
  <c r="BR23" i="6"/>
  <c r="BP23" i="6"/>
  <c r="BO23" i="6"/>
  <c r="G15" i="6"/>
  <c r="BK15" i="6"/>
  <c r="BR15" i="6"/>
  <c r="BP15" i="6"/>
  <c r="BO15" i="6"/>
  <c r="G7" i="6"/>
  <c r="BK7" i="6"/>
  <c r="BR7" i="6"/>
  <c r="BP7" i="6"/>
  <c r="BO7" i="6"/>
  <c r="F7" i="6"/>
  <c r="F93" i="6"/>
  <c r="F85" i="6"/>
  <c r="F61" i="6"/>
  <c r="F53" i="6"/>
  <c r="F29" i="6"/>
  <c r="F21" i="6"/>
  <c r="BK90" i="6"/>
  <c r="BL95" i="6"/>
  <c r="BL31" i="6"/>
  <c r="BN63" i="6"/>
  <c r="BO93" i="6"/>
  <c r="BO29" i="6"/>
  <c r="BN83" i="6"/>
  <c r="BL83" i="6"/>
  <c r="BR83" i="6"/>
  <c r="BP83" i="6"/>
  <c r="BO83" i="6"/>
  <c r="BK83" i="6"/>
  <c r="BN35" i="6"/>
  <c r="BL35" i="6"/>
  <c r="BR35" i="6"/>
  <c r="BP35" i="6"/>
  <c r="BO35" i="6"/>
  <c r="BK35" i="6"/>
  <c r="G91" i="6"/>
  <c r="BR82" i="6"/>
  <c r="BP82" i="6"/>
  <c r="BO82" i="6"/>
  <c r="G82" i="6"/>
  <c r="BN82" i="6"/>
  <c r="BL82" i="6"/>
  <c r="E97" i="6"/>
  <c r="BK94" i="6"/>
  <c r="BN94" i="6"/>
  <c r="BL94" i="6"/>
  <c r="BR94" i="6"/>
  <c r="BP94" i="6"/>
  <c r="BO94" i="6"/>
  <c r="G94" i="6"/>
  <c r="BK86" i="6"/>
  <c r="BN86" i="6"/>
  <c r="BL86" i="6"/>
  <c r="BR86" i="6"/>
  <c r="BP86" i="6"/>
  <c r="BO86" i="6"/>
  <c r="G86" i="6"/>
  <c r="BK78" i="6"/>
  <c r="BN78" i="6"/>
  <c r="BL78" i="6"/>
  <c r="BR78" i="6"/>
  <c r="BP78" i="6"/>
  <c r="BO78" i="6"/>
  <c r="G78" i="6"/>
  <c r="BK70" i="6"/>
  <c r="BN70" i="6"/>
  <c r="BL70" i="6"/>
  <c r="BR70" i="6"/>
  <c r="BP70" i="6"/>
  <c r="BO70" i="6"/>
  <c r="G70" i="6"/>
  <c r="BK62" i="6"/>
  <c r="BN62" i="6"/>
  <c r="BL62" i="6"/>
  <c r="BR62" i="6"/>
  <c r="BP62" i="6"/>
  <c r="BO62" i="6"/>
  <c r="G62" i="6"/>
  <c r="BK54" i="6"/>
  <c r="BN54" i="6"/>
  <c r="BL54" i="6"/>
  <c r="BR54" i="6"/>
  <c r="BP54" i="6"/>
  <c r="BO54" i="6"/>
  <c r="G54" i="6"/>
  <c r="BK46" i="6"/>
  <c r="BN46" i="6"/>
  <c r="BL46" i="6"/>
  <c r="BR46" i="6"/>
  <c r="BP46" i="6"/>
  <c r="BO46" i="6"/>
  <c r="G46" i="6"/>
  <c r="BK38" i="6"/>
  <c r="BN38" i="6"/>
  <c r="BL38" i="6"/>
  <c r="BR38" i="6"/>
  <c r="BP38" i="6"/>
  <c r="BO38" i="6"/>
  <c r="G38" i="6"/>
  <c r="BK30" i="6"/>
  <c r="BN30" i="6"/>
  <c r="BL30" i="6"/>
  <c r="BR30" i="6"/>
  <c r="BP30" i="6"/>
  <c r="BO30" i="6"/>
  <c r="G30" i="6"/>
  <c r="BK22" i="6"/>
  <c r="BN22" i="6"/>
  <c r="BL22" i="6"/>
  <c r="BR22" i="6"/>
  <c r="BP22" i="6"/>
  <c r="BO22" i="6"/>
  <c r="G22" i="6"/>
  <c r="BK14" i="6"/>
  <c r="BN14" i="6"/>
  <c r="BL14" i="6"/>
  <c r="BR14" i="6"/>
  <c r="BP14" i="6"/>
  <c r="BO14" i="6"/>
  <c r="G14" i="6"/>
  <c r="BK6" i="6"/>
  <c r="BN6" i="6"/>
  <c r="BL6" i="6"/>
  <c r="BR6" i="6"/>
  <c r="BP6" i="6"/>
  <c r="BO6" i="6"/>
  <c r="F6" i="6"/>
  <c r="G6" i="6"/>
  <c r="G51" i="6"/>
  <c r="BK82" i="6"/>
  <c r="BK18" i="6"/>
  <c r="BL87" i="6"/>
  <c r="BL23" i="6"/>
  <c r="BN55" i="6"/>
  <c r="BO85" i="6"/>
  <c r="BO21" i="6"/>
  <c r="BN59" i="6"/>
  <c r="BL59" i="6"/>
  <c r="BR59" i="6"/>
  <c r="BP59" i="6"/>
  <c r="BO59" i="6"/>
  <c r="BK59" i="6"/>
  <c r="BN27" i="6"/>
  <c r="BL27" i="6"/>
  <c r="BR27" i="6"/>
  <c r="BP27" i="6"/>
  <c r="BO27" i="6"/>
  <c r="BK27" i="6"/>
  <c r="G27" i="6"/>
  <c r="BR50" i="6"/>
  <c r="BP50" i="6"/>
  <c r="BO50" i="6"/>
  <c r="G50" i="6"/>
  <c r="BN50" i="6"/>
  <c r="BL50" i="6"/>
  <c r="BN93" i="6"/>
  <c r="BL93" i="6"/>
  <c r="G93" i="6"/>
  <c r="BK93" i="6"/>
  <c r="BN85" i="6"/>
  <c r="BL85" i="6"/>
  <c r="G85" i="6"/>
  <c r="BK85" i="6"/>
  <c r="BN77" i="6"/>
  <c r="BL77" i="6"/>
  <c r="G77" i="6"/>
  <c r="BK77" i="6"/>
  <c r="BN69" i="6"/>
  <c r="BL69" i="6"/>
  <c r="G69" i="6"/>
  <c r="BK69" i="6"/>
  <c r="BN61" i="6"/>
  <c r="BL61" i="6"/>
  <c r="G61" i="6"/>
  <c r="BK61" i="6"/>
  <c r="BN53" i="6"/>
  <c r="BL53" i="6"/>
  <c r="G53" i="6"/>
  <c r="BK53" i="6"/>
  <c r="BN45" i="6"/>
  <c r="BL45" i="6"/>
  <c r="G45" i="6"/>
  <c r="BK45" i="6"/>
  <c r="BN37" i="6"/>
  <c r="BL37" i="6"/>
  <c r="G37" i="6"/>
  <c r="BK37" i="6"/>
  <c r="BN29" i="6"/>
  <c r="BL29" i="6"/>
  <c r="G29" i="6"/>
  <c r="BK29" i="6"/>
  <c r="BN21" i="6"/>
  <c r="BL21" i="6"/>
  <c r="G21" i="6"/>
  <c r="BK21" i="6"/>
  <c r="BN13" i="6"/>
  <c r="BL13" i="6"/>
  <c r="G13" i="6"/>
  <c r="BK13" i="6"/>
  <c r="BN5" i="6"/>
  <c r="BL5" i="6"/>
  <c r="G5" i="6"/>
  <c r="BK5" i="6"/>
  <c r="F83" i="6"/>
  <c r="F75" i="6"/>
  <c r="F67" i="6"/>
  <c r="F59" i="6"/>
  <c r="F51" i="6"/>
  <c r="F43" i="6"/>
  <c r="F35" i="6"/>
  <c r="F27" i="6"/>
  <c r="F19" i="6"/>
  <c r="F11" i="6"/>
  <c r="BK74" i="6"/>
  <c r="BK10" i="6"/>
  <c r="BL79" i="6"/>
  <c r="BL15" i="6"/>
  <c r="BN47" i="6"/>
  <c r="BO77" i="6"/>
  <c r="BO13" i="6"/>
  <c r="BP45" i="6"/>
  <c r="BR77" i="6"/>
  <c r="BR13" i="6"/>
  <c r="BN91" i="6"/>
  <c r="BL91" i="6"/>
  <c r="BR91" i="6"/>
  <c r="BP91" i="6"/>
  <c r="BO91" i="6"/>
  <c r="BK91" i="6"/>
  <c r="BN43" i="6"/>
  <c r="BL43" i="6"/>
  <c r="BR43" i="6"/>
  <c r="BP43" i="6"/>
  <c r="BO43" i="6"/>
  <c r="BK43" i="6"/>
  <c r="BR66" i="6"/>
  <c r="BP66" i="6"/>
  <c r="BO66" i="6"/>
  <c r="G66" i="6"/>
  <c r="BN66" i="6"/>
  <c r="BL66" i="6"/>
  <c r="BR26" i="6"/>
  <c r="BP26" i="6"/>
  <c r="BO26" i="6"/>
  <c r="G26" i="6"/>
  <c r="BN26" i="6"/>
  <c r="BL26" i="6"/>
  <c r="G83" i="6"/>
  <c r="BK50" i="6"/>
  <c r="BN92" i="6"/>
  <c r="BL92" i="6"/>
  <c r="BR92" i="6"/>
  <c r="BP92" i="6"/>
  <c r="BO92" i="6"/>
  <c r="G92" i="6"/>
  <c r="BK92" i="6"/>
  <c r="BN84" i="6"/>
  <c r="BL84" i="6"/>
  <c r="BR84" i="6"/>
  <c r="BP84" i="6"/>
  <c r="BO84" i="6"/>
  <c r="G84" i="6"/>
  <c r="BK84" i="6"/>
  <c r="BN76" i="6"/>
  <c r="BL76" i="6"/>
  <c r="BR76" i="6"/>
  <c r="BP76" i="6"/>
  <c r="BO76" i="6"/>
  <c r="G76" i="6"/>
  <c r="BK76" i="6"/>
  <c r="BN68" i="6"/>
  <c r="BL68" i="6"/>
  <c r="BR68" i="6"/>
  <c r="BP68" i="6"/>
  <c r="BO68" i="6"/>
  <c r="G68" i="6"/>
  <c r="BK68" i="6"/>
  <c r="BN60" i="6"/>
  <c r="BL60" i="6"/>
  <c r="BR60" i="6"/>
  <c r="BP60" i="6"/>
  <c r="BO60" i="6"/>
  <c r="G60" i="6"/>
  <c r="BK60" i="6"/>
  <c r="BN52" i="6"/>
  <c r="BL52" i="6"/>
  <c r="BR52" i="6"/>
  <c r="BP52" i="6"/>
  <c r="BO52" i="6"/>
  <c r="G52" i="6"/>
  <c r="BK52" i="6"/>
  <c r="BN44" i="6"/>
  <c r="BL44" i="6"/>
  <c r="BR44" i="6"/>
  <c r="BP44" i="6"/>
  <c r="BO44" i="6"/>
  <c r="G44" i="6"/>
  <c r="BK44" i="6"/>
  <c r="BN36" i="6"/>
  <c r="BL36" i="6"/>
  <c r="BR36" i="6"/>
  <c r="BP36" i="6"/>
  <c r="BO36" i="6"/>
  <c r="G36" i="6"/>
  <c r="BK36" i="6"/>
  <c r="BN28" i="6"/>
  <c r="BL28" i="6"/>
  <c r="BR28" i="6"/>
  <c r="BP28" i="6"/>
  <c r="BO28" i="6"/>
  <c r="G28" i="6"/>
  <c r="BK28" i="6"/>
  <c r="BN20" i="6"/>
  <c r="BL20" i="6"/>
  <c r="BR20" i="6"/>
  <c r="BP20" i="6"/>
  <c r="BO20" i="6"/>
  <c r="G20" i="6"/>
  <c r="BK20" i="6"/>
  <c r="BN12" i="6"/>
  <c r="BL12" i="6"/>
  <c r="BR12" i="6"/>
  <c r="BP12" i="6"/>
  <c r="BO12" i="6"/>
  <c r="G12" i="6"/>
  <c r="BK12" i="6"/>
  <c r="BN4" i="6"/>
  <c r="BL4" i="6"/>
  <c r="BR4" i="6"/>
  <c r="BP4" i="6"/>
  <c r="BO4" i="6"/>
  <c r="F4" i="6"/>
  <c r="G4" i="6"/>
  <c r="BK4" i="6"/>
  <c r="F90" i="6"/>
  <c r="F82" i="6"/>
  <c r="F74" i="6"/>
  <c r="F66" i="6"/>
  <c r="F58" i="6"/>
  <c r="F50" i="6"/>
  <c r="F42" i="6"/>
  <c r="F34" i="6"/>
  <c r="F26" i="6"/>
  <c r="F18" i="6"/>
  <c r="F5" i="6"/>
  <c r="G35" i="6"/>
  <c r="BK66" i="6"/>
  <c r="BL71" i="6"/>
  <c r="BL7" i="6"/>
  <c r="BN39" i="6"/>
  <c r="BO69" i="6"/>
  <c r="BO5" i="6"/>
  <c r="BP37" i="6"/>
  <c r="BR69" i="6"/>
  <c r="BR5" i="6"/>
  <c r="B22" i="1" l="1"/>
  <c r="B17" i="1"/>
  <c r="B16" i="1"/>
  <c r="B14" i="1"/>
  <c r="B20" i="1"/>
  <c r="B15" i="1"/>
  <c r="B19" i="1"/>
  <c r="B18" i="1"/>
  <c r="D13" i="10"/>
  <c r="D6" i="10"/>
  <c r="D9" i="10"/>
  <c r="E13" i="10"/>
  <c r="E6" i="10"/>
  <c r="E9" i="10"/>
  <c r="F14" i="10"/>
  <c r="F7" i="10"/>
  <c r="F10" i="10"/>
  <c r="C13" i="10"/>
  <c r="C6" i="10"/>
  <c r="C9" i="10"/>
  <c r="F6" i="10"/>
  <c r="F13" i="10"/>
  <c r="F9" i="10"/>
  <c r="F5" i="10"/>
  <c r="F12" i="10"/>
  <c r="F8" i="10"/>
  <c r="E12" i="10"/>
  <c r="E8" i="10"/>
  <c r="E5" i="10"/>
  <c r="E14" i="10"/>
  <c r="E7" i="10"/>
  <c r="E10" i="10"/>
  <c r="C14" i="10"/>
  <c r="C7" i="10"/>
  <c r="C10" i="10"/>
  <c r="C8" i="10"/>
  <c r="C12" i="10"/>
  <c r="C5" i="10"/>
  <c r="J97" i="6"/>
  <c r="R97" i="6"/>
  <c r="T97" i="6"/>
  <c r="BP97" i="6"/>
  <c r="B4" i="1" s="1"/>
  <c r="N4" i="1" s="1"/>
  <c r="O4" i="1" s="1"/>
  <c r="B46" i="1" s="1"/>
  <c r="B47" i="1" s="1"/>
  <c r="BR97" i="6"/>
  <c r="BN97" i="6"/>
  <c r="B7" i="1" s="1"/>
  <c r="N7" i="1" s="1"/>
  <c r="O7" i="1" s="1"/>
  <c r="BL97" i="6"/>
  <c r="B5" i="1" s="1"/>
  <c r="N5" i="1" s="1"/>
  <c r="O5" i="1" s="1"/>
  <c r="G97" i="6"/>
  <c r="B8" i="1" s="1"/>
  <c r="F97" i="6"/>
  <c r="BO97" i="6"/>
  <c r="B3" i="1" s="1"/>
  <c r="N3" i="1" s="1"/>
  <c r="O3" i="1" s="1"/>
  <c r="BK97" i="6"/>
  <c r="B6" i="1" s="1"/>
  <c r="N6" i="1" s="1"/>
  <c r="O6" i="1" s="1"/>
  <c r="B103" i="6" l="1"/>
  <c r="B105" i="6" l="1"/>
  <c r="B106" i="6" s="1"/>
</calcChain>
</file>

<file path=xl/sharedStrings.xml><?xml version="1.0" encoding="utf-8"?>
<sst xmlns="http://schemas.openxmlformats.org/spreadsheetml/2006/main" count="1157" uniqueCount="649">
  <si>
    <t>Valeurs</t>
  </si>
  <si>
    <t>Unités</t>
  </si>
  <si>
    <t>Signification</t>
  </si>
  <si>
    <t>C</t>
  </si>
  <si>
    <t>Carbohydrates</t>
  </si>
  <si>
    <t>kg</t>
  </si>
  <si>
    <t>P</t>
  </si>
  <si>
    <t>L</t>
  </si>
  <si>
    <t>Lipides</t>
  </si>
  <si>
    <t>H</t>
  </si>
  <si>
    <t>Hemicelluloses</t>
  </si>
  <si>
    <t>CE</t>
  </si>
  <si>
    <t>Celluloses</t>
  </si>
  <si>
    <t>Sc</t>
  </si>
  <si>
    <t>Sp</t>
  </si>
  <si>
    <t>Sl</t>
  </si>
  <si>
    <t>Sh</t>
  </si>
  <si>
    <t>LG</t>
  </si>
  <si>
    <t>Lignines</t>
  </si>
  <si>
    <t>Slg</t>
  </si>
  <si>
    <t>Ammonium total dissout</t>
  </si>
  <si>
    <t>Xmb</t>
  </si>
  <si>
    <t>Hydrolysis product of C and CE</t>
  </si>
  <si>
    <t>Hydrolysis product of P</t>
  </si>
  <si>
    <t>Hydrolysis product of L</t>
  </si>
  <si>
    <t>Hydrolysis product of H</t>
  </si>
  <si>
    <t>Hydrolysis product of LG</t>
  </si>
  <si>
    <t>Mesophilic bacterias</t>
  </si>
  <si>
    <t>Xtb</t>
  </si>
  <si>
    <t>Thermophilic bacterias</t>
  </si>
  <si>
    <t>Xma</t>
  </si>
  <si>
    <t>Mesophilic actynomycetes</t>
  </si>
  <si>
    <t xml:space="preserve">Xta </t>
  </si>
  <si>
    <t>Thermophilic actynomycetes</t>
  </si>
  <si>
    <t>Xmf</t>
  </si>
  <si>
    <t>Mesophilic fungi</t>
  </si>
  <si>
    <t>Xtf</t>
  </si>
  <si>
    <t>Thermophilic fungi</t>
  </si>
  <si>
    <t>Category</t>
  </si>
  <si>
    <t>Name</t>
  </si>
  <si>
    <t>Water(%)</t>
  </si>
  <si>
    <t>TS(%)</t>
  </si>
  <si>
    <t>VS (%TS)</t>
  </si>
  <si>
    <t>Ash(%TS)</t>
  </si>
  <si>
    <t>Energy (MJ/kgTS)</t>
  </si>
  <si>
    <t>CH4pot (m3/tonVS)</t>
  </si>
  <si>
    <t>Cbio (%TS)</t>
  </si>
  <si>
    <t>Cbioand (%TS)</t>
  </si>
  <si>
    <t>Cfossil (%TS)</t>
  </si>
  <si>
    <t>Ca (%TS)</t>
  </si>
  <si>
    <t>Cl (%TS)</t>
  </si>
  <si>
    <t>F (%TS)</t>
  </si>
  <si>
    <t>H (%TS)</t>
  </si>
  <si>
    <t>K (%TS)</t>
  </si>
  <si>
    <t>N (%TS)</t>
  </si>
  <si>
    <t>Na (%TS)</t>
  </si>
  <si>
    <t>O (%TS)</t>
  </si>
  <si>
    <t>P (%TS)</t>
  </si>
  <si>
    <t>S (%TS)</t>
  </si>
  <si>
    <t>Ag (%TS)</t>
  </si>
  <si>
    <t>Al (%TS)</t>
  </si>
  <si>
    <t>Ar (%TS)</t>
  </si>
  <si>
    <t>As (%TS)</t>
  </si>
  <si>
    <t>Au (%TS)</t>
  </si>
  <si>
    <t>B (%TS)</t>
  </si>
  <si>
    <t>Ba (%TS)</t>
  </si>
  <si>
    <t>Be (%TS)</t>
  </si>
  <si>
    <t>Bi (%TS)</t>
  </si>
  <si>
    <t>Br (%TS)</t>
  </si>
  <si>
    <t>Cd (%TS)</t>
  </si>
  <si>
    <t>Co (%TS)</t>
  </si>
  <si>
    <t>Cr (%TS)</t>
  </si>
  <si>
    <t>Cu (%TS)</t>
  </si>
  <si>
    <t>Fe (%TS)</t>
  </si>
  <si>
    <t>Ga (%TS)</t>
  </si>
  <si>
    <t>Hg (%TS)</t>
  </si>
  <si>
    <t>In (%TS)</t>
  </si>
  <si>
    <t>Li (%TS)</t>
  </si>
  <si>
    <t>Mg (%TS)</t>
  </si>
  <si>
    <t>Mn (%TS)</t>
  </si>
  <si>
    <t>Mo (%TS)</t>
  </si>
  <si>
    <t>Ni (%TS)</t>
  </si>
  <si>
    <t>Pb (%TS)</t>
  </si>
  <si>
    <t>Pd (%TS)</t>
  </si>
  <si>
    <t>Pt (%TS)</t>
  </si>
  <si>
    <t>Sb (%TS)</t>
  </si>
  <si>
    <t>Se (%TS)</t>
  </si>
  <si>
    <t>Si (%TS)</t>
  </si>
  <si>
    <t>Sn (%TS)</t>
  </si>
  <si>
    <t>Sr (%TS)</t>
  </si>
  <si>
    <t>Ta (%TS)</t>
  </si>
  <si>
    <t>Ti (%TS)</t>
  </si>
  <si>
    <t>V (%TS)</t>
  </si>
  <si>
    <t>Zn (%TS)</t>
  </si>
  <si>
    <t>Zr (%TS)</t>
  </si>
  <si>
    <t>Toluene (%TS)</t>
  </si>
  <si>
    <t>PAH (%TS)</t>
  </si>
  <si>
    <t>Sucrose (%TS)</t>
  </si>
  <si>
    <t>Starch (%TS)</t>
  </si>
  <si>
    <t>Cellulose (%TS)</t>
  </si>
  <si>
    <t>Hemicellulose (%TS)</t>
  </si>
  <si>
    <t>Pectin (%TS)</t>
  </si>
  <si>
    <t>Lignin (%TS)</t>
  </si>
  <si>
    <t>Proteins (%TS)</t>
  </si>
  <si>
    <t>Lipids (%TS)</t>
  </si>
  <si>
    <t>Acetic acid (%TS)</t>
  </si>
  <si>
    <t>Carbohydrates (%TS)</t>
  </si>
  <si>
    <t>Digestible energy (MJ/kgTS)</t>
  </si>
  <si>
    <t>SFU (FU/kgTS)</t>
  </si>
  <si>
    <t>Fructose (%TS)</t>
  </si>
  <si>
    <t>Glucose (%TS)</t>
  </si>
  <si>
    <t>Lactose (%TS)</t>
  </si>
  <si>
    <t>Maltose (%TS)</t>
  </si>
  <si>
    <t>All sugars (%TS)</t>
  </si>
  <si>
    <t>Energy for humans (MJ/kg TS)</t>
  </si>
  <si>
    <t>Alcohol</t>
  </si>
  <si>
    <t>OtherVS</t>
  </si>
  <si>
    <t>Food product</t>
  </si>
  <si>
    <t>Average Biscuits, DSW</t>
  </si>
  <si>
    <t>Average Cake, DSW</t>
  </si>
  <si>
    <t>Average Pasta, DSA</t>
  </si>
  <si>
    <t>Average Rice, DSA</t>
  </si>
  <si>
    <t>Average Wheat, DSA</t>
  </si>
  <si>
    <t>Average Pizza, DSA</t>
  </si>
  <si>
    <t>Average Sandwich, DSA</t>
  </si>
  <si>
    <t>Average Charcuterie, CHA</t>
  </si>
  <si>
    <t>Average Milk, FDP</t>
  </si>
  <si>
    <t>Average Yogurt, FDP</t>
  </si>
  <si>
    <t>Average Egg, FDP</t>
  </si>
  <si>
    <t>Average Cream, FDP</t>
  </si>
  <si>
    <t>Average Butter, FDP</t>
  </si>
  <si>
    <t>Average Potato, F&amp;V</t>
  </si>
  <si>
    <t>Average Apple, F&amp;V</t>
  </si>
  <si>
    <t>Average Tomato, F&amp;V</t>
  </si>
  <si>
    <t>Average Banana, F&amp;V</t>
  </si>
  <si>
    <t>Average Orange, F&amp;V</t>
  </si>
  <si>
    <t>Average Lettuce, F&amp;V</t>
  </si>
  <si>
    <t>Average Carrot, F&amp;V</t>
  </si>
  <si>
    <t>Average Clementine, F&amp;V</t>
  </si>
  <si>
    <t>Average Peach, F&amp;V</t>
  </si>
  <si>
    <t>Average Melon, F&amp;V</t>
  </si>
  <si>
    <t>Average Pear, F&amp;V</t>
  </si>
  <si>
    <t>Average Endive, F&amp;V</t>
  </si>
  <si>
    <t>Average Chicory, F&amp;V</t>
  </si>
  <si>
    <t>Average Zucchini, F&amp;V</t>
  </si>
  <si>
    <t>Average Onion, F&amp;V</t>
  </si>
  <si>
    <t>Average Pepper, F&amp;V</t>
  </si>
  <si>
    <t>Average Grape, F&amp;V</t>
  </si>
  <si>
    <t>Average Cucumber, F&amp;V</t>
  </si>
  <si>
    <t>Average Lemon, F&amp;V</t>
  </si>
  <si>
    <t>Average Watermelon, F&amp;V</t>
  </si>
  <si>
    <t>Average Pomelo, F&amp;V</t>
  </si>
  <si>
    <t>Average Kiwi, F&amp;V</t>
  </si>
  <si>
    <t>Average Strawberry, F&amp;V</t>
  </si>
  <si>
    <t>Average Leek, F&amp;V</t>
  </si>
  <si>
    <t>Average Avocado, F&amp;V</t>
  </si>
  <si>
    <t>Average Apricot, F&amp;V</t>
  </si>
  <si>
    <t>Average Plum, F&amp;V</t>
  </si>
  <si>
    <t>Average Beetroot, F&amp;V</t>
  </si>
  <si>
    <t>Average Champignon, F&amp;V</t>
  </si>
  <si>
    <t>Average Pineapple, F&amp;V</t>
  </si>
  <si>
    <t>Average Cauliflower, F&amp;V</t>
  </si>
  <si>
    <t>Average Artichoke, F&amp;V</t>
  </si>
  <si>
    <t>Average Celeriac, F&amp;V</t>
  </si>
  <si>
    <t>Average Savoy cabbage, F&amp;V</t>
  </si>
  <si>
    <t>Average Radish, F&amp;V</t>
  </si>
  <si>
    <t>Average Walnut, F&amp;V</t>
  </si>
  <si>
    <t>Average Broccoli, F&amp;V</t>
  </si>
  <si>
    <t>Average Pumpkin, F&amp;V</t>
  </si>
  <si>
    <t>Average Shallot, F&amp;V</t>
  </si>
  <si>
    <t>Average Celery, F&amp;V</t>
  </si>
  <si>
    <t>Average Aubergine, F&amp;V</t>
  </si>
  <si>
    <t>Average Valerian, F&amp;V</t>
  </si>
  <si>
    <t>Average Asparagus, F&amp;V</t>
  </si>
  <si>
    <t>Average Chestnut, F&amp;V</t>
  </si>
  <si>
    <t>Average Spinach, F&amp;V</t>
  </si>
  <si>
    <t>Average Cherry, F&amp;V</t>
  </si>
  <si>
    <t>Average Green beans, F&amp;V</t>
  </si>
  <si>
    <t>Average Fennel, F&amp;V</t>
  </si>
  <si>
    <t>Average Turnip, F&amp;V</t>
  </si>
  <si>
    <t>Average Brussels sprouts, F&amp;V</t>
  </si>
  <si>
    <t>Average Peas, F&amp;V</t>
  </si>
  <si>
    <t>Average Chicken, PO</t>
  </si>
  <si>
    <t>Average Turkey, PO</t>
  </si>
  <si>
    <t>Average Duck, PO</t>
  </si>
  <si>
    <t>Average Rabbit, PO</t>
  </si>
  <si>
    <t>Average Elaborated poultry, PO</t>
  </si>
  <si>
    <t>Average Other poultry, PO</t>
  </si>
  <si>
    <t>Average Pork, ME</t>
  </si>
  <si>
    <t>Average Beef, ME</t>
  </si>
  <si>
    <t>Average Veal, ME</t>
  </si>
  <si>
    <t>Average Ovine, ME</t>
  </si>
  <si>
    <t>Average Horse, ME</t>
  </si>
  <si>
    <t>Average Other elaborated, ME</t>
  </si>
  <si>
    <t>Average Fresh minced meat, ME</t>
  </si>
  <si>
    <t>Average Offal of meat, ME</t>
  </si>
  <si>
    <t>Average Cheese, CH</t>
  </si>
  <si>
    <t>Average Pastry and cakes, PA</t>
  </si>
  <si>
    <t>Average Croissant, PA</t>
  </si>
  <si>
    <t>Average Bread, BA</t>
  </si>
  <si>
    <t>Average Fish, FI</t>
  </si>
  <si>
    <t>Average Shellfish and molluscs, FI</t>
  </si>
  <si>
    <t>Average Water, LI</t>
  </si>
  <si>
    <t>Average Non-alcoholic beverages, LI</t>
  </si>
  <si>
    <t>Average Meat, FR</t>
  </si>
  <si>
    <t>Average Poultry, FR</t>
  </si>
  <si>
    <t>Average Bread, FR</t>
  </si>
  <si>
    <t>Average Fruits and Vegetables, FR</t>
  </si>
  <si>
    <t>Average Fish, FR</t>
  </si>
  <si>
    <t>Average Pastry, FR</t>
  </si>
  <si>
    <t>Average Dry savoury, FR</t>
  </si>
  <si>
    <t>Average Gourmet, GO</t>
  </si>
  <si>
    <t>ABBREVIATIONS</t>
  </si>
  <si>
    <t>DSW</t>
  </si>
  <si>
    <t>Dry sweet</t>
  </si>
  <si>
    <t>DSA</t>
  </si>
  <si>
    <t>Dry savoury</t>
  </si>
  <si>
    <t>CHA</t>
  </si>
  <si>
    <t>Charcuterie</t>
  </si>
  <si>
    <t>FDP</t>
  </si>
  <si>
    <t>Fresh dairy products</t>
  </si>
  <si>
    <t>F&amp;V</t>
  </si>
  <si>
    <t>Fruits and vegetables</t>
  </si>
  <si>
    <t>PO</t>
  </si>
  <si>
    <t>Poultry</t>
  </si>
  <si>
    <t>ME</t>
  </si>
  <si>
    <t>Meat</t>
  </si>
  <si>
    <t>CH</t>
  </si>
  <si>
    <t>Cheese</t>
  </si>
  <si>
    <t>PA</t>
  </si>
  <si>
    <t>Pastry</t>
  </si>
  <si>
    <t>BA</t>
  </si>
  <si>
    <t>Bakery</t>
  </si>
  <si>
    <t>FI</t>
  </si>
  <si>
    <t>Fish</t>
  </si>
  <si>
    <t>LI</t>
  </si>
  <si>
    <t>Liquids</t>
  </si>
  <si>
    <t>FR</t>
  </si>
  <si>
    <t>Frozen</t>
  </si>
  <si>
    <t>Go</t>
  </si>
  <si>
    <t>Gourmet</t>
  </si>
  <si>
    <t>Mass (kg)</t>
  </si>
  <si>
    <t>Total</t>
  </si>
  <si>
    <t>Water(kg)</t>
  </si>
  <si>
    <t>TS(kg)</t>
  </si>
  <si>
    <t>Cellulose (kg)</t>
  </si>
  <si>
    <t>Proteins (kg)</t>
  </si>
  <si>
    <t>Proteins</t>
  </si>
  <si>
    <t>VS (kg)</t>
  </si>
  <si>
    <t>Ash(kg)</t>
  </si>
  <si>
    <t>Hemicellulose (kg)</t>
  </si>
  <si>
    <t>Lignin (kg)</t>
  </si>
  <si>
    <t>Lipids (kg)</t>
  </si>
  <si>
    <t>Carbohydrates (kg)</t>
  </si>
  <si>
    <t>Paramètres</t>
  </si>
  <si>
    <t>h-1</t>
  </si>
  <si>
    <t>µmb</t>
  </si>
  <si>
    <t>Specific growth rate for mesophilic bacteria on Sc, Sp, Sl</t>
  </si>
  <si>
    <t>µtb</t>
  </si>
  <si>
    <t>Specific growth rate for thermophilic bacteria on Sc, Sp, Sl</t>
  </si>
  <si>
    <t>µma</t>
  </si>
  <si>
    <t>Specific growth rate of mesophilic actinomycetes on Sc, Sp, Sl, Sh</t>
  </si>
  <si>
    <t>µta</t>
  </si>
  <si>
    <t>Specific growth rate of thermophilic actinomycetes on Sc, Sp, Sl, Sh</t>
  </si>
  <si>
    <t>µmf</t>
  </si>
  <si>
    <t>Specific growth rate of mesophilic fungi on Sc, Sp, Sl, Sh, Slg</t>
  </si>
  <si>
    <t>µtf</t>
  </si>
  <si>
    <t>Specific growth rate of thermophilic fungi on Sc, Sp, Sl, Sh, Slg</t>
  </si>
  <si>
    <t>Xdb</t>
  </si>
  <si>
    <t>Decayed biomass</t>
  </si>
  <si>
    <t>bmb</t>
  </si>
  <si>
    <t>Death constant for mesophilic bacterias</t>
  </si>
  <si>
    <t>bta</t>
  </si>
  <si>
    <t>Death constant for thermophilic bacterias</t>
  </si>
  <si>
    <t>btb</t>
  </si>
  <si>
    <t>bma</t>
  </si>
  <si>
    <t>Death constant for mesophilic actinomycetes</t>
  </si>
  <si>
    <t>Death constant for thermophilic actinomycetes</t>
  </si>
  <si>
    <t>bmf</t>
  </si>
  <si>
    <t>Death constant for mesophilic fungis</t>
  </si>
  <si>
    <t>btf</t>
  </si>
  <si>
    <t>Death constant for thermophilic fungis</t>
  </si>
  <si>
    <t>Xi</t>
  </si>
  <si>
    <t>Inert materials</t>
  </si>
  <si>
    <t>Mesophilic hydrolysis constant of carbohydrates (Xmb)</t>
  </si>
  <si>
    <t>Mesophilic hydrolysis constant of proteins (Xmb)</t>
  </si>
  <si>
    <t>Mesophilic hydrolysis constant of lipids (Xmb)</t>
  </si>
  <si>
    <t>Thermophilic hydrolysis constant of lipids (Xtb)</t>
  </si>
  <si>
    <t>Thermophilic hydrolysis constant of carbohydrates (Xtb)</t>
  </si>
  <si>
    <t>Thermophilic hydrolysis constant of proteins (Xtb)</t>
  </si>
  <si>
    <t>Mesophilic hydrolysis constant of hemicelluloses (Xma)</t>
  </si>
  <si>
    <t>Thermophilic hydrolysis constant of hemicelluloses (Xta)</t>
  </si>
  <si>
    <t>Mesophilic hydrolysis constant of celluloses (Xmf)</t>
  </si>
  <si>
    <t>Thermophilic hydrolysis constant of celluloses (Xtf)</t>
  </si>
  <si>
    <t>Mesophilic hydrolysis constant of lignins (Xmf)</t>
  </si>
  <si>
    <t>Thermophilic hydrolysis constant of lignins (Xtf)</t>
  </si>
  <si>
    <t>kdec</t>
  </si>
  <si>
    <t>Microorganisms decomposition constant</t>
  </si>
  <si>
    <t>Formules</t>
  </si>
  <si>
    <t>C6H1206</t>
  </si>
  <si>
    <t>O</t>
  </si>
  <si>
    <t>C16H24O5N4</t>
  </si>
  <si>
    <t>N</t>
  </si>
  <si>
    <t>C25H45O3</t>
  </si>
  <si>
    <t>Masse moléculaire</t>
  </si>
  <si>
    <t>C10H18O9</t>
  </si>
  <si>
    <t>(C6H12O6)n</t>
  </si>
  <si>
    <t>C20H30O6</t>
  </si>
  <si>
    <t>G</t>
  </si>
  <si>
    <t>HE</t>
  </si>
  <si>
    <t>C5H7O2N</t>
  </si>
  <si>
    <t>C10H17O6N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</si>
  <si>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</si>
  <si>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</si>
  <si>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</si>
  <si>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</si>
  <si>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</si>
  <si>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</si>
  <si>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</si>
  <si>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</si>
  <si>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</si>
  <si>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Tmax,1</t>
  </si>
  <si>
    <t>Tmin,1</t>
  </si>
  <si>
    <t>°C</t>
  </si>
  <si>
    <t>Minimum temperature for mesophilic phase</t>
  </si>
  <si>
    <t>Topt,1</t>
  </si>
  <si>
    <t>Optimum temperature for mesophilic phase</t>
  </si>
  <si>
    <t>Maximum temperature for mesophilic phase</t>
  </si>
  <si>
    <t>Tmin,2</t>
  </si>
  <si>
    <t>Minimum temperature for thermophilic phase</t>
  </si>
  <si>
    <t>Optimum temperature for thermophilic phase</t>
  </si>
  <si>
    <t>Maximum temperature for thermophilic phase</t>
  </si>
  <si>
    <t>SO2</t>
  </si>
  <si>
    <t>Concentration of O2 soluble in liquid phase</t>
  </si>
  <si>
    <t>kg.m-3 IW</t>
  </si>
  <si>
    <t>g.m-3</t>
  </si>
  <si>
    <t>T</t>
  </si>
  <si>
    <t>m2</t>
  </si>
  <si>
    <t>water</t>
  </si>
  <si>
    <t>moisture content minimum</t>
  </si>
  <si>
    <t>m3</t>
  </si>
  <si>
    <t>moisture content maximum</t>
  </si>
  <si>
    <t>kg IW/ kg TM</t>
  </si>
  <si>
    <t>W</t>
  </si>
  <si>
    <t>SNH4</t>
  </si>
  <si>
    <t>Concentration of NH4 soluble in liquid phase</t>
  </si>
  <si>
    <t>kNH4</t>
  </si>
  <si>
    <t>à résoudre</t>
  </si>
  <si>
    <t>ks</t>
  </si>
  <si>
    <t>Substrate saturation constant for Monod kinetics</t>
  </si>
  <si>
    <t>kmol</t>
  </si>
  <si>
    <t>S(O2)</t>
  </si>
  <si>
    <t>Dissolved oxyen</t>
  </si>
  <si>
    <t>S(CO2)</t>
  </si>
  <si>
    <t>Dissolved carbon dioxide</t>
  </si>
  <si>
    <t>n(O2)</t>
  </si>
  <si>
    <t>n(CO2)</t>
  </si>
  <si>
    <t>n(NH3)</t>
  </si>
  <si>
    <t>n(H2O)</t>
  </si>
  <si>
    <t>n(N2)</t>
  </si>
  <si>
    <t>nk(O2)</t>
  </si>
  <si>
    <t>nk(CO2)</t>
  </si>
  <si>
    <t>Oxygen gas emitted</t>
  </si>
  <si>
    <t>Carbon dioxide gas emitted</t>
  </si>
  <si>
    <t>Ammonia gas emitted</t>
  </si>
  <si>
    <t>Vapeur d'eau emitted</t>
  </si>
  <si>
    <t>Nitrogen gas emitted</t>
  </si>
  <si>
    <t>K</t>
  </si>
  <si>
    <t>Tg</t>
  </si>
  <si>
    <t>Oxygen gas in the gas phase</t>
  </si>
  <si>
    <t>Carbon dioxide gas in the gas phase</t>
  </si>
  <si>
    <t>Ammonia gas in the gas phase</t>
  </si>
  <si>
    <t>Vapeur d'eau in the gas phase</t>
  </si>
  <si>
    <t>Nitrogen gas in the gas phase</t>
  </si>
  <si>
    <t>klO2</t>
  </si>
  <si>
    <t>kg.(h-1).(Pa-1).(kgTM-1)</t>
  </si>
  <si>
    <t>klCO2</t>
  </si>
  <si>
    <t>klNH3</t>
  </si>
  <si>
    <t>klH2O</t>
  </si>
  <si>
    <t>CO2 liquid-gas mass transfert coefficient</t>
  </si>
  <si>
    <t>O2 liquid-gas mass transfert coefficient</t>
  </si>
  <si>
    <t>NH3 liquid-gas mass transfert coefficient</t>
  </si>
  <si>
    <t>H2O liquid-gas mass transfert coefficient</t>
  </si>
  <si>
    <t>S(NH3)</t>
  </si>
  <si>
    <t>Gas phase temperature</t>
  </si>
  <si>
    <t>Temperature of the pile</t>
  </si>
  <si>
    <t>mass</t>
  </si>
  <si>
    <t>z</t>
  </si>
  <si>
    <t>Xa</t>
  </si>
  <si>
    <t>coeff</t>
  </si>
  <si>
    <t>values</t>
  </si>
  <si>
    <t>y</t>
  </si>
  <si>
    <t>khS</t>
  </si>
  <si>
    <t>Ta</t>
  </si>
  <si>
    <t>CC</t>
  </si>
  <si>
    <t>IC</t>
  </si>
  <si>
    <t>Unity</t>
  </si>
  <si>
    <t>Description</t>
  </si>
  <si>
    <t>Heat transfer coefficient of wall</t>
  </si>
  <si>
    <t>A</t>
  </si>
  <si>
    <t>surface area of heat conduction</t>
  </si>
  <si>
    <t>u</t>
  </si>
  <si>
    <t>GLO</t>
  </si>
  <si>
    <t>HcO2</t>
  </si>
  <si>
    <t>kJ/mol</t>
  </si>
  <si>
    <t>heat released/CO2emitted</t>
  </si>
  <si>
    <t>(empirique: https://doi.org/10.1016/j.wasman.2007.01.011 ) 9,2kJ/g</t>
  </si>
  <si>
    <t>Ca</t>
  </si>
  <si>
    <t>Calorific capacity of dry air</t>
  </si>
  <si>
    <t>J/kg.K</t>
  </si>
  <si>
    <t>(wikipedia)</t>
  </si>
  <si>
    <t>Qair</t>
  </si>
  <si>
    <t>airflow</t>
  </si>
  <si>
    <t>kg/h</t>
  </si>
  <si>
    <t>Cp_C</t>
  </si>
  <si>
    <t>Cp_L</t>
  </si>
  <si>
    <t>Cp_P</t>
  </si>
  <si>
    <t>Cp_LG</t>
  </si>
  <si>
    <t>Cp_HE</t>
  </si>
  <si>
    <t>Partial specific heat capacity of DRY protein</t>
  </si>
  <si>
    <t>https://pubmed.ncbi.nlm.nih.gov/444485/#:~:text=The%20partial%20specific%20heat%20capacity,K%2D1%20g%2D1.</t>
  </si>
  <si>
    <t>http://hyperphysics.phy-astr.gsu.edu/hbase/Tables/therprop.html</t>
  </si>
  <si>
    <t>https://www.mdpi.com/1999-4907/13/6/914/htm#:~:text=The%20Cp%20values%20were,than%20wood%20cellulose%20and%20hemicellulose.</t>
  </si>
  <si>
    <t xml:space="preserve">Specific heat capacity of glucose </t>
  </si>
  <si>
    <t>changement d'unité</t>
  </si>
  <si>
    <t>sulfuric lignin</t>
  </si>
  <si>
    <t>https://www.mdpi.com/1999-4907/13/6/914/htm#:~:text=The%20specific%20heat%20capacity%20of,effects%20on%20specific%20heat%20capacity.</t>
  </si>
  <si>
    <t>Tmax,2</t>
  </si>
  <si>
    <t>Topt,2</t>
  </si>
  <si>
    <t>fi</t>
  </si>
  <si>
    <t>Proportion of dead biomass recycled to inert materials</t>
  </si>
  <si>
    <t>µa</t>
  </si>
  <si>
    <t>Specific growth rate of autotroph microorganisms</t>
  </si>
  <si>
    <t>j</t>
  </si>
  <si>
    <t>k</t>
  </si>
  <si>
    <t>l</t>
  </si>
  <si>
    <t>m</t>
  </si>
  <si>
    <t>n</t>
  </si>
  <si>
    <t>o</t>
  </si>
  <si>
    <t>Nitrification</t>
  </si>
  <si>
    <t>pmaxdenit</t>
  </si>
  <si>
    <t>gN-(N2O+N2)g-1 NNO3 j-1</t>
  </si>
  <si>
    <t>émission maximale de N2O et N2 à partir du NO3</t>
  </si>
  <si>
    <t>ba</t>
  </si>
  <si>
    <t>Vitesse de décès de la biomasse autotrophe</t>
  </si>
  <si>
    <t>autotroph microorganisms</t>
  </si>
  <si>
    <t>gN2ON/g(N2O+N2)N</t>
  </si>
  <si>
    <t>tiré de Oudart, moyenne des valeurs</t>
  </si>
  <si>
    <t>https://composteur.online/taille-composteur/</t>
  </si>
  <si>
    <t>Surface</t>
  </si>
  <si>
    <t>En supposant des composteurs de 800 litres (3 à 4 pers)</t>
  </si>
  <si>
    <t>https://www.suresnes.fr/wp-content/uploads/2019/05/fiche-technique-composteurs-bois-400-et-600-L.pdf</t>
  </si>
  <si>
    <t>Dimensions (L*l*h)</t>
  </si>
  <si>
    <t>1,010x1,010x1
18mm épaisseur</t>
  </si>
  <si>
    <t>HC wood</t>
  </si>
  <si>
    <t>HC plastic</t>
  </si>
  <si>
    <t>1W = 3,6 kJ/h</t>
  </si>
  <si>
    <t>kJ/m2.°K.h</t>
  </si>
  <si>
    <t>Bois</t>
  </si>
  <si>
    <t>Polypropylène</t>
  </si>
  <si>
    <t>Conductivités thermiques (W/mK)</t>
  </si>
  <si>
    <t>hc wood</t>
  </si>
  <si>
    <t>hc plastic</t>
  </si>
  <si>
    <t>Pour 60 - 80 foyers</t>
  </si>
  <si>
    <t>https://cdn.paris.fr/paris/2021/04/20/ddd25191c66e6da3abffd08d536d0fb1.pdf</t>
  </si>
  <si>
    <t>1,5*1*0,8
18 mm épaisseur</t>
  </si>
  <si>
    <t>Industrial composting</t>
  </si>
  <si>
    <t>H20</t>
  </si>
  <si>
    <t>CO2</t>
  </si>
  <si>
    <t>CH4</t>
  </si>
  <si>
    <t>NH3</t>
  </si>
  <si>
    <t>vmax</t>
  </si>
  <si>
    <t>u*  (W/m2.K)</t>
  </si>
  <si>
    <t>*</t>
  </si>
  <si>
    <t>Capacités de déchets entrant</t>
  </si>
  <si>
    <t>In vessel : Electromecanic</t>
  </si>
  <si>
    <t>!!</t>
  </si>
  <si>
    <t>Tas retourné</t>
  </si>
  <si>
    <t>Aeration forcée</t>
  </si>
  <si>
    <t>Aeration naturelle</t>
  </si>
  <si>
    <t>valorgas - waste from Ludlow, UK</t>
  </si>
  <si>
    <t>Cbio (kg)</t>
  </si>
  <si>
    <t>N (kg)</t>
  </si>
  <si>
    <t>O (kg)</t>
  </si>
  <si>
    <t>C/N ratio of bulking agent</t>
  </si>
  <si>
    <t>C/N ratio of waste</t>
  </si>
  <si>
    <t>Quantity of B.A to reach C/N=30</t>
  </si>
  <si>
    <t>Checking of C/N ratio of mixture</t>
  </si>
  <si>
    <t>Km</t>
  </si>
  <si>
    <t>vitesse maximale d'oxydation de méthane</t>
  </si>
  <si>
    <t>kh1C</t>
  </si>
  <si>
    <t>kh2P</t>
  </si>
  <si>
    <t>kh3L</t>
  </si>
  <si>
    <t>kh4C</t>
  </si>
  <si>
    <t>kh5P</t>
  </si>
  <si>
    <t>kh6L</t>
  </si>
  <si>
    <t>kh7H</t>
  </si>
  <si>
    <t>kh8CE</t>
  </si>
  <si>
    <t>kh9LG</t>
  </si>
  <si>
    <t>kh10H</t>
  </si>
  <si>
    <t>kh11CE</t>
  </si>
  <si>
    <t>kh12LG</t>
  </si>
  <si>
    <t>time (day)</t>
  </si>
  <si>
    <t>time (hour)</t>
  </si>
  <si>
    <t>Source</t>
  </si>
  <si>
    <t>Calibration</t>
  </si>
  <si>
    <t>Oudart</t>
  </si>
  <si>
    <t>tiré de la littérature</t>
  </si>
  <si>
    <t>calibré</t>
  </si>
  <si>
    <t>Sole-Mauri</t>
  </si>
  <si>
    <t>constante de Michaelis for methane oxidation</t>
  </si>
  <si>
    <t>Kch4</t>
  </si>
  <si>
    <t>mol.m-3</t>
  </si>
  <si>
    <t>Michaelis constant for methane  in methane oxidation</t>
  </si>
  <si>
    <t>Nedwell and Watson (1995)</t>
  </si>
  <si>
    <t>Ko2,ch4</t>
  </si>
  <si>
    <t>Michaelis constant for oxygen in methane oxidation</t>
  </si>
  <si>
    <t>η</t>
  </si>
  <si>
    <t>Sensitivity of methanogenesis to inhibition by oxygen</t>
  </si>
  <si>
    <t>Arah (1998)</t>
  </si>
  <si>
    <t>saturation coefficient for Contois kinetics : masse de substrat par masse de microorganisme</t>
  </si>
  <si>
    <t>x</t>
  </si>
  <si>
    <t>Coefficients stochiométriques de méthanisation</t>
  </si>
  <si>
    <t>BMP théorique (g de CH4/g de substrat)</t>
  </si>
  <si>
    <t xml:space="preserve"> L</t>
  </si>
  <si>
    <t xml:space="preserve"> G</t>
  </si>
  <si>
    <t>Ko2,nit</t>
  </si>
  <si>
    <t>Oxygen saturation constant for heterotrophic activities</t>
  </si>
  <si>
    <t>Total Mass</t>
  </si>
  <si>
    <t>TM</t>
  </si>
  <si>
    <t>kg.dm-3</t>
  </si>
  <si>
    <t>kg/kg</t>
  </si>
  <si>
    <t>kg.kg-1</t>
  </si>
  <si>
    <t>Ammonium saturation constant for heterotrophic activities</t>
  </si>
  <si>
    <t>kO2,het</t>
  </si>
  <si>
    <t>mol.l-1</t>
  </si>
  <si>
    <t>kNO3</t>
  </si>
  <si>
    <t>kg(N2O+N2).kg-1(NO3).h-1</t>
  </si>
  <si>
    <t>pN2Odenit</t>
  </si>
  <si>
    <t>calibré, issu du tas B (écart entre simulé et observé moins important</t>
  </si>
  <si>
    <t>kgCH4/kgSc</t>
  </si>
  <si>
    <t>Methane yield coefficient for carbohydrates</t>
  </si>
  <si>
    <t>kgCH4/kgSp</t>
  </si>
  <si>
    <t>Methane yield coefficient for proteins</t>
  </si>
  <si>
    <t>kgCH4/kgSl</t>
  </si>
  <si>
    <t>Methane yield coefficient for lipids</t>
  </si>
  <si>
    <t>kgCH4/kgSh</t>
  </si>
  <si>
    <t>Methane yield coefficient for hemicelluloses</t>
  </si>
  <si>
    <t>kgCH4/kgSlg</t>
  </si>
  <si>
    <t>Methane yield coefficient for lignin</t>
  </si>
  <si>
    <t>YCH4,Sc</t>
  </si>
  <si>
    <t>YCH4,Sp</t>
  </si>
  <si>
    <t>YCH4,Sl</t>
  </si>
  <si>
    <t>YCH4,Sh</t>
  </si>
  <si>
    <t>YCH4,Slg</t>
  </si>
  <si>
    <t>l.mol-1</t>
  </si>
  <si>
    <t>Watson et al. (1997)</t>
  </si>
  <si>
    <t>kgCH4.kgTM-1.h-1</t>
  </si>
  <si>
    <t>Wilshusen et al., 2004)</t>
  </si>
  <si>
    <t>Xtot</t>
  </si>
  <si>
    <t>mol</t>
  </si>
  <si>
    <t>Yo2</t>
  </si>
  <si>
    <t xml:space="preserve">Biomass yield on oxygen </t>
  </si>
  <si>
    <t>mol.mol-1</t>
  </si>
  <si>
    <t>Lin et al., 2008</t>
  </si>
  <si>
    <t>hbio</t>
  </si>
  <si>
    <t>kJ.mol-1O2</t>
  </si>
  <si>
    <t>chaleur dégagée par mol d'oxygène consommée</t>
  </si>
  <si>
    <t>Cair,sec</t>
  </si>
  <si>
    <t>Cair,humide</t>
  </si>
  <si>
    <t>kJ.K-1.kg-1</t>
  </si>
  <si>
    <t>Passive</t>
  </si>
  <si>
    <t>Forced</t>
  </si>
  <si>
    <t>(kg.h-1)</t>
  </si>
  <si>
    <t>Barrington et al, 2003</t>
  </si>
  <si>
    <t>rasapoor</t>
  </si>
  <si>
    <t>Cp</t>
  </si>
  <si>
    <t>kJ.kg-1.K-1</t>
  </si>
  <si>
    <t>Capacité calorifique des déchets</t>
  </si>
  <si>
    <t>test</t>
  </si>
  <si>
    <t>10 mm épaisseur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</si>
  <si>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</si>
  <si>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</si>
  <si>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</si>
  <si>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</si>
  <si>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</si>
  <si>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</si>
  <si>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</si>
  <si>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</si>
  <si>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</si>
  <si>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</si>
  <si>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</si>
  <si>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</si>
  <si>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</si>
  <si>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</si>
  <si>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</si>
  <si>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</si>
  <si>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</si>
  <si>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</si>
  <si>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</si>
  <si>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</si>
  <si>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</si>
  <si>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</si>
  <si>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</si>
  <si>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</si>
  <si>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Y(X/S)</t>
  </si>
  <si>
    <t>Y(X/O2)</t>
  </si>
  <si>
    <t>Y(X/NH3)</t>
  </si>
  <si>
    <t>Y(X/CO2)</t>
  </si>
  <si>
    <t>Y(X/H2O)</t>
  </si>
  <si>
    <t>MF on Sp</t>
  </si>
  <si>
    <t>TF onSp</t>
  </si>
  <si>
    <t>MF on Sl</t>
  </si>
  <si>
    <t>TF on Sl</t>
  </si>
  <si>
    <t>MF on Sh</t>
  </si>
  <si>
    <t>TF on Sh</t>
  </si>
  <si>
    <t>MF on Slg</t>
  </si>
  <si>
    <t>TF on Sc</t>
  </si>
  <si>
    <t>TF on Slg</t>
  </si>
  <si>
    <t>Reactions</t>
  </si>
  <si>
    <t>MB on Sc</t>
  </si>
  <si>
    <t>MB on Sp</t>
  </si>
  <si>
    <t>MB on Sl</t>
  </si>
  <si>
    <t>TB on Sc</t>
  </si>
  <si>
    <t>TB on Sp</t>
  </si>
  <si>
    <t>TB on Sl</t>
  </si>
  <si>
    <t>MA on Sc</t>
  </si>
  <si>
    <t>MA on Sp</t>
  </si>
  <si>
    <t>MA on Sl</t>
  </si>
  <si>
    <t>MA on Sh</t>
  </si>
  <si>
    <t>TA on Sc</t>
  </si>
  <si>
    <t>TA on Sp</t>
  </si>
  <si>
    <t>TA on Sl</t>
  </si>
  <si>
    <t>TA on Sh</t>
  </si>
  <si>
    <t>MF on Sc</t>
  </si>
  <si>
    <t>r44</t>
  </si>
  <si>
    <t>Xa on NH4+</t>
  </si>
  <si>
    <t>Y(X/NO3-)</t>
  </si>
  <si>
    <t>S(NO3)</t>
  </si>
  <si>
    <t>Nitrate</t>
  </si>
  <si>
    <t>NO3-</t>
  </si>
  <si>
    <t>m(Carbone)</t>
  </si>
  <si>
    <t>masse C (g)</t>
  </si>
  <si>
    <t>masse C (kg/kgTM)</t>
  </si>
  <si>
    <t>Vreacteur</t>
  </si>
  <si>
    <t>rho_waste</t>
  </si>
  <si>
    <t>kg.m-3</t>
  </si>
  <si>
    <t>rho_air</t>
  </si>
  <si>
    <t>m(N-Norg)(g)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</si>
</sst>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8"/>
      <color theme="9" tint="-0.249977111117893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167" fontId="1" fillId="0" borderId="1" xfId="0" applyNumberFormat="1" applyFont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/>
    <xf numFmtId="167" fontId="2" fillId="0" borderId="0" xfId="0" applyNumberFormat="1" applyFont="1" applyFill="1" applyBorder="1"/>
    <xf numFmtId="167" fontId="1" fillId="2" borderId="1" xfId="0" applyNumberFormat="1" applyFont="1" applyFill="1" applyBorder="1" applyAlignment="1">
      <alignment horizontal="center"/>
    </xf>
    <xf numFmtId="0" fontId="0" fillId="0" borderId="0" xfId="0" applyFont="1"/>
    <xf numFmtId="11" fontId="4" fillId="0" borderId="0" xfId="0" applyNumberFormat="1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wrapText="1"/>
    </xf>
    <xf numFmtId="0" fontId="11" fillId="0" borderId="0" xfId="1"/>
    <xf numFmtId="167" fontId="1" fillId="0" borderId="2" xfId="0" applyNumberFormat="1" applyFont="1" applyFill="1" applyBorder="1" applyAlignment="1">
      <alignment horizontal="center"/>
    </xf>
    <xf numFmtId="0" fontId="8" fillId="3" borderId="0" xfId="0" applyFont="1" applyFill="1"/>
    <xf numFmtId="0" fontId="12" fillId="0" borderId="0" xfId="0" applyFont="1"/>
    <xf numFmtId="0" fontId="13" fillId="0" borderId="0" xfId="0" applyFont="1"/>
    <xf numFmtId="11" fontId="0" fillId="0" borderId="0" xfId="0" applyNumberFormat="1" applyFont="1"/>
    <xf numFmtId="0" fontId="14" fillId="0" borderId="0" xfId="0" applyFont="1"/>
    <xf numFmtId="11" fontId="6" fillId="0" borderId="0" xfId="0" applyNumberFormat="1" applyFont="1"/>
    <xf numFmtId="11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</xdr:colOff>
      <xdr:row>3</xdr:row>
      <xdr:rowOff>133068</xdr:rowOff>
    </xdr:from>
    <xdr:to>
      <xdr:col>21</xdr:col>
      <xdr:colOff>244475</xdr:colOff>
      <xdr:row>18</xdr:row>
      <xdr:rowOff>567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ECE040-D114-4771-8FA8-AB8D191A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800" y="675993"/>
          <a:ext cx="4759325" cy="2982174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19</xdr:row>
      <xdr:rowOff>82550</xdr:rowOff>
    </xdr:from>
    <xdr:to>
      <xdr:col>20</xdr:col>
      <xdr:colOff>733424</xdr:colOff>
      <xdr:row>29</xdr:row>
      <xdr:rowOff>35013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70B3267-94EF-43C6-BF26-D2360DB21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87175" y="3740150"/>
          <a:ext cx="4533899" cy="1762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paris.fr/paris/2021/04/20/ddd25191c66e6da3abffd08d536d0fb1.pdf" TargetMode="External"/><Relationship Id="rId2" Type="http://schemas.openxmlformats.org/officeDocument/2006/relationships/hyperlink" Target="https://composteur.online/taille-composteur/" TargetMode="External"/><Relationship Id="rId1" Type="http://schemas.openxmlformats.org/officeDocument/2006/relationships/hyperlink" Target="https://www.suresnes.fr/wp-content/uploads/2019/05/fiche-technique-composteurs-bois-400-et-600-L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F10C-4AB5-4A1F-A346-6667884FAA0F}">
  <dimension ref="A1:CE113"/>
  <sheetViews>
    <sheetView topLeftCell="A73" workbookViewId="0">
      <pane xSplit="1" topLeftCell="B1" activePane="topRight" state="frozen"/>
      <selection pane="topRight" activeCell="A89" sqref="A89"/>
    </sheetView>
  </sheetViews>
  <sheetFormatPr baseColWidth="10" defaultColWidth="8.7265625" defaultRowHeight="14.5" x14ac:dyDescent="0.35"/>
  <cols>
    <col min="1" max="1" width="13.08984375" bestFit="1" customWidth="1"/>
    <col min="2" max="2" width="29.81640625" bestFit="1" customWidth="1"/>
    <col min="3" max="3" width="10.54296875" customWidth="1"/>
    <col min="4" max="4" width="9.54296875" bestFit="1" customWidth="1"/>
    <col min="5" max="7" width="9" bestFit="1" customWidth="1"/>
    <col min="8" max="8" width="16.1796875" bestFit="1" customWidth="1"/>
    <col min="9" max="9" width="18" bestFit="1" customWidth="1"/>
    <col min="10" max="10" width="10.1796875" bestFit="1" customWidth="1"/>
    <col min="11" max="11" width="13.453125" bestFit="1" customWidth="1"/>
    <col min="12" max="12" width="11.7265625" bestFit="1" customWidth="1"/>
    <col min="13" max="22" width="9" bestFit="1" customWidth="1"/>
    <col min="23" max="58" width="9" hidden="1" customWidth="1"/>
    <col min="59" max="59" width="13.26953125" hidden="1" customWidth="1"/>
    <col min="60" max="60" width="9" hidden="1" customWidth="1"/>
    <col min="61" max="61" width="12.81640625" bestFit="1" customWidth="1"/>
    <col min="62" max="62" width="11.7265625" bestFit="1" customWidth="1"/>
    <col min="63" max="63" width="13.81640625" bestFit="1" customWidth="1"/>
    <col min="64" max="64" width="18.1796875" bestFit="1" customWidth="1"/>
    <col min="65" max="65" width="11.54296875" bestFit="1" customWidth="1"/>
    <col min="66" max="66" width="11.26953125" bestFit="1" customWidth="1"/>
    <col min="67" max="67" width="13.26953125" bestFit="1" customWidth="1"/>
    <col min="68" max="68" width="11.1796875" bestFit="1" customWidth="1"/>
    <col min="69" max="69" width="15.453125" bestFit="1" customWidth="1"/>
    <col min="70" max="70" width="18.81640625" bestFit="1" customWidth="1"/>
    <col min="71" max="71" width="24.81640625" bestFit="1" customWidth="1"/>
    <col min="72" max="72" width="13.26953125" bestFit="1" customWidth="1"/>
    <col min="73" max="73" width="13.54296875" bestFit="1" customWidth="1"/>
    <col min="74" max="74" width="12.81640625" bestFit="1" customWidth="1"/>
    <col min="75" max="75" width="12.7265625" bestFit="1" customWidth="1"/>
    <col min="76" max="76" width="13.26953125" bestFit="1" customWidth="1"/>
    <col min="77" max="77" width="14.26953125" bestFit="1" customWidth="1"/>
    <col min="78" max="78" width="27" bestFit="1" customWidth="1"/>
    <col min="79" max="79" width="9" bestFit="1" customWidth="1"/>
    <col min="80" max="80" width="9.54296875" bestFit="1" customWidth="1"/>
    <col min="82" max="82" width="10.36328125" bestFit="1" customWidth="1"/>
  </cols>
  <sheetData>
    <row r="1" spans="1:83" s="7" customFormat="1" x14ac:dyDescent="0.35">
      <c r="A1" s="3" t="s">
        <v>38</v>
      </c>
      <c r="B1" s="3" t="s">
        <v>39</v>
      </c>
      <c r="C1" s="3" t="s">
        <v>241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  <c r="V1" s="3" t="s">
        <v>58</v>
      </c>
      <c r="W1" s="3" t="s">
        <v>59</v>
      </c>
      <c r="X1" s="3" t="s">
        <v>60</v>
      </c>
      <c r="Y1" s="3" t="s">
        <v>61</v>
      </c>
      <c r="Z1" s="3" t="s">
        <v>62</v>
      </c>
      <c r="AA1" s="3" t="s">
        <v>63</v>
      </c>
      <c r="AB1" s="3" t="s">
        <v>64</v>
      </c>
      <c r="AC1" s="3" t="s">
        <v>65</v>
      </c>
      <c r="AD1" s="3" t="s">
        <v>66</v>
      </c>
      <c r="AE1" s="3" t="s">
        <v>67</v>
      </c>
      <c r="AF1" s="3" t="s">
        <v>68</v>
      </c>
      <c r="AG1" s="3" t="s">
        <v>69</v>
      </c>
      <c r="AH1" s="3" t="s">
        <v>70</v>
      </c>
      <c r="AI1" s="3" t="s">
        <v>71</v>
      </c>
      <c r="AJ1" s="3" t="s">
        <v>72</v>
      </c>
      <c r="AK1" s="3" t="s">
        <v>73</v>
      </c>
      <c r="AL1" s="3" t="s">
        <v>74</v>
      </c>
      <c r="AM1" s="3" t="s">
        <v>75</v>
      </c>
      <c r="AN1" s="3" t="s">
        <v>76</v>
      </c>
      <c r="AO1" s="3" t="s">
        <v>77</v>
      </c>
      <c r="AP1" s="3" t="s">
        <v>78</v>
      </c>
      <c r="AQ1" s="3" t="s">
        <v>79</v>
      </c>
      <c r="AR1" s="3" t="s">
        <v>80</v>
      </c>
      <c r="AS1" s="3" t="s">
        <v>81</v>
      </c>
      <c r="AT1" s="3" t="s">
        <v>82</v>
      </c>
      <c r="AU1" s="3" t="s">
        <v>83</v>
      </c>
      <c r="AV1" s="3" t="s">
        <v>84</v>
      </c>
      <c r="AW1" s="3" t="s">
        <v>85</v>
      </c>
      <c r="AX1" s="3" t="s">
        <v>86</v>
      </c>
      <c r="AY1" s="3" t="s">
        <v>87</v>
      </c>
      <c r="AZ1" s="3" t="s">
        <v>88</v>
      </c>
      <c r="BA1" s="3" t="s">
        <v>89</v>
      </c>
      <c r="BB1" s="3" t="s">
        <v>90</v>
      </c>
      <c r="BC1" s="3" t="s">
        <v>91</v>
      </c>
      <c r="BD1" s="3" t="s">
        <v>92</v>
      </c>
      <c r="BE1" s="3" t="s">
        <v>93</v>
      </c>
      <c r="BF1" s="3" t="s">
        <v>94</v>
      </c>
      <c r="BG1" s="3" t="s">
        <v>95</v>
      </c>
      <c r="BH1" s="3" t="s">
        <v>96</v>
      </c>
      <c r="BI1" s="3" t="s">
        <v>97</v>
      </c>
      <c r="BJ1" s="3" t="s">
        <v>98</v>
      </c>
      <c r="BK1" s="3" t="s">
        <v>99</v>
      </c>
      <c r="BL1" s="3" t="s">
        <v>100</v>
      </c>
      <c r="BM1" s="3" t="s">
        <v>101</v>
      </c>
      <c r="BN1" s="3" t="s">
        <v>102</v>
      </c>
      <c r="BO1" s="3" t="s">
        <v>103</v>
      </c>
      <c r="BP1" s="3" t="s">
        <v>104</v>
      </c>
      <c r="BQ1" s="3" t="s">
        <v>105</v>
      </c>
      <c r="BR1" s="3" t="s">
        <v>106</v>
      </c>
      <c r="BS1" s="3" t="s">
        <v>107</v>
      </c>
      <c r="BT1" s="3" t="s">
        <v>108</v>
      </c>
      <c r="BU1" s="3" t="s">
        <v>109</v>
      </c>
      <c r="BV1" s="3" t="s">
        <v>110</v>
      </c>
      <c r="BW1" s="3" t="s">
        <v>111</v>
      </c>
      <c r="BX1" s="3" t="s">
        <v>112</v>
      </c>
      <c r="BY1" s="3" t="s">
        <v>113</v>
      </c>
      <c r="BZ1" s="3" t="s">
        <v>114</v>
      </c>
      <c r="CA1" s="3" t="s">
        <v>115</v>
      </c>
      <c r="CB1" s="4" t="s">
        <v>116</v>
      </c>
      <c r="CC1" s="5"/>
      <c r="CD1" s="6"/>
      <c r="CE1" s="6"/>
    </row>
    <row r="2" spans="1:83" x14ac:dyDescent="0.35">
      <c r="A2" s="8" t="s">
        <v>117</v>
      </c>
      <c r="B2" s="8" t="s">
        <v>118</v>
      </c>
      <c r="C2" s="8"/>
      <c r="D2" s="9">
        <v>3.5649999999999999</v>
      </c>
      <c r="E2" s="9">
        <v>96.44</v>
      </c>
      <c r="F2" s="9">
        <v>98.694938267534596</v>
      </c>
      <c r="G2" s="9">
        <v>1.3050617324653921</v>
      </c>
      <c r="H2" s="9">
        <v>20.70736708968014</v>
      </c>
      <c r="I2" s="9">
        <v>558.22694799590352</v>
      </c>
      <c r="J2" s="9">
        <v>50.939981655674906</v>
      </c>
      <c r="K2" s="9">
        <v>50.939981655674906</v>
      </c>
      <c r="L2" s="9">
        <v>0</v>
      </c>
      <c r="M2" s="9">
        <v>9.3482694229751716E-3</v>
      </c>
      <c r="N2" s="9">
        <v>0.3095120373868302</v>
      </c>
      <c r="O2" s="9">
        <v>0</v>
      </c>
      <c r="P2" s="9">
        <v>7.3773427288198388</v>
      </c>
      <c r="Q2" s="9">
        <v>5.1960458147020348E-2</v>
      </c>
      <c r="R2" s="9">
        <v>1.032191831668902</v>
      </c>
      <c r="S2" s="9">
        <v>0.27776539586854471</v>
      </c>
      <c r="T2" s="9">
        <v>39.344664095260008</v>
      </c>
      <c r="U2" s="9">
        <v>2.6625620643841635E-2</v>
      </c>
      <c r="V2" s="9">
        <v>0.20868592977643372</v>
      </c>
      <c r="W2" s="10">
        <v>0</v>
      </c>
      <c r="X2" s="10">
        <v>0</v>
      </c>
      <c r="Y2" s="10">
        <v>0</v>
      </c>
      <c r="Z2" s="10">
        <v>9.2668024439918526E-8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5.1863630266014738E-7</v>
      </c>
      <c r="AH2" s="10">
        <v>0</v>
      </c>
      <c r="AI2" s="10">
        <v>8.4504465635858754E-7</v>
      </c>
      <c r="AJ2" s="10">
        <v>3.3948982155971773E-5</v>
      </c>
      <c r="AK2" s="10">
        <v>4.1709091634016727E-4</v>
      </c>
      <c r="AL2" s="10">
        <v>0</v>
      </c>
      <c r="AM2" s="10">
        <v>2.2403258655804481E-8</v>
      </c>
      <c r="AN2" s="10">
        <v>0</v>
      </c>
      <c r="AO2" s="10">
        <v>0</v>
      </c>
      <c r="AP2" s="10">
        <v>7.5552512223702531E-3</v>
      </c>
      <c r="AQ2" s="10">
        <v>1.4870773905452476E-4</v>
      </c>
      <c r="AR2" s="10">
        <v>0</v>
      </c>
      <c r="AS2" s="10">
        <v>3.3647383434603213E-6</v>
      </c>
      <c r="AT2" s="10">
        <v>7.6374745417515267E-8</v>
      </c>
      <c r="AU2" s="10">
        <v>0</v>
      </c>
      <c r="AV2" s="10">
        <v>0</v>
      </c>
      <c r="AW2" s="10">
        <v>0</v>
      </c>
      <c r="AX2" s="10">
        <v>6.9704862398466229E-7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1.4820016481000134E-4</v>
      </c>
      <c r="BF2" s="10">
        <v>0</v>
      </c>
      <c r="BG2" s="9">
        <v>0</v>
      </c>
      <c r="BH2" s="9">
        <v>0</v>
      </c>
      <c r="BI2" s="9">
        <v>21.786320992525873</v>
      </c>
      <c r="BJ2" s="9">
        <v>30.974586694982474</v>
      </c>
      <c r="BK2" s="9">
        <v>2.3421588594704685E-2</v>
      </c>
      <c r="BL2" s="9">
        <v>0</v>
      </c>
      <c r="BM2" s="9">
        <v>0</v>
      </c>
      <c r="BN2" s="9">
        <v>0</v>
      </c>
      <c r="BO2" s="9">
        <v>5.8769672425914781</v>
      </c>
      <c r="BP2" s="9">
        <v>22.821560462825236</v>
      </c>
      <c r="BQ2" s="9">
        <v>0</v>
      </c>
      <c r="BR2" s="9">
        <v>69.986137610634998</v>
      </c>
      <c r="BS2" s="9">
        <v>20.761268235800305</v>
      </c>
      <c r="BT2" s="9">
        <v>1.6842894285206502</v>
      </c>
      <c r="BU2" s="9">
        <v>0.65699032366239918</v>
      </c>
      <c r="BV2" s="9">
        <v>1.3474234283559927</v>
      </c>
      <c r="BW2" s="9">
        <v>0.78243837633048074</v>
      </c>
      <c r="BX2" s="9">
        <v>0.52431827900145411</v>
      </c>
      <c r="BY2" s="9">
        <v>25.097917427567907</v>
      </c>
      <c r="BZ2" s="9">
        <v>21.015834387354527</v>
      </c>
      <c r="CA2" s="9">
        <v>0</v>
      </c>
      <c r="CB2" s="11">
        <v>13.900910878664508</v>
      </c>
      <c r="CC2" s="12"/>
      <c r="CD2" s="12"/>
      <c r="CE2" s="12"/>
    </row>
    <row r="3" spans="1:83" x14ac:dyDescent="0.35">
      <c r="A3" s="8" t="s">
        <v>117</v>
      </c>
      <c r="B3" s="8" t="s">
        <v>119</v>
      </c>
      <c r="C3" s="8"/>
      <c r="D3" s="9">
        <v>20.2</v>
      </c>
      <c r="E3" s="9">
        <v>79.8</v>
      </c>
      <c r="F3" s="9">
        <v>98.830712299132557</v>
      </c>
      <c r="G3" s="9">
        <v>1.1692877008674345</v>
      </c>
      <c r="H3" s="9">
        <v>20.496506679221739</v>
      </c>
      <c r="I3" s="9">
        <v>557.00194395160145</v>
      </c>
      <c r="J3" s="9">
        <v>50.344227901626567</v>
      </c>
      <c r="K3" s="9">
        <v>50.321489710094667</v>
      </c>
      <c r="L3" s="9">
        <v>0</v>
      </c>
      <c r="M3" s="9">
        <v>2.6744161387450387E-2</v>
      </c>
      <c r="N3" s="9">
        <v>7.8472887451122034E-2</v>
      </c>
      <c r="O3" s="9">
        <v>0</v>
      </c>
      <c r="P3" s="9">
        <v>7.4438744010545923</v>
      </c>
      <c r="Q3" s="9">
        <v>0.15348666242239459</v>
      </c>
      <c r="R3" s="9">
        <v>0.97386995304556345</v>
      </c>
      <c r="S3" s="9">
        <v>0.28487271892803306</v>
      </c>
      <c r="T3" s="9">
        <v>40.045503703862678</v>
      </c>
      <c r="U3" s="9">
        <v>3.5541544308170664E-2</v>
      </c>
      <c r="V3" s="9">
        <v>0.20144450022304369</v>
      </c>
      <c r="W3" s="10">
        <v>0</v>
      </c>
      <c r="X3" s="10">
        <v>0</v>
      </c>
      <c r="Y3" s="10">
        <v>0</v>
      </c>
      <c r="Z3" s="10">
        <v>3.2467532467532465E-7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3.1348639268832737E-7</v>
      </c>
      <c r="AH3" s="10">
        <v>1.6233766233766232E-7</v>
      </c>
      <c r="AI3" s="10">
        <v>2.4776613954364861E-6</v>
      </c>
      <c r="AJ3" s="10">
        <v>3.7047142700105211E-5</v>
      </c>
      <c r="AK3" s="10">
        <v>1.106757471270264E-3</v>
      </c>
      <c r="AL3" s="10">
        <v>0</v>
      </c>
      <c r="AM3" s="10">
        <v>3.2467532467532468E-8</v>
      </c>
      <c r="AN3" s="10">
        <v>0</v>
      </c>
      <c r="AO3" s="10">
        <v>0</v>
      </c>
      <c r="AP3" s="10">
        <v>5.7887983976254833E-3</v>
      </c>
      <c r="AQ3" s="10">
        <v>6.9190785031171965E-5</v>
      </c>
      <c r="AR3" s="10">
        <v>1.6233766233766235E-6</v>
      </c>
      <c r="AS3" s="10">
        <v>5.2116867413118924E-6</v>
      </c>
      <c r="AT3" s="10">
        <v>1.1363636363636362E-6</v>
      </c>
      <c r="AU3" s="10">
        <v>0</v>
      </c>
      <c r="AV3" s="10">
        <v>0</v>
      </c>
      <c r="AW3" s="10">
        <v>0</v>
      </c>
      <c r="AX3" s="10">
        <v>8.9904050000785183E-7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1.7183451373294176E-4</v>
      </c>
      <c r="BF3" s="10">
        <v>0</v>
      </c>
      <c r="BG3" s="9">
        <v>0</v>
      </c>
      <c r="BH3" s="9">
        <v>0</v>
      </c>
      <c r="BI3" s="9">
        <v>9.443242670268063</v>
      </c>
      <c r="BJ3" s="9">
        <v>5.1971607594340359</v>
      </c>
      <c r="BK3" s="9">
        <v>1.6233766233766232E-2</v>
      </c>
      <c r="BL3" s="9">
        <v>0</v>
      </c>
      <c r="BM3" s="9">
        <v>0</v>
      </c>
      <c r="BN3" s="9">
        <v>3.2467532467532464E-2</v>
      </c>
      <c r="BO3" s="9">
        <v>5.6730356966535247</v>
      </c>
      <c r="BP3" s="9">
        <v>22.67377705299424</v>
      </c>
      <c r="BQ3" s="9">
        <v>0</v>
      </c>
      <c r="BR3" s="9">
        <v>70.467665783251036</v>
      </c>
      <c r="BS3" s="9">
        <v>20.739432435737857</v>
      </c>
      <c r="BT3" s="9">
        <v>1.682101702310058</v>
      </c>
      <c r="BU3" s="9">
        <v>0.39084313509948343</v>
      </c>
      <c r="BV3" s="9">
        <v>1.3182642629438277</v>
      </c>
      <c r="BW3" s="9">
        <v>0.43693957191538807</v>
      </c>
      <c r="BX3" s="9">
        <v>0.98645746635468534</v>
      </c>
      <c r="BY3" s="9">
        <v>12.569096562446017</v>
      </c>
      <c r="BZ3" s="9">
        <v>21.204440130018963</v>
      </c>
      <c r="CA3" s="9">
        <v>0</v>
      </c>
      <c r="CB3" s="11">
        <v>52.662290384768028</v>
      </c>
      <c r="CC3" s="12"/>
      <c r="CD3" s="12"/>
      <c r="CE3" s="12"/>
    </row>
    <row r="4" spans="1:83" x14ac:dyDescent="0.35">
      <c r="A4" s="8" t="s">
        <v>117</v>
      </c>
      <c r="B4" s="8" t="s">
        <v>120</v>
      </c>
      <c r="C4" s="8"/>
      <c r="D4" s="9">
        <v>28.733333333333334</v>
      </c>
      <c r="E4" s="9">
        <v>71.266666666666666</v>
      </c>
      <c r="F4" s="9">
        <v>98.912822611689649</v>
      </c>
      <c r="G4" s="9">
        <v>1.0871773883103697</v>
      </c>
      <c r="H4" s="9">
        <v>16.627433191921021</v>
      </c>
      <c r="I4" s="9">
        <v>439.60033976579871</v>
      </c>
      <c r="J4" s="9">
        <v>44.503932012292644</v>
      </c>
      <c r="K4" s="9">
        <v>44.468974146202321</v>
      </c>
      <c r="L4" s="9">
        <v>0</v>
      </c>
      <c r="M4" s="9">
        <v>3.3154322143134636E-2</v>
      </c>
      <c r="N4" s="9">
        <v>0</v>
      </c>
      <c r="O4" s="9">
        <v>0</v>
      </c>
      <c r="P4" s="9">
        <v>6.442320647334868</v>
      </c>
      <c r="Q4" s="9">
        <v>0.33902514077919776</v>
      </c>
      <c r="R4" s="9">
        <v>2.5375872227371641</v>
      </c>
      <c r="S4" s="9">
        <v>4.6191977462024525E-3</v>
      </c>
      <c r="T4" s="9">
        <v>45.425526088696586</v>
      </c>
      <c r="U4" s="9">
        <v>0.23866954123963477</v>
      </c>
      <c r="V4" s="9">
        <v>0.5133648387390477</v>
      </c>
      <c r="W4" s="10">
        <v>0</v>
      </c>
      <c r="X4" s="10">
        <v>0</v>
      </c>
      <c r="Y4" s="10">
        <v>0</v>
      </c>
      <c r="Z4" s="10">
        <v>6.6887173833149559E-7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1.9863512967486362E-6</v>
      </c>
      <c r="AH4" s="10">
        <v>0</v>
      </c>
      <c r="AI4" s="10">
        <v>3.5663108429053294E-6</v>
      </c>
      <c r="AJ4" s="10">
        <v>3.4545909738304168E-4</v>
      </c>
      <c r="AK4" s="10">
        <v>2.7096957219594196E-3</v>
      </c>
      <c r="AL4" s="10">
        <v>0</v>
      </c>
      <c r="AM4" s="10">
        <v>1.6170525542080115E-7</v>
      </c>
      <c r="AN4" s="10">
        <v>0</v>
      </c>
      <c r="AO4" s="10">
        <v>0</v>
      </c>
      <c r="AP4" s="10">
        <v>4.7375973064886057E-2</v>
      </c>
      <c r="AQ4" s="10">
        <v>6.0555806164910408E-4</v>
      </c>
      <c r="AR4" s="10">
        <v>1.4523946717282988E-5</v>
      </c>
      <c r="AS4" s="10">
        <v>4.8587921648890059E-6</v>
      </c>
      <c r="AT4" s="10">
        <v>1.3247485791907022E-6</v>
      </c>
      <c r="AU4" s="10">
        <v>0</v>
      </c>
      <c r="AV4" s="10">
        <v>0</v>
      </c>
      <c r="AW4" s="10">
        <v>0</v>
      </c>
      <c r="AX4" s="10">
        <v>4.3434704869273536E-6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1.4363094252008808E-3</v>
      </c>
      <c r="BF4" s="10">
        <v>0</v>
      </c>
      <c r="BG4" s="9">
        <v>0</v>
      </c>
      <c r="BH4" s="9">
        <v>0</v>
      </c>
      <c r="BI4" s="9">
        <v>0</v>
      </c>
      <c r="BJ4" s="9">
        <v>54.724265328949599</v>
      </c>
      <c r="BK4" s="9">
        <v>0</v>
      </c>
      <c r="BL4" s="9">
        <v>0</v>
      </c>
      <c r="BM4" s="9">
        <v>0</v>
      </c>
      <c r="BN4" s="9">
        <v>4.9915827768927452E-2</v>
      </c>
      <c r="BO4" s="9">
        <v>14.45726764616952</v>
      </c>
      <c r="BP4" s="9">
        <v>2.1377660184253249</v>
      </c>
      <c r="BQ4" s="9">
        <v>0</v>
      </c>
      <c r="BR4" s="9">
        <v>82.317788947094769</v>
      </c>
      <c r="BS4" s="9">
        <v>18.000148747364999</v>
      </c>
      <c r="BT4" s="9">
        <v>1.411171409133809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16.635650429933417</v>
      </c>
      <c r="CA4" s="9">
        <v>0</v>
      </c>
      <c r="CB4" s="11">
        <v>27.543607790376271</v>
      </c>
      <c r="CC4" s="12"/>
      <c r="CD4" s="12"/>
      <c r="CE4" s="12"/>
    </row>
    <row r="5" spans="1:83" x14ac:dyDescent="0.35">
      <c r="A5" s="8" t="s">
        <v>117</v>
      </c>
      <c r="B5" s="8" t="s">
        <v>121</v>
      </c>
      <c r="C5" s="8"/>
      <c r="D5" s="9">
        <v>10.642857142857142</v>
      </c>
      <c r="E5" s="9">
        <v>89.357142857142861</v>
      </c>
      <c r="F5" s="9">
        <v>97.837283682838248</v>
      </c>
      <c r="G5" s="9">
        <v>2.1627163171617485</v>
      </c>
      <c r="H5" s="9">
        <v>16.561772537662883</v>
      </c>
      <c r="I5" s="9">
        <v>451.67256662757444</v>
      </c>
      <c r="J5" s="9">
        <v>43.970329049555858</v>
      </c>
      <c r="K5" s="9">
        <v>43.852376849455027</v>
      </c>
      <c r="L5" s="9">
        <v>0</v>
      </c>
      <c r="M5" s="9">
        <v>3.5115715154495637E-2</v>
      </c>
      <c r="N5" s="9">
        <v>0</v>
      </c>
      <c r="O5" s="9">
        <v>0</v>
      </c>
      <c r="P5" s="9">
        <v>6.518780005956712</v>
      </c>
      <c r="Q5" s="9">
        <v>0.33303300148718451</v>
      </c>
      <c r="R5" s="9">
        <v>1.3621364405997656</v>
      </c>
      <c r="S5" s="9">
        <v>2.0752432907077283E-3</v>
      </c>
      <c r="T5" s="9">
        <v>45.913159821041475</v>
      </c>
      <c r="U5" s="9">
        <v>0.42288797975580056</v>
      </c>
      <c r="V5" s="9">
        <v>0.28991476898022317</v>
      </c>
      <c r="W5" s="10">
        <v>0</v>
      </c>
      <c r="X5" s="10">
        <v>0</v>
      </c>
      <c r="Y5" s="10">
        <v>0</v>
      </c>
      <c r="Z5" s="10">
        <v>8.3391251556045564E-6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1.2352887435603546E-6</v>
      </c>
      <c r="AH5" s="10">
        <v>0</v>
      </c>
      <c r="AI5" s="10">
        <v>6.734907483971154E-7</v>
      </c>
      <c r="AJ5" s="10">
        <v>1.2506020584487521E-4</v>
      </c>
      <c r="AK5" s="10">
        <v>3.5841635770068581E-3</v>
      </c>
      <c r="AL5" s="10">
        <v>0</v>
      </c>
      <c r="AM5" s="10">
        <v>1.4276706786070081E-7</v>
      </c>
      <c r="AN5" s="10">
        <v>0</v>
      </c>
      <c r="AO5" s="10">
        <v>0</v>
      </c>
      <c r="AP5" s="10">
        <v>3.6074870466298224E-2</v>
      </c>
      <c r="AQ5" s="10">
        <v>1.2506555379533664E-3</v>
      </c>
      <c r="AR5" s="10">
        <v>1.283028249320384E-5</v>
      </c>
      <c r="AS5" s="10">
        <v>1.5780963548636246E-5</v>
      </c>
      <c r="AT5" s="10">
        <v>6.5686407543279279E-7</v>
      </c>
      <c r="AU5" s="10">
        <v>0</v>
      </c>
      <c r="AV5" s="10">
        <v>0</v>
      </c>
      <c r="AW5" s="10">
        <v>0</v>
      </c>
      <c r="AX5" s="10">
        <v>1.9556735449145723E-6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1.0742350942381173E-3</v>
      </c>
      <c r="BF5" s="10">
        <v>0</v>
      </c>
      <c r="BG5" s="9">
        <v>0</v>
      </c>
      <c r="BH5" s="9">
        <v>0</v>
      </c>
      <c r="BI5" s="9">
        <v>0</v>
      </c>
      <c r="BJ5" s="9">
        <v>23.583093283467822</v>
      </c>
      <c r="BK5" s="9">
        <v>0.27428376866579118</v>
      </c>
      <c r="BL5" s="9">
        <v>0</v>
      </c>
      <c r="BM5" s="9">
        <v>0</v>
      </c>
      <c r="BN5" s="9">
        <v>0.16842222834732198</v>
      </c>
      <c r="BO5" s="9">
        <v>8.1645159415661528</v>
      </c>
      <c r="BP5" s="9">
        <v>4.7013366514143087</v>
      </c>
      <c r="BQ5" s="9">
        <v>0</v>
      </c>
      <c r="BR5" s="9">
        <v>85.003294859740734</v>
      </c>
      <c r="BS5" s="9">
        <v>17.79058369825308</v>
      </c>
      <c r="BT5" s="9">
        <v>1.3903426214741381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17.159496569534323</v>
      </c>
      <c r="CA5" s="9">
        <v>0</v>
      </c>
      <c r="CB5" s="11">
        <v>60.94563180937687</v>
      </c>
      <c r="CC5" s="12"/>
      <c r="CD5" s="12"/>
      <c r="CE5" s="12"/>
    </row>
    <row r="6" spans="1:83" x14ac:dyDescent="0.35">
      <c r="A6" s="8" t="s">
        <v>117</v>
      </c>
      <c r="B6" s="8" t="s">
        <v>122</v>
      </c>
      <c r="C6" s="8"/>
      <c r="D6" s="9">
        <v>8.7888888888888896</v>
      </c>
      <c r="E6" s="9">
        <v>91.211111111111109</v>
      </c>
      <c r="F6" s="9">
        <v>98.452373993330554</v>
      </c>
      <c r="G6" s="9">
        <v>1.5476260066694412</v>
      </c>
      <c r="H6" s="9">
        <v>19.2058264142469</v>
      </c>
      <c r="I6" s="9">
        <v>513.99809525018293</v>
      </c>
      <c r="J6" s="9">
        <v>48.446610384393487</v>
      </c>
      <c r="K6" s="9">
        <v>48.316321209428857</v>
      </c>
      <c r="L6" s="9">
        <v>0</v>
      </c>
      <c r="M6" s="9">
        <v>2.5281767012530064E-2</v>
      </c>
      <c r="N6" s="9">
        <v>0</v>
      </c>
      <c r="O6" s="9">
        <v>0</v>
      </c>
      <c r="P6" s="9">
        <v>7.0319364988850133</v>
      </c>
      <c r="Q6" s="9">
        <v>0.34678987542418505</v>
      </c>
      <c r="R6" s="9">
        <v>2.0961754231190666</v>
      </c>
      <c r="S6" s="9">
        <v>8.097001197180892E-2</v>
      </c>
      <c r="T6" s="9">
        <v>40.850813015719787</v>
      </c>
      <c r="U6" s="9">
        <v>0.2833108905775848</v>
      </c>
      <c r="V6" s="9">
        <v>0.42891065514079679</v>
      </c>
      <c r="W6" s="10">
        <v>0</v>
      </c>
      <c r="X6" s="10">
        <v>0</v>
      </c>
      <c r="Y6" s="10">
        <v>0</v>
      </c>
      <c r="Z6" s="10">
        <v>1.4731401806040518E-6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4.750001117975765E-6</v>
      </c>
      <c r="AH6" s="10">
        <v>4.9273038521776101E-7</v>
      </c>
      <c r="AI6" s="10">
        <v>8.9534338014496805E-7</v>
      </c>
      <c r="AJ6" s="10">
        <v>2.8574866931810913E-4</v>
      </c>
      <c r="AK6" s="10">
        <v>2.1944275115182797E-3</v>
      </c>
      <c r="AL6" s="10">
        <v>0</v>
      </c>
      <c r="AM6" s="10">
        <v>1.6107903456688871E-7</v>
      </c>
      <c r="AN6" s="10">
        <v>0</v>
      </c>
      <c r="AO6" s="10">
        <v>0</v>
      </c>
      <c r="AP6" s="10">
        <v>8.4927596920605128E-2</v>
      </c>
      <c r="AQ6" s="10">
        <v>3.5022977375752632E-3</v>
      </c>
      <c r="AR6" s="10">
        <v>1.2286975552822217E-5</v>
      </c>
      <c r="AS6" s="10">
        <v>2.2185232256509203E-5</v>
      </c>
      <c r="AT6" s="10">
        <v>1.5234091734247203E-6</v>
      </c>
      <c r="AU6" s="10">
        <v>0</v>
      </c>
      <c r="AV6" s="10">
        <v>0</v>
      </c>
      <c r="AW6" s="10">
        <v>0</v>
      </c>
      <c r="AX6" s="10">
        <v>1.6339976681703728E-6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3.6050703874110157E-3</v>
      </c>
      <c r="BF6" s="10">
        <v>0</v>
      </c>
      <c r="BG6" s="9">
        <v>0</v>
      </c>
      <c r="BH6" s="9">
        <v>0</v>
      </c>
      <c r="BI6" s="9">
        <v>0.26455857693197066</v>
      </c>
      <c r="BJ6" s="9">
        <v>34.328418916917762</v>
      </c>
      <c r="BK6" s="9">
        <v>0.85390643677127642</v>
      </c>
      <c r="BL6" s="9">
        <v>0</v>
      </c>
      <c r="BM6" s="9">
        <v>0</v>
      </c>
      <c r="BN6" s="9">
        <v>0.1860380150460893</v>
      </c>
      <c r="BO6" s="9">
        <v>12.078887507947204</v>
      </c>
      <c r="BP6" s="9">
        <v>14.891207360463101</v>
      </c>
      <c r="BQ6" s="9">
        <v>0</v>
      </c>
      <c r="BR6" s="9">
        <v>71.46987833126947</v>
      </c>
      <c r="BS6" s="9">
        <v>19.789689023585765</v>
      </c>
      <c r="BT6" s="9">
        <v>1.58803885645458</v>
      </c>
      <c r="BU6" s="9">
        <v>0</v>
      </c>
      <c r="BV6" s="9">
        <v>0</v>
      </c>
      <c r="BW6" s="9">
        <v>0</v>
      </c>
      <c r="BX6" s="9">
        <v>0</v>
      </c>
      <c r="BY6" s="9">
        <v>2.1342739514704969</v>
      </c>
      <c r="BZ6" s="9">
        <v>19.095712029395678</v>
      </c>
      <c r="CA6" s="9">
        <v>0</v>
      </c>
      <c r="CB6" s="11">
        <v>35.849357179253154</v>
      </c>
      <c r="CC6" s="12"/>
      <c r="CD6" s="12"/>
      <c r="CE6" s="12"/>
    </row>
    <row r="7" spans="1:83" x14ac:dyDescent="0.35">
      <c r="A7" s="8" t="s">
        <v>117</v>
      </c>
      <c r="B7" s="8" t="s">
        <v>123</v>
      </c>
      <c r="C7" s="8"/>
      <c r="D7" s="9">
        <v>49.945454545454545</v>
      </c>
      <c r="E7" s="9">
        <v>50.054545454545455</v>
      </c>
      <c r="F7" s="9">
        <v>95.690520457986167</v>
      </c>
      <c r="G7" s="9">
        <v>4.3094795420138441</v>
      </c>
      <c r="H7" s="9">
        <v>19.347023266837258</v>
      </c>
      <c r="I7" s="9">
        <v>539.46658293396172</v>
      </c>
      <c r="J7" s="9">
        <v>47.667609874252065</v>
      </c>
      <c r="K7" s="9">
        <v>47.667609874252065</v>
      </c>
      <c r="L7" s="9">
        <v>0</v>
      </c>
      <c r="M7" s="9">
        <v>0.33650323822423894</v>
      </c>
      <c r="N7" s="9">
        <v>1.6652305483741814</v>
      </c>
      <c r="O7" s="9">
        <v>0</v>
      </c>
      <c r="P7" s="9">
        <v>7.1201827719839317</v>
      </c>
      <c r="Q7" s="9">
        <v>0.38378206845772361</v>
      </c>
      <c r="R7" s="9">
        <v>3.3944884500797285</v>
      </c>
      <c r="S7" s="9">
        <v>1.0079474551418557</v>
      </c>
      <c r="T7" s="9">
        <v>37.170544861993896</v>
      </c>
      <c r="U7" s="9">
        <v>0.16864015099806251</v>
      </c>
      <c r="V7" s="9">
        <v>0.75400961225777152</v>
      </c>
      <c r="W7" s="10">
        <v>0</v>
      </c>
      <c r="X7" s="10">
        <v>0</v>
      </c>
      <c r="Y7" s="10">
        <v>0</v>
      </c>
      <c r="Z7" s="10">
        <v>5.7461406518010298E-7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1.1835390967884565E-6</v>
      </c>
      <c r="AH7" s="10">
        <v>0</v>
      </c>
      <c r="AI7" s="10">
        <v>0</v>
      </c>
      <c r="AJ7" s="10">
        <v>1.786914294622323E-4</v>
      </c>
      <c r="AK7" s="10">
        <v>2.624566886425388E-3</v>
      </c>
      <c r="AL7" s="10">
        <v>0</v>
      </c>
      <c r="AM7" s="10">
        <v>0</v>
      </c>
      <c r="AN7" s="10">
        <v>0</v>
      </c>
      <c r="AO7" s="10">
        <v>0</v>
      </c>
      <c r="AP7" s="10">
        <v>4.2894879756085295E-2</v>
      </c>
      <c r="AQ7" s="10">
        <v>2.9724404371886208E-4</v>
      </c>
      <c r="AR7" s="10">
        <v>0</v>
      </c>
      <c r="AS7" s="10">
        <v>1.9151814475304112E-5</v>
      </c>
      <c r="AT7" s="10">
        <v>5.4873176305646607E-6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1.1512607577851349E-4</v>
      </c>
      <c r="BA7" s="10">
        <v>0</v>
      </c>
      <c r="BB7" s="10">
        <v>0</v>
      </c>
      <c r="BC7" s="10">
        <v>0</v>
      </c>
      <c r="BD7" s="10">
        <v>0</v>
      </c>
      <c r="BE7" s="10">
        <v>2.5763090480195841E-3</v>
      </c>
      <c r="BF7" s="10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21.234252815152836</v>
      </c>
      <c r="BP7" s="9">
        <v>17.003305774879038</v>
      </c>
      <c r="BQ7" s="9">
        <v>0</v>
      </c>
      <c r="BR7" s="9">
        <v>57.53267880165361</v>
      </c>
      <c r="BS7" s="9">
        <v>20.293003611913171</v>
      </c>
      <c r="BT7" s="9">
        <v>1.6379780572182121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19.279271838967023</v>
      </c>
      <c r="CA7" s="9">
        <v>0</v>
      </c>
      <c r="CB7" s="11">
        <v>57.452961867954286</v>
      </c>
      <c r="CC7" s="12"/>
      <c r="CD7" s="12"/>
      <c r="CE7" s="12"/>
    </row>
    <row r="8" spans="1:83" x14ac:dyDescent="0.35">
      <c r="A8" s="8" t="s">
        <v>117</v>
      </c>
      <c r="B8" s="8" t="s">
        <v>124</v>
      </c>
      <c r="C8" s="8"/>
      <c r="D8" s="9">
        <v>54.807142857142864</v>
      </c>
      <c r="E8" s="9">
        <v>45.214285714285715</v>
      </c>
      <c r="F8" s="9">
        <v>95.955611151413748</v>
      </c>
      <c r="G8" s="9">
        <v>4.0443888485862711</v>
      </c>
      <c r="H8" s="9">
        <v>20.474824810998559</v>
      </c>
      <c r="I8" s="9">
        <v>569.08710458364942</v>
      </c>
      <c r="J8" s="9">
        <v>49.544284506962207</v>
      </c>
      <c r="K8" s="9">
        <v>49.544284506962207</v>
      </c>
      <c r="L8" s="9">
        <v>0</v>
      </c>
      <c r="M8" s="9">
        <v>9.4605715475363922E-2</v>
      </c>
      <c r="N8" s="9">
        <v>1.599298853708202</v>
      </c>
      <c r="O8" s="9">
        <v>0</v>
      </c>
      <c r="P8" s="9">
        <v>7.359527914325847</v>
      </c>
      <c r="Q8" s="9">
        <v>0.4394226291479511</v>
      </c>
      <c r="R8" s="9">
        <v>3.4280751253242721</v>
      </c>
      <c r="S8" s="9">
        <v>1.0497922947116964</v>
      </c>
      <c r="T8" s="9">
        <v>35.279745355239733</v>
      </c>
      <c r="U8" s="9">
        <v>0.24094318843167975</v>
      </c>
      <c r="V8" s="9">
        <v>0.76206459889623357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1.8661007664213237E-4</v>
      </c>
      <c r="AK8" s="10">
        <v>1.796172056146738E-3</v>
      </c>
      <c r="AL8" s="10">
        <v>0</v>
      </c>
      <c r="AM8" s="10">
        <v>0</v>
      </c>
      <c r="AN8" s="10">
        <v>0</v>
      </c>
      <c r="AO8" s="10">
        <v>0</v>
      </c>
      <c r="AP8" s="10">
        <v>4.2365234827295171E-2</v>
      </c>
      <c r="AQ8" s="10">
        <v>5.5569660498581248E-4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2.5041090197761508E-3</v>
      </c>
      <c r="BF8" s="10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21.461095576734635</v>
      </c>
      <c r="BP8" s="9">
        <v>21.778964408075943</v>
      </c>
      <c r="BQ8" s="9">
        <v>0</v>
      </c>
      <c r="BR8" s="9">
        <v>52.711006773373121</v>
      </c>
      <c r="BS8" s="9">
        <v>21.12445062400916</v>
      </c>
      <c r="BT8" s="9">
        <v>1.7202081667145059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20.315077775235579</v>
      </c>
      <c r="CA8" s="9">
        <v>0</v>
      </c>
      <c r="CB8" s="11">
        <v>52.715551166603156</v>
      </c>
      <c r="CC8" s="12"/>
      <c r="CD8" s="12"/>
      <c r="CE8" s="12"/>
    </row>
    <row r="9" spans="1:83" x14ac:dyDescent="0.35">
      <c r="A9" s="8" t="s">
        <v>117</v>
      </c>
      <c r="B9" s="8" t="s">
        <v>125</v>
      </c>
      <c r="C9" s="8"/>
      <c r="D9" s="9">
        <v>58.366666666666667</v>
      </c>
      <c r="E9" s="9">
        <v>41.633333333333326</v>
      </c>
      <c r="F9" s="9">
        <v>91.350920223742065</v>
      </c>
      <c r="G9" s="9">
        <v>8.6490797762579454</v>
      </c>
      <c r="H9" s="9">
        <v>25.77184229790425</v>
      </c>
      <c r="I9" s="9">
        <v>743.09677815443729</v>
      </c>
      <c r="J9" s="9">
        <v>57.147639038488009</v>
      </c>
      <c r="K9" s="9">
        <v>57.147639038488009</v>
      </c>
      <c r="L9" s="9">
        <v>0</v>
      </c>
      <c r="M9" s="9">
        <v>3.7887323880203563E-2</v>
      </c>
      <c r="N9" s="9">
        <v>2.7017804417282059</v>
      </c>
      <c r="O9" s="9">
        <v>0</v>
      </c>
      <c r="P9" s="9">
        <v>8.2849967159131381</v>
      </c>
      <c r="Q9" s="9">
        <v>0.59134707314240698</v>
      </c>
      <c r="R9" s="9">
        <v>6.0061370270227696</v>
      </c>
      <c r="S9" s="9">
        <v>3.1353013820033664</v>
      </c>
      <c r="T9" s="9">
        <v>19.326851081313553</v>
      </c>
      <c r="U9" s="9">
        <v>0.46758787683042363</v>
      </c>
      <c r="V9" s="9">
        <v>1.331661443192113</v>
      </c>
      <c r="W9" s="10">
        <v>0</v>
      </c>
      <c r="X9" s="10">
        <v>0</v>
      </c>
      <c r="Y9" s="10">
        <v>0</v>
      </c>
      <c r="Z9" s="10">
        <v>1.2911784179388394E-6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1.7312227935384902E-6</v>
      </c>
      <c r="AH9" s="10">
        <v>0</v>
      </c>
      <c r="AI9" s="10">
        <v>1.6161598093847513E-5</v>
      </c>
      <c r="AJ9" s="10">
        <v>2.7628314209186122E-4</v>
      </c>
      <c r="AK9" s="10">
        <v>4.5496976685827101E-3</v>
      </c>
      <c r="AL9" s="10">
        <v>0</v>
      </c>
      <c r="AM9" s="10">
        <v>2.2003784366246872E-7</v>
      </c>
      <c r="AN9" s="10">
        <v>0</v>
      </c>
      <c r="AO9" s="10">
        <v>0</v>
      </c>
      <c r="AP9" s="10">
        <v>4.043927930657832E-2</v>
      </c>
      <c r="AQ9" s="10">
        <v>5.1176911996971843E-4</v>
      </c>
      <c r="AR9" s="10">
        <v>3.4882669851317739E-6</v>
      </c>
      <c r="AS9" s="10">
        <v>1.2310401102448743E-5</v>
      </c>
      <c r="AT9" s="10">
        <v>4.8489018535797112E-6</v>
      </c>
      <c r="AU9" s="10">
        <v>0</v>
      </c>
      <c r="AV9" s="10">
        <v>0</v>
      </c>
      <c r="AW9" s="10">
        <v>0</v>
      </c>
      <c r="AX9" s="10">
        <v>1.9825930934081898E-5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4.6431237735740632E-3</v>
      </c>
      <c r="BF9" s="10">
        <v>0</v>
      </c>
      <c r="BG9" s="9">
        <v>0</v>
      </c>
      <c r="BH9" s="9">
        <v>0</v>
      </c>
      <c r="BI9" s="9">
        <v>9.2709207460736923E-2</v>
      </c>
      <c r="BJ9" s="9">
        <v>1.0351329594016632</v>
      </c>
      <c r="BK9" s="9">
        <v>1.8784789064731064E-2</v>
      </c>
      <c r="BL9" s="9">
        <v>0</v>
      </c>
      <c r="BM9" s="9">
        <v>0</v>
      </c>
      <c r="BN9" s="9">
        <v>0</v>
      </c>
      <c r="BO9" s="9">
        <v>37.501956592120578</v>
      </c>
      <c r="BP9" s="9">
        <v>45.399244070446507</v>
      </c>
      <c r="BQ9" s="9">
        <v>0</v>
      </c>
      <c r="BR9" s="9">
        <v>7.8627278298842596</v>
      </c>
      <c r="BS9" s="9">
        <v>25.175807584057925</v>
      </c>
      <c r="BT9" s="9">
        <v>2.1208873700633299</v>
      </c>
      <c r="BU9" s="9">
        <v>3.5180299032541774E-3</v>
      </c>
      <c r="BV9" s="9">
        <v>5.2770448548812663E-3</v>
      </c>
      <c r="BW9" s="9">
        <v>1.3755239499713026</v>
      </c>
      <c r="BX9" s="9">
        <v>0</v>
      </c>
      <c r="BY9" s="9">
        <v>1.4770282321901749</v>
      </c>
      <c r="BZ9" s="9">
        <v>24.483705487726525</v>
      </c>
      <c r="CA9" s="9">
        <v>0</v>
      </c>
      <c r="CB9" s="11">
        <v>5.9187735805184003</v>
      </c>
      <c r="CC9" s="12"/>
      <c r="CD9" s="12"/>
      <c r="CE9" s="12"/>
    </row>
    <row r="10" spans="1:83" x14ac:dyDescent="0.35">
      <c r="A10" s="8" t="s">
        <v>117</v>
      </c>
      <c r="B10" s="8" t="s">
        <v>126</v>
      </c>
      <c r="C10" s="8"/>
      <c r="D10" s="9">
        <v>80.565217391304344</v>
      </c>
      <c r="E10" s="9">
        <v>19.443478260869561</v>
      </c>
      <c r="F10" s="9">
        <v>93.220497175510587</v>
      </c>
      <c r="G10" s="9">
        <v>6.779502824489418</v>
      </c>
      <c r="H10" s="9">
        <v>18.958190859816952</v>
      </c>
      <c r="I10" s="9">
        <v>539.36806460390744</v>
      </c>
      <c r="J10" s="9">
        <v>46.486673215319222</v>
      </c>
      <c r="K10" s="9">
        <v>46.486673215319222</v>
      </c>
      <c r="L10" s="9">
        <v>0</v>
      </c>
      <c r="M10" s="9">
        <v>1.0263210030019982</v>
      </c>
      <c r="N10" s="9">
        <v>0.52653570687178752</v>
      </c>
      <c r="O10" s="9">
        <v>0</v>
      </c>
      <c r="P10" s="9">
        <v>6.9570372600503019</v>
      </c>
      <c r="Q10" s="9">
        <v>1.3815970011621443</v>
      </c>
      <c r="R10" s="9">
        <v>4.7143871840193796</v>
      </c>
      <c r="S10" s="9">
        <v>0.35185081082960012</v>
      </c>
      <c r="T10" s="9">
        <v>34.490860810368133</v>
      </c>
      <c r="U10" s="9">
        <v>0.81121296613794136</v>
      </c>
      <c r="V10" s="9">
        <v>1.0679109208275277</v>
      </c>
      <c r="W10" s="10">
        <v>0</v>
      </c>
      <c r="X10" s="10">
        <v>0</v>
      </c>
      <c r="Y10" s="10">
        <v>0</v>
      </c>
      <c r="Z10" s="10">
        <v>1.5579564558556209E-6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1.2279417622330309E-7</v>
      </c>
      <c r="AH10" s="10">
        <v>0</v>
      </c>
      <c r="AI10" s="10">
        <v>3.888636501458701E-6</v>
      </c>
      <c r="AJ10" s="10">
        <v>1.792749171111241E-4</v>
      </c>
      <c r="AK10" s="10">
        <v>5.6195451465860602E-4</v>
      </c>
      <c r="AL10" s="10">
        <v>0</v>
      </c>
      <c r="AM10" s="10">
        <v>2.5318609639308934E-7</v>
      </c>
      <c r="AN10" s="10">
        <v>0</v>
      </c>
      <c r="AO10" s="10">
        <v>0</v>
      </c>
      <c r="AP10" s="10">
        <v>0.10978937090245969</v>
      </c>
      <c r="AQ10" s="10">
        <v>7.2309380238748909E-5</v>
      </c>
      <c r="AR10" s="10">
        <v>3.6269288933699037E-5</v>
      </c>
      <c r="AS10" s="10">
        <v>2.3991249671609435E-5</v>
      </c>
      <c r="AT10" s="10">
        <v>6.1834327997030668E-7</v>
      </c>
      <c r="AU10" s="10">
        <v>0</v>
      </c>
      <c r="AV10" s="10">
        <v>0</v>
      </c>
      <c r="AW10" s="10">
        <v>0</v>
      </c>
      <c r="AX10" s="10">
        <v>1.4515023980387299E-5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3.6867778267398259E-3</v>
      </c>
      <c r="BF10" s="10">
        <v>0</v>
      </c>
      <c r="BG10" s="9">
        <v>0</v>
      </c>
      <c r="BH10" s="9">
        <v>0</v>
      </c>
      <c r="BI10" s="9">
        <v>6.7008672208075639</v>
      </c>
      <c r="BJ10" s="9">
        <v>0</v>
      </c>
      <c r="BK10" s="9">
        <v>0.36717942198491399</v>
      </c>
      <c r="BL10" s="9">
        <v>0</v>
      </c>
      <c r="BM10" s="9">
        <v>0</v>
      </c>
      <c r="BN10" s="9">
        <v>0</v>
      </c>
      <c r="BO10" s="9">
        <v>30.074272407500946</v>
      </c>
      <c r="BP10" s="9">
        <v>15.325597158751577</v>
      </c>
      <c r="BQ10" s="9">
        <v>0</v>
      </c>
      <c r="BR10" s="9">
        <v>47.929970344260994</v>
      </c>
      <c r="BS10" s="9">
        <v>20.165156950375128</v>
      </c>
      <c r="BT10" s="9">
        <v>1.6253340223921</v>
      </c>
      <c r="BU10" s="9">
        <v>1.2978585334198574E-2</v>
      </c>
      <c r="BV10" s="9">
        <v>1.5345975436825534E-2</v>
      </c>
      <c r="BW10" s="9">
        <v>35.488767391256935</v>
      </c>
      <c r="BX10" s="9">
        <v>0</v>
      </c>
      <c r="BY10" s="9">
        <v>43.901764611465516</v>
      </c>
      <c r="BZ10" s="9">
        <v>18.743301379255026</v>
      </c>
      <c r="CA10" s="9">
        <v>0</v>
      </c>
      <c r="CB10" s="11">
        <v>5.2354890144376318</v>
      </c>
      <c r="CC10" s="12"/>
      <c r="CD10" s="12"/>
      <c r="CE10" s="12"/>
    </row>
    <row r="11" spans="1:83" x14ac:dyDescent="0.35">
      <c r="A11" s="8" t="s">
        <v>117</v>
      </c>
      <c r="B11" s="8" t="s">
        <v>127</v>
      </c>
      <c r="C11" s="8"/>
      <c r="D11" s="9">
        <v>82.714285714285708</v>
      </c>
      <c r="E11" s="9">
        <v>17.307142857142857</v>
      </c>
      <c r="F11" s="9">
        <v>94.551525380901325</v>
      </c>
      <c r="G11" s="9">
        <v>5.4484746190986737</v>
      </c>
      <c r="H11" s="9">
        <v>18.695702123106482</v>
      </c>
      <c r="I11" s="9">
        <v>528.34761605651363</v>
      </c>
      <c r="J11" s="9">
        <v>46.314213067535228</v>
      </c>
      <c r="K11" s="9">
        <v>46.314213067535228</v>
      </c>
      <c r="L11" s="9">
        <v>0</v>
      </c>
      <c r="M11" s="9">
        <v>0.77588848343591332</v>
      </c>
      <c r="N11" s="9">
        <v>0.18138609235058628</v>
      </c>
      <c r="O11" s="9">
        <v>0</v>
      </c>
      <c r="P11" s="9">
        <v>6.9778275740648121</v>
      </c>
      <c r="Q11" s="9">
        <v>0.93642366963435431</v>
      </c>
      <c r="R11" s="9">
        <v>3.5695732642309848</v>
      </c>
      <c r="S11" s="9">
        <v>0.24323036519821375</v>
      </c>
      <c r="T11" s="9">
        <v>37.257030109029039</v>
      </c>
      <c r="U11" s="9">
        <v>0.58585568642197239</v>
      </c>
      <c r="V11" s="9">
        <v>0.8086123602402705</v>
      </c>
      <c r="W11" s="10">
        <v>0</v>
      </c>
      <c r="X11" s="10">
        <v>0</v>
      </c>
      <c r="Y11" s="10">
        <v>0</v>
      </c>
      <c r="Z11" s="10">
        <v>8.9581098708843088E-7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7.7509361701721473E-9</v>
      </c>
      <c r="AH11" s="10">
        <v>0</v>
      </c>
      <c r="AI11" s="10">
        <v>8.5468234082165186E-7</v>
      </c>
      <c r="AJ11" s="10">
        <v>7.5072156795016805E-5</v>
      </c>
      <c r="AK11" s="10">
        <v>3.298280543590561E-4</v>
      </c>
      <c r="AL11" s="10">
        <v>0</v>
      </c>
      <c r="AM11" s="10">
        <v>8.958109870884308E-8</v>
      </c>
      <c r="AN11" s="10">
        <v>0</v>
      </c>
      <c r="AO11" s="10">
        <v>0</v>
      </c>
      <c r="AP11" s="10">
        <v>7.426473003663224E-2</v>
      </c>
      <c r="AQ11" s="10">
        <v>1.0493202952008286E-4</v>
      </c>
      <c r="AR11" s="10">
        <v>7.4918300861619799E-6</v>
      </c>
      <c r="AS11" s="10">
        <v>1.0140789933433448E-5</v>
      </c>
      <c r="AT11" s="10">
        <v>3.4491665957266044E-7</v>
      </c>
      <c r="AU11" s="10">
        <v>0</v>
      </c>
      <c r="AV11" s="10">
        <v>0</v>
      </c>
      <c r="AW11" s="10">
        <v>0</v>
      </c>
      <c r="AX11" s="10">
        <v>1.1057633791178179E-5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2.8770697894988525E-3</v>
      </c>
      <c r="BF11" s="10">
        <v>0</v>
      </c>
      <c r="BG11" s="9">
        <v>0</v>
      </c>
      <c r="BH11" s="9">
        <v>0</v>
      </c>
      <c r="BI11" s="9">
        <v>19.664521787765349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22.771963391004327</v>
      </c>
      <c r="BP11" s="9">
        <v>14.839952942395415</v>
      </c>
      <c r="BQ11" s="9">
        <v>0</v>
      </c>
      <c r="BR11" s="9">
        <v>57.702941594534082</v>
      </c>
      <c r="BS11" s="9">
        <v>19.845923641621006</v>
      </c>
      <c r="BT11" s="9">
        <v>1.5937618481563178</v>
      </c>
      <c r="BU11" s="9">
        <v>3.9894135941583833</v>
      </c>
      <c r="BV11" s="9">
        <v>3.6492334009882224</v>
      </c>
      <c r="BW11" s="9">
        <v>16.612300406744001</v>
      </c>
      <c r="BX11" s="9">
        <v>0</v>
      </c>
      <c r="BY11" s="9">
        <v>49.227328327250646</v>
      </c>
      <c r="BZ11" s="9">
        <v>18.737553167281245</v>
      </c>
      <c r="CA11" s="9">
        <v>0</v>
      </c>
      <c r="CB11" s="11">
        <v>13.024139857845634</v>
      </c>
      <c r="CC11" s="12"/>
      <c r="CD11" s="12"/>
      <c r="CE11" s="12"/>
    </row>
    <row r="12" spans="1:83" x14ac:dyDescent="0.35">
      <c r="A12" s="8" t="s">
        <v>117</v>
      </c>
      <c r="B12" s="8" t="s">
        <v>128</v>
      </c>
      <c r="C12" s="8"/>
      <c r="D12" s="9">
        <v>61.595000000000006</v>
      </c>
      <c r="E12" s="9">
        <v>38.43</v>
      </c>
      <c r="F12" s="9">
        <v>94.234878201045888</v>
      </c>
      <c r="G12" s="9">
        <v>5.7651217989541159</v>
      </c>
      <c r="H12" s="9">
        <v>24.758164783012067</v>
      </c>
      <c r="I12" s="9">
        <v>691.08826360273588</v>
      </c>
      <c r="J12" s="9">
        <v>55.799930050288502</v>
      </c>
      <c r="K12" s="9">
        <v>55.799930050288502</v>
      </c>
      <c r="L12" s="9">
        <v>0</v>
      </c>
      <c r="M12" s="9">
        <v>0.20068131416951168</v>
      </c>
      <c r="N12" s="9">
        <v>1.254461166590308</v>
      </c>
      <c r="O12" s="9">
        <v>0</v>
      </c>
      <c r="P12" s="9">
        <v>8.176775430575228</v>
      </c>
      <c r="Q12" s="9">
        <v>0.59446318125990838</v>
      </c>
      <c r="R12" s="9">
        <v>8.0446396720439211</v>
      </c>
      <c r="S12" s="9">
        <v>1.3516872115621565</v>
      </c>
      <c r="T12" s="9">
        <v>21.417605563915753</v>
      </c>
      <c r="U12" s="9">
        <v>0.69863005079095308</v>
      </c>
      <c r="V12" s="9">
        <v>1.7860519442302654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3.1847133757961781E-8</v>
      </c>
      <c r="AH12" s="10">
        <v>0</v>
      </c>
      <c r="AI12" s="10">
        <v>2.2209150275875975E-6</v>
      </c>
      <c r="AJ12" s="10">
        <v>1.8822722667428677E-4</v>
      </c>
      <c r="AK12" s="10">
        <v>7.1756216423437989E-3</v>
      </c>
      <c r="AL12" s="10">
        <v>0</v>
      </c>
      <c r="AM12" s="10">
        <v>0</v>
      </c>
      <c r="AN12" s="10">
        <v>0</v>
      </c>
      <c r="AO12" s="10">
        <v>0</v>
      </c>
      <c r="AP12" s="10">
        <v>4.6230486456180019E-2</v>
      </c>
      <c r="AQ12" s="10">
        <v>1.0139695430275623E-4</v>
      </c>
      <c r="AR12" s="10">
        <v>1.8046709129511676E-6</v>
      </c>
      <c r="AS12" s="10">
        <v>6.8103870651641347E-7</v>
      </c>
      <c r="AT12" s="10">
        <v>2.1231422505307853E-7</v>
      </c>
      <c r="AU12" s="10">
        <v>0</v>
      </c>
      <c r="AV12" s="10">
        <v>0</v>
      </c>
      <c r="AW12" s="10">
        <v>0</v>
      </c>
      <c r="AX12" s="10">
        <v>7.4643817023177395E-5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4.5121113997438796E-3</v>
      </c>
      <c r="BF12" s="10">
        <v>0</v>
      </c>
      <c r="BG12" s="9">
        <v>0</v>
      </c>
      <c r="BH12" s="9">
        <v>0</v>
      </c>
      <c r="BI12" s="9">
        <v>0.99009900990099009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50.298401914557047</v>
      </c>
      <c r="BP12" s="9">
        <v>36.646161899812526</v>
      </c>
      <c r="BQ12" s="9">
        <v>0</v>
      </c>
      <c r="BR12" s="9">
        <v>7.2925073190276892</v>
      </c>
      <c r="BS12" s="9">
        <v>25.087241901406436</v>
      </c>
      <c r="BT12" s="9">
        <v>2.1121282240490968</v>
      </c>
      <c r="BU12" s="9">
        <v>0</v>
      </c>
      <c r="BV12" s="9">
        <v>6.0190775175078481E-2</v>
      </c>
      <c r="BW12" s="9">
        <v>0</v>
      </c>
      <c r="BX12" s="9">
        <v>0</v>
      </c>
      <c r="BY12" s="9">
        <v>1.4988716349318039</v>
      </c>
      <c r="BZ12" s="9">
        <v>23.344005762381283</v>
      </c>
      <c r="CA12" s="9">
        <v>0</v>
      </c>
      <c r="CB12" s="11">
        <v>6.2400246016002443</v>
      </c>
      <c r="CC12" s="12"/>
      <c r="CD12" s="12"/>
      <c r="CE12" s="12"/>
    </row>
    <row r="13" spans="1:83" x14ac:dyDescent="0.35">
      <c r="A13" s="8" t="s">
        <v>117</v>
      </c>
      <c r="B13" s="8" t="s">
        <v>129</v>
      </c>
      <c r="C13" s="8"/>
      <c r="D13" s="9">
        <v>68.763636363636365</v>
      </c>
      <c r="E13" s="9">
        <v>31.236363636363638</v>
      </c>
      <c r="F13" s="9">
        <v>97.638891512820678</v>
      </c>
      <c r="G13" s="9">
        <v>2.3611084871793393</v>
      </c>
      <c r="H13" s="9">
        <v>31.362676241021028</v>
      </c>
      <c r="I13" s="9">
        <v>856.92445713384006</v>
      </c>
      <c r="J13" s="9">
        <v>67.66933491421338</v>
      </c>
      <c r="K13" s="9">
        <v>67.66933491421338</v>
      </c>
      <c r="L13" s="9">
        <v>0</v>
      </c>
      <c r="M13" s="9">
        <v>0.36903180068440783</v>
      </c>
      <c r="N13" s="9">
        <v>0.19381620747986483</v>
      </c>
      <c r="O13" s="9">
        <v>0</v>
      </c>
      <c r="P13" s="9">
        <v>9.642163261588534</v>
      </c>
      <c r="Q13" s="9">
        <v>0.47011397026430513</v>
      </c>
      <c r="R13" s="9">
        <v>1.9802933410185033</v>
      </c>
      <c r="S13" s="9">
        <v>0.13925516207160307</v>
      </c>
      <c r="T13" s="9">
        <v>18.117059474568489</v>
      </c>
      <c r="U13" s="9">
        <v>0.31488409614991564</v>
      </c>
      <c r="V13" s="9">
        <v>0.44655179047296739</v>
      </c>
      <c r="W13" s="10">
        <v>0</v>
      </c>
      <c r="X13" s="10">
        <v>0</v>
      </c>
      <c r="Y13" s="10">
        <v>0</v>
      </c>
      <c r="Z13" s="10">
        <v>1.4280469345402725E-6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7.6850795463481518E-9</v>
      </c>
      <c r="AH13" s="10">
        <v>0</v>
      </c>
      <c r="AI13" s="10">
        <v>4.2271129478931262E-7</v>
      </c>
      <c r="AJ13" s="10">
        <v>7.0325489526782867E-5</v>
      </c>
      <c r="AK13" s="10">
        <v>1.8205812222552045E-4</v>
      </c>
      <c r="AL13" s="10">
        <v>0</v>
      </c>
      <c r="AM13" s="10">
        <v>1.8498988645128521E-7</v>
      </c>
      <c r="AN13" s="10">
        <v>0</v>
      </c>
      <c r="AO13" s="10">
        <v>0</v>
      </c>
      <c r="AP13" s="10">
        <v>3.6728948376642777E-2</v>
      </c>
      <c r="AQ13" s="10">
        <v>1.8092110563304323E-5</v>
      </c>
      <c r="AR13" s="10">
        <v>2.0391941442443729E-5</v>
      </c>
      <c r="AS13" s="10">
        <v>1.3455166503364278E-6</v>
      </c>
      <c r="AT13" s="10">
        <v>3.4198603981249278E-7</v>
      </c>
      <c r="AU13" s="10">
        <v>0</v>
      </c>
      <c r="AV13" s="10">
        <v>0</v>
      </c>
      <c r="AW13" s="10">
        <v>0</v>
      </c>
      <c r="AX13" s="10">
        <v>6.9140552399702317E-6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1.3065206396096415E-3</v>
      </c>
      <c r="BF13" s="10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12.575693280048652</v>
      </c>
      <c r="BP13" s="9">
        <v>70.506908697725493</v>
      </c>
      <c r="BQ13" s="9">
        <v>0</v>
      </c>
      <c r="BR13" s="9">
        <v>14.503126323988566</v>
      </c>
      <c r="BS13" s="9">
        <v>28.708751861501501</v>
      </c>
      <c r="BT13" s="9">
        <v>2.4702955591024982</v>
      </c>
      <c r="BU13" s="9">
        <v>0</v>
      </c>
      <c r="BV13" s="9">
        <v>5.4226475279106852E-2</v>
      </c>
      <c r="BW13" s="9">
        <v>12.446308443917543</v>
      </c>
      <c r="BX13" s="9">
        <v>0</v>
      </c>
      <c r="BY13" s="9">
        <v>13.158771839337993</v>
      </c>
      <c r="BZ13" s="9">
        <v>30.653308836286385</v>
      </c>
      <c r="CA13" s="9">
        <v>0</v>
      </c>
      <c r="CB13" s="11">
        <v>2.0557546158498599</v>
      </c>
      <c r="CC13" s="12"/>
      <c r="CD13" s="12"/>
      <c r="CE13" s="12"/>
    </row>
    <row r="14" spans="1:83" x14ac:dyDescent="0.35">
      <c r="A14" s="8" t="s">
        <v>117</v>
      </c>
      <c r="B14" s="8" t="s">
        <v>476</v>
      </c>
      <c r="C14" s="8"/>
      <c r="D14" s="9">
        <v>15.25</v>
      </c>
      <c r="E14" s="9">
        <v>84.75</v>
      </c>
      <c r="F14" s="9">
        <v>98.937060386164035</v>
      </c>
      <c r="G14" s="9">
        <v>1.0629396138359666</v>
      </c>
      <c r="H14" s="9">
        <v>36.957975113905924</v>
      </c>
      <c r="I14" s="9">
        <v>1000.3495900729962</v>
      </c>
      <c r="J14" s="9">
        <v>77.163204955869134</v>
      </c>
      <c r="K14" s="9">
        <v>77.163204955869134</v>
      </c>
      <c r="L14" s="9">
        <v>0</v>
      </c>
      <c r="M14" s="9">
        <v>2.052839981955993E-2</v>
      </c>
      <c r="N14" s="9">
        <v>0.37788411737515382</v>
      </c>
      <c r="O14" s="9">
        <v>0</v>
      </c>
      <c r="P14" s="9">
        <v>10.829703909393363</v>
      </c>
      <c r="Q14" s="9">
        <v>3.3103026269624247E-2</v>
      </c>
      <c r="R14" s="9">
        <v>0.11918094686485373</v>
      </c>
      <c r="S14" s="9">
        <v>0.22507949944587077</v>
      </c>
      <c r="T14" s="9">
        <v>10.8093033870281</v>
      </c>
      <c r="U14" s="9">
        <v>2.636896375048034E-2</v>
      </c>
      <c r="V14" s="9">
        <v>2.7243248925466517E-2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5.8998056370815488E-7</v>
      </c>
      <c r="AH14" s="10">
        <v>0</v>
      </c>
      <c r="AI14" s="10">
        <v>3.7290558640239253E-6</v>
      </c>
      <c r="AJ14" s="10">
        <v>1.8908616013499589E-5</v>
      </c>
      <c r="AK14" s="10">
        <v>7.1090047393364927E-6</v>
      </c>
      <c r="AL14" s="10">
        <v>0</v>
      </c>
      <c r="AM14" s="10">
        <v>2.3599222548326195E-7</v>
      </c>
      <c r="AN14" s="10">
        <v>0</v>
      </c>
      <c r="AO14" s="10">
        <v>0</v>
      </c>
      <c r="AP14" s="10">
        <v>2.1229554301880702E-3</v>
      </c>
      <c r="AQ14" s="10">
        <v>0</v>
      </c>
      <c r="AR14" s="10">
        <v>0</v>
      </c>
      <c r="AS14" s="10">
        <v>6.5251850346121938E-7</v>
      </c>
      <c r="AT14" s="10">
        <v>4.719844509665239E-6</v>
      </c>
      <c r="AU14" s="10">
        <v>0</v>
      </c>
      <c r="AV14" s="10">
        <v>0</v>
      </c>
      <c r="AW14" s="10">
        <v>0</v>
      </c>
      <c r="AX14" s="10">
        <v>9.2417061611374404E-7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8.4820757291394027E-5</v>
      </c>
      <c r="BF14" s="10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0.76721838261092334</v>
      </c>
      <c r="BP14" s="9">
        <v>96.578112730492705</v>
      </c>
      <c r="BQ14" s="9">
        <v>0</v>
      </c>
      <c r="BR14" s="9">
        <v>0.7109004739336493</v>
      </c>
      <c r="BS14" s="9">
        <v>32.380290269553242</v>
      </c>
      <c r="BT14" s="9">
        <v>2.8334107076588162</v>
      </c>
      <c r="BU14" s="9">
        <v>0</v>
      </c>
      <c r="BV14" s="9">
        <v>0</v>
      </c>
      <c r="BW14" s="9">
        <v>0.69316624990950149</v>
      </c>
      <c r="BX14" s="9">
        <v>0</v>
      </c>
      <c r="BY14" s="9">
        <v>0.67553992793535333</v>
      </c>
      <c r="BZ14" s="9">
        <v>36.023920840271558</v>
      </c>
      <c r="CA14" s="9">
        <v>0</v>
      </c>
      <c r="CB14" s="11">
        <v>0.8985630231509063</v>
      </c>
      <c r="CC14" s="12"/>
      <c r="CD14" s="12"/>
      <c r="CE14" s="12"/>
    </row>
    <row r="15" spans="1:83" x14ac:dyDescent="0.35">
      <c r="A15" s="8" t="s">
        <v>117</v>
      </c>
      <c r="B15" s="8" t="s">
        <v>131</v>
      </c>
      <c r="C15" s="8"/>
      <c r="D15" s="9">
        <v>78.433333333333337</v>
      </c>
      <c r="E15" s="9">
        <v>21.566666666666666</v>
      </c>
      <c r="F15" s="9">
        <v>95.515760300583906</v>
      </c>
      <c r="G15" s="9">
        <v>4.4842396994161069</v>
      </c>
      <c r="H15" s="9">
        <v>15.282541504397559</v>
      </c>
      <c r="I15" s="9">
        <v>430.95009533617895</v>
      </c>
      <c r="J15" s="9">
        <v>41.194428414093039</v>
      </c>
      <c r="K15" s="9">
        <v>41.194428414093039</v>
      </c>
      <c r="L15" s="9">
        <v>0</v>
      </c>
      <c r="M15" s="9">
        <v>0</v>
      </c>
      <c r="N15" s="9">
        <v>0</v>
      </c>
      <c r="O15" s="9">
        <v>0</v>
      </c>
      <c r="P15" s="9">
        <v>6.2841250849933408</v>
      </c>
      <c r="Q15" s="9">
        <v>0</v>
      </c>
      <c r="R15" s="9">
        <v>1.5306911801646186</v>
      </c>
      <c r="S15" s="9">
        <v>0</v>
      </c>
      <c r="T15" s="9">
        <v>46.355719709132067</v>
      </c>
      <c r="U15" s="9">
        <v>0</v>
      </c>
      <c r="V15" s="9">
        <v>0.33970934640643008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9.5668198760288679</v>
      </c>
      <c r="BP15" s="9">
        <v>1.2494627460367853</v>
      </c>
      <c r="BQ15" s="9">
        <v>0</v>
      </c>
      <c r="BR15" s="9">
        <v>84.699477678518249</v>
      </c>
      <c r="BS15" s="9">
        <v>16.966856575323735</v>
      </c>
      <c r="BT15" s="9">
        <v>1.3090221152995172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15.906765049843854</v>
      </c>
      <c r="CA15" s="9">
        <v>0</v>
      </c>
      <c r="CB15" s="11">
        <v>84.699477678518249</v>
      </c>
      <c r="CC15" s="12"/>
      <c r="CD15" s="12"/>
      <c r="CE15" s="12"/>
    </row>
    <row r="16" spans="1:83" x14ac:dyDescent="0.35">
      <c r="A16" s="8" t="s">
        <v>117</v>
      </c>
      <c r="B16" s="8" t="s">
        <v>132</v>
      </c>
      <c r="C16" s="8">
        <v>1</v>
      </c>
      <c r="D16" s="9">
        <v>85.7</v>
      </c>
      <c r="E16" s="9">
        <v>14.299999999999999</v>
      </c>
      <c r="F16" s="9">
        <v>97.739847263469755</v>
      </c>
      <c r="G16" s="9">
        <v>2.2601527365302378</v>
      </c>
      <c r="H16" s="9">
        <v>15.46892363404111</v>
      </c>
      <c r="I16" s="9">
        <v>432.42941204593296</v>
      </c>
      <c r="J16" s="9">
        <v>41.78183469394066</v>
      </c>
      <c r="K16" s="9">
        <v>41.78183469394066</v>
      </c>
      <c r="L16" s="9">
        <v>0</v>
      </c>
      <c r="M16" s="9">
        <v>2.4084177688806441E-2</v>
      </c>
      <c r="N16" s="9">
        <v>0</v>
      </c>
      <c r="O16" s="9">
        <v>0</v>
      </c>
      <c r="P16" s="9">
        <v>6.473609946329046</v>
      </c>
      <c r="Q16" s="9">
        <v>0.50217264788471772</v>
      </c>
      <c r="R16" s="9">
        <v>0.33927778732022146</v>
      </c>
      <c r="S16" s="9">
        <v>9.9476811260278946E-3</v>
      </c>
      <c r="T16" s="9">
        <v>49.108431523717066</v>
      </c>
      <c r="U16" s="9">
        <v>6.3925392778761386E-2</v>
      </c>
      <c r="V16" s="9">
        <v>7.5957107879667779E-2</v>
      </c>
      <c r="W16" s="10">
        <v>0</v>
      </c>
      <c r="X16" s="10">
        <v>0</v>
      </c>
      <c r="Y16" s="10">
        <v>0</v>
      </c>
      <c r="Z16" s="10">
        <v>7.5165393366632409E-7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3.5082298247220264E-7</v>
      </c>
      <c r="AH16" s="10">
        <v>0</v>
      </c>
      <c r="AI16" s="10">
        <v>1.9861403580160254E-6</v>
      </c>
      <c r="AJ16" s="10">
        <v>1.3188812923674333E-4</v>
      </c>
      <c r="AK16" s="10">
        <v>6.2692347164742884E-4</v>
      </c>
      <c r="AL16" s="10">
        <v>0</v>
      </c>
      <c r="AM16" s="10">
        <v>3.8608669630353036E-7</v>
      </c>
      <c r="AN16" s="10">
        <v>0</v>
      </c>
      <c r="AO16" s="10">
        <v>0</v>
      </c>
      <c r="AP16" s="10">
        <v>1.8336264974459511E-2</v>
      </c>
      <c r="AQ16" s="10">
        <v>2.2310044596879499E-4</v>
      </c>
      <c r="AR16" s="10">
        <v>0</v>
      </c>
      <c r="AS16" s="10">
        <v>2.61948950163274E-6</v>
      </c>
      <c r="AT16" s="10">
        <v>2.1490227295076686E-6</v>
      </c>
      <c r="AU16" s="10">
        <v>0</v>
      </c>
      <c r="AV16" s="10">
        <v>0</v>
      </c>
      <c r="AW16" s="10">
        <v>0</v>
      </c>
      <c r="AX16" s="10">
        <v>8.3087659332051554E-7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9.8886752593225561E-5</v>
      </c>
      <c r="BF16" s="10">
        <v>0</v>
      </c>
      <c r="BG16" s="9">
        <v>0</v>
      </c>
      <c r="BH16" s="9">
        <v>0</v>
      </c>
      <c r="BI16" s="9">
        <v>1.7614202805668302</v>
      </c>
      <c r="BJ16" s="9">
        <v>0</v>
      </c>
      <c r="BK16" s="9">
        <v>2.3485603740891072</v>
      </c>
      <c r="BL16" s="9">
        <v>0</v>
      </c>
      <c r="BM16" s="9">
        <v>0</v>
      </c>
      <c r="BN16" s="9">
        <v>0</v>
      </c>
      <c r="BO16" s="9">
        <v>2.1390873612275745</v>
      </c>
      <c r="BP16" s="9">
        <v>2.5540873584456785</v>
      </c>
      <c r="BQ16" s="9">
        <v>0</v>
      </c>
      <c r="BR16" s="9">
        <v>92.879761387548868</v>
      </c>
      <c r="BS16" s="9">
        <v>17.083040389499615</v>
      </c>
      <c r="BT16" s="9">
        <v>1.3205126945215124</v>
      </c>
      <c r="BU16" s="9">
        <v>18.108636568634431</v>
      </c>
      <c r="BV16" s="9">
        <v>5.191554511144342</v>
      </c>
      <c r="BW16" s="9">
        <v>0</v>
      </c>
      <c r="BX16" s="9">
        <v>0</v>
      </c>
      <c r="BY16" s="9">
        <v>25.061611360345605</v>
      </c>
      <c r="BZ16" s="9">
        <v>15.768966302912006</v>
      </c>
      <c r="CA16" s="9">
        <v>0</v>
      </c>
      <c r="CB16" s="11">
        <v>65.636500809361792</v>
      </c>
      <c r="CC16" s="12"/>
      <c r="CD16" s="12"/>
      <c r="CE16" s="12"/>
    </row>
    <row r="17" spans="1:83" x14ac:dyDescent="0.35">
      <c r="A17" s="8" t="s">
        <v>117</v>
      </c>
      <c r="B17" s="8" t="s">
        <v>133</v>
      </c>
      <c r="C17" s="8"/>
      <c r="D17" s="9">
        <v>92.866666666666674</v>
      </c>
      <c r="E17" s="9">
        <v>7.1333333333333329</v>
      </c>
      <c r="F17" s="9">
        <v>91.406619385342808</v>
      </c>
      <c r="G17" s="9">
        <v>8.5933806146572103</v>
      </c>
      <c r="H17" s="9">
        <v>15.791316748543814</v>
      </c>
      <c r="I17" s="9">
        <v>441.28309532102634</v>
      </c>
      <c r="J17" s="9">
        <v>41.288283208339259</v>
      </c>
      <c r="K17" s="9">
        <v>38.953828877731006</v>
      </c>
      <c r="L17" s="9">
        <v>0</v>
      </c>
      <c r="M17" s="9">
        <v>0.13000945626477539</v>
      </c>
      <c r="N17" s="9">
        <v>0</v>
      </c>
      <c r="O17" s="9">
        <v>0</v>
      </c>
      <c r="P17" s="9">
        <v>6.2505290672506932</v>
      </c>
      <c r="Q17" s="9">
        <v>3.4380614657210398</v>
      </c>
      <c r="R17" s="9">
        <v>1.8907801418439716</v>
      </c>
      <c r="S17" s="9">
        <v>0.14362884160756503</v>
      </c>
      <c r="T17" s="9">
        <v>41.815168364657758</v>
      </c>
      <c r="U17" s="9">
        <v>0.4265248226950355</v>
      </c>
      <c r="V17" s="9">
        <v>0.41469278573160456</v>
      </c>
      <c r="W17" s="10">
        <v>0</v>
      </c>
      <c r="X17" s="10">
        <v>0</v>
      </c>
      <c r="Y17" s="10">
        <v>0</v>
      </c>
      <c r="Z17" s="10">
        <v>2.3664302600472814E-6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5.0555555555555547E-6</v>
      </c>
      <c r="AH17" s="10">
        <v>0</v>
      </c>
      <c r="AI17" s="10">
        <v>1.4763593380614658E-5</v>
      </c>
      <c r="AJ17" s="10">
        <v>5.7163120567375891E-4</v>
      </c>
      <c r="AK17" s="10">
        <v>3.3711583924349886E-3</v>
      </c>
      <c r="AL17" s="10">
        <v>0</v>
      </c>
      <c r="AM17" s="10">
        <v>6.3711583924349886E-6</v>
      </c>
      <c r="AN17" s="10">
        <v>0</v>
      </c>
      <c r="AO17" s="10">
        <v>0</v>
      </c>
      <c r="AP17" s="10">
        <v>0.12476359338061467</v>
      </c>
      <c r="AQ17" s="10">
        <v>1.6122931442080378E-3</v>
      </c>
      <c r="AR17" s="10">
        <v>0</v>
      </c>
      <c r="AS17" s="10">
        <v>2.6069739952718673E-5</v>
      </c>
      <c r="AT17" s="10">
        <v>4.3971631205673758E-6</v>
      </c>
      <c r="AU17" s="10">
        <v>0</v>
      </c>
      <c r="AV17" s="10">
        <v>0</v>
      </c>
      <c r="AW17" s="10">
        <v>0</v>
      </c>
      <c r="AX17" s="10">
        <v>4.0425531914893616E-6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1.2312056737588653E-3</v>
      </c>
      <c r="BF17" s="10">
        <v>0</v>
      </c>
      <c r="BG17" s="9">
        <v>0</v>
      </c>
      <c r="BH17" s="9">
        <v>0</v>
      </c>
      <c r="BI17" s="9">
        <v>0</v>
      </c>
      <c r="BJ17" s="9">
        <v>1.3191489361702127</v>
      </c>
      <c r="BK17" s="9">
        <v>7.7777777777777777</v>
      </c>
      <c r="BL17" s="9">
        <v>0</v>
      </c>
      <c r="BM17" s="9">
        <v>0</v>
      </c>
      <c r="BN17" s="9">
        <v>3.3333333333333335</v>
      </c>
      <c r="BO17" s="9">
        <v>11.678486997635934</v>
      </c>
      <c r="BP17" s="9">
        <v>4.75177304964539</v>
      </c>
      <c r="BQ17" s="9">
        <v>0</v>
      </c>
      <c r="BR17" s="9">
        <v>74.976359338061471</v>
      </c>
      <c r="BS17" s="9">
        <v>16.075768296417966</v>
      </c>
      <c r="BT17" s="9">
        <v>1.2180018178490697</v>
      </c>
      <c r="BU17" s="9">
        <v>20.813238770685583</v>
      </c>
      <c r="BV17" s="9">
        <v>13.191489361702127</v>
      </c>
      <c r="BW17" s="9">
        <v>0</v>
      </c>
      <c r="BX17" s="9">
        <v>0</v>
      </c>
      <c r="BY17" s="9">
        <v>34.004728132387704</v>
      </c>
      <c r="BZ17" s="9">
        <v>14.080378250591016</v>
      </c>
      <c r="CA17" s="9">
        <v>0</v>
      </c>
      <c r="CB17" s="11">
        <v>28.54137115839244</v>
      </c>
      <c r="CC17" s="12"/>
      <c r="CD17" s="12"/>
      <c r="CE17" s="12"/>
    </row>
    <row r="18" spans="1:83" x14ac:dyDescent="0.35">
      <c r="A18" s="8" t="s">
        <v>117</v>
      </c>
      <c r="B18" s="8" t="s">
        <v>134</v>
      </c>
      <c r="C18" s="8"/>
      <c r="D18" s="9">
        <v>75.2</v>
      </c>
      <c r="E18" s="9">
        <v>24.8</v>
      </c>
      <c r="F18" s="9">
        <v>96.774193548387103</v>
      </c>
      <c r="G18" s="9">
        <v>3.225806451612903</v>
      </c>
      <c r="H18" s="9">
        <v>15.34606198084473</v>
      </c>
      <c r="I18" s="9">
        <v>424.70208333333335</v>
      </c>
      <c r="J18" s="9">
        <v>41.407752623234302</v>
      </c>
      <c r="K18" s="9">
        <v>40.645289716866287</v>
      </c>
      <c r="L18" s="9">
        <v>0</v>
      </c>
      <c r="M18" s="9">
        <v>1.7741935483870968E-2</v>
      </c>
      <c r="N18" s="9">
        <v>0</v>
      </c>
      <c r="O18" s="9">
        <v>0</v>
      </c>
      <c r="P18" s="9">
        <v>6.4025816182799113</v>
      </c>
      <c r="Q18" s="9">
        <v>1.4233870967741935</v>
      </c>
      <c r="R18" s="9">
        <v>0.83870967741935476</v>
      </c>
      <c r="S18" s="9">
        <v>8.0645161290322578E-3</v>
      </c>
      <c r="T18" s="9">
        <v>48.042524216491728</v>
      </c>
      <c r="U18" s="9">
        <v>0.11008064516129033</v>
      </c>
      <c r="V18" s="9">
        <v>0.18613651142239893</v>
      </c>
      <c r="W18" s="10">
        <v>0</v>
      </c>
      <c r="X18" s="10">
        <v>0</v>
      </c>
      <c r="Y18" s="10">
        <v>0</v>
      </c>
      <c r="Z18" s="10">
        <v>9.2741935483870959E-7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1.4112903225806453E-7</v>
      </c>
      <c r="AH18" s="10">
        <v>0</v>
      </c>
      <c r="AI18" s="10">
        <v>6.85483870967742E-7</v>
      </c>
      <c r="AJ18" s="10">
        <v>4.4354838709677422E-4</v>
      </c>
      <c r="AK18" s="10">
        <v>9.6774193548387108E-4</v>
      </c>
      <c r="AL18" s="10">
        <v>0</v>
      </c>
      <c r="AM18" s="10">
        <v>8.0645161290322569E-7</v>
      </c>
      <c r="AN18" s="10">
        <v>0</v>
      </c>
      <c r="AO18" s="10">
        <v>0</v>
      </c>
      <c r="AP18" s="10">
        <v>0.11169354838709677</v>
      </c>
      <c r="AQ18" s="10">
        <v>9.6774193548387108E-4</v>
      </c>
      <c r="AR18" s="10">
        <v>0</v>
      </c>
      <c r="AS18" s="10">
        <v>1.6169354838709675E-5</v>
      </c>
      <c r="AT18" s="10">
        <v>1.4153225806451611E-6</v>
      </c>
      <c r="AU18" s="10">
        <v>0</v>
      </c>
      <c r="AV18" s="10">
        <v>0</v>
      </c>
      <c r="AW18" s="10">
        <v>0</v>
      </c>
      <c r="AX18" s="10">
        <v>4.1935483870967736E-6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7.0967741935483864E-4</v>
      </c>
      <c r="BF18" s="10">
        <v>0</v>
      </c>
      <c r="BG18" s="9">
        <v>0</v>
      </c>
      <c r="BH18" s="9">
        <v>0</v>
      </c>
      <c r="BI18" s="9">
        <v>25.403225806451612</v>
      </c>
      <c r="BJ18" s="9">
        <v>10.887096774193548</v>
      </c>
      <c r="BK18" s="9">
        <v>1.4919354838709677</v>
      </c>
      <c r="BL18" s="9">
        <v>0</v>
      </c>
      <c r="BM18" s="9">
        <v>0</v>
      </c>
      <c r="BN18" s="9">
        <v>1.0887096774193548</v>
      </c>
      <c r="BO18" s="9">
        <v>5.241935483870968</v>
      </c>
      <c r="BP18" s="9">
        <v>1.6129032258064515</v>
      </c>
      <c r="BQ18" s="9">
        <v>0</v>
      </c>
      <c r="BR18" s="9">
        <v>89.91935483870968</v>
      </c>
      <c r="BS18" s="9">
        <v>16.655942872242786</v>
      </c>
      <c r="BT18" s="9">
        <v>1.2773282944196505</v>
      </c>
      <c r="BU18" s="9">
        <v>15.322580645161288</v>
      </c>
      <c r="BV18" s="9">
        <v>23.387096774193548</v>
      </c>
      <c r="BW18" s="9">
        <v>0</v>
      </c>
      <c r="BX18" s="9">
        <v>0</v>
      </c>
      <c r="BY18" s="9">
        <v>64.112903225806448</v>
      </c>
      <c r="BZ18" s="9">
        <v>16.129032258064516</v>
      </c>
      <c r="CA18" s="9">
        <v>0</v>
      </c>
      <c r="CB18" s="11">
        <v>12.338709677419374</v>
      </c>
      <c r="CC18" s="12"/>
      <c r="CD18" s="12"/>
      <c r="CE18" s="12"/>
    </row>
    <row r="19" spans="1:83" x14ac:dyDescent="0.35">
      <c r="A19" s="8" t="s">
        <v>117</v>
      </c>
      <c r="B19" s="8" t="s">
        <v>135</v>
      </c>
      <c r="C19" s="8"/>
      <c r="D19" s="9">
        <v>86.5</v>
      </c>
      <c r="E19" s="9">
        <v>13.5</v>
      </c>
      <c r="F19" s="9">
        <v>97.037037037037038</v>
      </c>
      <c r="G19" s="9">
        <v>2.9629629629629632</v>
      </c>
      <c r="H19" s="9">
        <v>15.878457597027261</v>
      </c>
      <c r="I19" s="9">
        <v>448.00000000000006</v>
      </c>
      <c r="J19" s="9">
        <v>42.12166298404194</v>
      </c>
      <c r="K19" s="9">
        <v>42.12166298404194</v>
      </c>
      <c r="L19" s="9">
        <v>0</v>
      </c>
      <c r="M19" s="9">
        <v>0.26222222222222225</v>
      </c>
      <c r="N19" s="9">
        <v>0</v>
      </c>
      <c r="O19" s="9">
        <v>0</v>
      </c>
      <c r="P19" s="9">
        <v>6.5866365536903233</v>
      </c>
      <c r="Q19" s="9">
        <v>1.1333333333333333</v>
      </c>
      <c r="R19" s="9">
        <v>1.1185185185185185</v>
      </c>
      <c r="S19" s="9">
        <v>1.4814814814814815E-2</v>
      </c>
      <c r="T19" s="9">
        <v>47.156988256153348</v>
      </c>
      <c r="U19" s="9">
        <v>0.16370370370370371</v>
      </c>
      <c r="V19" s="9">
        <v>0.23672746068079456</v>
      </c>
      <c r="W19" s="10">
        <v>0</v>
      </c>
      <c r="X19" s="10">
        <v>0</v>
      </c>
      <c r="Y19" s="10">
        <v>0</v>
      </c>
      <c r="Z19" s="10">
        <v>2.9629629629629629E-7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1.4814814814814815E-7</v>
      </c>
      <c r="AH19" s="10">
        <v>0</v>
      </c>
      <c r="AI19" s="10">
        <v>1.4814814814814815E-6</v>
      </c>
      <c r="AJ19" s="10">
        <v>5.1851851851851863E-4</v>
      </c>
      <c r="AK19" s="10">
        <v>1.0222222222222223E-3</v>
      </c>
      <c r="AL19" s="10">
        <v>0</v>
      </c>
      <c r="AM19" s="10">
        <v>2.2222222222222222E-7</v>
      </c>
      <c r="AN19" s="10">
        <v>0</v>
      </c>
      <c r="AO19" s="10">
        <v>0</v>
      </c>
      <c r="AP19" s="10">
        <v>7.7037037037037043E-2</v>
      </c>
      <c r="AQ19" s="10">
        <v>3.1111111111111118E-4</v>
      </c>
      <c r="AR19" s="10">
        <v>0</v>
      </c>
      <c r="AS19" s="10">
        <v>2.3555555555555556E-5</v>
      </c>
      <c r="AT19" s="10">
        <v>3.2962962962962962E-6</v>
      </c>
      <c r="AU19" s="10">
        <v>0</v>
      </c>
      <c r="AV19" s="10">
        <v>0</v>
      </c>
      <c r="AW19" s="10">
        <v>0</v>
      </c>
      <c r="AX19" s="10">
        <v>3.7037037037037036E-7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5.037037037037038E-4</v>
      </c>
      <c r="BF19" s="10">
        <v>0</v>
      </c>
      <c r="BG19" s="9">
        <v>0</v>
      </c>
      <c r="BH19" s="9">
        <v>0</v>
      </c>
      <c r="BI19" s="9">
        <v>25.925925925925924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6.666666666666667</v>
      </c>
      <c r="BP19" s="9">
        <v>4.4444444444444446</v>
      </c>
      <c r="BQ19" s="9">
        <v>0</v>
      </c>
      <c r="BR19" s="9">
        <v>85.18518518518519</v>
      </c>
      <c r="BS19" s="9">
        <v>17.558714074074075</v>
      </c>
      <c r="BT19" s="9">
        <v>1.367556821925926</v>
      </c>
      <c r="BU19" s="9">
        <v>16.296296296296298</v>
      </c>
      <c r="BV19" s="9">
        <v>18.518518518518519</v>
      </c>
      <c r="BW19" s="9">
        <v>0</v>
      </c>
      <c r="BX19" s="9">
        <v>0</v>
      </c>
      <c r="BY19" s="9">
        <v>60.74074074074074</v>
      </c>
      <c r="BZ19" s="9">
        <v>16</v>
      </c>
      <c r="CA19" s="9">
        <v>0</v>
      </c>
      <c r="CB19" s="11">
        <v>25.18518518518519</v>
      </c>
      <c r="CC19" s="12"/>
      <c r="CD19" s="12"/>
      <c r="CE19" s="12"/>
    </row>
    <row r="20" spans="1:83" x14ac:dyDescent="0.35">
      <c r="A20" s="8" t="s">
        <v>117</v>
      </c>
      <c r="B20" s="8" t="s">
        <v>136</v>
      </c>
      <c r="C20" s="8"/>
      <c r="D20" s="9">
        <v>95</v>
      </c>
      <c r="E20" s="9">
        <v>5.0000000000000009</v>
      </c>
      <c r="F20" s="9">
        <v>89.377784210610955</v>
      </c>
      <c r="G20" s="9">
        <v>10.62221578938904</v>
      </c>
      <c r="H20" s="9">
        <v>15.543519724145114</v>
      </c>
      <c r="I20" s="9">
        <v>463.22916666666657</v>
      </c>
      <c r="J20" s="9">
        <v>40.354210049868691</v>
      </c>
      <c r="K20" s="9">
        <v>40.354210049868691</v>
      </c>
      <c r="L20" s="9">
        <v>0</v>
      </c>
      <c r="M20" s="9">
        <v>0.56349527990865378</v>
      </c>
      <c r="N20" s="9">
        <v>0</v>
      </c>
      <c r="O20" s="9">
        <v>0</v>
      </c>
      <c r="P20" s="9">
        <v>6.1336624009149219</v>
      </c>
      <c r="Q20" s="9">
        <v>4.1706603839329262</v>
      </c>
      <c r="R20" s="9">
        <v>3.8337943530446061</v>
      </c>
      <c r="S20" s="9">
        <v>0.32354684978798454</v>
      </c>
      <c r="T20" s="9">
        <v>38.667498918075957</v>
      </c>
      <c r="U20" s="9">
        <v>0.54203856483491741</v>
      </c>
      <c r="V20" s="9">
        <v>0.85305032268290359</v>
      </c>
      <c r="W20" s="10">
        <v>0</v>
      </c>
      <c r="X20" s="10">
        <v>0</v>
      </c>
      <c r="Y20" s="10">
        <v>0</v>
      </c>
      <c r="Z20" s="10">
        <v>5.6737588652482272E-7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1.1773049645390069E-5</v>
      </c>
      <c r="AH20" s="10">
        <v>0</v>
      </c>
      <c r="AI20" s="10">
        <v>2.8368794326241132E-6</v>
      </c>
      <c r="AJ20" s="10">
        <v>6.7088017239992929E-4</v>
      </c>
      <c r="AK20" s="10">
        <v>1.3752888074063351E-2</v>
      </c>
      <c r="AL20" s="10">
        <v>0</v>
      </c>
      <c r="AM20" s="10">
        <v>1.4184397163120568E-7</v>
      </c>
      <c r="AN20" s="10">
        <v>0</v>
      </c>
      <c r="AO20" s="10">
        <v>0</v>
      </c>
      <c r="AP20" s="10">
        <v>0.22733739673962572</v>
      </c>
      <c r="AQ20" s="10">
        <v>3.543995218260669E-3</v>
      </c>
      <c r="AR20" s="10">
        <v>0</v>
      </c>
      <c r="AS20" s="10">
        <v>2.9078014184397158E-5</v>
      </c>
      <c r="AT20" s="10">
        <v>1.4184397163120566E-6</v>
      </c>
      <c r="AU20" s="10">
        <v>0</v>
      </c>
      <c r="AV20" s="10">
        <v>0</v>
      </c>
      <c r="AW20" s="10">
        <v>0</v>
      </c>
      <c r="AX20" s="10">
        <v>1.4184397163120566E-6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3.7789946553877657E-3</v>
      </c>
      <c r="BF20" s="10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24.023415512777216</v>
      </c>
      <c r="BP20" s="9">
        <v>3.9216159276949547</v>
      </c>
      <c r="BQ20" s="9">
        <v>0</v>
      </c>
      <c r="BR20" s="9">
        <v>62.113024878982323</v>
      </c>
      <c r="BS20" s="9">
        <v>17.269016276193693</v>
      </c>
      <c r="BT20" s="9">
        <v>1.3389057097155561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13.093174227925999</v>
      </c>
      <c r="CA20" s="9">
        <v>0</v>
      </c>
      <c r="CB20" s="11">
        <v>61.432752770138791</v>
      </c>
      <c r="CC20" s="12"/>
      <c r="CD20" s="12"/>
      <c r="CE20" s="12"/>
    </row>
    <row r="21" spans="1:83" x14ac:dyDescent="0.35">
      <c r="A21" s="8" t="s">
        <v>117</v>
      </c>
      <c r="B21" s="8" t="s">
        <v>137</v>
      </c>
      <c r="C21" s="8"/>
      <c r="D21" s="9">
        <v>89.033333333333346</v>
      </c>
      <c r="E21" s="9">
        <v>10.966666666666667</v>
      </c>
      <c r="F21" s="9">
        <v>93.318264415193013</v>
      </c>
      <c r="G21" s="9">
        <v>6.6817355848069839</v>
      </c>
      <c r="H21" s="9">
        <v>15.262831968450998</v>
      </c>
      <c r="I21" s="9">
        <v>442.57711745134185</v>
      </c>
      <c r="J21" s="9">
        <v>40.543684729879381</v>
      </c>
      <c r="K21" s="9">
        <v>40.159987649065293</v>
      </c>
      <c r="L21" s="9">
        <v>0</v>
      </c>
      <c r="M21" s="9">
        <v>0.2925348073014607</v>
      </c>
      <c r="N21" s="9">
        <v>0</v>
      </c>
      <c r="O21" s="9">
        <v>0</v>
      </c>
      <c r="P21" s="9">
        <v>6.3088880876869302</v>
      </c>
      <c r="Q21" s="9">
        <v>2.5721300992142635</v>
      </c>
      <c r="R21" s="9">
        <v>1.2197022938945556</v>
      </c>
      <c r="S21" s="9">
        <v>0.60266301973521763</v>
      </c>
      <c r="T21" s="9">
        <v>45.135652601644267</v>
      </c>
      <c r="U21" s="9">
        <v>0.27782235138437777</v>
      </c>
      <c r="V21" s="9">
        <v>0.26870659910011208</v>
      </c>
      <c r="W21" s="10">
        <v>0</v>
      </c>
      <c r="X21" s="10">
        <v>0</v>
      </c>
      <c r="Y21" s="10">
        <v>0</v>
      </c>
      <c r="Z21" s="10">
        <v>1.6436264174596844E-6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1.6518384713279008E-5</v>
      </c>
      <c r="AH21" s="10">
        <v>0</v>
      </c>
      <c r="AI21" s="10">
        <v>7.3050062998208186E-6</v>
      </c>
      <c r="AJ21" s="10">
        <v>3.2872528349193688E-4</v>
      </c>
      <c r="AK21" s="10">
        <v>2.9855452352460731E-3</v>
      </c>
      <c r="AL21" s="10">
        <v>0</v>
      </c>
      <c r="AM21" s="10">
        <v>1.4610012599641637E-6</v>
      </c>
      <c r="AN21" s="10">
        <v>0</v>
      </c>
      <c r="AO21" s="10">
        <v>0</v>
      </c>
      <c r="AP21" s="10">
        <v>9.7063080517408404E-2</v>
      </c>
      <c r="AQ21" s="10">
        <v>3.2872528349193685E-3</v>
      </c>
      <c r="AR21" s="10">
        <v>0</v>
      </c>
      <c r="AS21" s="10">
        <v>4.3658378761689487E-5</v>
      </c>
      <c r="AT21" s="10">
        <v>1.1590834552142889E-5</v>
      </c>
      <c r="AU21" s="10">
        <v>0</v>
      </c>
      <c r="AV21" s="10">
        <v>0</v>
      </c>
      <c r="AW21" s="10">
        <v>0</v>
      </c>
      <c r="AX21" s="10">
        <v>1.4928359324051384E-6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1.8750799349124042E-3</v>
      </c>
      <c r="BF21" s="10">
        <v>0</v>
      </c>
      <c r="BG21" s="9">
        <v>0</v>
      </c>
      <c r="BH21" s="9">
        <v>0</v>
      </c>
      <c r="BI21" s="9">
        <v>14.97526291463268</v>
      </c>
      <c r="BJ21" s="9">
        <v>0</v>
      </c>
      <c r="BK21" s="9">
        <v>8.6746949810372218</v>
      </c>
      <c r="BL21" s="9">
        <v>0</v>
      </c>
      <c r="BM21" s="9">
        <v>0</v>
      </c>
      <c r="BN21" s="9">
        <v>0.54787547248656143</v>
      </c>
      <c r="BO21" s="9">
        <v>7.5672561272880392</v>
      </c>
      <c r="BP21" s="9">
        <v>3.6525031499104101</v>
      </c>
      <c r="BQ21" s="9">
        <v>0</v>
      </c>
      <c r="BR21" s="9">
        <v>82.098505137994565</v>
      </c>
      <c r="BS21" s="9">
        <v>16.692835143833587</v>
      </c>
      <c r="BT21" s="9">
        <v>1.28144611375276</v>
      </c>
      <c r="BU21" s="9">
        <v>17.349389962074444</v>
      </c>
      <c r="BV21" s="9">
        <v>23.37602015942662</v>
      </c>
      <c r="BW21" s="9">
        <v>0</v>
      </c>
      <c r="BX21" s="9">
        <v>0</v>
      </c>
      <c r="BY21" s="9">
        <v>55.700673036133743</v>
      </c>
      <c r="BZ21" s="9">
        <v>14.286600692663717</v>
      </c>
      <c r="CA21" s="9">
        <v>0</v>
      </c>
      <c r="CB21" s="11">
        <v>17.175261648337038</v>
      </c>
      <c r="CC21" s="12"/>
      <c r="CD21" s="12"/>
      <c r="CE21" s="12"/>
    </row>
    <row r="22" spans="1:83" x14ac:dyDescent="0.35">
      <c r="A22" s="8" t="s">
        <v>117</v>
      </c>
      <c r="B22" s="8" t="s">
        <v>138</v>
      </c>
      <c r="C22" s="8"/>
      <c r="D22" s="9">
        <v>87.5</v>
      </c>
      <c r="E22" s="9">
        <v>12.5</v>
      </c>
      <c r="F22" s="9">
        <v>97.6</v>
      </c>
      <c r="G22" s="9">
        <v>2.4</v>
      </c>
      <c r="H22" s="9">
        <v>15.697317524935062</v>
      </c>
      <c r="I22" s="9">
        <v>434.37704918032784</v>
      </c>
      <c r="J22" s="9">
        <v>42.284944062782223</v>
      </c>
      <c r="K22" s="9">
        <v>42.284944062782223</v>
      </c>
      <c r="L22" s="9">
        <v>0</v>
      </c>
      <c r="M22" s="9">
        <v>0.22799999999999998</v>
      </c>
      <c r="N22" s="9">
        <v>0</v>
      </c>
      <c r="O22" s="9">
        <v>0</v>
      </c>
      <c r="P22" s="9">
        <v>6.4380823833403875</v>
      </c>
      <c r="Q22" s="9">
        <v>0.86399999999999999</v>
      </c>
      <c r="R22" s="9">
        <v>0.86399999999999999</v>
      </c>
      <c r="S22" s="9">
        <v>4.8000000000000001E-2</v>
      </c>
      <c r="T22" s="9">
        <v>47.892704189630173</v>
      </c>
      <c r="U22" s="9">
        <v>0.15359999999999999</v>
      </c>
      <c r="V22" s="9">
        <v>0.19885106697186739</v>
      </c>
      <c r="W22" s="10">
        <v>0</v>
      </c>
      <c r="X22" s="10">
        <v>0</v>
      </c>
      <c r="Y22" s="10">
        <v>0</v>
      </c>
      <c r="Z22" s="10">
        <v>2.2400000000000002E-6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2.2400000000000002E-7</v>
      </c>
      <c r="AH22" s="10">
        <v>0</v>
      </c>
      <c r="AI22" s="10">
        <v>7.9999999999999986E-7</v>
      </c>
      <c r="AJ22" s="10">
        <v>4.4000000000000002E-4</v>
      </c>
      <c r="AK22" s="10">
        <v>1.2800000000000001E-3</v>
      </c>
      <c r="AL22" s="10">
        <v>0</v>
      </c>
      <c r="AM22" s="10">
        <v>3.9999999999999993E-7</v>
      </c>
      <c r="AN22" s="10">
        <v>0</v>
      </c>
      <c r="AO22" s="10">
        <v>0</v>
      </c>
      <c r="AP22" s="10">
        <v>7.2000000000000008E-2</v>
      </c>
      <c r="AQ22" s="10">
        <v>4.4000000000000002E-4</v>
      </c>
      <c r="AR22" s="10">
        <v>0</v>
      </c>
      <c r="AS22" s="10">
        <v>2.2079999999999999E-5</v>
      </c>
      <c r="AT22" s="10">
        <v>1.7360000000000002E-6</v>
      </c>
      <c r="AU22" s="10">
        <v>0</v>
      </c>
      <c r="AV22" s="10">
        <v>0</v>
      </c>
      <c r="AW22" s="10">
        <v>0</v>
      </c>
      <c r="AX22" s="10">
        <v>3.1999999999999994E-6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7.6000000000000004E-4</v>
      </c>
      <c r="BF22" s="10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5.6</v>
      </c>
      <c r="BP22" s="9">
        <v>2.4</v>
      </c>
      <c r="BQ22" s="9">
        <v>0</v>
      </c>
      <c r="BR22" s="9">
        <v>89.6</v>
      </c>
      <c r="BS22" s="9">
        <v>17.257249600000002</v>
      </c>
      <c r="BT22" s="9">
        <v>1.3377419854400001</v>
      </c>
      <c r="BU22" s="9">
        <v>0</v>
      </c>
      <c r="BV22" s="9">
        <v>0</v>
      </c>
      <c r="BW22" s="9">
        <v>0</v>
      </c>
      <c r="BX22" s="9">
        <v>0</v>
      </c>
      <c r="BY22" s="9">
        <v>64</v>
      </c>
      <c r="BZ22" s="9">
        <v>16.239999999999998</v>
      </c>
      <c r="CA22" s="9">
        <v>0</v>
      </c>
      <c r="CB22" s="11">
        <v>89.6</v>
      </c>
      <c r="CC22" s="12"/>
      <c r="CD22" s="12"/>
      <c r="CE22" s="12"/>
    </row>
    <row r="23" spans="1:83" x14ac:dyDescent="0.35">
      <c r="A23" s="8" t="s">
        <v>117</v>
      </c>
      <c r="B23" s="8" t="s">
        <v>139</v>
      </c>
      <c r="C23" s="8"/>
      <c r="D23" s="9">
        <v>87.55</v>
      </c>
      <c r="E23" s="9">
        <v>12.45</v>
      </c>
      <c r="F23" s="9">
        <v>96.383870967741927</v>
      </c>
      <c r="G23" s="9">
        <v>3.6161290322580646</v>
      </c>
      <c r="H23" s="9">
        <v>15.92741209232452</v>
      </c>
      <c r="I23" s="9">
        <v>428.0771754982984</v>
      </c>
      <c r="J23" s="9">
        <v>42.525046131537856</v>
      </c>
      <c r="K23" s="9">
        <v>40.816225561532619</v>
      </c>
      <c r="L23" s="9">
        <v>0</v>
      </c>
      <c r="M23" s="9">
        <v>5.2936451612903224E-2</v>
      </c>
      <c r="N23" s="9">
        <v>0</v>
      </c>
      <c r="O23" s="9">
        <v>0</v>
      </c>
      <c r="P23" s="9">
        <v>6.4076044126141181</v>
      </c>
      <c r="Q23" s="9">
        <v>1.5144838709677417</v>
      </c>
      <c r="R23" s="9">
        <v>1.141483870967742</v>
      </c>
      <c r="S23" s="9">
        <v>1.2E-2</v>
      </c>
      <c r="T23" s="9">
        <v>46.17949451114383</v>
      </c>
      <c r="U23" s="9">
        <v>0.19808387096774194</v>
      </c>
      <c r="V23" s="9">
        <v>0.25692565853565585</v>
      </c>
      <c r="W23" s="10">
        <v>0</v>
      </c>
      <c r="X23" s="10">
        <v>0</v>
      </c>
      <c r="Y23" s="10">
        <v>0</v>
      </c>
      <c r="Z23" s="10">
        <v>1.1599999999999999E-6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6.8400000000000004E-7</v>
      </c>
      <c r="AH23" s="10">
        <v>0</v>
      </c>
      <c r="AI23" s="10">
        <v>1.1999999999999999E-6</v>
      </c>
      <c r="AJ23" s="10">
        <v>8.6677419354838712E-4</v>
      </c>
      <c r="AK23" s="10">
        <v>2.0090322580645164E-3</v>
      </c>
      <c r="AL23" s="10">
        <v>0</v>
      </c>
      <c r="AM23" s="10">
        <v>5.2E-7</v>
      </c>
      <c r="AN23" s="10">
        <v>0</v>
      </c>
      <c r="AO23" s="10">
        <v>0</v>
      </c>
      <c r="AP23" s="10">
        <v>6.0290322580645164E-2</v>
      </c>
      <c r="AQ23" s="10">
        <v>4.9774193548387104E-4</v>
      </c>
      <c r="AR23" s="10">
        <v>0</v>
      </c>
      <c r="AS23" s="10">
        <v>6.0399999999999998E-5</v>
      </c>
      <c r="AT23" s="10">
        <v>3.3159999999999993E-6</v>
      </c>
      <c r="AU23" s="10">
        <v>0</v>
      </c>
      <c r="AV23" s="10">
        <v>0</v>
      </c>
      <c r="AW23" s="10">
        <v>0</v>
      </c>
      <c r="AX23" s="10">
        <v>1.253032258064516E-6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1.2454838709677419E-3</v>
      </c>
      <c r="BF23" s="10">
        <v>0</v>
      </c>
      <c r="BG23" s="9">
        <v>0</v>
      </c>
      <c r="BH23" s="9">
        <v>0</v>
      </c>
      <c r="BI23" s="9">
        <v>26.400000000000002</v>
      </c>
      <c r="BJ23" s="9">
        <v>0</v>
      </c>
      <c r="BK23" s="9">
        <v>0.84</v>
      </c>
      <c r="BL23" s="9">
        <v>0</v>
      </c>
      <c r="BM23" s="9">
        <v>0</v>
      </c>
      <c r="BN23" s="9">
        <v>2.44</v>
      </c>
      <c r="BO23" s="9">
        <v>7.2354838709677418</v>
      </c>
      <c r="BP23" s="9">
        <v>2.8096774193548386</v>
      </c>
      <c r="BQ23" s="9">
        <v>0</v>
      </c>
      <c r="BR23" s="9">
        <v>86.338709677419359</v>
      </c>
      <c r="BS23" s="9">
        <v>16.557197534918906</v>
      </c>
      <c r="BT23" s="9">
        <v>1.26639013620348</v>
      </c>
      <c r="BU23" s="9">
        <v>4.8</v>
      </c>
      <c r="BV23" s="9">
        <v>4</v>
      </c>
      <c r="BW23" s="9">
        <v>0</v>
      </c>
      <c r="BX23" s="9">
        <v>0</v>
      </c>
      <c r="BY23" s="9">
        <v>35.200000000000003</v>
      </c>
      <c r="BZ23" s="9">
        <v>15.74258064516129</v>
      </c>
      <c r="CA23" s="9">
        <v>0</v>
      </c>
      <c r="CB23" s="11">
        <v>47.858709677419348</v>
      </c>
      <c r="CC23" s="12"/>
      <c r="CD23" s="12"/>
      <c r="CE23" s="12"/>
    </row>
    <row r="24" spans="1:83" x14ac:dyDescent="0.35">
      <c r="A24" s="8" t="s">
        <v>117</v>
      </c>
      <c r="B24" s="8" t="s">
        <v>140</v>
      </c>
      <c r="C24" s="8"/>
      <c r="D24" s="9">
        <v>91.933333333333337</v>
      </c>
      <c r="E24" s="9">
        <v>8.1</v>
      </c>
      <c r="F24" s="9">
        <v>93.00989300989302</v>
      </c>
      <c r="G24" s="9">
        <v>6.9901069901069901</v>
      </c>
      <c r="H24" s="9">
        <v>15.019950414632746</v>
      </c>
      <c r="I24" s="9">
        <v>439.29033816425118</v>
      </c>
      <c r="J24" s="9">
        <v>40.119821516586342</v>
      </c>
      <c r="K24" s="9">
        <v>40.119821516586342</v>
      </c>
      <c r="L24" s="9">
        <v>0</v>
      </c>
      <c r="M24" s="9">
        <v>0.13730730730730731</v>
      </c>
      <c r="N24" s="9">
        <v>0</v>
      </c>
      <c r="O24" s="9">
        <v>0</v>
      </c>
      <c r="P24" s="9">
        <v>6.2309228837050137</v>
      </c>
      <c r="Q24" s="9">
        <v>2.7403026403026405</v>
      </c>
      <c r="R24" s="9">
        <v>1.4713843713843715</v>
      </c>
      <c r="S24" s="9">
        <v>0.25944476944476941</v>
      </c>
      <c r="T24" s="9">
        <v>45.041110098924889</v>
      </c>
      <c r="U24" s="9">
        <v>0.34427115427115423</v>
      </c>
      <c r="V24" s="9">
        <v>0.32689088570355646</v>
      </c>
      <c r="W24" s="10">
        <v>0</v>
      </c>
      <c r="X24" s="10">
        <v>0</v>
      </c>
      <c r="Y24" s="10">
        <v>0</v>
      </c>
      <c r="Z24" s="10">
        <v>3.79002379002379E-5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1.2633412633412632E-5</v>
      </c>
      <c r="AH24" s="10">
        <v>0</v>
      </c>
      <c r="AI24" s="10">
        <v>0</v>
      </c>
      <c r="AJ24" s="10">
        <v>5.1320801320801327E-4</v>
      </c>
      <c r="AK24" s="10">
        <v>4.3261183261183262E-3</v>
      </c>
      <c r="AL24" s="10">
        <v>0</v>
      </c>
      <c r="AM24" s="10">
        <v>2.5266825266825267E-6</v>
      </c>
      <c r="AN24" s="10">
        <v>0</v>
      </c>
      <c r="AO24" s="10">
        <v>0</v>
      </c>
      <c r="AP24" s="10">
        <v>0.12295230295230296</v>
      </c>
      <c r="AQ24" s="10">
        <v>3.2273182273182276E-4</v>
      </c>
      <c r="AR24" s="10">
        <v>7.6190476190476184E-5</v>
      </c>
      <c r="AS24" s="10">
        <v>8.8433888433888427E-5</v>
      </c>
      <c r="AT24" s="10">
        <v>3.79002379002379E-5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1.447115947115947E-3</v>
      </c>
      <c r="BF24" s="10">
        <v>0</v>
      </c>
      <c r="BG24" s="9">
        <v>0</v>
      </c>
      <c r="BH24" s="9">
        <v>0</v>
      </c>
      <c r="BI24" s="9">
        <v>20.817245817245816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9.2058292058292057</v>
      </c>
      <c r="BP24" s="9">
        <v>2.5266825266825266</v>
      </c>
      <c r="BQ24" s="9">
        <v>0</v>
      </c>
      <c r="BR24" s="9">
        <v>81.277381277381267</v>
      </c>
      <c r="BS24" s="9">
        <v>16.716238733018734</v>
      </c>
      <c r="BT24" s="9">
        <v>1.2842360106955528</v>
      </c>
      <c r="BU24" s="9">
        <v>10.476190476190476</v>
      </c>
      <c r="BV24" s="9">
        <v>11.795366795366794</v>
      </c>
      <c r="BW24" s="9">
        <v>0</v>
      </c>
      <c r="BX24" s="9">
        <v>0</v>
      </c>
      <c r="BY24" s="9">
        <v>43.088803088803083</v>
      </c>
      <c r="BZ24" s="9">
        <v>15.343070343070343</v>
      </c>
      <c r="CA24" s="9">
        <v>0</v>
      </c>
      <c r="CB24" s="11">
        <v>38.188578188578191</v>
      </c>
      <c r="CC24" s="12"/>
      <c r="CD24" s="12"/>
      <c r="CE24" s="12"/>
    </row>
    <row r="25" spans="1:83" x14ac:dyDescent="0.35">
      <c r="A25" s="8" t="s">
        <v>117</v>
      </c>
      <c r="B25" s="8" t="s">
        <v>141</v>
      </c>
      <c r="C25" s="8"/>
      <c r="D25" s="9">
        <v>85.3</v>
      </c>
      <c r="E25" s="9">
        <v>14.7</v>
      </c>
      <c r="F25" s="9">
        <v>97.959183673469383</v>
      </c>
      <c r="G25" s="9">
        <v>2.0408163265306123</v>
      </c>
      <c r="H25" s="9">
        <v>15.520815968709035</v>
      </c>
      <c r="I25" s="9">
        <v>417.63888888888886</v>
      </c>
      <c r="J25" s="9">
        <v>41.80161432898344</v>
      </c>
      <c r="K25" s="9">
        <v>39.895937324405274</v>
      </c>
      <c r="L25" s="9">
        <v>0</v>
      </c>
      <c r="M25" s="9">
        <v>6.6190476190476202E-2</v>
      </c>
      <c r="N25" s="9">
        <v>0</v>
      </c>
      <c r="O25" s="9">
        <v>0</v>
      </c>
      <c r="P25" s="9">
        <v>6.5305804399209766</v>
      </c>
      <c r="Q25" s="9">
        <v>0.78911564625850339</v>
      </c>
      <c r="R25" s="9">
        <v>0.35374149659863946</v>
      </c>
      <c r="S25" s="9">
        <v>1.3605442176870748E-2</v>
      </c>
      <c r="T25" s="9">
        <v>49.268290156661458</v>
      </c>
      <c r="U25" s="9">
        <v>0.12789115646258503</v>
      </c>
      <c r="V25" s="9">
        <v>7.2467590004324858E-2</v>
      </c>
      <c r="W25" s="10">
        <v>0</v>
      </c>
      <c r="X25" s="10">
        <v>0</v>
      </c>
      <c r="Y25" s="10">
        <v>0</v>
      </c>
      <c r="Z25" s="10">
        <v>2.3809523809523812E-6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3.6734693877551024E-6</v>
      </c>
      <c r="AH25" s="10">
        <v>0</v>
      </c>
      <c r="AI25" s="10">
        <v>1.2244897959183674E-5</v>
      </c>
      <c r="AJ25" s="10">
        <v>4.829931972789115E-4</v>
      </c>
      <c r="AK25" s="10">
        <v>6.8027210884353748E-4</v>
      </c>
      <c r="AL25" s="10">
        <v>0</v>
      </c>
      <c r="AM25" s="10">
        <v>6.8027210884353747E-7</v>
      </c>
      <c r="AN25" s="10">
        <v>0</v>
      </c>
      <c r="AO25" s="10">
        <v>0</v>
      </c>
      <c r="AP25" s="10">
        <v>4.2993197278911571E-2</v>
      </c>
      <c r="AQ25" s="10">
        <v>3.4013605442176874E-4</v>
      </c>
      <c r="AR25" s="10">
        <v>0</v>
      </c>
      <c r="AS25" s="10">
        <v>6.1156462585034021E-5</v>
      </c>
      <c r="AT25" s="10">
        <v>3.9863945578231298E-6</v>
      </c>
      <c r="AU25" s="10">
        <v>0</v>
      </c>
      <c r="AV25" s="10">
        <v>0</v>
      </c>
      <c r="AW25" s="10">
        <v>0</v>
      </c>
      <c r="AX25" s="10">
        <v>1.4421768707482995E-6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8.4353741496598638E-4</v>
      </c>
      <c r="BF25" s="10">
        <v>0</v>
      </c>
      <c r="BG25" s="9">
        <v>0</v>
      </c>
      <c r="BH25" s="9">
        <v>0</v>
      </c>
      <c r="BI25" s="9">
        <v>9.0476190476190492</v>
      </c>
      <c r="BJ25" s="9">
        <v>0</v>
      </c>
      <c r="BK25" s="9">
        <v>4.2857142857142856</v>
      </c>
      <c r="BL25" s="9">
        <v>0</v>
      </c>
      <c r="BM25" s="9">
        <v>0</v>
      </c>
      <c r="BN25" s="9">
        <v>2.72108843537415</v>
      </c>
      <c r="BO25" s="9">
        <v>2.0408163265306123</v>
      </c>
      <c r="BP25" s="9">
        <v>2.0408163265306123</v>
      </c>
      <c r="BQ25" s="9">
        <v>0</v>
      </c>
      <c r="BR25" s="9">
        <v>93.877551020408163</v>
      </c>
      <c r="BS25" s="9">
        <v>16.259199346100289</v>
      </c>
      <c r="BT25" s="9">
        <v>1.2366742711116314</v>
      </c>
      <c r="BU25" s="9">
        <v>44.421768707482997</v>
      </c>
      <c r="BV25" s="9">
        <v>11.360544217687076</v>
      </c>
      <c r="BW25" s="9">
        <v>0</v>
      </c>
      <c r="BX25" s="9">
        <v>0</v>
      </c>
      <c r="BY25" s="9">
        <v>64.829931972789112</v>
      </c>
      <c r="BZ25" s="9">
        <v>15.034013605442178</v>
      </c>
      <c r="CA25" s="9">
        <v>0</v>
      </c>
      <c r="CB25" s="11">
        <v>22.040816326530589</v>
      </c>
      <c r="CC25" s="12"/>
      <c r="CD25" s="12"/>
      <c r="CE25" s="12"/>
    </row>
    <row r="26" spans="1:83" x14ac:dyDescent="0.35">
      <c r="A26" s="8" t="s">
        <v>117</v>
      </c>
      <c r="B26" s="8" t="s">
        <v>142</v>
      </c>
      <c r="C26" s="8"/>
      <c r="D26" s="9">
        <v>93.8</v>
      </c>
      <c r="E26" s="9">
        <v>6.2</v>
      </c>
      <c r="F26" s="9">
        <v>77.41935483870968</v>
      </c>
      <c r="G26" s="9">
        <v>22.58064516129032</v>
      </c>
      <c r="H26" s="9">
        <v>13.429778720302771</v>
      </c>
      <c r="I26" s="9">
        <v>461.89583333333326</v>
      </c>
      <c r="J26" s="9">
        <v>34.900531337736396</v>
      </c>
      <c r="K26" s="9">
        <v>34.900531337736396</v>
      </c>
      <c r="L26" s="9">
        <v>0</v>
      </c>
      <c r="M26" s="9">
        <v>0.83870967741935498</v>
      </c>
      <c r="N26" s="9">
        <v>0</v>
      </c>
      <c r="O26" s="9">
        <v>0</v>
      </c>
      <c r="P26" s="9">
        <v>5.3064331695901732</v>
      </c>
      <c r="Q26" s="9">
        <v>5.064516129032258</v>
      </c>
      <c r="R26" s="9">
        <v>3.290322580645161</v>
      </c>
      <c r="S26" s="9">
        <v>0.35483870967741932</v>
      </c>
      <c r="T26" s="9">
        <v>33.527049969858417</v>
      </c>
      <c r="U26" s="9">
        <v>0.45161290322580638</v>
      </c>
      <c r="V26" s="9">
        <v>0.7445460456895957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1.5967741935483874E-3</v>
      </c>
      <c r="AK26" s="10">
        <v>1.3145161290322581E-2</v>
      </c>
      <c r="AL26" s="10">
        <v>0</v>
      </c>
      <c r="AM26" s="10">
        <v>0</v>
      </c>
      <c r="AN26" s="10">
        <v>0</v>
      </c>
      <c r="AO26" s="10">
        <v>0</v>
      </c>
      <c r="AP26" s="10">
        <v>0.24193548387096772</v>
      </c>
      <c r="AQ26" s="10">
        <v>6.7741935483870966E-3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1.2741935483870967E-2</v>
      </c>
      <c r="BF26" s="10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20.967741935483872</v>
      </c>
      <c r="BP26" s="9">
        <v>3.225806451612903</v>
      </c>
      <c r="BQ26" s="9">
        <v>0</v>
      </c>
      <c r="BR26" s="9">
        <v>54.032258064516128</v>
      </c>
      <c r="BS26" s="9">
        <v>14.89074693548387</v>
      </c>
      <c r="BT26" s="9">
        <v>1.1036948719193547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10.64516129032258</v>
      </c>
      <c r="CA26" s="9">
        <v>0</v>
      </c>
      <c r="CB26" s="11">
        <v>53.225806451612904</v>
      </c>
      <c r="CC26" s="12"/>
      <c r="CD26" s="12"/>
      <c r="CE26" s="12"/>
    </row>
    <row r="27" spans="1:83" x14ac:dyDescent="0.35">
      <c r="A27" s="8" t="s">
        <v>117</v>
      </c>
      <c r="B27" s="8" t="s">
        <v>143</v>
      </c>
      <c r="C27" s="8"/>
      <c r="D27" s="9">
        <v>93.8</v>
      </c>
      <c r="E27" s="9">
        <v>6.2</v>
      </c>
      <c r="F27" s="9">
        <v>91.291172595520422</v>
      </c>
      <c r="G27" s="9">
        <v>8.7088274044795781</v>
      </c>
      <c r="H27" s="9">
        <v>15.692028614901158</v>
      </c>
      <c r="I27" s="9">
        <v>459.1174889310563</v>
      </c>
      <c r="J27" s="9">
        <v>40.980970320924513</v>
      </c>
      <c r="K27" s="9">
        <v>40.980970320924513</v>
      </c>
      <c r="L27" s="9">
        <v>0</v>
      </c>
      <c r="M27" s="9">
        <v>0.31859025032938071</v>
      </c>
      <c r="N27" s="9">
        <v>0</v>
      </c>
      <c r="O27" s="9">
        <v>0</v>
      </c>
      <c r="P27" s="9">
        <v>6.2275240790148088</v>
      </c>
      <c r="Q27" s="9">
        <v>4.115678524374176</v>
      </c>
      <c r="R27" s="9">
        <v>3.3230566534914363</v>
      </c>
      <c r="S27" s="9">
        <v>0.21396574440052701</v>
      </c>
      <c r="T27" s="9">
        <v>40.54195765649304</v>
      </c>
      <c r="U27" s="9">
        <v>0.57530961791831348</v>
      </c>
      <c r="V27" s="9">
        <v>0.71532863118761825</v>
      </c>
      <c r="W27" s="10">
        <v>0</v>
      </c>
      <c r="X27" s="10">
        <v>0</v>
      </c>
      <c r="Y27" s="10">
        <v>0</v>
      </c>
      <c r="Z27" s="10">
        <v>9.0909090909090893E-6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1.9090909090909087E-5</v>
      </c>
      <c r="AH27" s="10">
        <v>0</v>
      </c>
      <c r="AI27" s="10">
        <v>9.0909090909090893E-6</v>
      </c>
      <c r="AJ27" s="10">
        <v>3.7437417654808966E-3</v>
      </c>
      <c r="AK27" s="10">
        <v>7.7667984189723318E-3</v>
      </c>
      <c r="AL27" s="10">
        <v>0</v>
      </c>
      <c r="AM27" s="10">
        <v>1.8181818181818181E-6</v>
      </c>
      <c r="AN27" s="10">
        <v>0</v>
      </c>
      <c r="AO27" s="10">
        <v>0</v>
      </c>
      <c r="AP27" s="10">
        <v>0.18511198945981555</v>
      </c>
      <c r="AQ27" s="10">
        <v>3.7272727272727271E-3</v>
      </c>
      <c r="AR27" s="10">
        <v>0</v>
      </c>
      <c r="AS27" s="10">
        <v>7.3636363636363626E-5</v>
      </c>
      <c r="AT27" s="10">
        <v>1.7272727272727271E-5</v>
      </c>
      <c r="AU27" s="10">
        <v>0</v>
      </c>
      <c r="AV27" s="10">
        <v>0</v>
      </c>
      <c r="AW27" s="10">
        <v>0</v>
      </c>
      <c r="AX27" s="10">
        <v>9.0909090909090893E-6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6.3109354413702235E-3</v>
      </c>
      <c r="BF27" s="10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20.144927536231883</v>
      </c>
      <c r="BP27" s="9">
        <v>3.9920948616600791</v>
      </c>
      <c r="BQ27" s="9">
        <v>0</v>
      </c>
      <c r="BR27" s="9">
        <v>66.245059288537547</v>
      </c>
      <c r="BS27" s="9">
        <v>17.361192973649537</v>
      </c>
      <c r="BT27" s="9">
        <v>1.3480219850939394</v>
      </c>
      <c r="BU27" s="9">
        <v>0</v>
      </c>
      <c r="BV27" s="9">
        <v>0</v>
      </c>
      <c r="BW27" s="9">
        <v>0</v>
      </c>
      <c r="BX27" s="9">
        <v>0</v>
      </c>
      <c r="BY27" s="9">
        <v>13.636363636363635</v>
      </c>
      <c r="BZ27" s="9">
        <v>14.500658761528328</v>
      </c>
      <c r="CA27" s="9">
        <v>0</v>
      </c>
      <c r="CB27" s="11">
        <v>67.154150197628468</v>
      </c>
      <c r="CC27" s="12"/>
      <c r="CD27" s="12"/>
      <c r="CE27" s="12"/>
    </row>
    <row r="28" spans="1:83" x14ac:dyDescent="0.35">
      <c r="A28" s="8" t="s">
        <v>117</v>
      </c>
      <c r="B28" s="8" t="s">
        <v>144</v>
      </c>
      <c r="C28" s="8"/>
      <c r="D28" s="9">
        <v>94.4</v>
      </c>
      <c r="E28" s="9">
        <v>5.6</v>
      </c>
      <c r="F28" s="9">
        <v>87.5</v>
      </c>
      <c r="G28" s="9">
        <v>12.5</v>
      </c>
      <c r="H28" s="9">
        <v>15.014607026236371</v>
      </c>
      <c r="I28" s="9">
        <v>462.59183673469386</v>
      </c>
      <c r="J28" s="9">
        <v>38.862261873828373</v>
      </c>
      <c r="K28" s="9">
        <v>38.862261873828373</v>
      </c>
      <c r="L28" s="9">
        <v>0</v>
      </c>
      <c r="M28" s="9">
        <v>0.5178571428571429</v>
      </c>
      <c r="N28" s="9">
        <v>0</v>
      </c>
      <c r="O28" s="9">
        <v>0</v>
      </c>
      <c r="P28" s="9">
        <v>6.074242357300343</v>
      </c>
      <c r="Q28" s="9">
        <v>4.8928571428571432</v>
      </c>
      <c r="R28" s="9">
        <v>3.9285714285714293</v>
      </c>
      <c r="S28" s="9">
        <v>8.6250000000000007E-2</v>
      </c>
      <c r="T28" s="9">
        <v>38.169436107053372</v>
      </c>
      <c r="U28" s="9">
        <v>0.91785714285714304</v>
      </c>
      <c r="V28" s="9">
        <v>0.88772797755297939</v>
      </c>
      <c r="W28" s="10">
        <v>0</v>
      </c>
      <c r="X28" s="10">
        <v>0</v>
      </c>
      <c r="Y28" s="10">
        <v>0</v>
      </c>
      <c r="Z28" s="10">
        <v>1.7857142857142857E-6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6.4285714285714288E-5</v>
      </c>
      <c r="AH28" s="10">
        <v>0</v>
      </c>
      <c r="AI28" s="10">
        <v>3.0357142857142854E-5</v>
      </c>
      <c r="AJ28" s="10">
        <v>9.1071428571428575E-4</v>
      </c>
      <c r="AK28" s="10">
        <v>1.0857142857142859E-2</v>
      </c>
      <c r="AL28" s="10">
        <v>0</v>
      </c>
      <c r="AM28" s="10">
        <v>8.9285714285714284E-7</v>
      </c>
      <c r="AN28" s="10">
        <v>0</v>
      </c>
      <c r="AO28" s="10">
        <v>0</v>
      </c>
      <c r="AP28" s="10">
        <v>0.31428571428571433</v>
      </c>
      <c r="AQ28" s="10">
        <v>3.1250000000000002E-3</v>
      </c>
      <c r="AR28" s="10">
        <v>0</v>
      </c>
      <c r="AS28" s="10">
        <v>7.857142857142858E-5</v>
      </c>
      <c r="AT28" s="10">
        <v>1.9642857142857145E-5</v>
      </c>
      <c r="AU28" s="10">
        <v>0</v>
      </c>
      <c r="AV28" s="10">
        <v>0</v>
      </c>
      <c r="AW28" s="10">
        <v>0</v>
      </c>
      <c r="AX28" s="10">
        <v>1.0357142857142857E-5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5.2678571428571436E-3</v>
      </c>
      <c r="BF28" s="10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25</v>
      </c>
      <c r="BP28" s="9">
        <v>3.5714285714285721</v>
      </c>
      <c r="BQ28" s="9">
        <v>0</v>
      </c>
      <c r="BR28" s="9">
        <v>58.928571428571431</v>
      </c>
      <c r="BS28" s="9">
        <v>16.950631071428571</v>
      </c>
      <c r="BT28" s="9">
        <v>1.3074174129642857</v>
      </c>
      <c r="BU28" s="9">
        <v>16.696428571428573</v>
      </c>
      <c r="BV28" s="9">
        <v>12.946428571428573</v>
      </c>
      <c r="BW28" s="9">
        <v>0</v>
      </c>
      <c r="BX28" s="9">
        <v>0</v>
      </c>
      <c r="BY28" s="9">
        <v>29.642857142857142</v>
      </c>
      <c r="BZ28" s="9">
        <v>14.285714285714286</v>
      </c>
      <c r="CA28" s="9">
        <v>0</v>
      </c>
      <c r="CB28" s="11">
        <v>29.285714285714278</v>
      </c>
      <c r="CC28" s="12"/>
      <c r="CD28" s="12"/>
      <c r="CE28" s="12"/>
    </row>
    <row r="29" spans="1:83" x14ac:dyDescent="0.35">
      <c r="A29" s="8" t="s">
        <v>117</v>
      </c>
      <c r="B29" s="8" t="s">
        <v>145</v>
      </c>
      <c r="C29" s="8"/>
      <c r="D29" s="9">
        <v>87.8</v>
      </c>
      <c r="E29" s="9">
        <v>12.2</v>
      </c>
      <c r="F29" s="9">
        <v>95.901639344262293</v>
      </c>
      <c r="G29" s="9">
        <v>4.0983606557377055</v>
      </c>
      <c r="H29" s="9">
        <v>15.659455081333208</v>
      </c>
      <c r="I29" s="9">
        <v>438.95299145299145</v>
      </c>
      <c r="J29" s="9">
        <v>41.611162662850596</v>
      </c>
      <c r="K29" s="9">
        <v>41.20933036004098</v>
      </c>
      <c r="L29" s="9">
        <v>0</v>
      </c>
      <c r="M29" s="9">
        <v>0.18770491803278688</v>
      </c>
      <c r="N29" s="9">
        <v>0</v>
      </c>
      <c r="O29" s="9">
        <v>0</v>
      </c>
      <c r="P29" s="9">
        <v>6.453506524358553</v>
      </c>
      <c r="Q29" s="9">
        <v>1.581967213114754</v>
      </c>
      <c r="R29" s="9">
        <v>2.0655737704918034</v>
      </c>
      <c r="S29" s="9">
        <v>2.3770491803278688E-2</v>
      </c>
      <c r="T29" s="9">
        <v>45.531889678722443</v>
      </c>
      <c r="U29" s="9">
        <v>0.32868852459016401</v>
      </c>
      <c r="V29" s="9">
        <v>0.46569336527369415</v>
      </c>
      <c r="W29" s="10">
        <v>0</v>
      </c>
      <c r="X29" s="10">
        <v>0</v>
      </c>
      <c r="Y29" s="10">
        <v>0</v>
      </c>
      <c r="Z29" s="10">
        <v>2.7868852459016396E-6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1.1803278688524591E-5</v>
      </c>
      <c r="AH29" s="10">
        <v>0</v>
      </c>
      <c r="AI29" s="10">
        <v>5.7377049180327874E-6</v>
      </c>
      <c r="AJ29" s="10">
        <v>5.0000000000000001E-4</v>
      </c>
      <c r="AK29" s="10">
        <v>2.7049180327868854E-3</v>
      </c>
      <c r="AL29" s="10">
        <v>0</v>
      </c>
      <c r="AM29" s="10">
        <v>7.3770491803278695E-7</v>
      </c>
      <c r="AN29" s="10">
        <v>0</v>
      </c>
      <c r="AO29" s="10">
        <v>0</v>
      </c>
      <c r="AP29" s="10">
        <v>7.8688524590163927E-2</v>
      </c>
      <c r="AQ29" s="10">
        <v>1.8852459016393446E-3</v>
      </c>
      <c r="AR29" s="10">
        <v>0</v>
      </c>
      <c r="AS29" s="10">
        <v>2.9098360655737705E-5</v>
      </c>
      <c r="AT29" s="10">
        <v>2.4590163934426232E-6</v>
      </c>
      <c r="AU29" s="10">
        <v>0</v>
      </c>
      <c r="AV29" s="10">
        <v>0</v>
      </c>
      <c r="AW29" s="10">
        <v>0</v>
      </c>
      <c r="AX29" s="10">
        <v>4.0983606557377053E-6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1.3114754098360656E-3</v>
      </c>
      <c r="BF29" s="10">
        <v>0</v>
      </c>
      <c r="BG29" s="9">
        <v>0</v>
      </c>
      <c r="BH29" s="9">
        <v>0</v>
      </c>
      <c r="BI29" s="9">
        <v>15.655737704918032</v>
      </c>
      <c r="BJ29" s="9">
        <v>0</v>
      </c>
      <c r="BK29" s="9">
        <v>7.0491803278688518</v>
      </c>
      <c r="BL29" s="9">
        <v>0</v>
      </c>
      <c r="BM29" s="9">
        <v>0</v>
      </c>
      <c r="BN29" s="9">
        <v>0.57377049180327877</v>
      </c>
      <c r="BO29" s="9">
        <v>13.114754098360656</v>
      </c>
      <c r="BP29" s="9">
        <v>2.459016393442623</v>
      </c>
      <c r="BQ29" s="9">
        <v>0</v>
      </c>
      <c r="BR29" s="9">
        <v>81.147540983606575</v>
      </c>
      <c r="BS29" s="9">
        <v>17.297551573503675</v>
      </c>
      <c r="BT29" s="9">
        <v>1.3412301047178743</v>
      </c>
      <c r="BU29" s="9">
        <v>15.000000000000002</v>
      </c>
      <c r="BV29" s="9">
        <v>18.360655737704921</v>
      </c>
      <c r="BW29" s="9">
        <v>0</v>
      </c>
      <c r="BX29" s="9">
        <v>0</v>
      </c>
      <c r="BY29" s="9">
        <v>49.016393442622956</v>
      </c>
      <c r="BZ29" s="9">
        <v>15.409836065573771</v>
      </c>
      <c r="CA29" s="9">
        <v>0</v>
      </c>
      <c r="CB29" s="11">
        <v>23.688524590163922</v>
      </c>
      <c r="CC29" s="12"/>
      <c r="CD29" s="12"/>
      <c r="CE29" s="12"/>
    </row>
    <row r="30" spans="1:83" x14ac:dyDescent="0.35">
      <c r="A30" s="8" t="s">
        <v>117</v>
      </c>
      <c r="B30" s="8" t="s">
        <v>146</v>
      </c>
      <c r="C30" s="8"/>
      <c r="D30" s="9">
        <v>92.550000000000011</v>
      </c>
      <c r="E30" s="9">
        <v>7.4499999999999993</v>
      </c>
      <c r="F30" s="9">
        <v>93.337024732373564</v>
      </c>
      <c r="G30" s="9">
        <v>6.6629752676264307</v>
      </c>
      <c r="H30" s="9">
        <v>16.229120157019175</v>
      </c>
      <c r="I30" s="9">
        <v>441.29708686440677</v>
      </c>
      <c r="J30" s="9">
        <v>42.28298904960738</v>
      </c>
      <c r="K30" s="9">
        <v>39.657051080265923</v>
      </c>
      <c r="L30" s="9">
        <v>0</v>
      </c>
      <c r="M30" s="9">
        <v>0.10146179401993358</v>
      </c>
      <c r="N30" s="9">
        <v>0</v>
      </c>
      <c r="O30" s="9">
        <v>0</v>
      </c>
      <c r="P30" s="9">
        <v>6.4060805888814372</v>
      </c>
      <c r="Q30" s="9">
        <v>2.9201734957548915</v>
      </c>
      <c r="R30" s="9">
        <v>2.3521594684385381</v>
      </c>
      <c r="S30" s="9">
        <v>7.6688815060908078E-2</v>
      </c>
      <c r="T30" s="9">
        <v>42.064072834277553</v>
      </c>
      <c r="U30" s="9">
        <v>0.39478589885566628</v>
      </c>
      <c r="V30" s="9">
        <v>0.5220194419497588</v>
      </c>
      <c r="W30" s="10">
        <v>0</v>
      </c>
      <c r="X30" s="10">
        <v>0</v>
      </c>
      <c r="Y30" s="10">
        <v>0</v>
      </c>
      <c r="Z30" s="10">
        <v>5.5555555555555562E-7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4.769841269841269E-6</v>
      </c>
      <c r="AH30" s="10">
        <v>0</v>
      </c>
      <c r="AI30" s="10">
        <v>1.7718715393133996E-5</v>
      </c>
      <c r="AJ30" s="10">
        <v>1.1238464377999265E-3</v>
      </c>
      <c r="AK30" s="10">
        <v>5.6060354374307866E-3</v>
      </c>
      <c r="AL30" s="10">
        <v>0</v>
      </c>
      <c r="AM30" s="10">
        <v>5.5555555555555562E-7</v>
      </c>
      <c r="AN30" s="10">
        <v>0</v>
      </c>
      <c r="AO30" s="10">
        <v>0</v>
      </c>
      <c r="AP30" s="10">
        <v>0.16193244739756368</v>
      </c>
      <c r="AQ30" s="10">
        <v>1.3750461424880032E-3</v>
      </c>
      <c r="AR30" s="10">
        <v>4.0697674418604647E-4</v>
      </c>
      <c r="AS30" s="10">
        <v>1.2321889996308601E-4</v>
      </c>
      <c r="AT30" s="10">
        <v>3.9682539682539681E-6</v>
      </c>
      <c r="AU30" s="10">
        <v>0</v>
      </c>
      <c r="AV30" s="10">
        <v>0</v>
      </c>
      <c r="AW30" s="10">
        <v>0</v>
      </c>
      <c r="AX30" s="10">
        <v>1.3750461424880031E-6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2.1520856404577335E-3</v>
      </c>
      <c r="BF30" s="10">
        <v>0</v>
      </c>
      <c r="BG30" s="9">
        <v>0</v>
      </c>
      <c r="BH30" s="9">
        <v>0</v>
      </c>
      <c r="BI30" s="9">
        <v>0.8462532299741603</v>
      </c>
      <c r="BJ30" s="9">
        <v>0.79365079365079383</v>
      </c>
      <c r="BK30" s="9">
        <v>8.7366186784791449</v>
      </c>
      <c r="BL30" s="9">
        <v>0</v>
      </c>
      <c r="BM30" s="9">
        <v>0</v>
      </c>
      <c r="BN30" s="9">
        <v>3.7495385751199706</v>
      </c>
      <c r="BO30" s="9">
        <v>14.700996677740866</v>
      </c>
      <c r="BP30" s="9">
        <v>4.7065337763012183</v>
      </c>
      <c r="BQ30" s="9">
        <v>0</v>
      </c>
      <c r="BR30" s="9">
        <v>73.929494278331489</v>
      </c>
      <c r="BS30" s="9">
        <v>16.477100563055661</v>
      </c>
      <c r="BT30" s="9">
        <v>1.2573325209722883</v>
      </c>
      <c r="BU30" s="9">
        <v>22.381875230712442</v>
      </c>
      <c r="BV30" s="9">
        <v>15.794573643410853</v>
      </c>
      <c r="BW30" s="9">
        <v>0</v>
      </c>
      <c r="BX30" s="9">
        <v>0</v>
      </c>
      <c r="BY30" s="9">
        <v>39.022702104097455</v>
      </c>
      <c r="BZ30" s="9">
        <v>14.563492063492063</v>
      </c>
      <c r="CA30" s="9">
        <v>0</v>
      </c>
      <c r="CB30" s="11">
        <v>21.626984126984119</v>
      </c>
      <c r="CC30" s="12"/>
      <c r="CD30" s="12"/>
      <c r="CE30" s="12"/>
    </row>
    <row r="31" spans="1:83" x14ac:dyDescent="0.35">
      <c r="A31" s="8" t="s">
        <v>117</v>
      </c>
      <c r="B31" s="8" t="s">
        <v>147</v>
      </c>
      <c r="C31" s="8"/>
      <c r="D31" s="9">
        <v>81.37</v>
      </c>
      <c r="E31" s="9">
        <v>18.629999999999995</v>
      </c>
      <c r="F31" s="9">
        <v>97.643105419356331</v>
      </c>
      <c r="G31" s="9">
        <v>2.3568945806436714</v>
      </c>
      <c r="H31" s="9">
        <v>15.142208078179197</v>
      </c>
      <c r="I31" s="9">
        <v>427.10996753993919</v>
      </c>
      <c r="J31" s="9">
        <v>41.032172535140113</v>
      </c>
      <c r="K31" s="9">
        <v>41.032172535140113</v>
      </c>
      <c r="L31" s="9">
        <v>0</v>
      </c>
      <c r="M31" s="9">
        <v>6.3615079044308714E-2</v>
      </c>
      <c r="N31" s="9">
        <v>0</v>
      </c>
      <c r="O31" s="9">
        <v>0</v>
      </c>
      <c r="P31" s="9">
        <v>6.4734584737882512</v>
      </c>
      <c r="Q31" s="9">
        <v>1.0946828412069705</v>
      </c>
      <c r="R31" s="9">
        <v>0.52071087912976199</v>
      </c>
      <c r="S31" s="9">
        <v>5.1387461459403922E-3</v>
      </c>
      <c r="T31" s="9">
        <v>49.565465743064514</v>
      </c>
      <c r="U31" s="9">
        <v>0.11262341651558369</v>
      </c>
      <c r="V31" s="9">
        <v>0.11556240390492442</v>
      </c>
      <c r="W31" s="10">
        <v>0</v>
      </c>
      <c r="X31" s="10">
        <v>0</v>
      </c>
      <c r="Y31" s="10">
        <v>0</v>
      </c>
      <c r="Z31" s="10">
        <v>1.3103802672148E-6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1.2846865364850981E-7</v>
      </c>
      <c r="AH31" s="10">
        <v>0</v>
      </c>
      <c r="AI31" s="10">
        <v>4.3679342240493337E-7</v>
      </c>
      <c r="AJ31" s="10">
        <v>3.2631038026721486E-4</v>
      </c>
      <c r="AK31" s="10">
        <v>1.9362102613254501E-3</v>
      </c>
      <c r="AL31" s="10">
        <v>0</v>
      </c>
      <c r="AM31" s="10">
        <v>5.9095580678314509E-7</v>
      </c>
      <c r="AN31" s="10">
        <v>0</v>
      </c>
      <c r="AO31" s="10">
        <v>0</v>
      </c>
      <c r="AP31" s="10">
        <v>3.5401341847870027E-2</v>
      </c>
      <c r="AQ31" s="10">
        <v>1.824254881808839E-4</v>
      </c>
      <c r="AR31" s="10">
        <v>0</v>
      </c>
      <c r="AS31" s="10">
        <v>2.2995889003083259E-6</v>
      </c>
      <c r="AT31" s="10">
        <v>1.2846865364850979E-6</v>
      </c>
      <c r="AU31" s="10">
        <v>0</v>
      </c>
      <c r="AV31" s="10">
        <v>0</v>
      </c>
      <c r="AW31" s="10">
        <v>0</v>
      </c>
      <c r="AX31" s="10">
        <v>1.1726676443756713E-6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2.9221566566971148E-4</v>
      </c>
      <c r="BF31" s="10">
        <v>0</v>
      </c>
      <c r="BG31" s="9">
        <v>0</v>
      </c>
      <c r="BH31" s="9">
        <v>0</v>
      </c>
      <c r="BI31" s="9">
        <v>0.38540596094552937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3.2544429945610132</v>
      </c>
      <c r="BP31" s="9">
        <v>1.534695197293209</v>
      </c>
      <c r="BQ31" s="9">
        <v>0</v>
      </c>
      <c r="BR31" s="9">
        <v>84.118098779403454</v>
      </c>
      <c r="BS31" s="9">
        <v>16.973696068945806</v>
      </c>
      <c r="BT31" s="9">
        <v>1.3096985412187405</v>
      </c>
      <c r="BU31" s="9">
        <v>20.889003083247694</v>
      </c>
      <c r="BV31" s="9">
        <v>18.49948612538541</v>
      </c>
      <c r="BW31" s="9">
        <v>0</v>
      </c>
      <c r="BX31" s="9">
        <v>0</v>
      </c>
      <c r="BY31" s="9">
        <v>38.540596094552946</v>
      </c>
      <c r="BZ31" s="9">
        <v>15.6020416411654</v>
      </c>
      <c r="CA31" s="9">
        <v>0</v>
      </c>
      <c r="CB31" s="11">
        <v>53.080072057923473</v>
      </c>
      <c r="CC31" s="12"/>
      <c r="CD31" s="12"/>
      <c r="CE31" s="12"/>
    </row>
    <row r="32" spans="1:83" x14ac:dyDescent="0.35">
      <c r="A32" s="8" t="s">
        <v>117</v>
      </c>
      <c r="B32" s="8" t="s">
        <v>148</v>
      </c>
      <c r="C32" s="8"/>
      <c r="D32" s="9">
        <v>96.4</v>
      </c>
      <c r="E32" s="9">
        <v>3.6</v>
      </c>
      <c r="F32" s="9">
        <v>88.888888888888886</v>
      </c>
      <c r="G32" s="9">
        <v>11.111111111111112</v>
      </c>
      <c r="H32" s="9">
        <v>15.015690665990453</v>
      </c>
      <c r="I32" s="9">
        <v>447.54687500000006</v>
      </c>
      <c r="J32" s="9">
        <v>39.375887367134716</v>
      </c>
      <c r="K32" s="9">
        <v>38.792273784482653</v>
      </c>
      <c r="L32" s="9">
        <v>0</v>
      </c>
      <c r="M32" s="9">
        <v>0.57499999999999996</v>
      </c>
      <c r="N32" s="9">
        <v>0</v>
      </c>
      <c r="O32" s="9">
        <v>0</v>
      </c>
      <c r="P32" s="9">
        <v>6.0480663795622442</v>
      </c>
      <c r="Q32" s="9">
        <v>3.7777777777777777</v>
      </c>
      <c r="R32" s="9">
        <v>3.166666666666667</v>
      </c>
      <c r="S32" s="9">
        <v>0.27777777777777779</v>
      </c>
      <c r="T32" s="9">
        <v>40.047333183000227</v>
      </c>
      <c r="U32" s="9">
        <v>0.70277777777777772</v>
      </c>
      <c r="V32" s="9">
        <v>0.69045509365231739</v>
      </c>
      <c r="W32" s="10">
        <v>0</v>
      </c>
      <c r="X32" s="10">
        <v>0</v>
      </c>
      <c r="Y32" s="10">
        <v>0</v>
      </c>
      <c r="Z32" s="10">
        <v>4.7222222222222214E-5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2.7777777777777779E-6</v>
      </c>
      <c r="AH32" s="10">
        <v>0</v>
      </c>
      <c r="AI32" s="10">
        <v>4.7222222222222214E-5</v>
      </c>
      <c r="AJ32" s="10">
        <v>7.7777777777777773E-4</v>
      </c>
      <c r="AK32" s="10">
        <v>6.1111111111111106E-3</v>
      </c>
      <c r="AL32" s="10">
        <v>0</v>
      </c>
      <c r="AM32" s="10">
        <v>1.0277777777777777E-5</v>
      </c>
      <c r="AN32" s="10">
        <v>0</v>
      </c>
      <c r="AO32" s="10">
        <v>0</v>
      </c>
      <c r="AP32" s="10">
        <v>0.25638888888888889</v>
      </c>
      <c r="AQ32" s="10">
        <v>2.7777777777777779E-3</v>
      </c>
      <c r="AR32" s="10">
        <v>0</v>
      </c>
      <c r="AS32" s="10">
        <v>1.6666666666666664E-5</v>
      </c>
      <c r="AT32" s="10">
        <v>8.333333333333332E-6</v>
      </c>
      <c r="AU32" s="10">
        <v>0</v>
      </c>
      <c r="AV32" s="10">
        <v>0</v>
      </c>
      <c r="AW32" s="10">
        <v>0</v>
      </c>
      <c r="AX32" s="10">
        <v>8.333333333333332E-6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3.5833333333333333E-3</v>
      </c>
      <c r="BF32" s="10">
        <v>0</v>
      </c>
      <c r="BG32" s="9">
        <v>0</v>
      </c>
      <c r="BH32" s="9">
        <v>0</v>
      </c>
      <c r="BI32" s="9">
        <v>0</v>
      </c>
      <c r="BJ32" s="9">
        <v>0</v>
      </c>
      <c r="BK32" s="9">
        <v>10.833333333333334</v>
      </c>
      <c r="BL32" s="9">
        <v>0</v>
      </c>
      <c r="BM32" s="9">
        <v>0</v>
      </c>
      <c r="BN32" s="9">
        <v>0.83333333333333337</v>
      </c>
      <c r="BO32" s="9">
        <v>19.444444444444443</v>
      </c>
      <c r="BP32" s="9">
        <v>2.7777777777777781</v>
      </c>
      <c r="BQ32" s="9">
        <v>0</v>
      </c>
      <c r="BR32" s="9">
        <v>66.666666666666657</v>
      </c>
      <c r="BS32" s="9">
        <v>16.476452033828053</v>
      </c>
      <c r="BT32" s="9">
        <v>1.2597981894789279</v>
      </c>
      <c r="BU32" s="9">
        <v>19.722222222222221</v>
      </c>
      <c r="BV32" s="9">
        <v>8.6111111111111107</v>
      </c>
      <c r="BW32" s="9">
        <v>0</v>
      </c>
      <c r="BX32" s="9">
        <v>0</v>
      </c>
      <c r="BY32" s="9">
        <v>28.333333333333332</v>
      </c>
      <c r="BZ32" s="9">
        <v>13.888888888888889</v>
      </c>
      <c r="CA32" s="9">
        <v>0</v>
      </c>
      <c r="CB32" s="11">
        <v>26.666666666666671</v>
      </c>
      <c r="CC32" s="12"/>
      <c r="CD32" s="12"/>
      <c r="CE32" s="12"/>
    </row>
    <row r="33" spans="1:83" x14ac:dyDescent="0.35">
      <c r="A33" s="8" t="s">
        <v>117</v>
      </c>
      <c r="B33" s="8" t="s">
        <v>149</v>
      </c>
      <c r="C33" s="8"/>
      <c r="D33" s="9">
        <v>92.6</v>
      </c>
      <c r="E33" s="9">
        <v>7.4</v>
      </c>
      <c r="F33" s="9">
        <v>95.945945945945951</v>
      </c>
      <c r="G33" s="9">
        <v>4.0540540540540535</v>
      </c>
      <c r="H33" s="9">
        <v>18.046345354609848</v>
      </c>
      <c r="I33" s="9">
        <v>513.50704225352115</v>
      </c>
      <c r="J33" s="9">
        <v>45.428311096477785</v>
      </c>
      <c r="K33" s="9">
        <v>45.428311096477785</v>
      </c>
      <c r="L33" s="9">
        <v>0</v>
      </c>
      <c r="M33" s="9">
        <v>0.47432432432432425</v>
      </c>
      <c r="N33" s="9">
        <v>0</v>
      </c>
      <c r="O33" s="9">
        <v>0</v>
      </c>
      <c r="P33" s="9">
        <v>7.0051359327301999</v>
      </c>
      <c r="Q33" s="9">
        <v>2.3648648648648649</v>
      </c>
      <c r="R33" s="9">
        <v>1.0810810810810809</v>
      </c>
      <c r="S33" s="9">
        <v>4.0540540540540536E-2</v>
      </c>
      <c r="T33" s="9">
        <v>42.324915224354754</v>
      </c>
      <c r="U33" s="9">
        <v>0.2797297297297297</v>
      </c>
      <c r="V33" s="9">
        <v>0.23992648041972417</v>
      </c>
      <c r="W33" s="10">
        <v>0</v>
      </c>
      <c r="X33" s="10">
        <v>0</v>
      </c>
      <c r="Y33" s="10">
        <v>0</v>
      </c>
      <c r="Z33" s="10">
        <v>5.4054054054054048E-7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4.7297297297297294E-7</v>
      </c>
      <c r="AH33" s="10">
        <v>0</v>
      </c>
      <c r="AI33" s="10">
        <v>2.7027027027027026E-6</v>
      </c>
      <c r="AJ33" s="10">
        <v>7.1621621621621625E-4</v>
      </c>
      <c r="AK33" s="10">
        <v>1.0810810810810811E-3</v>
      </c>
      <c r="AL33" s="10">
        <v>0</v>
      </c>
      <c r="AM33" s="10">
        <v>1.7567567567567565E-6</v>
      </c>
      <c r="AN33" s="10">
        <v>0</v>
      </c>
      <c r="AO33" s="10">
        <v>0</v>
      </c>
      <c r="AP33" s="10">
        <v>0.12162162162162164</v>
      </c>
      <c r="AQ33" s="10">
        <v>5.4054054054054055E-4</v>
      </c>
      <c r="AR33" s="10">
        <v>0</v>
      </c>
      <c r="AS33" s="10">
        <v>8.9864864864864857E-5</v>
      </c>
      <c r="AT33" s="10">
        <v>5.4054054054054052E-6</v>
      </c>
      <c r="AU33" s="10">
        <v>0</v>
      </c>
      <c r="AV33" s="10">
        <v>0</v>
      </c>
      <c r="AW33" s="10">
        <v>0</v>
      </c>
      <c r="AX33" s="10">
        <v>1.6216216216216214E-6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1.756756756756757E-3</v>
      </c>
      <c r="BF33" s="10">
        <v>0</v>
      </c>
      <c r="BG33" s="9">
        <v>0</v>
      </c>
      <c r="BH33" s="9">
        <v>0</v>
      </c>
      <c r="BI33" s="9">
        <v>5.4054054054054053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6.7567567567567561</v>
      </c>
      <c r="BP33" s="9">
        <v>14.864864864864865</v>
      </c>
      <c r="BQ33" s="9">
        <v>0</v>
      </c>
      <c r="BR33" s="9">
        <v>74.324324324324323</v>
      </c>
      <c r="BS33" s="9">
        <v>19.057973378378378</v>
      </c>
      <c r="BT33" s="9">
        <v>1.5158335671216217</v>
      </c>
      <c r="BU33" s="9">
        <v>18.918918918918916</v>
      </c>
      <c r="BV33" s="9">
        <v>18.918918918918916</v>
      </c>
      <c r="BW33" s="9">
        <v>0</v>
      </c>
      <c r="BX33" s="9">
        <v>0</v>
      </c>
      <c r="BY33" s="9">
        <v>43.243243243243242</v>
      </c>
      <c r="BZ33" s="9">
        <v>17.837837837837839</v>
      </c>
      <c r="CA33" s="9">
        <v>0</v>
      </c>
      <c r="CB33" s="11">
        <v>31.081081081081095</v>
      </c>
      <c r="CC33" s="12"/>
      <c r="CD33" s="12"/>
      <c r="CE33" s="12"/>
    </row>
    <row r="34" spans="1:83" x14ac:dyDescent="0.35">
      <c r="A34" s="8" t="s">
        <v>117</v>
      </c>
      <c r="B34" s="8" t="s">
        <v>150</v>
      </c>
      <c r="C34" s="8"/>
      <c r="D34" s="9">
        <v>90.2</v>
      </c>
      <c r="E34" s="9">
        <v>9.8000000000000007</v>
      </c>
      <c r="F34" s="9">
        <v>96.938775510204081</v>
      </c>
      <c r="G34" s="9">
        <v>3.0612244897959178</v>
      </c>
      <c r="H34" s="9">
        <v>15.020649601817412</v>
      </c>
      <c r="I34" s="9">
        <v>428.12631578947355</v>
      </c>
      <c r="J34" s="9">
        <v>40.496842714333901</v>
      </c>
      <c r="K34" s="9">
        <v>40.496842714333901</v>
      </c>
      <c r="L34" s="9">
        <v>0</v>
      </c>
      <c r="M34" s="9">
        <v>4.469387755102041E-2</v>
      </c>
      <c r="N34" s="9">
        <v>0</v>
      </c>
      <c r="O34" s="9">
        <v>0</v>
      </c>
      <c r="P34" s="9">
        <v>6.4799466760870033</v>
      </c>
      <c r="Q34" s="9">
        <v>1.4897959183673468</v>
      </c>
      <c r="R34" s="9">
        <v>1.3061224489795917</v>
      </c>
      <c r="S34" s="9">
        <v>6.8367346938775511E-2</v>
      </c>
      <c r="T34" s="9">
        <v>48.52719112816915</v>
      </c>
      <c r="U34" s="9">
        <v>0.20204081632653062</v>
      </c>
      <c r="V34" s="9">
        <v>0.28987036001729943</v>
      </c>
      <c r="W34" s="10">
        <v>0</v>
      </c>
      <c r="X34" s="10">
        <v>0</v>
      </c>
      <c r="Y34" s="10">
        <v>0</v>
      </c>
      <c r="Z34" s="10">
        <v>3.0612244897959182E-5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1.0204081632653061E-5</v>
      </c>
      <c r="AH34" s="10">
        <v>0</v>
      </c>
      <c r="AI34" s="10">
        <v>0</v>
      </c>
      <c r="AJ34" s="10">
        <v>3.0612244897959182E-4</v>
      </c>
      <c r="AK34" s="10">
        <v>3.0612244897959182E-3</v>
      </c>
      <c r="AL34" s="10">
        <v>0</v>
      </c>
      <c r="AM34" s="10">
        <v>2.0408163265306121E-6</v>
      </c>
      <c r="AN34" s="10">
        <v>0</v>
      </c>
      <c r="AO34" s="10">
        <v>0</v>
      </c>
      <c r="AP34" s="10">
        <v>8.5714285714285715E-2</v>
      </c>
      <c r="AQ34" s="10">
        <v>3.7755102040816323E-4</v>
      </c>
      <c r="AR34" s="10">
        <v>0</v>
      </c>
      <c r="AS34" s="10">
        <v>7.142857142857142E-5</v>
      </c>
      <c r="AT34" s="10">
        <v>3.0612244897959182E-5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1.0204081632653062E-3</v>
      </c>
      <c r="BF34" s="10">
        <v>0</v>
      </c>
      <c r="BG34" s="9">
        <v>0</v>
      </c>
      <c r="BH34" s="9">
        <v>0</v>
      </c>
      <c r="BI34" s="9">
        <v>23.469387755102037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8.1632653061224492</v>
      </c>
      <c r="BP34" s="9">
        <v>1.0204081632653061</v>
      </c>
      <c r="BQ34" s="9">
        <v>0</v>
      </c>
      <c r="BR34" s="9">
        <v>87.755102040816311</v>
      </c>
      <c r="BS34" s="9">
        <v>17.085512040816326</v>
      </c>
      <c r="BT34" s="9">
        <v>1.3207571408367347</v>
      </c>
      <c r="BU34" s="9">
        <v>35.714285714285708</v>
      </c>
      <c r="BV34" s="9">
        <v>18.367346938775508</v>
      </c>
      <c r="BW34" s="9">
        <v>0</v>
      </c>
      <c r="BX34" s="9">
        <v>0</v>
      </c>
      <c r="BY34" s="9">
        <v>77.551020408163254</v>
      </c>
      <c r="BZ34" s="9">
        <v>16.224489795918366</v>
      </c>
      <c r="CA34" s="9">
        <v>0</v>
      </c>
      <c r="CB34" s="11">
        <v>10.204081632653057</v>
      </c>
      <c r="CC34" s="12"/>
      <c r="CD34" s="12"/>
      <c r="CE34" s="12"/>
    </row>
    <row r="35" spans="1:83" x14ac:dyDescent="0.35">
      <c r="A35" s="8" t="s">
        <v>117</v>
      </c>
      <c r="B35" s="8" t="s">
        <v>151</v>
      </c>
      <c r="C35" s="8"/>
      <c r="D35" s="9">
        <v>88.7</v>
      </c>
      <c r="E35" s="9">
        <v>11.3</v>
      </c>
      <c r="F35" s="9">
        <v>97.345132743362825</v>
      </c>
      <c r="G35" s="9">
        <v>2.6548672566371678</v>
      </c>
      <c r="H35" s="9">
        <v>15.725219116980378</v>
      </c>
      <c r="I35" s="9">
        <v>434.94545454545448</v>
      </c>
      <c r="J35" s="9">
        <v>42.045142966290356</v>
      </c>
      <c r="K35" s="9">
        <v>41.549329657134621</v>
      </c>
      <c r="L35" s="9">
        <v>0</v>
      </c>
      <c r="M35" s="9">
        <v>0.25044247787610618</v>
      </c>
      <c r="N35" s="9">
        <v>0</v>
      </c>
      <c r="O35" s="9">
        <v>0</v>
      </c>
      <c r="P35" s="9">
        <v>6.513314904814882</v>
      </c>
      <c r="Q35" s="9">
        <v>1.2831858407079644</v>
      </c>
      <c r="R35" s="9">
        <v>1.2743362831858405</v>
      </c>
      <c r="S35" s="9">
        <v>1.7699115044247787E-2</v>
      </c>
      <c r="T35" s="9">
        <v>47.386797457873108</v>
      </c>
      <c r="U35" s="9">
        <v>0.17256637168141592</v>
      </c>
      <c r="V35" s="9">
        <v>0.28281599284873682</v>
      </c>
      <c r="W35" s="10">
        <v>0</v>
      </c>
      <c r="X35" s="10">
        <v>0</v>
      </c>
      <c r="Y35" s="10">
        <v>0</v>
      </c>
      <c r="Z35" s="10">
        <v>1.061946902654867E-6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2.6548672566371676E-7</v>
      </c>
      <c r="AH35" s="10">
        <v>0</v>
      </c>
      <c r="AI35" s="10">
        <v>8.8495575221238928E-7</v>
      </c>
      <c r="AJ35" s="10">
        <v>3.7168141592920358E-4</v>
      </c>
      <c r="AK35" s="10">
        <v>1.1504424778761061E-3</v>
      </c>
      <c r="AL35" s="10">
        <v>0</v>
      </c>
      <c r="AM35" s="10">
        <v>3.5398230088495575E-7</v>
      </c>
      <c r="AN35" s="10">
        <v>0</v>
      </c>
      <c r="AO35" s="10">
        <v>0</v>
      </c>
      <c r="AP35" s="10">
        <v>8.8495575221238937E-2</v>
      </c>
      <c r="AQ35" s="10">
        <v>3.1858407079646018E-4</v>
      </c>
      <c r="AR35" s="10">
        <v>0</v>
      </c>
      <c r="AS35" s="10">
        <v>2.7079646017699112E-5</v>
      </c>
      <c r="AT35" s="10">
        <v>0</v>
      </c>
      <c r="AU35" s="10">
        <v>0</v>
      </c>
      <c r="AV35" s="10">
        <v>0</v>
      </c>
      <c r="AW35" s="10">
        <v>0</v>
      </c>
      <c r="AX35" s="10">
        <v>1.9469026548672563E-6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6.1946902654867264E-4</v>
      </c>
      <c r="BF35" s="10">
        <v>0</v>
      </c>
      <c r="BG35" s="9">
        <v>0</v>
      </c>
      <c r="BH35" s="9">
        <v>0</v>
      </c>
      <c r="BI35" s="9">
        <v>17.699115044247787</v>
      </c>
      <c r="BJ35" s="9">
        <v>0</v>
      </c>
      <c r="BK35" s="9">
        <v>0.44247787610619471</v>
      </c>
      <c r="BL35" s="9">
        <v>0</v>
      </c>
      <c r="BM35" s="9">
        <v>0</v>
      </c>
      <c r="BN35" s="9">
        <v>0.70796460176991149</v>
      </c>
      <c r="BO35" s="9">
        <v>7.9646017699115044</v>
      </c>
      <c r="BP35" s="9">
        <v>2.6548672566371678</v>
      </c>
      <c r="BQ35" s="9">
        <v>0</v>
      </c>
      <c r="BR35" s="9">
        <v>86.725663716814154</v>
      </c>
      <c r="BS35" s="9">
        <v>17.208259427620266</v>
      </c>
      <c r="BT35" s="9">
        <v>1.332282698099609</v>
      </c>
      <c r="BU35" s="9">
        <v>8.8495575221238933</v>
      </c>
      <c r="BV35" s="9">
        <v>17.699115044247787</v>
      </c>
      <c r="BW35" s="9">
        <v>0</v>
      </c>
      <c r="BX35" s="9">
        <v>0</v>
      </c>
      <c r="BY35" s="9">
        <v>44.247787610619469</v>
      </c>
      <c r="BZ35" s="9">
        <v>15.929203539823007</v>
      </c>
      <c r="CA35" s="9">
        <v>0</v>
      </c>
      <c r="CB35" s="11">
        <v>41.327433628318573</v>
      </c>
      <c r="CC35" s="12"/>
      <c r="CD35" s="12"/>
      <c r="CE35" s="12"/>
    </row>
    <row r="36" spans="1:83" x14ac:dyDescent="0.35">
      <c r="A36" s="8" t="s">
        <v>117</v>
      </c>
      <c r="B36" s="8" t="s">
        <v>152</v>
      </c>
      <c r="C36" s="8"/>
      <c r="D36" s="9">
        <v>83.7</v>
      </c>
      <c r="E36" s="9">
        <v>16.3</v>
      </c>
      <c r="F36" s="9">
        <v>95.705521472392633</v>
      </c>
      <c r="G36" s="9">
        <v>4.2944785276073612</v>
      </c>
      <c r="H36" s="9">
        <v>15.725596012985743</v>
      </c>
      <c r="I36" s="9">
        <v>450.91025641025641</v>
      </c>
      <c r="J36" s="9">
        <v>41.60534419255341</v>
      </c>
      <c r="K36" s="9">
        <v>41.60534419255341</v>
      </c>
      <c r="L36" s="9">
        <v>0</v>
      </c>
      <c r="M36" s="9">
        <v>0.19447852760736195</v>
      </c>
      <c r="N36" s="9">
        <v>0</v>
      </c>
      <c r="O36" s="9">
        <v>0</v>
      </c>
      <c r="P36" s="9">
        <v>6.5287341470715088</v>
      </c>
      <c r="Q36" s="9">
        <v>1.6564417177914113</v>
      </c>
      <c r="R36" s="9">
        <v>0.94478527607361962</v>
      </c>
      <c r="S36" s="9">
        <v>1.6871165644171779E-2</v>
      </c>
      <c r="T36" s="9">
        <v>46.493146283241849</v>
      </c>
      <c r="U36" s="9">
        <v>0.20122699386503065</v>
      </c>
      <c r="V36" s="9">
        <v>0.21784735645471889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4.1717791411042947E-7</v>
      </c>
      <c r="AH36" s="10">
        <v>0</v>
      </c>
      <c r="AI36" s="10">
        <v>0</v>
      </c>
      <c r="AJ36" s="10">
        <v>0</v>
      </c>
      <c r="AK36" s="10">
        <v>1.656441717791411E-3</v>
      </c>
      <c r="AL36" s="10">
        <v>0</v>
      </c>
      <c r="AM36" s="10">
        <v>0</v>
      </c>
      <c r="AN36" s="10">
        <v>0</v>
      </c>
      <c r="AO36" s="10">
        <v>0</v>
      </c>
      <c r="AP36" s="10">
        <v>8.0981595092024544E-2</v>
      </c>
      <c r="AQ36" s="10">
        <v>0</v>
      </c>
      <c r="AR36" s="10">
        <v>0</v>
      </c>
      <c r="AS36" s="10">
        <v>1.9631901840490797E-5</v>
      </c>
      <c r="AT36" s="10">
        <v>1.2269938650306748E-6</v>
      </c>
      <c r="AU36" s="10">
        <v>0</v>
      </c>
      <c r="AV36" s="10">
        <v>0</v>
      </c>
      <c r="AW36" s="10">
        <v>0</v>
      </c>
      <c r="AX36" s="10">
        <v>1.840490797546012E-6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1.8098159509202455E-3</v>
      </c>
      <c r="BF36" s="10">
        <v>0</v>
      </c>
      <c r="BG36" s="9">
        <v>0</v>
      </c>
      <c r="BH36" s="9">
        <v>0</v>
      </c>
      <c r="BI36" s="9">
        <v>1.7975460122699385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6.1349693251533743</v>
      </c>
      <c r="BP36" s="9">
        <v>4.9079754601226995</v>
      </c>
      <c r="BQ36" s="9">
        <v>0</v>
      </c>
      <c r="BR36" s="9">
        <v>85.276073619631902</v>
      </c>
      <c r="BS36" s="9">
        <v>17.368889386503067</v>
      </c>
      <c r="BT36" s="9">
        <v>1.3487831603251534</v>
      </c>
      <c r="BU36" s="9">
        <v>20.736196319018404</v>
      </c>
      <c r="BV36" s="9">
        <v>18.711656441717789</v>
      </c>
      <c r="BW36" s="9">
        <v>0</v>
      </c>
      <c r="BX36" s="9">
        <v>0</v>
      </c>
      <c r="BY36" s="9">
        <v>41.226993865030671</v>
      </c>
      <c r="BZ36" s="9">
        <v>15.889570552147239</v>
      </c>
      <c r="CA36" s="9">
        <v>0</v>
      </c>
      <c r="CB36" s="11">
        <v>43.417177914110425</v>
      </c>
      <c r="CC36" s="12"/>
      <c r="CD36" s="12"/>
      <c r="CE36" s="12"/>
    </row>
    <row r="37" spans="1:83" x14ac:dyDescent="0.35">
      <c r="A37" s="8" t="s">
        <v>117</v>
      </c>
      <c r="B37" s="8" t="s">
        <v>153</v>
      </c>
      <c r="C37" s="8"/>
      <c r="D37" s="9">
        <v>90.1</v>
      </c>
      <c r="E37" s="9">
        <v>9.9</v>
      </c>
      <c r="F37" s="9">
        <v>95.959595959595958</v>
      </c>
      <c r="G37" s="9">
        <v>4.0404040404040407</v>
      </c>
      <c r="H37" s="9">
        <v>16.568721997546856</v>
      </c>
      <c r="I37" s="9">
        <v>441.76315789473676</v>
      </c>
      <c r="J37" s="9">
        <v>43.299669906156751</v>
      </c>
      <c r="K37" s="9">
        <v>40.540769333619728</v>
      </c>
      <c r="L37" s="9">
        <v>0</v>
      </c>
      <c r="M37" s="9">
        <v>0.20606060606060606</v>
      </c>
      <c r="N37" s="9">
        <v>0</v>
      </c>
      <c r="O37" s="9">
        <v>0</v>
      </c>
      <c r="P37" s="9">
        <v>6.5991927267936559</v>
      </c>
      <c r="Q37" s="9">
        <v>1.8888888888888888</v>
      </c>
      <c r="R37" s="9">
        <v>1.0909090909090908</v>
      </c>
      <c r="S37" s="9">
        <v>4.0404040404040401E-2</v>
      </c>
      <c r="T37" s="9">
        <v>44.817968977848558</v>
      </c>
      <c r="U37" s="9">
        <v>0.22929292929292927</v>
      </c>
      <c r="V37" s="9">
        <v>0.25107457950993356</v>
      </c>
      <c r="W37" s="10">
        <v>0</v>
      </c>
      <c r="X37" s="10">
        <v>0</v>
      </c>
      <c r="Y37" s="10">
        <v>0</v>
      </c>
      <c r="Z37" s="10">
        <v>3.2323232323232324E-6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6.575757575757575E-6</v>
      </c>
      <c r="AH37" s="10">
        <v>0</v>
      </c>
      <c r="AI37" s="10">
        <v>3.0303030303030296E-6</v>
      </c>
      <c r="AJ37" s="10">
        <v>3.9393939393939391E-4</v>
      </c>
      <c r="AK37" s="10">
        <v>2.7272727272727275E-3</v>
      </c>
      <c r="AL37" s="10">
        <v>0</v>
      </c>
      <c r="AM37" s="10">
        <v>4.0404040404040405E-7</v>
      </c>
      <c r="AN37" s="10">
        <v>0</v>
      </c>
      <c r="AO37" s="10">
        <v>0</v>
      </c>
      <c r="AP37" s="10">
        <v>0.12525252525252525</v>
      </c>
      <c r="AQ37" s="10">
        <v>4.3434343434343436E-3</v>
      </c>
      <c r="AR37" s="10">
        <v>0</v>
      </c>
      <c r="AS37" s="10">
        <v>3.7979797979797979E-5</v>
      </c>
      <c r="AT37" s="10">
        <v>3.0303030303030296E-6</v>
      </c>
      <c r="AU37" s="10">
        <v>0</v>
      </c>
      <c r="AV37" s="10">
        <v>0</v>
      </c>
      <c r="AW37" s="10">
        <v>0</v>
      </c>
      <c r="AX37" s="10">
        <v>2.0202020202020202E-6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1.0101010101010101E-3</v>
      </c>
      <c r="BF37" s="10">
        <v>0</v>
      </c>
      <c r="BG37" s="9">
        <v>0</v>
      </c>
      <c r="BH37" s="9">
        <v>0</v>
      </c>
      <c r="BI37" s="9">
        <v>0.80808080808080807</v>
      </c>
      <c r="BJ37" s="9">
        <v>0</v>
      </c>
      <c r="BK37" s="9">
        <v>5.9595959595959593</v>
      </c>
      <c r="BL37" s="9">
        <v>0</v>
      </c>
      <c r="BM37" s="9">
        <v>0</v>
      </c>
      <c r="BN37" s="9">
        <v>3.939393939393939</v>
      </c>
      <c r="BO37" s="9">
        <v>7.0707070707070701</v>
      </c>
      <c r="BP37" s="9">
        <v>6.0606060606060597</v>
      </c>
      <c r="BQ37" s="9">
        <v>0</v>
      </c>
      <c r="BR37" s="9">
        <v>82.828282828282823</v>
      </c>
      <c r="BS37" s="9">
        <v>16.601528689267177</v>
      </c>
      <c r="BT37" s="9">
        <v>1.2694737631260995</v>
      </c>
      <c r="BU37" s="9">
        <v>24.141414141414142</v>
      </c>
      <c r="BV37" s="9">
        <v>21.212121212121211</v>
      </c>
      <c r="BW37" s="9">
        <v>0</v>
      </c>
      <c r="BX37" s="9">
        <v>0</v>
      </c>
      <c r="BY37" s="9">
        <v>46.161616161616166</v>
      </c>
      <c r="BZ37" s="9">
        <v>16.060606060606059</v>
      </c>
      <c r="CA37" s="9">
        <v>0</v>
      </c>
      <c r="CB37" s="11">
        <v>26.767676767676761</v>
      </c>
      <c r="CC37" s="12"/>
      <c r="CD37" s="12"/>
      <c r="CE37" s="12"/>
    </row>
    <row r="38" spans="1:83" x14ac:dyDescent="0.35">
      <c r="A38" s="8" t="s">
        <v>117</v>
      </c>
      <c r="B38" s="8" t="s">
        <v>154</v>
      </c>
      <c r="C38" s="8"/>
      <c r="D38" s="9">
        <v>89.3</v>
      </c>
      <c r="E38" s="9">
        <v>10.7</v>
      </c>
      <c r="F38" s="9">
        <v>92.523364485981304</v>
      </c>
      <c r="G38" s="9">
        <v>7.4766355140186924</v>
      </c>
      <c r="H38" s="9">
        <v>15.927235177514511</v>
      </c>
      <c r="I38" s="9">
        <v>448.4595959595959</v>
      </c>
      <c r="J38" s="9">
        <v>41.747113251748978</v>
      </c>
      <c r="K38" s="9">
        <v>40.765333393081953</v>
      </c>
      <c r="L38" s="9">
        <v>0</v>
      </c>
      <c r="M38" s="9">
        <v>0.39532710280373834</v>
      </c>
      <c r="N38" s="9">
        <v>0</v>
      </c>
      <c r="O38" s="9">
        <v>0</v>
      </c>
      <c r="P38" s="9">
        <v>6.2648548881586521</v>
      </c>
      <c r="Q38" s="9">
        <v>2.2056074766355143</v>
      </c>
      <c r="R38" s="9">
        <v>2.9065420560747666</v>
      </c>
      <c r="S38" s="9">
        <v>8.411214953271029E-2</v>
      </c>
      <c r="T38" s="9">
        <v>41.390382006838529</v>
      </c>
      <c r="U38" s="9">
        <v>0.42616822429906548</v>
      </c>
      <c r="V38" s="9">
        <v>0.6305357597572564</v>
      </c>
      <c r="W38" s="10">
        <v>0</v>
      </c>
      <c r="X38" s="10">
        <v>0</v>
      </c>
      <c r="Y38" s="10">
        <v>0</v>
      </c>
      <c r="Z38" s="10">
        <v>1.4018691588785047E-6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2.3457943925233643E-5</v>
      </c>
      <c r="AH38" s="10">
        <v>0</v>
      </c>
      <c r="AI38" s="10">
        <v>7.4766355140186919E-6</v>
      </c>
      <c r="AJ38" s="10">
        <v>4.9532710280373834E-4</v>
      </c>
      <c r="AK38" s="10">
        <v>8.41121495327103E-3</v>
      </c>
      <c r="AL38" s="10">
        <v>0</v>
      </c>
      <c r="AM38" s="10">
        <v>1.5887850467289721E-6</v>
      </c>
      <c r="AN38" s="10">
        <v>0</v>
      </c>
      <c r="AO38" s="10">
        <v>0</v>
      </c>
      <c r="AP38" s="10">
        <v>9.3457943925233655E-2</v>
      </c>
      <c r="AQ38" s="10">
        <v>1.7757009345794395E-3</v>
      </c>
      <c r="AR38" s="10">
        <v>9.3457943925233641E-5</v>
      </c>
      <c r="AS38" s="10">
        <v>2.9906542056074768E-5</v>
      </c>
      <c r="AT38" s="10">
        <v>7.6355140186915878E-6</v>
      </c>
      <c r="AU38" s="10">
        <v>0</v>
      </c>
      <c r="AV38" s="10">
        <v>0</v>
      </c>
      <c r="AW38" s="10">
        <v>0</v>
      </c>
      <c r="AX38" s="10">
        <v>5.2149532710280373E-6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2.7102803738317757E-3</v>
      </c>
      <c r="BF38" s="10">
        <v>0</v>
      </c>
      <c r="BG38" s="9">
        <v>0</v>
      </c>
      <c r="BH38" s="9">
        <v>0</v>
      </c>
      <c r="BI38" s="9">
        <v>2.429906542056075</v>
      </c>
      <c r="BJ38" s="9">
        <v>0.93457943925233655</v>
      </c>
      <c r="BK38" s="9">
        <v>11.028037383177571</v>
      </c>
      <c r="BL38" s="9">
        <v>0</v>
      </c>
      <c r="BM38" s="9">
        <v>0</v>
      </c>
      <c r="BN38" s="9">
        <v>1.4018691588785046</v>
      </c>
      <c r="BO38" s="9">
        <v>17.75700934579439</v>
      </c>
      <c r="BP38" s="9">
        <v>3.7383177570093462</v>
      </c>
      <c r="BQ38" s="9">
        <v>0</v>
      </c>
      <c r="BR38" s="9">
        <v>71.028037383177562</v>
      </c>
      <c r="BS38" s="9">
        <v>17.002908793626709</v>
      </c>
      <c r="BT38" s="9">
        <v>1.3113715581943546</v>
      </c>
      <c r="BU38" s="9">
        <v>5.9813084112149539</v>
      </c>
      <c r="BV38" s="9">
        <v>3.7383177570093462</v>
      </c>
      <c r="BW38" s="9">
        <v>0</v>
      </c>
      <c r="BX38" s="9">
        <v>0</v>
      </c>
      <c r="BY38" s="9">
        <v>12.149532710280376</v>
      </c>
      <c r="BZ38" s="9">
        <v>14.672897196261683</v>
      </c>
      <c r="CA38" s="9">
        <v>0</v>
      </c>
      <c r="CB38" s="11">
        <v>45.514018691588774</v>
      </c>
      <c r="CC38" s="12"/>
      <c r="CD38" s="12"/>
      <c r="CE38" s="12"/>
    </row>
    <row r="39" spans="1:83" x14ac:dyDescent="0.35">
      <c r="A39" s="8" t="s">
        <v>117</v>
      </c>
      <c r="B39" s="8" t="s">
        <v>155</v>
      </c>
      <c r="C39" s="8"/>
      <c r="D39" s="9">
        <v>68</v>
      </c>
      <c r="E39" s="9">
        <v>32</v>
      </c>
      <c r="F39" s="9">
        <v>91.25</v>
      </c>
      <c r="G39" s="9">
        <v>8.75</v>
      </c>
      <c r="H39" s="9">
        <v>23.431862897586626</v>
      </c>
      <c r="I39" s="9">
        <v>689</v>
      </c>
      <c r="J39" s="9">
        <v>53.758359495640526</v>
      </c>
      <c r="K39" s="9">
        <v>53.758359495640526</v>
      </c>
      <c r="L39" s="9">
        <v>0</v>
      </c>
      <c r="M39" s="9">
        <v>3.7812499999999999E-2</v>
      </c>
      <c r="N39" s="9">
        <v>0</v>
      </c>
      <c r="O39" s="9">
        <v>0</v>
      </c>
      <c r="P39" s="9">
        <v>7.8125035665328202</v>
      </c>
      <c r="Q39" s="9">
        <v>1.40625</v>
      </c>
      <c r="R39" s="9">
        <v>0.95</v>
      </c>
      <c r="S39" s="9">
        <v>1.8749999999999999E-2</v>
      </c>
      <c r="T39" s="9">
        <v>28.63554776814491</v>
      </c>
      <c r="U39" s="9">
        <v>0.14531250000000001</v>
      </c>
      <c r="V39" s="9">
        <v>0.21083539466883264</v>
      </c>
      <c r="W39" s="10">
        <v>0</v>
      </c>
      <c r="X39" s="10">
        <v>0</v>
      </c>
      <c r="Y39" s="10">
        <v>0</v>
      </c>
      <c r="Z39" s="10">
        <v>4.9999999999999998E-7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1.21875E-6</v>
      </c>
      <c r="AH39" s="10">
        <v>0</v>
      </c>
      <c r="AI39" s="10">
        <v>2.1874999999999998E-6</v>
      </c>
      <c r="AJ39" s="10">
        <v>5.9374999999999999E-4</v>
      </c>
      <c r="AK39" s="10">
        <v>1.25E-3</v>
      </c>
      <c r="AL39" s="10">
        <v>0</v>
      </c>
      <c r="AM39" s="10">
        <v>3.1249999999999997E-6</v>
      </c>
      <c r="AN39" s="10">
        <v>0</v>
      </c>
      <c r="AO39" s="10">
        <v>0</v>
      </c>
      <c r="AP39" s="10">
        <v>7.8125E-2</v>
      </c>
      <c r="AQ39" s="10">
        <v>4.4374999999999992E-4</v>
      </c>
      <c r="AR39" s="10">
        <v>0</v>
      </c>
      <c r="AS39" s="10">
        <v>1.8656250000000001E-4</v>
      </c>
      <c r="AT39" s="10">
        <v>3.0218750000000002E-6</v>
      </c>
      <c r="AU39" s="10">
        <v>0</v>
      </c>
      <c r="AV39" s="10">
        <v>0</v>
      </c>
      <c r="AW39" s="10">
        <v>0</v>
      </c>
      <c r="AX39" s="10">
        <v>2.4999999999999998E-6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2E-3</v>
      </c>
      <c r="BF39" s="10">
        <v>0</v>
      </c>
      <c r="BG39" s="9">
        <v>0</v>
      </c>
      <c r="BH39" s="9">
        <v>0</v>
      </c>
      <c r="BI39" s="9">
        <v>0.3125</v>
      </c>
      <c r="BJ39" s="9">
        <v>0.15625</v>
      </c>
      <c r="BK39" s="9">
        <v>0</v>
      </c>
      <c r="BL39" s="9">
        <v>0</v>
      </c>
      <c r="BM39" s="9">
        <v>0</v>
      </c>
      <c r="BN39" s="9">
        <v>0</v>
      </c>
      <c r="BO39" s="9">
        <v>5.9375</v>
      </c>
      <c r="BP39" s="9">
        <v>40.9375</v>
      </c>
      <c r="BQ39" s="9">
        <v>0</v>
      </c>
      <c r="BR39" s="9">
        <v>44.375</v>
      </c>
      <c r="BS39" s="9">
        <v>22.40172046875</v>
      </c>
      <c r="BT39" s="9">
        <v>1.8465301543593748</v>
      </c>
      <c r="BU39" s="9">
        <v>0.625</v>
      </c>
      <c r="BV39" s="9">
        <v>0.3125</v>
      </c>
      <c r="BW39" s="9">
        <v>0</v>
      </c>
      <c r="BX39" s="9">
        <v>0</v>
      </c>
      <c r="BY39" s="9">
        <v>1.25</v>
      </c>
      <c r="BZ39" s="9">
        <v>22.21875</v>
      </c>
      <c r="CA39" s="9">
        <v>0</v>
      </c>
      <c r="CB39" s="11">
        <v>42.96875</v>
      </c>
      <c r="CC39" s="12"/>
      <c r="CD39" s="12"/>
      <c r="CE39" s="12"/>
    </row>
    <row r="40" spans="1:83" x14ac:dyDescent="0.35">
      <c r="A40" s="8" t="s">
        <v>117</v>
      </c>
      <c r="B40" s="8" t="s">
        <v>156</v>
      </c>
      <c r="C40" s="8"/>
      <c r="D40" s="9">
        <v>88.8</v>
      </c>
      <c r="E40" s="9">
        <v>11.2</v>
      </c>
      <c r="F40" s="9">
        <v>93.75</v>
      </c>
      <c r="G40" s="9">
        <v>6.25</v>
      </c>
      <c r="H40" s="9">
        <v>15.419122358146494</v>
      </c>
      <c r="I40" s="9">
        <v>442.14285714285711</v>
      </c>
      <c r="J40" s="9">
        <v>41.083149589309741</v>
      </c>
      <c r="K40" s="9">
        <v>41.083149589309741</v>
      </c>
      <c r="L40" s="9">
        <v>0</v>
      </c>
      <c r="M40" s="9">
        <v>0.12678571428571428</v>
      </c>
      <c r="N40" s="9">
        <v>0</v>
      </c>
      <c r="O40" s="9">
        <v>0</v>
      </c>
      <c r="P40" s="9">
        <v>6.2535558850207869</v>
      </c>
      <c r="Q40" s="9">
        <v>2.3125000000000004</v>
      </c>
      <c r="R40" s="9">
        <v>1.8660714285714288</v>
      </c>
      <c r="S40" s="9">
        <v>8.9285714285714298E-3</v>
      </c>
      <c r="T40" s="9">
        <v>44.373195396968306</v>
      </c>
      <c r="U40" s="9">
        <v>0.19553571428571428</v>
      </c>
      <c r="V40" s="9">
        <v>0.41215941814959772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6.9642857142857147E-4</v>
      </c>
      <c r="AK40" s="10">
        <v>3.4821428571428581E-3</v>
      </c>
      <c r="AL40" s="10">
        <v>0</v>
      </c>
      <c r="AM40" s="10">
        <v>0</v>
      </c>
      <c r="AN40" s="10">
        <v>0</v>
      </c>
      <c r="AO40" s="10">
        <v>0</v>
      </c>
      <c r="AP40" s="10">
        <v>8.9285714285714288E-2</v>
      </c>
      <c r="AQ40" s="10">
        <v>6.8750000000000007E-4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1.7857142857142859E-3</v>
      </c>
      <c r="BF40" s="10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11.607142857142859</v>
      </c>
      <c r="BP40" s="9">
        <v>2.6785714285714288</v>
      </c>
      <c r="BQ40" s="9">
        <v>0</v>
      </c>
      <c r="BR40" s="9">
        <v>79.464285714285722</v>
      </c>
      <c r="BS40" s="9">
        <v>17.023715803571431</v>
      </c>
      <c r="BT40" s="9">
        <v>1.3146454929732145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15.178571428571429</v>
      </c>
      <c r="CA40" s="9">
        <v>0</v>
      </c>
      <c r="CB40" s="11">
        <v>79.464285714285708</v>
      </c>
      <c r="CC40" s="12"/>
      <c r="CD40" s="12"/>
      <c r="CE40" s="12"/>
    </row>
    <row r="41" spans="1:83" x14ac:dyDescent="0.35">
      <c r="A41" s="8" t="s">
        <v>117</v>
      </c>
      <c r="B41" s="8" t="s">
        <v>157</v>
      </c>
      <c r="C41" s="8"/>
      <c r="D41" s="9">
        <v>86.7</v>
      </c>
      <c r="E41" s="9">
        <v>13.3</v>
      </c>
      <c r="F41" s="9">
        <v>95.488721804511272</v>
      </c>
      <c r="G41" s="9">
        <v>4.5112781954887211</v>
      </c>
      <c r="H41" s="9">
        <v>15.267222615199028</v>
      </c>
      <c r="I41" s="9">
        <v>420.57480314960628</v>
      </c>
      <c r="J41" s="9">
        <v>40.947916951823899</v>
      </c>
      <c r="K41" s="9">
        <v>39.052269826217199</v>
      </c>
      <c r="L41" s="9">
        <v>0</v>
      </c>
      <c r="M41" s="9">
        <v>6.4436090225563916E-2</v>
      </c>
      <c r="N41" s="9">
        <v>0</v>
      </c>
      <c r="O41" s="9">
        <v>0</v>
      </c>
      <c r="P41" s="9">
        <v>6.3936009974889565</v>
      </c>
      <c r="Q41" s="9">
        <v>1.0526315789473684</v>
      </c>
      <c r="R41" s="9">
        <v>0.64661654135338331</v>
      </c>
      <c r="S41" s="9">
        <v>2.2556390977443608E-2</v>
      </c>
      <c r="T41" s="9">
        <v>47.48644300379722</v>
      </c>
      <c r="U41" s="9">
        <v>0.14736842105263159</v>
      </c>
      <c r="V41" s="9">
        <v>0.13349292895533527</v>
      </c>
      <c r="W41" s="10">
        <v>0</v>
      </c>
      <c r="X41" s="10">
        <v>0</v>
      </c>
      <c r="Y41" s="10">
        <v>0</v>
      </c>
      <c r="Z41" s="10">
        <v>1.5037593984962406E-7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5.2631578947368416E-7</v>
      </c>
      <c r="AH41" s="10">
        <v>0</v>
      </c>
      <c r="AI41" s="10">
        <v>2.2556390977443606E-6</v>
      </c>
      <c r="AJ41" s="10">
        <v>4.7368421052631577E-4</v>
      </c>
      <c r="AK41" s="10">
        <v>1.0526315789473684E-3</v>
      </c>
      <c r="AL41" s="10">
        <v>0</v>
      </c>
      <c r="AM41" s="10">
        <v>3.0075187969924812E-7</v>
      </c>
      <c r="AN41" s="10">
        <v>0</v>
      </c>
      <c r="AO41" s="10">
        <v>0</v>
      </c>
      <c r="AP41" s="10">
        <v>3.7593984962406013E-2</v>
      </c>
      <c r="AQ41" s="10">
        <v>7.5187969924812024E-4</v>
      </c>
      <c r="AR41" s="10">
        <v>0</v>
      </c>
      <c r="AS41" s="10">
        <v>5.0150375939849617E-5</v>
      </c>
      <c r="AT41" s="10">
        <v>3.759398496240601E-6</v>
      </c>
      <c r="AU41" s="10">
        <v>0</v>
      </c>
      <c r="AV41" s="10">
        <v>0</v>
      </c>
      <c r="AW41" s="10">
        <v>0</v>
      </c>
      <c r="AX41" s="10">
        <v>8.5714285714285713E-7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6.8421052631578944E-4</v>
      </c>
      <c r="BF41" s="10">
        <v>0</v>
      </c>
      <c r="BG41" s="9">
        <v>0</v>
      </c>
      <c r="BH41" s="9">
        <v>0</v>
      </c>
      <c r="BI41" s="9">
        <v>0</v>
      </c>
      <c r="BJ41" s="9">
        <v>0</v>
      </c>
      <c r="BK41" s="9">
        <v>3.233082706766917</v>
      </c>
      <c r="BL41" s="9">
        <v>0</v>
      </c>
      <c r="BM41" s="9">
        <v>0</v>
      </c>
      <c r="BN41" s="9">
        <v>2.7067669172932329</v>
      </c>
      <c r="BO41" s="9">
        <v>3.7593984962406015</v>
      </c>
      <c r="BP41" s="9">
        <v>2.2556390977443606</v>
      </c>
      <c r="BQ41" s="9">
        <v>0</v>
      </c>
      <c r="BR41" s="9">
        <v>89.473684210526315</v>
      </c>
      <c r="BS41" s="9">
        <v>15.985191309173526</v>
      </c>
      <c r="BT41" s="9">
        <v>1.2095873001765101</v>
      </c>
      <c r="BU41" s="9">
        <v>21.127819548872179</v>
      </c>
      <c r="BV41" s="9">
        <v>32.481203007518801</v>
      </c>
      <c r="BW41" s="9">
        <v>0</v>
      </c>
      <c r="BX41" s="9">
        <v>0</v>
      </c>
      <c r="BY41" s="9">
        <v>53.609022556390975</v>
      </c>
      <c r="BZ41" s="9">
        <v>15.563909774436091</v>
      </c>
      <c r="CA41" s="9">
        <v>0</v>
      </c>
      <c r="CB41" s="11">
        <v>29.924812030075174</v>
      </c>
      <c r="CC41" s="12"/>
      <c r="CD41" s="12"/>
      <c r="CE41" s="12"/>
    </row>
    <row r="42" spans="1:83" x14ac:dyDescent="0.35">
      <c r="A42" s="8" t="s">
        <v>117</v>
      </c>
      <c r="B42" s="8" t="s">
        <v>158</v>
      </c>
      <c r="C42" s="8"/>
      <c r="D42" s="9">
        <v>85.9</v>
      </c>
      <c r="E42" s="9">
        <v>14.1</v>
      </c>
      <c r="F42" s="9">
        <v>94.326241134751768</v>
      </c>
      <c r="G42" s="9">
        <v>5.6737588652482271</v>
      </c>
      <c r="H42" s="9">
        <v>15.438517388497985</v>
      </c>
      <c r="I42" s="9">
        <v>437.92857142857133</v>
      </c>
      <c r="J42" s="9">
        <v>41.23731190422285</v>
      </c>
      <c r="K42" s="9">
        <v>41.088304180992537</v>
      </c>
      <c r="L42" s="9">
        <v>0</v>
      </c>
      <c r="M42" s="9">
        <v>0.19929078014184401</v>
      </c>
      <c r="N42" s="9">
        <v>0</v>
      </c>
      <c r="O42" s="9">
        <v>0</v>
      </c>
      <c r="P42" s="9">
        <v>6.2653045036397064</v>
      </c>
      <c r="Q42" s="9">
        <v>2.3404255319148937</v>
      </c>
      <c r="R42" s="9">
        <v>1.9148936170212769</v>
      </c>
      <c r="S42" s="9">
        <v>0.30496453900709225</v>
      </c>
      <c r="T42" s="9">
        <v>44.704503755232366</v>
      </c>
      <c r="U42" s="9">
        <v>0.25673758865248231</v>
      </c>
      <c r="V42" s="9">
        <v>0.4281241310184582</v>
      </c>
      <c r="W42" s="10">
        <v>0</v>
      </c>
      <c r="X42" s="10">
        <v>0</v>
      </c>
      <c r="Y42" s="10">
        <v>0</v>
      </c>
      <c r="Z42" s="10">
        <v>1.6312056737588652E-6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2.7872340425531914E-5</v>
      </c>
      <c r="AH42" s="10">
        <v>0</v>
      </c>
      <c r="AI42" s="10">
        <v>1.9148936170212769E-5</v>
      </c>
      <c r="AJ42" s="10">
        <v>8.5106382978723414E-4</v>
      </c>
      <c r="AK42" s="10">
        <v>4.2553191489361694E-3</v>
      </c>
      <c r="AL42" s="10">
        <v>0</v>
      </c>
      <c r="AM42" s="10">
        <v>4.9645390070921993E-7</v>
      </c>
      <c r="AN42" s="10">
        <v>0</v>
      </c>
      <c r="AO42" s="10">
        <v>0</v>
      </c>
      <c r="AP42" s="10">
        <v>0.10638297872340426</v>
      </c>
      <c r="AQ42" s="10">
        <v>4.2553191489361694E-3</v>
      </c>
      <c r="AR42" s="10">
        <v>0</v>
      </c>
      <c r="AS42" s="10">
        <v>2.4113475177304962E-5</v>
      </c>
      <c r="AT42" s="10">
        <v>1.078014184397163E-5</v>
      </c>
      <c r="AU42" s="10">
        <v>0</v>
      </c>
      <c r="AV42" s="10">
        <v>0</v>
      </c>
      <c r="AW42" s="10">
        <v>0</v>
      </c>
      <c r="AX42" s="10">
        <v>1.4184397163120566E-6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5.1773049645390066E-3</v>
      </c>
      <c r="BF42" s="10">
        <v>0</v>
      </c>
      <c r="BG42" s="9">
        <v>0</v>
      </c>
      <c r="BH42" s="9">
        <v>0</v>
      </c>
      <c r="BI42" s="9">
        <v>59.078014184397162</v>
      </c>
      <c r="BJ42" s="9">
        <v>0</v>
      </c>
      <c r="BK42" s="9">
        <v>5.3900709219858154</v>
      </c>
      <c r="BL42" s="9">
        <v>0</v>
      </c>
      <c r="BM42" s="9">
        <v>0</v>
      </c>
      <c r="BN42" s="9">
        <v>0.21276595744680851</v>
      </c>
      <c r="BO42" s="9">
        <v>12.056737588652481</v>
      </c>
      <c r="BP42" s="9">
        <v>2.1276595744680851</v>
      </c>
      <c r="BQ42" s="9">
        <v>0</v>
      </c>
      <c r="BR42" s="9">
        <v>80.141843971631204</v>
      </c>
      <c r="BS42" s="9">
        <v>17.004509660742912</v>
      </c>
      <c r="BT42" s="9">
        <v>1.3125614309793889</v>
      </c>
      <c r="BU42" s="9">
        <v>2.0567375886524819</v>
      </c>
      <c r="BV42" s="9">
        <v>2.4822695035460991</v>
      </c>
      <c r="BW42" s="9">
        <v>0</v>
      </c>
      <c r="BX42" s="9">
        <v>0</v>
      </c>
      <c r="BY42" s="9">
        <v>63.61702127659575</v>
      </c>
      <c r="BZ42" s="9">
        <v>14.822695035460994</v>
      </c>
      <c r="CA42" s="9">
        <v>0</v>
      </c>
      <c r="CB42" s="11">
        <v>10.921985815602852</v>
      </c>
      <c r="CC42" s="12"/>
      <c r="CD42" s="12"/>
      <c r="CE42" s="12"/>
    </row>
    <row r="43" spans="1:83" x14ac:dyDescent="0.35">
      <c r="A43" s="8" t="s">
        <v>117</v>
      </c>
      <c r="B43" s="8" t="s">
        <v>159</v>
      </c>
      <c r="C43" s="8"/>
      <c r="D43" s="9">
        <v>89.95</v>
      </c>
      <c r="E43" s="9">
        <v>10.050000000000001</v>
      </c>
      <c r="F43" s="9">
        <v>89.39473684210526</v>
      </c>
      <c r="G43" s="9">
        <v>10.605263157894736</v>
      </c>
      <c r="H43" s="9">
        <v>16.487287992350492</v>
      </c>
      <c r="I43" s="9">
        <v>488.23820816864298</v>
      </c>
      <c r="J43" s="9">
        <v>41.898851438049689</v>
      </c>
      <c r="K43" s="9">
        <v>41.852776681524524</v>
      </c>
      <c r="L43" s="9">
        <v>0</v>
      </c>
      <c r="M43" s="9">
        <v>6.7539473684210538E-2</v>
      </c>
      <c r="N43" s="9">
        <v>0</v>
      </c>
      <c r="O43" s="9">
        <v>0</v>
      </c>
      <c r="P43" s="9">
        <v>6.3035453034443023</v>
      </c>
      <c r="Q43" s="9">
        <v>3.9561578947368421</v>
      </c>
      <c r="R43" s="9">
        <v>4.4606315789473685</v>
      </c>
      <c r="S43" s="9">
        <v>6.8631578947368418E-2</v>
      </c>
      <c r="T43" s="9">
        <v>36.292269778790327</v>
      </c>
      <c r="U43" s="9">
        <v>0.75986842105263164</v>
      </c>
      <c r="V43" s="9">
        <v>0.98995686254697546</v>
      </c>
      <c r="W43" s="10">
        <v>0</v>
      </c>
      <c r="X43" s="10">
        <v>0</v>
      </c>
      <c r="Y43" s="10">
        <v>0</v>
      </c>
      <c r="Z43" s="10">
        <v>1.6447368421052631E-5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1.4528947368421054E-5</v>
      </c>
      <c r="AH43" s="10">
        <v>0</v>
      </c>
      <c r="AI43" s="10">
        <v>2.9815789473684212E-5</v>
      </c>
      <c r="AJ43" s="10">
        <v>4.4431578947368424E-3</v>
      </c>
      <c r="AK43" s="10">
        <v>4.4394736842105261E-3</v>
      </c>
      <c r="AL43" s="10">
        <v>0</v>
      </c>
      <c r="AM43" s="10">
        <v>1.2610526315789473E-5</v>
      </c>
      <c r="AN43" s="10">
        <v>0</v>
      </c>
      <c r="AO43" s="10">
        <v>0</v>
      </c>
      <c r="AP43" s="10">
        <v>9.707894736842107E-2</v>
      </c>
      <c r="AQ43" s="10">
        <v>1.6660526315789475E-3</v>
      </c>
      <c r="AR43" s="10">
        <v>0</v>
      </c>
      <c r="AS43" s="10">
        <v>1.9736842105263157E-6</v>
      </c>
      <c r="AT43" s="10">
        <v>1.4235526315789474E-4</v>
      </c>
      <c r="AU43" s="10">
        <v>0</v>
      </c>
      <c r="AV43" s="10">
        <v>0</v>
      </c>
      <c r="AW43" s="10">
        <v>0</v>
      </c>
      <c r="AX43" s="10">
        <v>4.6165789473684203E-5</v>
      </c>
      <c r="AY43" s="10">
        <v>0</v>
      </c>
      <c r="AZ43" s="10">
        <v>5.9999999999999995E-4</v>
      </c>
      <c r="BA43" s="10">
        <v>0</v>
      </c>
      <c r="BB43" s="10">
        <v>0</v>
      </c>
      <c r="BC43" s="10">
        <v>0</v>
      </c>
      <c r="BD43" s="10">
        <v>0</v>
      </c>
      <c r="BE43" s="10">
        <v>7.0181578947368416E-3</v>
      </c>
      <c r="BF43" s="10">
        <v>0</v>
      </c>
      <c r="BG43" s="9">
        <v>0</v>
      </c>
      <c r="BH43" s="9">
        <v>0</v>
      </c>
      <c r="BI43" s="9">
        <v>0</v>
      </c>
      <c r="BJ43" s="9">
        <v>0</v>
      </c>
      <c r="BK43" s="9">
        <v>5.1973684210526319</v>
      </c>
      <c r="BL43" s="9">
        <v>0</v>
      </c>
      <c r="BM43" s="9">
        <v>0</v>
      </c>
      <c r="BN43" s="9">
        <v>6.5789473684210537E-2</v>
      </c>
      <c r="BO43" s="9">
        <v>27.878947368421056</v>
      </c>
      <c r="BP43" s="9">
        <v>7.1736842105263161</v>
      </c>
      <c r="BQ43" s="9">
        <v>0</v>
      </c>
      <c r="BR43" s="9">
        <v>54.342105263157897</v>
      </c>
      <c r="BS43" s="9">
        <v>18.028441891752497</v>
      </c>
      <c r="BT43" s="9">
        <v>1.413955830725901</v>
      </c>
      <c r="BU43" s="9">
        <v>0</v>
      </c>
      <c r="BV43" s="9">
        <v>0</v>
      </c>
      <c r="BW43" s="9">
        <v>0</v>
      </c>
      <c r="BX43" s="9">
        <v>0</v>
      </c>
      <c r="BY43" s="9">
        <v>6.4</v>
      </c>
      <c r="BZ43" s="9">
        <v>13.916842105263157</v>
      </c>
      <c r="CA43" s="9">
        <v>0</v>
      </c>
      <c r="CB43" s="11">
        <v>49.078947368421048</v>
      </c>
      <c r="CC43" s="12"/>
      <c r="CD43" s="12"/>
      <c r="CE43" s="12"/>
    </row>
    <row r="44" spans="1:83" x14ac:dyDescent="0.35">
      <c r="A44" s="8" t="s">
        <v>117</v>
      </c>
      <c r="B44" s="8" t="s">
        <v>160</v>
      </c>
      <c r="C44" s="8"/>
      <c r="D44" s="9">
        <v>85.7</v>
      </c>
      <c r="E44" s="9">
        <v>14.3</v>
      </c>
      <c r="F44" s="9">
        <v>97.2027972027972</v>
      </c>
      <c r="G44" s="9">
        <v>2.7972027972027971</v>
      </c>
      <c r="H44" s="9">
        <v>15.462219946097981</v>
      </c>
      <c r="I44" s="9">
        <v>435.15107913669067</v>
      </c>
      <c r="J44" s="9">
        <v>41.607492513890953</v>
      </c>
      <c r="K44" s="9">
        <v>41.607492513890953</v>
      </c>
      <c r="L44" s="9">
        <v>0</v>
      </c>
      <c r="M44" s="9">
        <v>0.13216783216783215</v>
      </c>
      <c r="N44" s="9">
        <v>0</v>
      </c>
      <c r="O44" s="9">
        <v>0</v>
      </c>
      <c r="P44" s="9">
        <v>6.4737831506382451</v>
      </c>
      <c r="Q44" s="9">
        <v>1.2167832167832169</v>
      </c>
      <c r="R44" s="9">
        <v>0.55944055944055948</v>
      </c>
      <c r="S44" s="9">
        <v>2.7972027972027972E-2</v>
      </c>
      <c r="T44" s="9">
        <v>48.506967739412339</v>
      </c>
      <c r="U44" s="9">
        <v>9.7202797202797203E-2</v>
      </c>
      <c r="V44" s="9">
        <v>0.1241577590983188</v>
      </c>
      <c r="W44" s="10">
        <v>0</v>
      </c>
      <c r="X44" s="10">
        <v>0</v>
      </c>
      <c r="Y44" s="10">
        <v>0</v>
      </c>
      <c r="Z44" s="10">
        <v>1.3986013986013985E-5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2.0979020979020979E-6</v>
      </c>
      <c r="AH44" s="10">
        <v>0</v>
      </c>
      <c r="AI44" s="10">
        <v>7.6923076923076912E-5</v>
      </c>
      <c r="AJ44" s="10">
        <v>6.2937062937062926E-4</v>
      </c>
      <c r="AK44" s="10">
        <v>1.3986013986013986E-3</v>
      </c>
      <c r="AL44" s="10">
        <v>0</v>
      </c>
      <c r="AM44" s="10">
        <v>3.4965034965034963E-7</v>
      </c>
      <c r="AN44" s="10">
        <v>0</v>
      </c>
      <c r="AO44" s="10">
        <v>0</v>
      </c>
      <c r="AP44" s="10">
        <v>9.7902097902097904E-2</v>
      </c>
      <c r="AQ44" s="10">
        <v>1.048951048951049E-2</v>
      </c>
      <c r="AR44" s="10">
        <v>2.097902097902098E-5</v>
      </c>
      <c r="AS44" s="10">
        <v>3.496503496503496E-4</v>
      </c>
      <c r="AT44" s="10">
        <v>1.5384615384615382E-4</v>
      </c>
      <c r="AU44" s="10">
        <v>0</v>
      </c>
      <c r="AV44" s="10">
        <v>0</v>
      </c>
      <c r="AW44" s="10">
        <v>0</v>
      </c>
      <c r="AX44" s="10">
        <v>4.1958041958041957E-6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5.734265734265734E-4</v>
      </c>
      <c r="BF44" s="10">
        <v>0</v>
      </c>
      <c r="BG44" s="9">
        <v>0</v>
      </c>
      <c r="BH44" s="9">
        <v>0</v>
      </c>
      <c r="BI44" s="9">
        <v>52.447552447552447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3.4965034965034962</v>
      </c>
      <c r="BP44" s="9">
        <v>2.7972027972027971</v>
      </c>
      <c r="BQ44" s="9">
        <v>0</v>
      </c>
      <c r="BR44" s="9">
        <v>90.909090909090907</v>
      </c>
      <c r="BS44" s="9">
        <v>17.116950209790208</v>
      </c>
      <c r="BT44" s="9">
        <v>1.3238663757482516</v>
      </c>
      <c r="BU44" s="9">
        <v>9.7902097902097882</v>
      </c>
      <c r="BV44" s="9">
        <v>16.08391608391608</v>
      </c>
      <c r="BW44" s="9">
        <v>0</v>
      </c>
      <c r="BX44" s="9">
        <v>0</v>
      </c>
      <c r="BY44" s="9">
        <v>78.321678321678306</v>
      </c>
      <c r="BZ44" s="9">
        <v>16.223776223776223</v>
      </c>
      <c r="CA44" s="9">
        <v>0</v>
      </c>
      <c r="CB44" s="11">
        <v>12.587412587412587</v>
      </c>
      <c r="CC44" s="12"/>
      <c r="CD44" s="12"/>
      <c r="CE44" s="12"/>
    </row>
    <row r="45" spans="1:83" x14ac:dyDescent="0.35">
      <c r="A45" s="8" t="s">
        <v>117</v>
      </c>
      <c r="B45" s="8" t="s">
        <v>161</v>
      </c>
      <c r="C45" s="8"/>
      <c r="D45" s="9">
        <v>91.600000000000009</v>
      </c>
      <c r="E45" s="9">
        <v>8.4</v>
      </c>
      <c r="F45" s="9">
        <v>91.228584323067523</v>
      </c>
      <c r="G45" s="9">
        <v>8.7714156769324791</v>
      </c>
      <c r="H45" s="9">
        <v>16.223872997092172</v>
      </c>
      <c r="I45" s="9">
        <v>472.26846446834185</v>
      </c>
      <c r="J45" s="9">
        <v>41.641886912213465</v>
      </c>
      <c r="K45" s="9">
        <v>41.557641072799562</v>
      </c>
      <c r="L45" s="9">
        <v>0</v>
      </c>
      <c r="M45" s="9">
        <v>0.29471884693825084</v>
      </c>
      <c r="N45" s="9">
        <v>0</v>
      </c>
      <c r="O45" s="9">
        <v>0</v>
      </c>
      <c r="P45" s="9">
        <v>6.3556871157684638</v>
      </c>
      <c r="Q45" s="9">
        <v>3.4403914377281528</v>
      </c>
      <c r="R45" s="9">
        <v>4.7440413146183582</v>
      </c>
      <c r="S45" s="9">
        <v>0.20449879175307203</v>
      </c>
      <c r="T45" s="9">
        <v>38.041668683883906</v>
      </c>
      <c r="U45" s="9">
        <v>0.57861128725428024</v>
      </c>
      <c r="V45" s="9">
        <v>1.0483980846627157</v>
      </c>
      <c r="W45" s="10">
        <v>0</v>
      </c>
      <c r="X45" s="10">
        <v>0</v>
      </c>
      <c r="Y45" s="10">
        <v>0</v>
      </c>
      <c r="Z45" s="10">
        <v>2.7172016658383178E-6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7.6352825241220923E-6</v>
      </c>
      <c r="AH45" s="10">
        <v>0</v>
      </c>
      <c r="AI45" s="10">
        <v>1.1928339246031066E-5</v>
      </c>
      <c r="AJ45" s="10">
        <v>5.052323090370016E-4</v>
      </c>
      <c r="AK45" s="10">
        <v>4.8357949579255861E-3</v>
      </c>
      <c r="AL45" s="10">
        <v>0</v>
      </c>
      <c r="AM45" s="10">
        <v>9.4210126423189208E-7</v>
      </c>
      <c r="AN45" s="10">
        <v>0</v>
      </c>
      <c r="AO45" s="10">
        <v>0</v>
      </c>
      <c r="AP45" s="10">
        <v>0.15878729712591474</v>
      </c>
      <c r="AQ45" s="10">
        <v>2.766748359012151E-3</v>
      </c>
      <c r="AR45" s="10">
        <v>0</v>
      </c>
      <c r="AS45" s="10">
        <v>7.4928133586979503E-5</v>
      </c>
      <c r="AT45" s="10">
        <v>8.9497106491399443E-6</v>
      </c>
      <c r="AU45" s="10">
        <v>0</v>
      </c>
      <c r="AV45" s="10">
        <v>0</v>
      </c>
      <c r="AW45" s="10">
        <v>0</v>
      </c>
      <c r="AX45" s="10">
        <v>6.4881174770204571E-6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3.1396579204442236E-3</v>
      </c>
      <c r="BF45" s="10">
        <v>0</v>
      </c>
      <c r="BG45" s="9">
        <v>0</v>
      </c>
      <c r="BH45" s="9">
        <v>0</v>
      </c>
      <c r="BI45" s="9">
        <v>0.7217604414814307</v>
      </c>
      <c r="BJ45" s="9">
        <v>0.12029340691357177</v>
      </c>
      <c r="BK45" s="9">
        <v>13.47286157432004</v>
      </c>
      <c r="BL45" s="9">
        <v>0</v>
      </c>
      <c r="BM45" s="9">
        <v>0</v>
      </c>
      <c r="BN45" s="9">
        <v>0.12029340691357177</v>
      </c>
      <c r="BO45" s="9">
        <v>29.524756208332619</v>
      </c>
      <c r="BP45" s="9">
        <v>4.8117362765428711</v>
      </c>
      <c r="BQ45" s="9">
        <v>0</v>
      </c>
      <c r="BR45" s="9">
        <v>56.490485412489214</v>
      </c>
      <c r="BS45" s="9">
        <v>18.05588935107523</v>
      </c>
      <c r="BT45" s="9">
        <v>1.4166231022908427</v>
      </c>
      <c r="BU45" s="9">
        <v>15.758436305677904</v>
      </c>
      <c r="BV45" s="9">
        <v>6.134963752592161</v>
      </c>
      <c r="BW45" s="9">
        <v>0</v>
      </c>
      <c r="BX45" s="9">
        <v>0</v>
      </c>
      <c r="BY45" s="9">
        <v>22.615160499751493</v>
      </c>
      <c r="BZ45" s="9">
        <v>13.749672944980491</v>
      </c>
      <c r="CA45" s="9">
        <v>0</v>
      </c>
      <c r="CB45" s="11">
        <v>20.563482950293352</v>
      </c>
      <c r="CC45" s="12"/>
      <c r="CD45" s="12"/>
      <c r="CE45" s="12"/>
    </row>
    <row r="46" spans="1:83" x14ac:dyDescent="0.35">
      <c r="A46" s="8" t="s">
        <v>117</v>
      </c>
      <c r="B46" s="8" t="s">
        <v>162</v>
      </c>
      <c r="C46" s="8">
        <v>3</v>
      </c>
      <c r="D46" s="9">
        <v>84.9</v>
      </c>
      <c r="E46" s="9">
        <v>15.1</v>
      </c>
      <c r="F46" s="9">
        <v>92.715231788079464</v>
      </c>
      <c r="G46" s="9">
        <v>7.2847682119205306</v>
      </c>
      <c r="H46" s="9">
        <v>15.378573818871752</v>
      </c>
      <c r="I46" s="9">
        <v>442.65</v>
      </c>
      <c r="J46" s="9">
        <v>40.691910848608607</v>
      </c>
      <c r="K46" s="9">
        <v>40.691910848608607</v>
      </c>
      <c r="L46" s="9">
        <v>0</v>
      </c>
      <c r="M46" s="9">
        <v>0.39735099337748342</v>
      </c>
      <c r="N46" s="9">
        <v>0</v>
      </c>
      <c r="O46" s="9">
        <v>0</v>
      </c>
      <c r="P46" s="9">
        <v>6.2103865476809093</v>
      </c>
      <c r="Q46" s="9">
        <v>2.6754966887417222</v>
      </c>
      <c r="R46" s="9">
        <v>3.4635761589403979</v>
      </c>
      <c r="S46" s="9">
        <v>0.17880794701986755</v>
      </c>
      <c r="T46" s="9">
        <v>41.971769654306748</v>
      </c>
      <c r="U46" s="9">
        <v>0.47880794701986756</v>
      </c>
      <c r="V46" s="9">
        <v>0.77602710620525361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7.2847682119205302E-3</v>
      </c>
      <c r="AL46" s="10">
        <v>0</v>
      </c>
      <c r="AM46" s="10">
        <v>0</v>
      </c>
      <c r="AN46" s="10">
        <v>0</v>
      </c>
      <c r="AO46" s="10">
        <v>0</v>
      </c>
      <c r="AP46" s="10">
        <v>0.23576158940397351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21.85430463576159</v>
      </c>
      <c r="BP46" s="9">
        <v>1.3245033112582782</v>
      </c>
      <c r="BQ46" s="9">
        <v>0</v>
      </c>
      <c r="BR46" s="9">
        <v>69.536423841059602</v>
      </c>
      <c r="BS46" s="9">
        <v>17.287195231788079</v>
      </c>
      <c r="BT46" s="9">
        <v>1.3407036084238411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14.437086092715232</v>
      </c>
      <c r="CA46" s="9">
        <v>0</v>
      </c>
      <c r="CB46" s="11">
        <v>69.536423841059587</v>
      </c>
      <c r="CC46" s="12"/>
      <c r="CD46" s="12"/>
      <c r="CE46" s="12"/>
    </row>
    <row r="47" spans="1:83" x14ac:dyDescent="0.35">
      <c r="A47" s="8" t="s">
        <v>117</v>
      </c>
      <c r="B47" s="8" t="s">
        <v>163</v>
      </c>
      <c r="C47" s="8"/>
      <c r="D47" s="9">
        <v>78.150000000000006</v>
      </c>
      <c r="E47" s="9">
        <v>21.85</v>
      </c>
      <c r="F47" s="9">
        <v>88.785097782147929</v>
      </c>
      <c r="G47" s="9">
        <v>11.214902217852071</v>
      </c>
      <c r="H47" s="9">
        <v>15.692780651375276</v>
      </c>
      <c r="I47" s="9">
        <v>469.98330443828013</v>
      </c>
      <c r="J47" s="9">
        <v>40.716248841983813</v>
      </c>
      <c r="K47" s="9">
        <v>40.53031885105041</v>
      </c>
      <c r="L47" s="9">
        <v>0</v>
      </c>
      <c r="M47" s="9">
        <v>0.37498634327542885</v>
      </c>
      <c r="N47" s="9">
        <v>0</v>
      </c>
      <c r="O47" s="9">
        <v>0</v>
      </c>
      <c r="P47" s="9">
        <v>6.1068596352504798</v>
      </c>
      <c r="Q47" s="9">
        <v>2.1563694963399982</v>
      </c>
      <c r="R47" s="9">
        <v>2.482355511854037</v>
      </c>
      <c r="S47" s="9">
        <v>2.1054708838632141</v>
      </c>
      <c r="T47" s="9">
        <v>39.205920636881672</v>
      </c>
      <c r="U47" s="9">
        <v>0.53422375177537418</v>
      </c>
      <c r="V47" s="9">
        <v>0.55680610937743424</v>
      </c>
      <c r="W47" s="10">
        <v>0</v>
      </c>
      <c r="X47" s="10">
        <v>0</v>
      </c>
      <c r="Y47" s="10">
        <v>0</v>
      </c>
      <c r="Z47" s="10">
        <v>2.212389380530973E-6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3.7422702938927127E-5</v>
      </c>
      <c r="AH47" s="10">
        <v>3.08641975308642E-6</v>
      </c>
      <c r="AI47" s="10">
        <v>3.6854036927783236E-5</v>
      </c>
      <c r="AJ47" s="10">
        <v>4.9287118977384462E-4</v>
      </c>
      <c r="AK47" s="10">
        <v>6.3176007866273358E-3</v>
      </c>
      <c r="AL47" s="10">
        <v>0</v>
      </c>
      <c r="AM47" s="10">
        <v>2.5210313558396151E-6</v>
      </c>
      <c r="AN47" s="10">
        <v>0</v>
      </c>
      <c r="AO47" s="10">
        <v>0</v>
      </c>
      <c r="AP47" s="10">
        <v>0.13602097672894134</v>
      </c>
      <c r="AQ47" s="10">
        <v>1.2192723697148473E-3</v>
      </c>
      <c r="AR47" s="10">
        <v>0</v>
      </c>
      <c r="AS47" s="10">
        <v>5.3873047088386322E-5</v>
      </c>
      <c r="AT47" s="10">
        <v>1.4701737135365455E-5</v>
      </c>
      <c r="AU47" s="10">
        <v>0</v>
      </c>
      <c r="AV47" s="10">
        <v>0</v>
      </c>
      <c r="AW47" s="10">
        <v>0</v>
      </c>
      <c r="AX47" s="10">
        <v>1.014421501147165E-5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2.7174150551731672E-3</v>
      </c>
      <c r="BF47" s="10">
        <v>0</v>
      </c>
      <c r="BG47" s="9">
        <v>0</v>
      </c>
      <c r="BH47" s="9">
        <v>0</v>
      </c>
      <c r="BI47" s="9">
        <v>7.5663716814159283</v>
      </c>
      <c r="BJ47" s="9">
        <v>1.6371681415929202</v>
      </c>
      <c r="BK47" s="9">
        <v>6.1504424778761049</v>
      </c>
      <c r="BL47" s="9">
        <v>0</v>
      </c>
      <c r="BM47" s="9">
        <v>0</v>
      </c>
      <c r="BN47" s="9">
        <v>0.26548672566371678</v>
      </c>
      <c r="BO47" s="9">
        <v>15.680651152627554</v>
      </c>
      <c r="BP47" s="9">
        <v>6.1113842456025349</v>
      </c>
      <c r="BQ47" s="9">
        <v>0</v>
      </c>
      <c r="BR47" s="9">
        <v>66.993062383917831</v>
      </c>
      <c r="BS47" s="9">
        <v>16.909730098590071</v>
      </c>
      <c r="BT47" s="9">
        <v>1.3031419970160447</v>
      </c>
      <c r="BU47" s="9">
        <v>0.35398230088495575</v>
      </c>
      <c r="BV47" s="9">
        <v>0</v>
      </c>
      <c r="BW47" s="9">
        <v>0</v>
      </c>
      <c r="BX47" s="9">
        <v>0</v>
      </c>
      <c r="BY47" s="9">
        <v>7.9203539823008846</v>
      </c>
      <c r="BZ47" s="9">
        <v>14.315115262755381</v>
      </c>
      <c r="CA47" s="9">
        <v>0</v>
      </c>
      <c r="CB47" s="11">
        <v>51.019611056484216</v>
      </c>
      <c r="CC47" s="12"/>
      <c r="CD47" s="12"/>
      <c r="CE47" s="12"/>
    </row>
    <row r="48" spans="1:83" x14ac:dyDescent="0.35">
      <c r="A48" s="8" t="s">
        <v>117</v>
      </c>
      <c r="B48" s="8" t="s">
        <v>164</v>
      </c>
      <c r="C48" s="8"/>
      <c r="D48" s="9">
        <v>91</v>
      </c>
      <c r="E48" s="9">
        <v>9</v>
      </c>
      <c r="F48" s="9">
        <v>91.111111111111114</v>
      </c>
      <c r="G48" s="9">
        <v>8.8888888888888893</v>
      </c>
      <c r="H48" s="9">
        <v>15.100079286748491</v>
      </c>
      <c r="I48" s="9">
        <v>442.0609756097561</v>
      </c>
      <c r="J48" s="9">
        <v>39.957390296013081</v>
      </c>
      <c r="K48" s="9">
        <v>39.957390296013081</v>
      </c>
      <c r="L48" s="9">
        <v>0</v>
      </c>
      <c r="M48" s="9">
        <v>0.3888888888888889</v>
      </c>
      <c r="N48" s="9">
        <v>0</v>
      </c>
      <c r="O48" s="9">
        <v>0</v>
      </c>
      <c r="P48" s="9">
        <v>6.1004010477238149</v>
      </c>
      <c r="Q48" s="9">
        <v>2.5555555555555558</v>
      </c>
      <c r="R48" s="9">
        <v>3.5555555555555554</v>
      </c>
      <c r="S48" s="9">
        <v>0.31111111111111112</v>
      </c>
      <c r="T48" s="9">
        <v>41.14748895686941</v>
      </c>
      <c r="U48" s="9">
        <v>0.46666666666666673</v>
      </c>
      <c r="V48" s="9">
        <v>0.78909153560264844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6.8888888888888884E-4</v>
      </c>
      <c r="AK48" s="10">
        <v>4.4444444444444444E-3</v>
      </c>
      <c r="AL48" s="10">
        <v>0</v>
      </c>
      <c r="AM48" s="10">
        <v>0</v>
      </c>
      <c r="AN48" s="10">
        <v>0</v>
      </c>
      <c r="AO48" s="10">
        <v>0</v>
      </c>
      <c r="AP48" s="10">
        <v>0.31111111111111112</v>
      </c>
      <c r="AQ48" s="10">
        <v>2E-3</v>
      </c>
      <c r="AR48" s="10">
        <v>0</v>
      </c>
      <c r="AS48" s="10">
        <v>2.3333333333333329E-5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3.0000000000000001E-3</v>
      </c>
      <c r="BF48" s="10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22.222222222222221</v>
      </c>
      <c r="BP48" s="9">
        <v>1.1111111111111112</v>
      </c>
      <c r="BQ48" s="9">
        <v>0</v>
      </c>
      <c r="BR48" s="9">
        <v>67.777777777777771</v>
      </c>
      <c r="BS48" s="9">
        <v>16.998969555555554</v>
      </c>
      <c r="BT48" s="9">
        <v>1.3121980890444442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12.555555555555555</v>
      </c>
      <c r="CA48" s="9">
        <v>0</v>
      </c>
      <c r="CB48" s="11">
        <v>67.777777777777786</v>
      </c>
      <c r="CC48" s="12"/>
      <c r="CD48" s="12"/>
      <c r="CE48" s="12"/>
    </row>
    <row r="49" spans="1:83" x14ac:dyDescent="0.35">
      <c r="A49" s="8" t="s">
        <v>117</v>
      </c>
      <c r="B49" s="8" t="s">
        <v>165</v>
      </c>
      <c r="C49" s="8"/>
      <c r="D49" s="9">
        <v>94.633333333333326</v>
      </c>
      <c r="E49" s="9">
        <v>5.3666666666666671</v>
      </c>
      <c r="F49" s="9">
        <v>86.570015350503169</v>
      </c>
      <c r="G49" s="9">
        <v>13.429984649496845</v>
      </c>
      <c r="H49" s="9">
        <v>14.317388146669311</v>
      </c>
      <c r="I49" s="9">
        <v>441.21875767850997</v>
      </c>
      <c r="J49" s="9">
        <v>37.986704950146816</v>
      </c>
      <c r="K49" s="9">
        <v>37.758953308136249</v>
      </c>
      <c r="L49" s="9">
        <v>0</v>
      </c>
      <c r="M49" s="9">
        <v>0.70459946557507536</v>
      </c>
      <c r="N49" s="9">
        <v>0</v>
      </c>
      <c r="O49" s="9">
        <v>0</v>
      </c>
      <c r="P49" s="9">
        <v>5.7965177291417946</v>
      </c>
      <c r="Q49" s="9">
        <v>5.1950196145318097</v>
      </c>
      <c r="R49" s="9">
        <v>2.4429814088350681</v>
      </c>
      <c r="S49" s="9">
        <v>0.37667860594689867</v>
      </c>
      <c r="T49" s="9">
        <v>40.103141155431246</v>
      </c>
      <c r="U49" s="9">
        <v>0.48485985559156292</v>
      </c>
      <c r="V49" s="9">
        <v>0.54217573631617066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2.6516572858036274E-5</v>
      </c>
      <c r="AH49" s="10">
        <v>0</v>
      </c>
      <c r="AI49" s="10">
        <v>1.3258286429018137E-5</v>
      </c>
      <c r="AJ49" s="10">
        <v>1.2273011541304227E-3</v>
      </c>
      <c r="AK49" s="10">
        <v>1.0379214281653304E-2</v>
      </c>
      <c r="AL49" s="10">
        <v>0</v>
      </c>
      <c r="AM49" s="10">
        <v>1.3258286429018137E-6</v>
      </c>
      <c r="AN49" s="10">
        <v>0</v>
      </c>
      <c r="AO49" s="10">
        <v>0</v>
      </c>
      <c r="AP49" s="10">
        <v>0.21629427483086019</v>
      </c>
      <c r="AQ49" s="10">
        <v>1.2909659446244813E-3</v>
      </c>
      <c r="AR49" s="10">
        <v>0</v>
      </c>
      <c r="AS49" s="10">
        <v>5.3033145716072548E-5</v>
      </c>
      <c r="AT49" s="10">
        <v>1.3258286429018137E-5</v>
      </c>
      <c r="AU49" s="10">
        <v>0</v>
      </c>
      <c r="AV49" s="10">
        <v>0</v>
      </c>
      <c r="AW49" s="10">
        <v>0</v>
      </c>
      <c r="AX49" s="10">
        <v>1.3258286429018137E-6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5.1517425663767128E-3</v>
      </c>
      <c r="BF49" s="10">
        <v>0</v>
      </c>
      <c r="BG49" s="9">
        <v>0</v>
      </c>
      <c r="BH49" s="9">
        <v>0</v>
      </c>
      <c r="BI49" s="9">
        <v>0</v>
      </c>
      <c r="BJ49" s="9">
        <v>0</v>
      </c>
      <c r="BK49" s="9">
        <v>5.691056910569106</v>
      </c>
      <c r="BL49" s="9">
        <v>0</v>
      </c>
      <c r="BM49" s="9">
        <v>0</v>
      </c>
      <c r="BN49" s="9">
        <v>0.32520325203252037</v>
      </c>
      <c r="BO49" s="9">
        <v>15.268633805219173</v>
      </c>
      <c r="BP49" s="9">
        <v>1.9318892489624198</v>
      </c>
      <c r="BQ49" s="9">
        <v>0</v>
      </c>
      <c r="BR49" s="9">
        <v>69.369492296321567</v>
      </c>
      <c r="BS49" s="9">
        <v>15.808659127301651</v>
      </c>
      <c r="BT49" s="9">
        <v>1.1941942738689948</v>
      </c>
      <c r="BU49" s="9">
        <v>3.0894308943089435</v>
      </c>
      <c r="BV49" s="9">
        <v>7.1544715447154479</v>
      </c>
      <c r="BW49" s="9">
        <v>0</v>
      </c>
      <c r="BX49" s="9">
        <v>0</v>
      </c>
      <c r="BY49" s="9">
        <v>10.243902439024392</v>
      </c>
      <c r="BZ49" s="9">
        <v>12.853487975439196</v>
      </c>
      <c r="CA49" s="9">
        <v>0</v>
      </c>
      <c r="CB49" s="11">
        <v>53.109329694695553</v>
      </c>
      <c r="CC49" s="12"/>
      <c r="CD49" s="12"/>
      <c r="CE49" s="12"/>
    </row>
    <row r="50" spans="1:83" x14ac:dyDescent="0.35">
      <c r="A50" s="8" t="s">
        <v>117</v>
      </c>
      <c r="B50" s="8" t="s">
        <v>166</v>
      </c>
      <c r="C50" s="8"/>
      <c r="D50" s="9">
        <v>2.8</v>
      </c>
      <c r="E50" s="9">
        <v>97.2</v>
      </c>
      <c r="F50" s="9">
        <v>98.251028806584358</v>
      </c>
      <c r="G50" s="9">
        <v>1.7489711934156378</v>
      </c>
      <c r="H50" s="9">
        <v>30.56688399441564</v>
      </c>
      <c r="I50" s="9">
        <v>830.43455497382206</v>
      </c>
      <c r="J50" s="9">
        <v>66.457171251091424</v>
      </c>
      <c r="K50" s="9">
        <v>66.457171251091424</v>
      </c>
      <c r="L50" s="9">
        <v>0</v>
      </c>
      <c r="M50" s="9">
        <v>8.5493827160493821E-2</v>
      </c>
      <c r="N50" s="9">
        <v>0</v>
      </c>
      <c r="O50" s="9">
        <v>0</v>
      </c>
      <c r="P50" s="9">
        <v>9.4967726095892253</v>
      </c>
      <c r="Q50" s="9">
        <v>0.48456790123456794</v>
      </c>
      <c r="R50" s="9">
        <v>2.7757201646090532</v>
      </c>
      <c r="S50" s="9">
        <v>4.1152263374485592E-3</v>
      </c>
      <c r="T50" s="9">
        <v>19.71128028894913</v>
      </c>
      <c r="U50" s="9">
        <v>0.38991769547325106</v>
      </c>
      <c r="V50" s="9">
        <v>0.52240782218138304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7.2016460905349791E-7</v>
      </c>
      <c r="AH50" s="10">
        <v>0</v>
      </c>
      <c r="AI50" s="10">
        <v>1.2345679012345677E-6</v>
      </c>
      <c r="AJ50" s="10">
        <v>1.3786008230452674E-3</v>
      </c>
      <c r="AK50" s="10">
        <v>2.1604938271604941E-3</v>
      </c>
      <c r="AL50" s="10">
        <v>0</v>
      </c>
      <c r="AM50" s="10">
        <v>8.2304526748971187E-7</v>
      </c>
      <c r="AN50" s="10">
        <v>0</v>
      </c>
      <c r="AO50" s="10">
        <v>0</v>
      </c>
      <c r="AP50" s="10">
        <v>0.14814814814814817</v>
      </c>
      <c r="AQ50" s="10">
        <v>2.1604938271604941E-3</v>
      </c>
      <c r="AR50" s="10">
        <v>0</v>
      </c>
      <c r="AS50" s="10">
        <v>3.2921810699588475E-4</v>
      </c>
      <c r="AT50" s="10">
        <v>7.0987654320987654E-6</v>
      </c>
      <c r="AU50" s="10">
        <v>0</v>
      </c>
      <c r="AV50" s="10">
        <v>0</v>
      </c>
      <c r="AW50" s="10">
        <v>0</v>
      </c>
      <c r="AX50" s="10">
        <v>1.7489711934156377E-6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2.7777777777777779E-3</v>
      </c>
      <c r="BF50" s="10">
        <v>0</v>
      </c>
      <c r="BG50" s="9">
        <v>0</v>
      </c>
      <c r="BH50" s="9">
        <v>0</v>
      </c>
      <c r="BI50" s="9">
        <v>0</v>
      </c>
      <c r="BJ50" s="9">
        <v>0.61728395061728392</v>
      </c>
      <c r="BK50" s="9">
        <v>0</v>
      </c>
      <c r="BL50" s="9">
        <v>0</v>
      </c>
      <c r="BM50" s="9">
        <v>0</v>
      </c>
      <c r="BN50" s="9">
        <v>0</v>
      </c>
      <c r="BO50" s="9">
        <v>14.7119341563786</v>
      </c>
      <c r="BP50" s="9">
        <v>66.152263374485585</v>
      </c>
      <c r="BQ50" s="9">
        <v>0</v>
      </c>
      <c r="BR50" s="9">
        <v>17.386831275720162</v>
      </c>
      <c r="BS50" s="9">
        <v>28.249483199588472</v>
      </c>
      <c r="BT50" s="9">
        <v>2.4248738884392997</v>
      </c>
      <c r="BU50" s="9">
        <v>0</v>
      </c>
      <c r="BV50" s="9">
        <v>0</v>
      </c>
      <c r="BW50" s="9">
        <v>0</v>
      </c>
      <c r="BX50" s="9">
        <v>0</v>
      </c>
      <c r="BY50" s="9">
        <v>2.57201646090535</v>
      </c>
      <c r="BZ50" s="9">
        <v>29.413580246913579</v>
      </c>
      <c r="CA50" s="9">
        <v>0</v>
      </c>
      <c r="CB50" s="11">
        <v>16.769547325102891</v>
      </c>
      <c r="CC50" s="12"/>
      <c r="CD50" s="12"/>
      <c r="CE50" s="12"/>
    </row>
    <row r="51" spans="1:83" x14ac:dyDescent="0.35">
      <c r="A51" s="8" t="s">
        <v>117</v>
      </c>
      <c r="B51" s="8" t="s">
        <v>167</v>
      </c>
      <c r="C51" s="8"/>
      <c r="D51" s="9">
        <v>88.3</v>
      </c>
      <c r="E51" s="9">
        <v>11.7</v>
      </c>
      <c r="F51" s="9">
        <v>90.598290598290589</v>
      </c>
      <c r="G51" s="9">
        <v>9.4017094017094038</v>
      </c>
      <c r="H51" s="9">
        <v>16.845553168119483</v>
      </c>
      <c r="I51" s="9">
        <v>488.23113207547169</v>
      </c>
      <c r="J51" s="9">
        <v>42.295391175021152</v>
      </c>
      <c r="K51" s="9">
        <v>42.115817764974366</v>
      </c>
      <c r="L51" s="9">
        <v>0</v>
      </c>
      <c r="M51" s="9">
        <v>0.37777777777777782</v>
      </c>
      <c r="N51" s="9">
        <v>0</v>
      </c>
      <c r="O51" s="9">
        <v>0</v>
      </c>
      <c r="P51" s="9">
        <v>6.4694594263403795</v>
      </c>
      <c r="Q51" s="9">
        <v>3.3589743589743595</v>
      </c>
      <c r="R51" s="9">
        <v>7.2478632478632479</v>
      </c>
      <c r="S51" s="9">
        <v>6.8376068376068383E-2</v>
      </c>
      <c r="T51" s="9">
        <v>33.871554113976948</v>
      </c>
      <c r="U51" s="9">
        <v>0.74273504273504287</v>
      </c>
      <c r="V51" s="9">
        <v>1.6085327456515526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8.5470085470085477E-6</v>
      </c>
      <c r="AJ51" s="10">
        <v>5.982905982905984E-4</v>
      </c>
      <c r="AK51" s="10">
        <v>6.068376068376069E-3</v>
      </c>
      <c r="AL51" s="10">
        <v>0</v>
      </c>
      <c r="AM51" s="10">
        <v>0</v>
      </c>
      <c r="AN51" s="10">
        <v>0</v>
      </c>
      <c r="AO51" s="10">
        <v>0</v>
      </c>
      <c r="AP51" s="10">
        <v>0.17692307692307693</v>
      </c>
      <c r="AQ51" s="10">
        <v>4.9572649572649577E-3</v>
      </c>
      <c r="AR51" s="10">
        <v>0</v>
      </c>
      <c r="AS51" s="10">
        <v>7.3504273504273503E-5</v>
      </c>
      <c r="AT51" s="10">
        <v>0</v>
      </c>
      <c r="AU51" s="10">
        <v>0</v>
      </c>
      <c r="AV51" s="10">
        <v>0</v>
      </c>
      <c r="AW51" s="10">
        <v>0</v>
      </c>
      <c r="AX51" s="10">
        <v>5.1282051282051279E-6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3.333333333333334E-3</v>
      </c>
      <c r="BF51" s="10">
        <v>0</v>
      </c>
      <c r="BG51" s="9">
        <v>0</v>
      </c>
      <c r="BH51" s="9">
        <v>0</v>
      </c>
      <c r="BI51" s="9">
        <v>3.4188034188034191</v>
      </c>
      <c r="BJ51" s="9">
        <v>0</v>
      </c>
      <c r="BK51" s="9">
        <v>7.0940170940170937</v>
      </c>
      <c r="BL51" s="9">
        <v>0</v>
      </c>
      <c r="BM51" s="9">
        <v>0</v>
      </c>
      <c r="BN51" s="9">
        <v>0.25641025641025639</v>
      </c>
      <c r="BO51" s="9">
        <v>45.299145299145302</v>
      </c>
      <c r="BP51" s="9">
        <v>5.1282051282051277</v>
      </c>
      <c r="BQ51" s="9">
        <v>0</v>
      </c>
      <c r="BR51" s="9">
        <v>40.17094017094017</v>
      </c>
      <c r="BS51" s="9">
        <v>18.980987530552216</v>
      </c>
      <c r="BT51" s="9">
        <v>1.5079972308741783</v>
      </c>
      <c r="BU51" s="9">
        <v>11.111111111111112</v>
      </c>
      <c r="BV51" s="9">
        <v>6.8376068376068382</v>
      </c>
      <c r="BW51" s="9">
        <v>0</v>
      </c>
      <c r="BX51" s="9">
        <v>0</v>
      </c>
      <c r="BY51" s="9">
        <v>21.36752136752137</v>
      </c>
      <c r="BZ51" s="9">
        <v>13.931623931623932</v>
      </c>
      <c r="CA51" s="9">
        <v>0</v>
      </c>
      <c r="CB51" s="11">
        <v>11.452991452991441</v>
      </c>
      <c r="CC51" s="12"/>
      <c r="CD51" s="12"/>
      <c r="CE51" s="12"/>
    </row>
    <row r="52" spans="1:83" x14ac:dyDescent="0.35">
      <c r="A52" s="8" t="s">
        <v>117</v>
      </c>
      <c r="B52" s="8" t="s">
        <v>168</v>
      </c>
      <c r="C52" s="8"/>
      <c r="D52" s="9">
        <v>94.6</v>
      </c>
      <c r="E52" s="9">
        <v>5.4</v>
      </c>
      <c r="F52" s="9">
        <v>90.740740740740733</v>
      </c>
      <c r="G52" s="9">
        <v>9.2592592592592595</v>
      </c>
      <c r="H52" s="9">
        <v>14.582488554615516</v>
      </c>
      <c r="I52" s="9">
        <v>437.14285714285705</v>
      </c>
      <c r="J52" s="9">
        <v>38.966121054918602</v>
      </c>
      <c r="K52" s="9">
        <v>38.966121054918602</v>
      </c>
      <c r="L52" s="9">
        <v>0</v>
      </c>
      <c r="M52" s="9">
        <v>0.37222222222222229</v>
      </c>
      <c r="N52" s="9">
        <v>0</v>
      </c>
      <c r="O52" s="9">
        <v>0</v>
      </c>
      <c r="P52" s="9">
        <v>6.075402194111823</v>
      </c>
      <c r="Q52" s="9">
        <v>4.5</v>
      </c>
      <c r="R52" s="9">
        <v>1.7777777777777777</v>
      </c>
      <c r="S52" s="9">
        <v>3.7037037037037035E-2</v>
      </c>
      <c r="T52" s="9">
        <v>43.746302086457909</v>
      </c>
      <c r="U52" s="9">
        <v>0.61111111111111105</v>
      </c>
      <c r="V52" s="9">
        <v>0.39454576780132422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3.703703703703703E-5</v>
      </c>
      <c r="AJ52" s="10">
        <v>1.4814814814814814E-3</v>
      </c>
      <c r="AK52" s="10">
        <v>4.9999999999999992E-3</v>
      </c>
      <c r="AL52" s="10">
        <v>0</v>
      </c>
      <c r="AM52" s="10">
        <v>0</v>
      </c>
      <c r="AN52" s="10">
        <v>0</v>
      </c>
      <c r="AO52" s="10">
        <v>0</v>
      </c>
      <c r="AP52" s="10">
        <v>0.2074074074074074</v>
      </c>
      <c r="AQ52" s="10">
        <v>7.407407407407407E-4</v>
      </c>
      <c r="AR52" s="10">
        <v>3.703703703703703E-5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3.7037037037037038E-3</v>
      </c>
      <c r="BF52" s="10">
        <v>0</v>
      </c>
      <c r="BG52" s="9">
        <v>0</v>
      </c>
      <c r="BH52" s="9">
        <v>0</v>
      </c>
      <c r="BI52" s="9">
        <v>12.962962962962962</v>
      </c>
      <c r="BJ52" s="9">
        <v>11.111111111111111</v>
      </c>
      <c r="BK52" s="9">
        <v>0</v>
      </c>
      <c r="BL52" s="9">
        <v>0</v>
      </c>
      <c r="BM52" s="9">
        <v>0</v>
      </c>
      <c r="BN52" s="9">
        <v>0</v>
      </c>
      <c r="BO52" s="9">
        <v>11.111111111111111</v>
      </c>
      <c r="BP52" s="9">
        <v>1.8518518518518516</v>
      </c>
      <c r="BQ52" s="9">
        <v>0</v>
      </c>
      <c r="BR52" s="9">
        <v>77.777777777777786</v>
      </c>
      <c r="BS52" s="9">
        <v>16.33765259259259</v>
      </c>
      <c r="BT52" s="9">
        <v>1.2467938414074071</v>
      </c>
      <c r="BU52" s="9">
        <v>16.666666666666664</v>
      </c>
      <c r="BV52" s="9">
        <v>20.370370370370374</v>
      </c>
      <c r="BW52" s="9">
        <v>0</v>
      </c>
      <c r="BX52" s="9">
        <v>0</v>
      </c>
      <c r="BY52" s="9">
        <v>50</v>
      </c>
      <c r="BZ52" s="9">
        <v>13.888888888888888</v>
      </c>
      <c r="CA52" s="9">
        <v>0</v>
      </c>
      <c r="CB52" s="11">
        <v>16.666666666666657</v>
      </c>
      <c r="CC52" s="12"/>
      <c r="CD52" s="12"/>
      <c r="CE52" s="12"/>
    </row>
    <row r="53" spans="1:83" x14ac:dyDescent="0.35">
      <c r="A53" s="8" t="s">
        <v>117</v>
      </c>
      <c r="B53" s="8" t="s">
        <v>169</v>
      </c>
      <c r="C53" s="8"/>
      <c r="D53" s="9">
        <v>87.8</v>
      </c>
      <c r="E53" s="9">
        <v>12.2</v>
      </c>
      <c r="F53" s="9">
        <v>95.901639344262293</v>
      </c>
      <c r="G53" s="9">
        <v>4.0983606557377055</v>
      </c>
      <c r="H53" s="9">
        <v>15.659455081333208</v>
      </c>
      <c r="I53" s="9">
        <v>438.95299145299145</v>
      </c>
      <c r="J53" s="9">
        <v>41.611162662850596</v>
      </c>
      <c r="K53" s="9">
        <v>41.20933036004098</v>
      </c>
      <c r="L53" s="9">
        <v>0</v>
      </c>
      <c r="M53" s="9">
        <v>0.18770491803278688</v>
      </c>
      <c r="N53" s="9">
        <v>0</v>
      </c>
      <c r="O53" s="9">
        <v>0</v>
      </c>
      <c r="P53" s="9">
        <v>6.453506524358553</v>
      </c>
      <c r="Q53" s="9">
        <v>1.581967213114754</v>
      </c>
      <c r="R53" s="9">
        <v>2.0655737704918034</v>
      </c>
      <c r="S53" s="9">
        <v>2.3770491803278688E-2</v>
      </c>
      <c r="T53" s="9">
        <v>45.531889678722443</v>
      </c>
      <c r="U53" s="9">
        <v>0.32868852459016401</v>
      </c>
      <c r="V53" s="9">
        <v>0.46569336527369415</v>
      </c>
      <c r="W53" s="10">
        <v>0</v>
      </c>
      <c r="X53" s="10">
        <v>0</v>
      </c>
      <c r="Y53" s="10">
        <v>0</v>
      </c>
      <c r="Z53" s="10">
        <v>2.7868852459016396E-6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1.1803278688524591E-5</v>
      </c>
      <c r="AH53" s="10">
        <v>0</v>
      </c>
      <c r="AI53" s="10">
        <v>5.7377049180327874E-6</v>
      </c>
      <c r="AJ53" s="10">
        <v>5.0000000000000001E-4</v>
      </c>
      <c r="AK53" s="10">
        <v>2.7049180327868854E-3</v>
      </c>
      <c r="AL53" s="10">
        <v>0</v>
      </c>
      <c r="AM53" s="10">
        <v>7.3770491803278695E-7</v>
      </c>
      <c r="AN53" s="10">
        <v>0</v>
      </c>
      <c r="AO53" s="10">
        <v>0</v>
      </c>
      <c r="AP53" s="10">
        <v>7.8688524590163927E-2</v>
      </c>
      <c r="AQ53" s="10">
        <v>1.8852459016393446E-3</v>
      </c>
      <c r="AR53" s="10">
        <v>0</v>
      </c>
      <c r="AS53" s="10">
        <v>2.9098360655737705E-5</v>
      </c>
      <c r="AT53" s="10">
        <v>2.4590163934426232E-6</v>
      </c>
      <c r="AU53" s="10">
        <v>0</v>
      </c>
      <c r="AV53" s="10">
        <v>0</v>
      </c>
      <c r="AW53" s="10">
        <v>0</v>
      </c>
      <c r="AX53" s="10">
        <v>4.0983606557377053E-6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1.3114754098360656E-3</v>
      </c>
      <c r="BF53" s="10">
        <v>0</v>
      </c>
      <c r="BG53" s="9">
        <v>0</v>
      </c>
      <c r="BH53" s="9">
        <v>0</v>
      </c>
      <c r="BI53" s="9">
        <v>15.655737704918032</v>
      </c>
      <c r="BJ53" s="9">
        <v>0</v>
      </c>
      <c r="BK53" s="9">
        <v>7.0491803278688518</v>
      </c>
      <c r="BL53" s="9">
        <v>0</v>
      </c>
      <c r="BM53" s="9">
        <v>0</v>
      </c>
      <c r="BN53" s="9">
        <v>0.57377049180327877</v>
      </c>
      <c r="BO53" s="9">
        <v>13.114754098360656</v>
      </c>
      <c r="BP53" s="9">
        <v>2.459016393442623</v>
      </c>
      <c r="BQ53" s="9">
        <v>0</v>
      </c>
      <c r="BR53" s="9">
        <v>81.147540983606575</v>
      </c>
      <c r="BS53" s="9">
        <v>17.297551573503675</v>
      </c>
      <c r="BT53" s="9">
        <v>1.3412301047178743</v>
      </c>
      <c r="BU53" s="9">
        <v>15.000000000000002</v>
      </c>
      <c r="BV53" s="9">
        <v>18.360655737704921</v>
      </c>
      <c r="BW53" s="9">
        <v>0</v>
      </c>
      <c r="BX53" s="9">
        <v>0</v>
      </c>
      <c r="BY53" s="9">
        <v>49.016393442622956</v>
      </c>
      <c r="BZ53" s="9">
        <v>15.409836065573771</v>
      </c>
      <c r="CA53" s="9">
        <v>0</v>
      </c>
      <c r="CB53" s="11">
        <v>23.688524590163922</v>
      </c>
      <c r="CC53" s="12"/>
      <c r="CD53" s="12"/>
      <c r="CE53" s="12"/>
    </row>
    <row r="54" spans="1:83" x14ac:dyDescent="0.35">
      <c r="A54" s="8" t="s">
        <v>117</v>
      </c>
      <c r="B54" s="8" t="s">
        <v>170</v>
      </c>
      <c r="C54" s="8"/>
      <c r="D54" s="9">
        <v>92.9</v>
      </c>
      <c r="E54" s="9">
        <v>7.1</v>
      </c>
      <c r="F54" s="9">
        <v>84.507042253521121</v>
      </c>
      <c r="G54" s="9">
        <v>15.492957746478876</v>
      </c>
      <c r="H54" s="9">
        <v>13.887309108410207</v>
      </c>
      <c r="I54" s="9">
        <v>444.41666666666663</v>
      </c>
      <c r="J54" s="9">
        <v>36.914566911894752</v>
      </c>
      <c r="K54" s="9">
        <v>36.914566911894752</v>
      </c>
      <c r="L54" s="9">
        <v>0</v>
      </c>
      <c r="M54" s="9">
        <v>0.79859154929577469</v>
      </c>
      <c r="N54" s="9">
        <v>0</v>
      </c>
      <c r="O54" s="9">
        <v>0</v>
      </c>
      <c r="P54" s="9">
        <v>5.6765263947137532</v>
      </c>
      <c r="Q54" s="9">
        <v>4.47887323943662</v>
      </c>
      <c r="R54" s="9">
        <v>1.676056338028169</v>
      </c>
      <c r="S54" s="9">
        <v>0.87323943661971826</v>
      </c>
      <c r="T54" s="9">
        <v>40.183080347885834</v>
      </c>
      <c r="U54" s="9">
        <v>0.42394366197183109</v>
      </c>
      <c r="V54" s="9">
        <v>0.35008990664061157</v>
      </c>
      <c r="W54" s="10">
        <v>0</v>
      </c>
      <c r="X54" s="10">
        <v>0</v>
      </c>
      <c r="Y54" s="10">
        <v>0</v>
      </c>
      <c r="Z54" s="10">
        <v>9.8591549295774646E-6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2.2253521126760565E-5</v>
      </c>
      <c r="AH54" s="10">
        <v>0</v>
      </c>
      <c r="AI54" s="10">
        <v>2.2535211267605634E-5</v>
      </c>
      <c r="AJ54" s="10">
        <v>1.5492957746478875E-3</v>
      </c>
      <c r="AK54" s="10">
        <v>5.6338028169014096E-3</v>
      </c>
      <c r="AL54" s="10">
        <v>0</v>
      </c>
      <c r="AM54" s="10">
        <v>9.8591549295774654E-7</v>
      </c>
      <c r="AN54" s="10">
        <v>0</v>
      </c>
      <c r="AO54" s="10">
        <v>0</v>
      </c>
      <c r="AP54" s="10">
        <v>0.11267605633802817</v>
      </c>
      <c r="AQ54" s="10">
        <v>0</v>
      </c>
      <c r="AR54" s="10">
        <v>0</v>
      </c>
      <c r="AS54" s="10">
        <v>2.4647887323943664E-5</v>
      </c>
      <c r="AT54" s="10">
        <v>1.2676056338028169E-5</v>
      </c>
      <c r="AU54" s="10">
        <v>0</v>
      </c>
      <c r="AV54" s="10">
        <v>0</v>
      </c>
      <c r="AW54" s="10">
        <v>0</v>
      </c>
      <c r="AX54" s="10">
        <v>6.4788732394366198E-7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1.4084507042253524E-3</v>
      </c>
      <c r="BF54" s="10">
        <v>0</v>
      </c>
      <c r="BG54" s="9">
        <v>0</v>
      </c>
      <c r="BH54" s="9">
        <v>0</v>
      </c>
      <c r="BI54" s="9">
        <v>4.225352112676056</v>
      </c>
      <c r="BJ54" s="9">
        <v>1.4084507042253522</v>
      </c>
      <c r="BK54" s="9">
        <v>0</v>
      </c>
      <c r="BL54" s="9">
        <v>0</v>
      </c>
      <c r="BM54" s="9">
        <v>0</v>
      </c>
      <c r="BN54" s="9">
        <v>0</v>
      </c>
      <c r="BO54" s="9">
        <v>9.8591549295774641</v>
      </c>
      <c r="BP54" s="9">
        <v>2.8169014084507045</v>
      </c>
      <c r="BQ54" s="9">
        <v>0</v>
      </c>
      <c r="BR54" s="9">
        <v>71.830985915492946</v>
      </c>
      <c r="BS54" s="9">
        <v>15.334245352112678</v>
      </c>
      <c r="BT54" s="9">
        <v>1.1475568653239439</v>
      </c>
      <c r="BU54" s="9">
        <v>5.6338028169014089</v>
      </c>
      <c r="BV54" s="9">
        <v>7.042253521126761</v>
      </c>
      <c r="BW54" s="9">
        <v>0</v>
      </c>
      <c r="BX54" s="9">
        <v>0</v>
      </c>
      <c r="BY54" s="9">
        <v>16.901408450704224</v>
      </c>
      <c r="BZ54" s="9">
        <v>12.816901408450704</v>
      </c>
      <c r="CA54" s="9">
        <v>0</v>
      </c>
      <c r="CB54" s="11">
        <v>53.521126760563376</v>
      </c>
      <c r="CC54" s="12"/>
      <c r="CD54" s="12"/>
      <c r="CE54" s="12"/>
    </row>
    <row r="55" spans="1:83" x14ac:dyDescent="0.35">
      <c r="A55" s="8" t="s">
        <v>117</v>
      </c>
      <c r="B55" s="8" t="s">
        <v>171</v>
      </c>
      <c r="C55" s="8"/>
      <c r="D55" s="9">
        <v>93.5</v>
      </c>
      <c r="E55" s="9">
        <v>6.5</v>
      </c>
      <c r="F55" s="9">
        <v>92.307692307692307</v>
      </c>
      <c r="G55" s="9">
        <v>7.6923076923076925</v>
      </c>
      <c r="H55" s="9">
        <v>14.762229032238551</v>
      </c>
      <c r="I55" s="9">
        <v>437.13333333333333</v>
      </c>
      <c r="J55" s="9">
        <v>39.340515463085445</v>
      </c>
      <c r="K55" s="9">
        <v>39.340515463085445</v>
      </c>
      <c r="L55" s="9">
        <v>0</v>
      </c>
      <c r="M55" s="9">
        <v>0.12923076923076923</v>
      </c>
      <c r="N55" s="9">
        <v>0</v>
      </c>
      <c r="O55" s="9">
        <v>0</v>
      </c>
      <c r="P55" s="9">
        <v>6.21973103554443</v>
      </c>
      <c r="Q55" s="9">
        <v>3.6923076923076921</v>
      </c>
      <c r="R55" s="9">
        <v>2.3230769230769228</v>
      </c>
      <c r="S55" s="9">
        <v>4.6153846153846149E-2</v>
      </c>
      <c r="T55" s="9">
        <v>44.313812765594037</v>
      </c>
      <c r="U55" s="9">
        <v>0.4661538461538462</v>
      </c>
      <c r="V55" s="9">
        <v>0.49166472602934247</v>
      </c>
      <c r="W55" s="10">
        <v>0</v>
      </c>
      <c r="X55" s="10">
        <v>0</v>
      </c>
      <c r="Y55" s="10">
        <v>0</v>
      </c>
      <c r="Z55" s="10">
        <v>2.4615384615384615E-6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1.0615384615384615E-5</v>
      </c>
      <c r="AH55" s="10">
        <v>0</v>
      </c>
      <c r="AI55" s="10">
        <v>1.0769230769230769E-5</v>
      </c>
      <c r="AJ55" s="10">
        <v>1.2307692307692308E-3</v>
      </c>
      <c r="AK55" s="10">
        <v>6.1538461538461538E-3</v>
      </c>
      <c r="AL55" s="10">
        <v>0</v>
      </c>
      <c r="AM55" s="10">
        <v>1.5384615384615384E-5</v>
      </c>
      <c r="AN55" s="10">
        <v>0</v>
      </c>
      <c r="AO55" s="10">
        <v>0</v>
      </c>
      <c r="AP55" s="10">
        <v>0.15384615384615385</v>
      </c>
      <c r="AQ55" s="10">
        <v>3.8461538461538464E-3</v>
      </c>
      <c r="AR55" s="10">
        <v>0</v>
      </c>
      <c r="AS55" s="10">
        <v>6.0769230769230767E-6</v>
      </c>
      <c r="AT55" s="10">
        <v>5.3846153846153847E-6</v>
      </c>
      <c r="AU55" s="10">
        <v>0</v>
      </c>
      <c r="AV55" s="10">
        <v>0</v>
      </c>
      <c r="AW55" s="10">
        <v>0</v>
      </c>
      <c r="AX55" s="10">
        <v>3.076923076923077E-6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2.4615384615384616E-3</v>
      </c>
      <c r="BF55" s="10">
        <v>0</v>
      </c>
      <c r="BG55" s="9">
        <v>0</v>
      </c>
      <c r="BH55" s="9">
        <v>0</v>
      </c>
      <c r="BI55" s="9">
        <v>1.5384615384615385</v>
      </c>
      <c r="BJ55" s="9">
        <v>3.0769230769230771</v>
      </c>
      <c r="BK55" s="9">
        <v>0</v>
      </c>
      <c r="BL55" s="9">
        <v>0</v>
      </c>
      <c r="BM55" s="9">
        <v>0</v>
      </c>
      <c r="BN55" s="9">
        <v>0</v>
      </c>
      <c r="BO55" s="9">
        <v>13.846153846153847</v>
      </c>
      <c r="BP55" s="9">
        <v>1.5384615384615385</v>
      </c>
      <c r="BQ55" s="9">
        <v>0</v>
      </c>
      <c r="BR55" s="9">
        <v>76.923076923076934</v>
      </c>
      <c r="BS55" s="9">
        <v>16.734592307692306</v>
      </c>
      <c r="BT55" s="9">
        <v>1.2860511792307692</v>
      </c>
      <c r="BU55" s="9">
        <v>21.538461538461537</v>
      </c>
      <c r="BV55" s="9">
        <v>21.538461538461537</v>
      </c>
      <c r="BW55" s="9">
        <v>0</v>
      </c>
      <c r="BX55" s="9">
        <v>0</v>
      </c>
      <c r="BY55" s="9">
        <v>44.615384615384613</v>
      </c>
      <c r="BZ55" s="9">
        <v>12.76923076923077</v>
      </c>
      <c r="CA55" s="9">
        <v>0</v>
      </c>
      <c r="CB55" s="11">
        <v>29.230769230769226</v>
      </c>
      <c r="CC55" s="12"/>
      <c r="CD55" s="12"/>
      <c r="CE55" s="12"/>
    </row>
    <row r="56" spans="1:83" x14ac:dyDescent="0.35">
      <c r="A56" s="8" t="s">
        <v>117</v>
      </c>
      <c r="B56" s="8" t="s">
        <v>172</v>
      </c>
      <c r="C56" s="8"/>
      <c r="D56" s="9">
        <v>95</v>
      </c>
      <c r="E56" s="9">
        <v>5.0000000000000009</v>
      </c>
      <c r="F56" s="9">
        <v>89.377784210610955</v>
      </c>
      <c r="G56" s="9">
        <v>10.62221578938904</v>
      </c>
      <c r="H56" s="9">
        <v>15.543519724145114</v>
      </c>
      <c r="I56" s="9">
        <v>463.22916666666657</v>
      </c>
      <c r="J56" s="9">
        <v>40.354210049868691</v>
      </c>
      <c r="K56" s="9">
        <v>40.354210049868691</v>
      </c>
      <c r="L56" s="9">
        <v>0</v>
      </c>
      <c r="M56" s="9">
        <v>0.56349527990865378</v>
      </c>
      <c r="N56" s="9">
        <v>0</v>
      </c>
      <c r="O56" s="9">
        <v>0</v>
      </c>
      <c r="P56" s="9">
        <v>6.1336624009149219</v>
      </c>
      <c r="Q56" s="9">
        <v>4.1706603839329262</v>
      </c>
      <c r="R56" s="9">
        <v>3.8337943530446061</v>
      </c>
      <c r="S56" s="9">
        <v>0.32354684978798454</v>
      </c>
      <c r="T56" s="9">
        <v>38.667498918075957</v>
      </c>
      <c r="U56" s="9">
        <v>0.54203856483491741</v>
      </c>
      <c r="V56" s="9">
        <v>0.85305032268290359</v>
      </c>
      <c r="W56" s="10">
        <v>0</v>
      </c>
      <c r="X56" s="10">
        <v>0</v>
      </c>
      <c r="Y56" s="10">
        <v>0</v>
      </c>
      <c r="Z56" s="10">
        <v>5.6737588652482272E-7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1.1773049645390069E-5</v>
      </c>
      <c r="AH56" s="10">
        <v>0</v>
      </c>
      <c r="AI56" s="10">
        <v>2.8368794326241132E-6</v>
      </c>
      <c r="AJ56" s="10">
        <v>6.7088017239992929E-4</v>
      </c>
      <c r="AK56" s="10">
        <v>1.3752888074063351E-2</v>
      </c>
      <c r="AL56" s="10">
        <v>0</v>
      </c>
      <c r="AM56" s="10">
        <v>1.4184397163120568E-7</v>
      </c>
      <c r="AN56" s="10">
        <v>0</v>
      </c>
      <c r="AO56" s="10">
        <v>0</v>
      </c>
      <c r="AP56" s="10">
        <v>0.22733739673962572</v>
      </c>
      <c r="AQ56" s="10">
        <v>3.543995218260669E-3</v>
      </c>
      <c r="AR56" s="10">
        <v>0</v>
      </c>
      <c r="AS56" s="10">
        <v>2.9078014184397158E-5</v>
      </c>
      <c r="AT56" s="10">
        <v>1.4184397163120566E-6</v>
      </c>
      <c r="AU56" s="10">
        <v>0</v>
      </c>
      <c r="AV56" s="10">
        <v>0</v>
      </c>
      <c r="AW56" s="10">
        <v>0</v>
      </c>
      <c r="AX56" s="10">
        <v>1.4184397163120566E-6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3.7789946553877657E-3</v>
      </c>
      <c r="BF56" s="10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24.023415512777216</v>
      </c>
      <c r="BP56" s="9">
        <v>3.9216159276949547</v>
      </c>
      <c r="BQ56" s="9">
        <v>0</v>
      </c>
      <c r="BR56" s="9">
        <v>62.113024878982323</v>
      </c>
      <c r="BS56" s="9">
        <v>17.269016276193693</v>
      </c>
      <c r="BT56" s="9">
        <v>1.3389057097155561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13.093174227925999</v>
      </c>
      <c r="CA56" s="9">
        <v>0</v>
      </c>
      <c r="CB56" s="11">
        <v>61.432752770138791</v>
      </c>
      <c r="CC56" s="12"/>
      <c r="CD56" s="12"/>
      <c r="CE56" s="12"/>
    </row>
    <row r="57" spans="1:83" x14ac:dyDescent="0.35">
      <c r="A57" s="8" t="s">
        <v>117</v>
      </c>
      <c r="B57" s="8" t="s">
        <v>173</v>
      </c>
      <c r="C57" s="8"/>
      <c r="D57" s="9">
        <v>92.733333333333348</v>
      </c>
      <c r="E57" s="9">
        <v>7.2666666666666657</v>
      </c>
      <c r="F57" s="9">
        <v>92.658636641354633</v>
      </c>
      <c r="G57" s="9">
        <v>7.3413633586453697</v>
      </c>
      <c r="H57" s="9">
        <v>16.31670898140338</v>
      </c>
      <c r="I57" s="9">
        <v>464.01858678955449</v>
      </c>
      <c r="J57" s="9">
        <v>42.148390986204681</v>
      </c>
      <c r="K57" s="9">
        <v>41.799964966710917</v>
      </c>
      <c r="L57" s="9">
        <v>0</v>
      </c>
      <c r="M57" s="9">
        <v>0.27364283843938203</v>
      </c>
      <c r="N57" s="9">
        <v>0</v>
      </c>
      <c r="O57" s="9">
        <v>0</v>
      </c>
      <c r="P57" s="9">
        <v>6.389255968774866</v>
      </c>
      <c r="Q57" s="9">
        <v>2.9328698612202153</v>
      </c>
      <c r="R57" s="9">
        <v>4.4965488347735016</v>
      </c>
      <c r="S57" s="9">
        <v>8.2057170288906342E-2</v>
      </c>
      <c r="T57" s="9">
        <v>39.203324716649313</v>
      </c>
      <c r="U57" s="9">
        <v>0.82510997643362138</v>
      </c>
      <c r="V57" s="9">
        <v>0.99351149366316793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2.7363184079601987E-4</v>
      </c>
      <c r="AK57" s="10">
        <v>2.4875621890547263E-3</v>
      </c>
      <c r="AL57" s="10">
        <v>0</v>
      </c>
      <c r="AM57" s="10">
        <v>0</v>
      </c>
      <c r="AN57" s="10">
        <v>0</v>
      </c>
      <c r="AO57" s="10">
        <v>0</v>
      </c>
      <c r="AP57" s="10">
        <v>0.13051837304704547</v>
      </c>
      <c r="AQ57" s="10">
        <v>0</v>
      </c>
      <c r="AR57" s="10">
        <v>0</v>
      </c>
      <c r="AS57" s="10">
        <v>8.9552238805970142E-5</v>
      </c>
      <c r="AT57" s="10">
        <v>0</v>
      </c>
      <c r="AU57" s="10">
        <v>0</v>
      </c>
      <c r="AV57" s="10">
        <v>0</v>
      </c>
      <c r="AW57" s="10">
        <v>0</v>
      </c>
      <c r="AX57" s="10">
        <v>4.9751243781094521E-6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2.1890547263681589E-3</v>
      </c>
      <c r="BF57" s="10">
        <v>0</v>
      </c>
      <c r="BG57" s="9">
        <v>0</v>
      </c>
      <c r="BH57" s="9">
        <v>0</v>
      </c>
      <c r="BI57" s="9">
        <v>0.89552238805970141</v>
      </c>
      <c r="BJ57" s="9">
        <v>0</v>
      </c>
      <c r="BK57" s="9">
        <v>3.7313432835820897</v>
      </c>
      <c r="BL57" s="9">
        <v>0</v>
      </c>
      <c r="BM57" s="9">
        <v>0</v>
      </c>
      <c r="BN57" s="9">
        <v>0.49751243781094523</v>
      </c>
      <c r="BO57" s="9">
        <v>27.979052107881646</v>
      </c>
      <c r="BP57" s="9">
        <v>4.1416601204503793</v>
      </c>
      <c r="BQ57" s="9">
        <v>0</v>
      </c>
      <c r="BR57" s="9">
        <v>60.537924413022608</v>
      </c>
      <c r="BS57" s="9">
        <v>17.996030514006353</v>
      </c>
      <c r="BT57" s="9">
        <v>1.4103758257954275</v>
      </c>
      <c r="BU57" s="9">
        <v>3.3333333333333335</v>
      </c>
      <c r="BV57" s="9">
        <v>1.592039800995025</v>
      </c>
      <c r="BW57" s="9">
        <v>0</v>
      </c>
      <c r="BX57" s="9">
        <v>0</v>
      </c>
      <c r="BY57" s="9">
        <v>5.8208955223880592</v>
      </c>
      <c r="BZ57" s="9">
        <v>14.351514358034391</v>
      </c>
      <c r="CA57" s="9">
        <v>0</v>
      </c>
      <c r="CB57" s="11">
        <v>50.488173169241499</v>
      </c>
      <c r="CC57" s="12"/>
      <c r="CD57" s="12"/>
      <c r="CE57" s="12"/>
    </row>
    <row r="58" spans="1:83" x14ac:dyDescent="0.35">
      <c r="A58" s="8" t="s">
        <v>117</v>
      </c>
      <c r="B58" s="8" t="s">
        <v>174</v>
      </c>
      <c r="C58" s="8"/>
      <c r="D58" s="9">
        <v>51.7</v>
      </c>
      <c r="E58" s="9">
        <v>48.3</v>
      </c>
      <c r="F58" s="9">
        <v>97.929606625258799</v>
      </c>
      <c r="G58" s="9">
        <v>2.0703933747412009</v>
      </c>
      <c r="H58" s="9">
        <v>16.830822472014166</v>
      </c>
      <c r="I58" s="9">
        <v>452.61733615221988</v>
      </c>
      <c r="J58" s="9">
        <v>44.820507453499388</v>
      </c>
      <c r="K58" s="9">
        <v>44.820507453499388</v>
      </c>
      <c r="L58" s="9">
        <v>0</v>
      </c>
      <c r="M58" s="9">
        <v>6.4182194616977231E-2</v>
      </c>
      <c r="N58" s="9">
        <v>0</v>
      </c>
      <c r="O58" s="9">
        <v>0</v>
      </c>
      <c r="P58" s="9">
        <v>6.4494291331154212</v>
      </c>
      <c r="Q58" s="9">
        <v>1.2401656314699794</v>
      </c>
      <c r="R58" s="9">
        <v>0.66252587991718437</v>
      </c>
      <c r="S58" s="9">
        <v>8.2815734989648039E-3</v>
      </c>
      <c r="T58" s="9">
        <v>45.931875477680371</v>
      </c>
      <c r="U58" s="9">
        <v>0.15320910973084886</v>
      </c>
      <c r="V58" s="9">
        <v>0.14703568986384755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4.7619047619047624E-4</v>
      </c>
      <c r="AK58" s="10">
        <v>1.8633540372670809E-3</v>
      </c>
      <c r="AL58" s="10">
        <v>0</v>
      </c>
      <c r="AM58" s="10">
        <v>0</v>
      </c>
      <c r="AN58" s="10">
        <v>0</v>
      </c>
      <c r="AO58" s="10">
        <v>0</v>
      </c>
      <c r="AP58" s="10">
        <v>7.8674948240165632E-2</v>
      </c>
      <c r="AQ58" s="10">
        <v>7.5983436853002077E-3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9">
        <v>0</v>
      </c>
      <c r="BH58" s="9">
        <v>0</v>
      </c>
      <c r="BI58" s="9">
        <v>0</v>
      </c>
      <c r="BJ58" s="9">
        <v>55.693581780538302</v>
      </c>
      <c r="BK58" s="9">
        <v>0</v>
      </c>
      <c r="BL58" s="9">
        <v>0</v>
      </c>
      <c r="BM58" s="9">
        <v>0</v>
      </c>
      <c r="BN58" s="9">
        <v>0</v>
      </c>
      <c r="BO58" s="9">
        <v>4.1407867494824018</v>
      </c>
      <c r="BP58" s="9">
        <v>5.5900621118012435</v>
      </c>
      <c r="BQ58" s="9">
        <v>0</v>
      </c>
      <c r="BR58" s="9">
        <v>88.198757763975166</v>
      </c>
      <c r="BS58" s="9">
        <v>17.735114927536234</v>
      </c>
      <c r="BT58" s="9">
        <v>1.3850028663333336</v>
      </c>
      <c r="BU58" s="9">
        <v>0</v>
      </c>
      <c r="BV58" s="9">
        <v>0</v>
      </c>
      <c r="BW58" s="9">
        <v>0</v>
      </c>
      <c r="BX58" s="9">
        <v>0</v>
      </c>
      <c r="BY58" s="9">
        <v>14.492753623188406</v>
      </c>
      <c r="BZ58" s="9">
        <v>16.501035196687372</v>
      </c>
      <c r="CA58" s="9">
        <v>0</v>
      </c>
      <c r="CB58" s="11">
        <v>32.505175983436857</v>
      </c>
      <c r="CC58" s="12"/>
      <c r="CD58" s="12"/>
      <c r="CE58" s="12"/>
    </row>
    <row r="59" spans="1:83" x14ac:dyDescent="0.35">
      <c r="A59" s="8" t="s">
        <v>117</v>
      </c>
      <c r="B59" s="8" t="s">
        <v>175</v>
      </c>
      <c r="C59" s="8"/>
      <c r="D59" s="9">
        <v>91.7</v>
      </c>
      <c r="E59" s="9">
        <v>8.3000000000000007</v>
      </c>
      <c r="F59" s="9">
        <v>77.108433734939766</v>
      </c>
      <c r="G59" s="9">
        <v>22.891566265060238</v>
      </c>
      <c r="H59" s="9">
        <v>14.972221502046677</v>
      </c>
      <c r="I59" s="9">
        <v>495.6328125</v>
      </c>
      <c r="J59" s="9">
        <v>37.406918101922003</v>
      </c>
      <c r="K59" s="9">
        <v>36.310005826094027</v>
      </c>
      <c r="L59" s="9">
        <v>0</v>
      </c>
      <c r="M59" s="9">
        <v>1.5542168674698793</v>
      </c>
      <c r="N59" s="9">
        <v>0</v>
      </c>
      <c r="O59" s="9">
        <v>0</v>
      </c>
      <c r="P59" s="9">
        <v>5.5355341102832663</v>
      </c>
      <c r="Q59" s="9">
        <v>5.4096385542168672</v>
      </c>
      <c r="R59" s="9">
        <v>5.0602409638554207</v>
      </c>
      <c r="S59" s="9">
        <v>0.49397590361445781</v>
      </c>
      <c r="T59" s="9">
        <v>28.660171825998802</v>
      </c>
      <c r="U59" s="9">
        <v>0.49759036144578306</v>
      </c>
      <c r="V59" s="9">
        <v>1.1123338513916852</v>
      </c>
      <c r="W59" s="10">
        <v>0</v>
      </c>
      <c r="X59" s="10">
        <v>0</v>
      </c>
      <c r="Y59" s="10">
        <v>0</v>
      </c>
      <c r="Z59" s="10">
        <v>1.3493975903614458E-5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8.2048192771084317E-5</v>
      </c>
      <c r="AH59" s="10">
        <v>0</v>
      </c>
      <c r="AI59" s="10">
        <v>1.1204819277108433E-4</v>
      </c>
      <c r="AJ59" s="10">
        <v>8.7951807228915646E-4</v>
      </c>
      <c r="AK59" s="10">
        <v>5.4216867469879519E-2</v>
      </c>
      <c r="AL59" s="10">
        <v>0</v>
      </c>
      <c r="AM59" s="10">
        <v>5.9036144578313247E-6</v>
      </c>
      <c r="AN59" s="10">
        <v>0</v>
      </c>
      <c r="AO59" s="10">
        <v>0</v>
      </c>
      <c r="AP59" s="10">
        <v>0.31325301204819272</v>
      </c>
      <c r="AQ59" s="10">
        <v>2.0481927710843371E-2</v>
      </c>
      <c r="AR59" s="10">
        <v>0</v>
      </c>
      <c r="AS59" s="10">
        <v>5.0602409638554205E-5</v>
      </c>
      <c r="AT59" s="10">
        <v>3.6385542168674693E-5</v>
      </c>
      <c r="AU59" s="10">
        <v>0</v>
      </c>
      <c r="AV59" s="10">
        <v>0</v>
      </c>
      <c r="AW59" s="10">
        <v>0</v>
      </c>
      <c r="AX59" s="10">
        <v>1.2048192771084336E-6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1.3253012048192772E-2</v>
      </c>
      <c r="BF59" s="10">
        <v>0</v>
      </c>
      <c r="BG59" s="9">
        <v>0</v>
      </c>
      <c r="BH59" s="9">
        <v>0</v>
      </c>
      <c r="BI59" s="9">
        <v>1.9277108433734937</v>
      </c>
      <c r="BJ59" s="9">
        <v>1.0843373493975901</v>
      </c>
      <c r="BK59" s="9">
        <v>8.9156626506024086</v>
      </c>
      <c r="BL59" s="9">
        <v>0</v>
      </c>
      <c r="BM59" s="9">
        <v>0</v>
      </c>
      <c r="BN59" s="9">
        <v>1.5662650602409636</v>
      </c>
      <c r="BO59" s="9">
        <v>31.325301204819279</v>
      </c>
      <c r="BP59" s="9">
        <v>7.2289156626506017</v>
      </c>
      <c r="BQ59" s="9">
        <v>0</v>
      </c>
      <c r="BR59" s="9">
        <v>38.554216867469876</v>
      </c>
      <c r="BS59" s="9">
        <v>15.760230357008947</v>
      </c>
      <c r="BT59" s="9">
        <v>1.1883280473684259</v>
      </c>
      <c r="BU59" s="9">
        <v>1.0843373493975901</v>
      </c>
      <c r="BV59" s="9">
        <v>1.3253012048192772</v>
      </c>
      <c r="BW59" s="9">
        <v>0</v>
      </c>
      <c r="BX59" s="9">
        <v>0</v>
      </c>
      <c r="BY59" s="9">
        <v>4.3373493975903603</v>
      </c>
      <c r="BZ59" s="9">
        <v>12.53012048192771</v>
      </c>
      <c r="CA59" s="9">
        <v>0</v>
      </c>
      <c r="CB59" s="11">
        <v>22.650602409638559</v>
      </c>
      <c r="CC59" s="12"/>
      <c r="CD59" s="12"/>
      <c r="CE59" s="12"/>
    </row>
    <row r="60" spans="1:83" x14ac:dyDescent="0.35">
      <c r="A60" s="8" t="s">
        <v>117</v>
      </c>
      <c r="B60" s="8" t="s">
        <v>176</v>
      </c>
      <c r="C60" s="8"/>
      <c r="D60" s="9">
        <v>85.3</v>
      </c>
      <c r="E60" s="9">
        <v>14.7</v>
      </c>
      <c r="F60" s="9">
        <v>95.91836734693878</v>
      </c>
      <c r="G60" s="9">
        <v>4.0816326530612246</v>
      </c>
      <c r="H60" s="9">
        <v>14.985760453332183</v>
      </c>
      <c r="I60" s="9">
        <v>435.78723404255317</v>
      </c>
      <c r="J60" s="9">
        <v>40.005077213411504</v>
      </c>
      <c r="K60" s="9">
        <v>40.005077213411504</v>
      </c>
      <c r="L60" s="9">
        <v>0</v>
      </c>
      <c r="M60" s="9">
        <v>0.1414965986394558</v>
      </c>
      <c r="N60" s="9">
        <v>0</v>
      </c>
      <c r="O60" s="9">
        <v>0</v>
      </c>
      <c r="P60" s="9">
        <v>6.5293077501876402</v>
      </c>
      <c r="Q60" s="9">
        <v>1.1972789115646258</v>
      </c>
      <c r="R60" s="9">
        <v>1.4965986394557824</v>
      </c>
      <c r="S60" s="9">
        <v>1.3605442176870748E-2</v>
      </c>
      <c r="T60" s="9">
        <v>47.710054893123285</v>
      </c>
      <c r="U60" s="9">
        <v>0.18979591836734694</v>
      </c>
      <c r="V60" s="9">
        <v>0.33818208668684929</v>
      </c>
      <c r="W60" s="10">
        <v>0</v>
      </c>
      <c r="X60" s="10">
        <v>0</v>
      </c>
      <c r="Y60" s="10">
        <v>0</v>
      </c>
      <c r="Z60" s="10">
        <v>6.8027210884353747E-7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3.1292517006802721E-7</v>
      </c>
      <c r="AH60" s="10">
        <v>0</v>
      </c>
      <c r="AI60" s="10">
        <v>2.0408163265306125E-6</v>
      </c>
      <c r="AJ60" s="10">
        <v>4.7619047619047624E-4</v>
      </c>
      <c r="AK60" s="10">
        <v>2.0408163265306124E-3</v>
      </c>
      <c r="AL60" s="10">
        <v>0</v>
      </c>
      <c r="AM60" s="10">
        <v>6.8027210884353747E-8</v>
      </c>
      <c r="AN60" s="10">
        <v>0</v>
      </c>
      <c r="AO60" s="10">
        <v>0</v>
      </c>
      <c r="AP60" s="10">
        <v>5.4421768707482991E-2</v>
      </c>
      <c r="AQ60" s="10">
        <v>5.4421768707483002E-4</v>
      </c>
      <c r="AR60" s="10">
        <v>0</v>
      </c>
      <c r="AS60" s="10">
        <v>1.0204081632653061E-5</v>
      </c>
      <c r="AT60" s="10">
        <v>3.3129251700680266E-6</v>
      </c>
      <c r="AU60" s="10">
        <v>0</v>
      </c>
      <c r="AV60" s="10">
        <v>0</v>
      </c>
      <c r="AW60" s="10">
        <v>0</v>
      </c>
      <c r="AX60" s="10">
        <v>6.8027210884353747E-7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6.8027210884353748E-4</v>
      </c>
      <c r="BF60" s="10">
        <v>0</v>
      </c>
      <c r="BG60" s="9">
        <v>0</v>
      </c>
      <c r="BH60" s="9">
        <v>0</v>
      </c>
      <c r="BI60" s="9">
        <v>1.360544217687075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9.5238095238095237</v>
      </c>
      <c r="BP60" s="9">
        <v>2.0408163265306123</v>
      </c>
      <c r="BQ60" s="9">
        <v>0</v>
      </c>
      <c r="BR60" s="9">
        <v>83.673469387755105</v>
      </c>
      <c r="BS60" s="9">
        <v>17.161483877551021</v>
      </c>
      <c r="BT60" s="9">
        <v>1.3282707554897959</v>
      </c>
      <c r="BU60" s="9">
        <v>36.734693877551024</v>
      </c>
      <c r="BV60" s="9">
        <v>41.496598639455783</v>
      </c>
      <c r="BW60" s="9">
        <v>0</v>
      </c>
      <c r="BX60" s="9">
        <v>0</v>
      </c>
      <c r="BY60" s="9">
        <v>79.591836734693871</v>
      </c>
      <c r="BZ60" s="9">
        <v>15.918367346938776</v>
      </c>
      <c r="CA60" s="9">
        <v>0</v>
      </c>
      <c r="CB60" s="11">
        <v>4.7619047619047592</v>
      </c>
      <c r="CC60" s="12"/>
      <c r="CD60" s="12"/>
      <c r="CE60" s="12"/>
    </row>
    <row r="61" spans="1:83" x14ac:dyDescent="0.35">
      <c r="A61" s="8" t="s">
        <v>117</v>
      </c>
      <c r="B61" s="8" t="s">
        <v>177</v>
      </c>
      <c r="C61" s="8"/>
      <c r="D61" s="9">
        <v>90.4</v>
      </c>
      <c r="E61" s="9">
        <v>9.6</v>
      </c>
      <c r="F61" s="9">
        <v>92.708333333333329</v>
      </c>
      <c r="G61" s="9">
        <v>7.291666666666667</v>
      </c>
      <c r="H61" s="9">
        <v>15.847759511828567</v>
      </c>
      <c r="I61" s="9">
        <v>442.02247191011236</v>
      </c>
      <c r="J61" s="9">
        <v>41.947690594779971</v>
      </c>
      <c r="K61" s="9">
        <v>41.364077012127908</v>
      </c>
      <c r="L61" s="9">
        <v>0</v>
      </c>
      <c r="M61" s="9">
        <v>0.625</v>
      </c>
      <c r="N61" s="9">
        <v>0</v>
      </c>
      <c r="O61" s="9">
        <v>0</v>
      </c>
      <c r="P61" s="9">
        <v>6.131334925075266</v>
      </c>
      <c r="Q61" s="9">
        <v>2.46875</v>
      </c>
      <c r="R61" s="9">
        <v>3.166666666666667</v>
      </c>
      <c r="S61" s="9">
        <v>1.7708333333333333E-2</v>
      </c>
      <c r="T61" s="9">
        <v>41.150677247872252</v>
      </c>
      <c r="U61" s="9">
        <v>0.40625</v>
      </c>
      <c r="V61" s="9">
        <v>0.7027846488961087</v>
      </c>
      <c r="W61" s="10">
        <v>0</v>
      </c>
      <c r="X61" s="10">
        <v>0</v>
      </c>
      <c r="Y61" s="10">
        <v>0</v>
      </c>
      <c r="Z61" s="10">
        <v>9.3749999999999992E-7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1.7708333333333335E-6</v>
      </c>
      <c r="AH61" s="10">
        <v>0</v>
      </c>
      <c r="AI61" s="10">
        <v>1.2499999999999999E-5</v>
      </c>
      <c r="AJ61" s="10">
        <v>5.9374999999999999E-4</v>
      </c>
      <c r="AK61" s="10">
        <v>1.0416666666666668E-2</v>
      </c>
      <c r="AL61" s="10">
        <v>0</v>
      </c>
      <c r="AM61" s="10">
        <v>2.0833333333333333E-7</v>
      </c>
      <c r="AN61" s="10">
        <v>0</v>
      </c>
      <c r="AO61" s="10">
        <v>0</v>
      </c>
      <c r="AP61" s="10">
        <v>0.17708333333333334</v>
      </c>
      <c r="AQ61" s="10">
        <v>2.604166666666667E-3</v>
      </c>
      <c r="AR61" s="10">
        <v>2.0833333333333335E-4</v>
      </c>
      <c r="AS61" s="10">
        <v>1.4062500000000002E-4</v>
      </c>
      <c r="AT61" s="10">
        <v>1.2499999999999999E-5</v>
      </c>
      <c r="AU61" s="10">
        <v>0</v>
      </c>
      <c r="AV61" s="10">
        <v>0</v>
      </c>
      <c r="AW61" s="10">
        <v>0</v>
      </c>
      <c r="AX61" s="10">
        <v>3.1249999999999997E-6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4.0625000000000001E-3</v>
      </c>
      <c r="BF61" s="10">
        <v>0</v>
      </c>
      <c r="BG61" s="9">
        <v>0</v>
      </c>
      <c r="BH61" s="9">
        <v>0</v>
      </c>
      <c r="BI61" s="9">
        <v>5.5208333333333339</v>
      </c>
      <c r="BJ61" s="9">
        <v>32.291666666666671</v>
      </c>
      <c r="BK61" s="9">
        <v>15.104166666666666</v>
      </c>
      <c r="BL61" s="9">
        <v>0</v>
      </c>
      <c r="BM61" s="9">
        <v>0</v>
      </c>
      <c r="BN61" s="9">
        <v>0.83333333333333337</v>
      </c>
      <c r="BO61" s="9">
        <v>19.791666666666664</v>
      </c>
      <c r="BP61" s="9">
        <v>2.0833333333333335</v>
      </c>
      <c r="BQ61" s="9">
        <v>0</v>
      </c>
      <c r="BR61" s="9">
        <v>70.833333333333343</v>
      </c>
      <c r="BS61" s="9">
        <v>17.052290771742264</v>
      </c>
      <c r="BT61" s="9">
        <v>1.3167486406586433</v>
      </c>
      <c r="BU61" s="9">
        <v>7.1874999999999991</v>
      </c>
      <c r="BV61" s="9">
        <v>4.791666666666667</v>
      </c>
      <c r="BW61" s="9">
        <v>0</v>
      </c>
      <c r="BX61" s="9">
        <v>0</v>
      </c>
      <c r="BY61" s="9">
        <v>17.5</v>
      </c>
      <c r="BZ61" s="9">
        <v>13.4375</v>
      </c>
      <c r="CA61" s="9">
        <v>0</v>
      </c>
      <c r="CB61" s="11">
        <v>5.1041666666666572</v>
      </c>
      <c r="CC61" s="12"/>
      <c r="CD61" s="12"/>
      <c r="CE61" s="12"/>
    </row>
    <row r="62" spans="1:83" x14ac:dyDescent="0.35">
      <c r="A62" s="8" t="s">
        <v>117</v>
      </c>
      <c r="B62" s="8" t="s">
        <v>178</v>
      </c>
      <c r="C62" s="8"/>
      <c r="D62" s="9">
        <v>92.6</v>
      </c>
      <c r="E62" s="9">
        <v>7.4</v>
      </c>
      <c r="F62" s="9">
        <v>86.486486486486484</v>
      </c>
      <c r="G62" s="9">
        <v>13.513513513513512</v>
      </c>
      <c r="H62" s="9">
        <v>14.41799015328958</v>
      </c>
      <c r="I62" s="9">
        <v>451.4375</v>
      </c>
      <c r="J62" s="9">
        <v>37.813149959136865</v>
      </c>
      <c r="K62" s="9">
        <v>37.813149959136865</v>
      </c>
      <c r="L62" s="9">
        <v>0</v>
      </c>
      <c r="M62" s="9">
        <v>0.40675675675675677</v>
      </c>
      <c r="N62" s="9">
        <v>0</v>
      </c>
      <c r="O62" s="9">
        <v>0</v>
      </c>
      <c r="P62" s="9">
        <v>5.9159456878109289</v>
      </c>
      <c r="Q62" s="9">
        <v>5.3378378378378377</v>
      </c>
      <c r="R62" s="9">
        <v>2.9324324324324325</v>
      </c>
      <c r="S62" s="9">
        <v>0.3648648648648648</v>
      </c>
      <c r="T62" s="9">
        <v>39.432156500865673</v>
      </c>
      <c r="U62" s="9">
        <v>0.5243243243243243</v>
      </c>
      <c r="V62" s="9">
        <v>0.67179414517522762</v>
      </c>
      <c r="W62" s="10">
        <v>0</v>
      </c>
      <c r="X62" s="10">
        <v>0</v>
      </c>
      <c r="Y62" s="10">
        <v>0</v>
      </c>
      <c r="Z62" s="10">
        <v>2.2972972972972969E-5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1.4864864864864863E-5</v>
      </c>
      <c r="AH62" s="10">
        <v>0</v>
      </c>
      <c r="AI62" s="10">
        <v>1.3513513513513512E-5</v>
      </c>
      <c r="AJ62" s="10">
        <v>0</v>
      </c>
      <c r="AK62" s="10">
        <v>4.2972972972972982E-3</v>
      </c>
      <c r="AL62" s="10">
        <v>0</v>
      </c>
      <c r="AM62" s="10">
        <v>6.7567567567567558E-6</v>
      </c>
      <c r="AN62" s="10">
        <v>0</v>
      </c>
      <c r="AO62" s="10">
        <v>0</v>
      </c>
      <c r="AP62" s="10">
        <v>0.15135135135135133</v>
      </c>
      <c r="AQ62" s="10">
        <v>0</v>
      </c>
      <c r="AR62" s="10">
        <v>0</v>
      </c>
      <c r="AS62" s="10">
        <v>4.5945945945945942E-4</v>
      </c>
      <c r="AT62" s="10">
        <v>2.7027027027027023E-5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3.0135135135135132E-3</v>
      </c>
      <c r="BF62" s="10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18.918918918918916</v>
      </c>
      <c r="BP62" s="9">
        <v>2.7027027027027026</v>
      </c>
      <c r="BQ62" s="9">
        <v>0</v>
      </c>
      <c r="BR62" s="9">
        <v>66.21621621621621</v>
      </c>
      <c r="BS62" s="9">
        <v>16.242736216216215</v>
      </c>
      <c r="BT62" s="9">
        <v>1.2374066117837836</v>
      </c>
      <c r="BU62" s="9">
        <v>13.918918918918918</v>
      </c>
      <c r="BV62" s="9">
        <v>14.864864864864865</v>
      </c>
      <c r="BW62" s="9">
        <v>0</v>
      </c>
      <c r="BX62" s="9">
        <v>0</v>
      </c>
      <c r="BY62" s="9">
        <v>28.783783783783779</v>
      </c>
      <c r="BZ62" s="9">
        <v>12.837837837837839</v>
      </c>
      <c r="CA62" s="9">
        <v>0</v>
      </c>
      <c r="CB62" s="11">
        <v>36.081081081081088</v>
      </c>
      <c r="CC62" s="12"/>
      <c r="CD62" s="12"/>
      <c r="CE62" s="12"/>
    </row>
    <row r="63" spans="1:83" x14ac:dyDescent="0.35">
      <c r="A63" s="8" t="s">
        <v>117</v>
      </c>
      <c r="B63" s="8" t="s">
        <v>179</v>
      </c>
      <c r="C63" s="8"/>
      <c r="D63" s="9">
        <v>92</v>
      </c>
      <c r="E63" s="9">
        <v>8</v>
      </c>
      <c r="F63" s="9">
        <v>92.5</v>
      </c>
      <c r="G63" s="9">
        <v>7.5</v>
      </c>
      <c r="H63" s="9">
        <v>14.735644496129909</v>
      </c>
      <c r="I63" s="9">
        <v>429.66216216216213</v>
      </c>
      <c r="J63" s="9">
        <v>39.815176276260061</v>
      </c>
      <c r="K63" s="9">
        <v>39.815176276260061</v>
      </c>
      <c r="L63" s="9">
        <v>0</v>
      </c>
      <c r="M63" s="9">
        <v>0.625</v>
      </c>
      <c r="N63" s="9">
        <v>0</v>
      </c>
      <c r="O63" s="9">
        <v>0</v>
      </c>
      <c r="P63" s="9">
        <v>6.0727647896202566</v>
      </c>
      <c r="Q63" s="9">
        <v>3.5375000000000005</v>
      </c>
      <c r="R63" s="9">
        <v>1.2</v>
      </c>
      <c r="S63" s="9">
        <v>0.21250000000000002</v>
      </c>
      <c r="T63" s="9">
        <v>45.293841035574317</v>
      </c>
      <c r="U63" s="9">
        <v>0.625</v>
      </c>
      <c r="V63" s="9">
        <v>0.26631839326589385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6.2499999999999995E-6</v>
      </c>
      <c r="AJ63" s="10">
        <v>5.0000000000000001E-4</v>
      </c>
      <c r="AK63" s="10">
        <v>6.2500000000000003E-3</v>
      </c>
      <c r="AL63" s="10">
        <v>0</v>
      </c>
      <c r="AM63" s="10">
        <v>0</v>
      </c>
      <c r="AN63" s="10">
        <v>0</v>
      </c>
      <c r="AO63" s="10">
        <v>0</v>
      </c>
      <c r="AP63" s="10">
        <v>0.1</v>
      </c>
      <c r="AQ63" s="10">
        <v>8.5000000000000017E-4</v>
      </c>
      <c r="AR63" s="10">
        <v>1.25E-4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2.875E-3</v>
      </c>
      <c r="BF63" s="10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7.5</v>
      </c>
      <c r="BP63" s="9">
        <v>1.25</v>
      </c>
      <c r="BQ63" s="9">
        <v>0</v>
      </c>
      <c r="BR63" s="9">
        <v>83.75</v>
      </c>
      <c r="BS63" s="9">
        <v>16.311877750000001</v>
      </c>
      <c r="BT63" s="9">
        <v>1.2442447094750002</v>
      </c>
      <c r="BU63" s="9">
        <v>0</v>
      </c>
      <c r="BV63" s="9">
        <v>0</v>
      </c>
      <c r="BW63" s="9">
        <v>0</v>
      </c>
      <c r="BX63" s="9">
        <v>0</v>
      </c>
      <c r="BY63" s="9">
        <v>47.5</v>
      </c>
      <c r="BZ63" s="9">
        <v>13.75</v>
      </c>
      <c r="CA63" s="9">
        <v>0</v>
      </c>
      <c r="CB63" s="11">
        <v>83.75</v>
      </c>
      <c r="CC63" s="12"/>
      <c r="CD63" s="12"/>
      <c r="CE63" s="12"/>
    </row>
    <row r="64" spans="1:83" x14ac:dyDescent="0.35">
      <c r="A64" s="8" t="s">
        <v>117</v>
      </c>
      <c r="B64" s="8" t="s">
        <v>180</v>
      </c>
      <c r="C64" s="8"/>
      <c r="D64" s="9">
        <v>84</v>
      </c>
      <c r="E64" s="9">
        <v>16</v>
      </c>
      <c r="F64" s="9">
        <v>92.698081904222008</v>
      </c>
      <c r="G64" s="9">
        <v>7.3019180957779959</v>
      </c>
      <c r="H64" s="9">
        <v>16.100836974359321</v>
      </c>
      <c r="I64" s="9">
        <v>459.4233531511714</v>
      </c>
      <c r="J64" s="9">
        <v>41.807832745842305</v>
      </c>
      <c r="K64" s="9">
        <v>41.689632526571003</v>
      </c>
      <c r="L64" s="9">
        <v>0</v>
      </c>
      <c r="M64" s="9">
        <v>4.7468354430379743E-2</v>
      </c>
      <c r="N64" s="9">
        <v>0</v>
      </c>
      <c r="O64" s="9">
        <v>0</v>
      </c>
      <c r="P64" s="9">
        <v>6.3419012220152693</v>
      </c>
      <c r="Q64" s="9">
        <v>1.0189873417721518</v>
      </c>
      <c r="R64" s="9">
        <v>4.5802075322093652</v>
      </c>
      <c r="S64" s="9">
        <v>1.687763713080169E-2</v>
      </c>
      <c r="T64" s="9">
        <v>39.53082689844986</v>
      </c>
      <c r="U64" s="9">
        <v>0.17658227848101268</v>
      </c>
      <c r="V64" s="9">
        <v>1.0136853265835357</v>
      </c>
      <c r="W64" s="10">
        <v>0</v>
      </c>
      <c r="X64" s="10">
        <v>0</v>
      </c>
      <c r="Y64" s="10">
        <v>0</v>
      </c>
      <c r="Z64" s="10">
        <v>2.1097046413502107E-8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2.2995780590717298E-6</v>
      </c>
      <c r="AH64" s="10">
        <v>0</v>
      </c>
      <c r="AI64" s="10">
        <v>8.4388185654008432E-7</v>
      </c>
      <c r="AJ64" s="10">
        <v>1.1181434599156119E-4</v>
      </c>
      <c r="AK64" s="10">
        <v>1.8987341772151898E-3</v>
      </c>
      <c r="AL64" s="10">
        <v>0</v>
      </c>
      <c r="AM64" s="10">
        <v>1.0548523206751054E-7</v>
      </c>
      <c r="AN64" s="10">
        <v>0</v>
      </c>
      <c r="AO64" s="10">
        <v>0</v>
      </c>
      <c r="AP64" s="10">
        <v>5.0632911392405063E-2</v>
      </c>
      <c r="AQ64" s="10">
        <v>5.6962025316455698E-4</v>
      </c>
      <c r="AR64" s="10">
        <v>1.4767932489451475E-5</v>
      </c>
      <c r="AS64" s="10">
        <v>1.1814345991561179E-5</v>
      </c>
      <c r="AT64" s="10">
        <v>2.1940928270042189E-6</v>
      </c>
      <c r="AU64" s="10">
        <v>0</v>
      </c>
      <c r="AV64" s="10">
        <v>0</v>
      </c>
      <c r="AW64" s="10">
        <v>0</v>
      </c>
      <c r="AX64" s="10">
        <v>2.320675105485232E-6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9.0717299578059061E-4</v>
      </c>
      <c r="BF64" s="10">
        <v>0</v>
      </c>
      <c r="BG64" s="9">
        <v>0</v>
      </c>
      <c r="BH64" s="9">
        <v>0</v>
      </c>
      <c r="BI64" s="9">
        <v>3.1434599156118139</v>
      </c>
      <c r="BJ64" s="9">
        <v>1.0337552742616032</v>
      </c>
      <c r="BK64" s="9">
        <v>2.7004219409282704</v>
      </c>
      <c r="BL64" s="9">
        <v>0</v>
      </c>
      <c r="BM64" s="9">
        <v>0</v>
      </c>
      <c r="BN64" s="9">
        <v>0.1687763713080169</v>
      </c>
      <c r="BO64" s="9">
        <v>28.547183152257901</v>
      </c>
      <c r="BP64" s="9">
        <v>3.1303702332970906</v>
      </c>
      <c r="BQ64" s="9">
        <v>0</v>
      </c>
      <c r="BR64" s="9">
        <v>60.809558054531998</v>
      </c>
      <c r="BS64" s="9">
        <v>17.962429150484141</v>
      </c>
      <c r="BT64" s="9">
        <v>1.4073378294807715</v>
      </c>
      <c r="BU64" s="9">
        <v>0.84388185654008441</v>
      </c>
      <c r="BV64" s="9">
        <v>0.48523206751054854</v>
      </c>
      <c r="BW64" s="9">
        <v>0</v>
      </c>
      <c r="BX64" s="9">
        <v>0</v>
      </c>
      <c r="BY64" s="9">
        <v>4.4725738396624468</v>
      </c>
      <c r="BZ64" s="9">
        <v>14.078892036678852</v>
      </c>
      <c r="CA64" s="9">
        <v>0</v>
      </c>
      <c r="CB64" s="11">
        <v>52.645001092506675</v>
      </c>
      <c r="CC64" s="12"/>
      <c r="CD64" s="12"/>
      <c r="CE64" s="12"/>
    </row>
    <row r="65" spans="1:83" x14ac:dyDescent="0.35">
      <c r="A65" s="8" t="s">
        <v>117</v>
      </c>
      <c r="B65" s="8" t="s">
        <v>181</v>
      </c>
      <c r="C65" s="8"/>
      <c r="D65" s="9">
        <v>79.599999999999994</v>
      </c>
      <c r="E65" s="9">
        <v>20.399999999999999</v>
      </c>
      <c r="F65" s="9">
        <v>96.078431372549019</v>
      </c>
      <c r="G65" s="9">
        <v>3.9215686274509811</v>
      </c>
      <c r="H65" s="9">
        <v>16.790002275892693</v>
      </c>
      <c r="I65" s="9">
        <v>460.77551020408163</v>
      </c>
      <c r="J65" s="9">
        <v>43.652621395554689</v>
      </c>
      <c r="K65" s="9">
        <v>43.652621395554689</v>
      </c>
      <c r="L65" s="9">
        <v>0</v>
      </c>
      <c r="M65" s="9">
        <v>0.14705882352941177</v>
      </c>
      <c r="N65" s="9">
        <v>0</v>
      </c>
      <c r="O65" s="9">
        <v>0</v>
      </c>
      <c r="P65" s="9">
        <v>6.5391137788957003</v>
      </c>
      <c r="Q65" s="9">
        <v>1.4705882352941175</v>
      </c>
      <c r="R65" s="9">
        <v>4.6617647058823524</v>
      </c>
      <c r="S65" s="9">
        <v>9.8039215686274526E-3</v>
      </c>
      <c r="T65" s="9">
        <v>40.803372275603408</v>
      </c>
      <c r="U65" s="9">
        <v>0.63725490196078438</v>
      </c>
      <c r="V65" s="9">
        <v>1.0269794250122706</v>
      </c>
      <c r="W65" s="10">
        <v>0</v>
      </c>
      <c r="X65" s="10">
        <v>0</v>
      </c>
      <c r="Y65" s="10">
        <v>0</v>
      </c>
      <c r="Z65" s="10">
        <v>4.9019607843137254E-7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1.0735294117647058E-6</v>
      </c>
      <c r="AH65" s="10">
        <v>0</v>
      </c>
      <c r="AI65" s="10">
        <v>6.8627450980392162E-6</v>
      </c>
      <c r="AJ65" s="10">
        <v>5.3921568627450988E-4</v>
      </c>
      <c r="AK65" s="10">
        <v>8.8235294117647075E-3</v>
      </c>
      <c r="AL65" s="10">
        <v>0</v>
      </c>
      <c r="AM65" s="10">
        <v>9.8039215686274508E-7</v>
      </c>
      <c r="AN65" s="10">
        <v>0</v>
      </c>
      <c r="AO65" s="10">
        <v>0</v>
      </c>
      <c r="AP65" s="10">
        <v>0.13725490196078433</v>
      </c>
      <c r="AQ65" s="10">
        <v>1.8627450980392159E-3</v>
      </c>
      <c r="AR65" s="10">
        <v>9.8039215686274506E-5</v>
      </c>
      <c r="AS65" s="10">
        <v>1.2549019607843137E-4</v>
      </c>
      <c r="AT65" s="10">
        <v>1.647058823529412E-6</v>
      </c>
      <c r="AU65" s="10">
        <v>0</v>
      </c>
      <c r="AV65" s="10">
        <v>0</v>
      </c>
      <c r="AW65" s="10">
        <v>0</v>
      </c>
      <c r="AX65" s="10">
        <v>5.0000000000000004E-6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3.6764705882352945E-3</v>
      </c>
      <c r="BF65" s="10">
        <v>0</v>
      </c>
      <c r="BG65" s="9">
        <v>0</v>
      </c>
      <c r="BH65" s="9">
        <v>0</v>
      </c>
      <c r="BI65" s="9">
        <v>21.372549019607845</v>
      </c>
      <c r="BJ65" s="9">
        <v>8.8235294117647065</v>
      </c>
      <c r="BK65" s="9">
        <v>9.6568627450980404</v>
      </c>
      <c r="BL65" s="9">
        <v>0</v>
      </c>
      <c r="BM65" s="9">
        <v>0</v>
      </c>
      <c r="BN65" s="9">
        <v>0</v>
      </c>
      <c r="BO65" s="9">
        <v>28.921568627450984</v>
      </c>
      <c r="BP65" s="9">
        <v>3.4313725490196081</v>
      </c>
      <c r="BQ65" s="9">
        <v>0</v>
      </c>
      <c r="BR65" s="9">
        <v>63.235294117647065</v>
      </c>
      <c r="BS65" s="9">
        <v>18.665086421568631</v>
      </c>
      <c r="BT65" s="9">
        <v>1.4769770470931376</v>
      </c>
      <c r="BU65" s="9">
        <v>0.78431372549019607</v>
      </c>
      <c r="BV65" s="9">
        <v>0.88235294117647056</v>
      </c>
      <c r="BW65" s="9">
        <v>0</v>
      </c>
      <c r="BX65" s="9">
        <v>0</v>
      </c>
      <c r="BY65" s="9">
        <v>23.03921568627451</v>
      </c>
      <c r="BZ65" s="9">
        <v>14.411764705882353</v>
      </c>
      <c r="CA65" s="9">
        <v>0</v>
      </c>
      <c r="CB65" s="11">
        <v>22.205882352941174</v>
      </c>
      <c r="CC65" s="12"/>
      <c r="CD65" s="12"/>
      <c r="CE65" s="12"/>
    </row>
    <row r="66" spans="1:83" x14ac:dyDescent="0.35">
      <c r="A66" s="8" t="s">
        <v>117</v>
      </c>
      <c r="B66" s="8" t="s">
        <v>182</v>
      </c>
      <c r="C66" s="8"/>
      <c r="D66" s="9">
        <v>66.336842105263145</v>
      </c>
      <c r="E66" s="9">
        <v>33.663157894736841</v>
      </c>
      <c r="F66" s="9">
        <v>95.125745610170227</v>
      </c>
      <c r="G66" s="9">
        <v>4.8742543898297415</v>
      </c>
      <c r="H66" s="9">
        <v>23.607503025261042</v>
      </c>
      <c r="I66" s="9">
        <v>649.09785346584226</v>
      </c>
      <c r="J66" s="9">
        <v>53.934080073271893</v>
      </c>
      <c r="K66" s="9">
        <v>53.934080073271893</v>
      </c>
      <c r="L66" s="9">
        <v>0</v>
      </c>
      <c r="M66" s="9">
        <v>4.7874741222504243E-2</v>
      </c>
      <c r="N66" s="9">
        <v>0.67398007124361681</v>
      </c>
      <c r="O66" s="9">
        <v>0</v>
      </c>
      <c r="P66" s="9">
        <v>7.9685559739159304</v>
      </c>
      <c r="Q66" s="9">
        <v>0.71952263505951763</v>
      </c>
      <c r="R66" s="9">
        <v>9.8457958171108686</v>
      </c>
      <c r="S66" s="9">
        <v>0.84756323398500055</v>
      </c>
      <c r="T66" s="9">
        <v>22.517032503787657</v>
      </c>
      <c r="U66" s="9">
        <v>0.58218677640144212</v>
      </c>
      <c r="V66" s="9">
        <v>2.1629392558937841</v>
      </c>
      <c r="W66" s="10">
        <v>0</v>
      </c>
      <c r="X66" s="10">
        <v>0</v>
      </c>
      <c r="Y66" s="10">
        <v>0</v>
      </c>
      <c r="Z66" s="10">
        <v>2.1954443404046129E-6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5.8907240261042036E-6</v>
      </c>
      <c r="AH66" s="10">
        <v>0</v>
      </c>
      <c r="AI66" s="10">
        <v>4.6984856909096206E-6</v>
      </c>
      <c r="AJ66" s="10">
        <v>2.9459888325196536E-4</v>
      </c>
      <c r="AK66" s="10">
        <v>5.6014199220872137E-3</v>
      </c>
      <c r="AL66" s="10">
        <v>0</v>
      </c>
      <c r="AM66" s="10">
        <v>1.3076388171526118E-7</v>
      </c>
      <c r="AN66" s="10">
        <v>0</v>
      </c>
      <c r="AO66" s="10">
        <v>0</v>
      </c>
      <c r="AP66" s="10">
        <v>6.3999436360537149E-2</v>
      </c>
      <c r="AQ66" s="10">
        <v>1.1439971377436324E-4</v>
      </c>
      <c r="AR66" s="10">
        <v>1.8845615510545162E-6</v>
      </c>
      <c r="AS66" s="10">
        <v>3.6977286942701792E-6</v>
      </c>
      <c r="AT66" s="10">
        <v>1.4446409496986354E-6</v>
      </c>
      <c r="AU66" s="10">
        <v>0</v>
      </c>
      <c r="AV66" s="10">
        <v>0</v>
      </c>
      <c r="AW66" s="10">
        <v>0</v>
      </c>
      <c r="AX66" s="10">
        <v>2.3186321306675769E-5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5.6826470692919765E-3</v>
      </c>
      <c r="BF66" s="10">
        <v>0</v>
      </c>
      <c r="BG66" s="9">
        <v>0</v>
      </c>
      <c r="BH66" s="9">
        <v>0</v>
      </c>
      <c r="BI66" s="9">
        <v>0</v>
      </c>
      <c r="BJ66" s="9">
        <v>0.3522062732589048</v>
      </c>
      <c r="BK66" s="9">
        <v>0</v>
      </c>
      <c r="BL66" s="9">
        <v>0</v>
      </c>
      <c r="BM66" s="9">
        <v>0</v>
      </c>
      <c r="BN66" s="9">
        <v>0</v>
      </c>
      <c r="BO66" s="9">
        <v>60.912219468849067</v>
      </c>
      <c r="BP66" s="9">
        <v>28.986720638578774</v>
      </c>
      <c r="BQ66" s="9">
        <v>0</v>
      </c>
      <c r="BR66" s="9">
        <v>4.6907106483176877</v>
      </c>
      <c r="BS66" s="9">
        <v>24.689611673474797</v>
      </c>
      <c r="BT66" s="9">
        <v>2.0728025945066579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21.965470497358194</v>
      </c>
      <c r="CA66" s="9">
        <v>0</v>
      </c>
      <c r="CB66" s="11">
        <v>4.8745992294834961</v>
      </c>
      <c r="CC66" s="12"/>
      <c r="CD66" s="12"/>
      <c r="CE66" s="12"/>
    </row>
    <row r="67" spans="1:83" x14ac:dyDescent="0.35">
      <c r="A67" s="8" t="s">
        <v>117</v>
      </c>
      <c r="B67" s="8" t="s">
        <v>183</v>
      </c>
      <c r="C67" s="8"/>
      <c r="D67" s="9">
        <v>72.7</v>
      </c>
      <c r="E67" s="9">
        <v>27.3</v>
      </c>
      <c r="F67" s="9">
        <v>94.325311353606281</v>
      </c>
      <c r="G67" s="9">
        <v>5.6746886463937161</v>
      </c>
      <c r="H67" s="9">
        <v>21.226610993076797</v>
      </c>
      <c r="I67" s="9">
        <v>582.00312985190806</v>
      </c>
      <c r="J67" s="9">
        <v>49.688149559376278</v>
      </c>
      <c r="K67" s="9">
        <v>49.688149559376278</v>
      </c>
      <c r="L67" s="9">
        <v>0</v>
      </c>
      <c r="M67" s="9">
        <v>3.3430026621270863E-2</v>
      </c>
      <c r="N67" s="9">
        <v>1.0071428571428571</v>
      </c>
      <c r="O67" s="9">
        <v>0</v>
      </c>
      <c r="P67" s="9">
        <v>7.4556801990660846</v>
      </c>
      <c r="Q67" s="9">
        <v>1.1493095869823979</v>
      </c>
      <c r="R67" s="9">
        <v>12.642530461516637</v>
      </c>
      <c r="S67" s="9">
        <v>0.94498499367162947</v>
      </c>
      <c r="T67" s="9">
        <v>23.635749916221659</v>
      </c>
      <c r="U67" s="9">
        <v>0.71220537612242685</v>
      </c>
      <c r="V67" s="9">
        <v>2.7366321609861304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1.4226963512677798E-5</v>
      </c>
      <c r="AJ67" s="10">
        <v>2.5301057536080584E-4</v>
      </c>
      <c r="AK67" s="10">
        <v>2.5551715309779827E-3</v>
      </c>
      <c r="AL67" s="10">
        <v>0</v>
      </c>
      <c r="AM67" s="10">
        <v>8.163265306122448E-8</v>
      </c>
      <c r="AN67" s="10">
        <v>0</v>
      </c>
      <c r="AO67" s="10">
        <v>0</v>
      </c>
      <c r="AP67" s="10">
        <v>8.6213556455491946E-2</v>
      </c>
      <c r="AQ67" s="10">
        <v>3.323559270563879E-5</v>
      </c>
      <c r="AR67" s="10">
        <v>0</v>
      </c>
      <c r="AS67" s="10">
        <v>4.1236858379715512E-6</v>
      </c>
      <c r="AT67" s="10">
        <v>1.6326530612244896E-7</v>
      </c>
      <c r="AU67" s="10">
        <v>0</v>
      </c>
      <c r="AV67" s="10">
        <v>0</v>
      </c>
      <c r="AW67" s="10">
        <v>0</v>
      </c>
      <c r="AX67" s="10">
        <v>3.1906307977736557E-5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6.2133867753683429E-3</v>
      </c>
      <c r="BF67" s="10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77.068432847234689</v>
      </c>
      <c r="BP67" s="9">
        <v>16.0342773798995</v>
      </c>
      <c r="BQ67" s="9">
        <v>0</v>
      </c>
      <c r="BR67" s="9">
        <v>1.2142857142857142</v>
      </c>
      <c r="BS67" s="9">
        <v>23.502480568559413</v>
      </c>
      <c r="BT67" s="9">
        <v>1.9553953282305261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19.242430559711668</v>
      </c>
      <c r="CA67" s="9">
        <v>0</v>
      </c>
      <c r="CB67" s="11">
        <v>1.2226011264720937</v>
      </c>
      <c r="CC67" s="12"/>
      <c r="CD67" s="12"/>
      <c r="CE67" s="12"/>
    </row>
    <row r="68" spans="1:83" x14ac:dyDescent="0.35">
      <c r="A68" s="8" t="s">
        <v>117</v>
      </c>
      <c r="B68" s="8" t="s">
        <v>184</v>
      </c>
      <c r="C68" s="8"/>
      <c r="D68" s="9">
        <v>67.275000000000006</v>
      </c>
      <c r="E68" s="9">
        <v>32.725000000000001</v>
      </c>
      <c r="F68" s="9">
        <v>96.158093584643041</v>
      </c>
      <c r="G68" s="9">
        <v>3.8419064153569518</v>
      </c>
      <c r="H68" s="9">
        <v>24.437531744303982</v>
      </c>
      <c r="I68" s="9">
        <v>664.05601500650664</v>
      </c>
      <c r="J68" s="9">
        <v>55.48509810194836</v>
      </c>
      <c r="K68" s="9">
        <v>55.48509810194836</v>
      </c>
      <c r="L68" s="9">
        <v>0</v>
      </c>
      <c r="M68" s="9">
        <v>2.8587762080994977E-2</v>
      </c>
      <c r="N68" s="9">
        <v>0</v>
      </c>
      <c r="O68" s="9">
        <v>0</v>
      </c>
      <c r="P68" s="9">
        <v>8.1739785800317506</v>
      </c>
      <c r="Q68" s="9">
        <v>0.91033766129324734</v>
      </c>
      <c r="R68" s="9">
        <v>9.5250649624995987</v>
      </c>
      <c r="S68" s="9">
        <v>0.24907105286534179</v>
      </c>
      <c r="T68" s="9">
        <v>22.125104205263529</v>
      </c>
      <c r="U68" s="9">
        <v>0.68565319553664028</v>
      </c>
      <c r="V68" s="9">
        <v>2.0958323843885869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1.2145390070921984E-5</v>
      </c>
      <c r="AH68" s="10">
        <v>0</v>
      </c>
      <c r="AI68" s="10">
        <v>7.4911347517730498E-7</v>
      </c>
      <c r="AJ68" s="10">
        <v>5.4852368945704968E-3</v>
      </c>
      <c r="AK68" s="10">
        <v>3.3266569531982169E-2</v>
      </c>
      <c r="AL68" s="10">
        <v>0</v>
      </c>
      <c r="AM68" s="10">
        <v>1.7730496453900707E-7</v>
      </c>
      <c r="AN68" s="10">
        <v>0</v>
      </c>
      <c r="AO68" s="10">
        <v>0</v>
      </c>
      <c r="AP68" s="10">
        <v>7.1402474516599881E-2</v>
      </c>
      <c r="AQ68" s="10">
        <v>2.5510560243215163E-4</v>
      </c>
      <c r="AR68" s="10">
        <v>0</v>
      </c>
      <c r="AS68" s="10">
        <v>1.2411347517730497E-6</v>
      </c>
      <c r="AT68" s="10">
        <v>7.2517730496453897E-7</v>
      </c>
      <c r="AU68" s="10">
        <v>0</v>
      </c>
      <c r="AV68" s="10">
        <v>0</v>
      </c>
      <c r="AW68" s="10">
        <v>0</v>
      </c>
      <c r="AX68" s="10">
        <v>1.4448032680985622E-4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5.405138950430299E-3</v>
      </c>
      <c r="BF68" s="10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59.02237051731052</v>
      </c>
      <c r="BP68" s="9">
        <v>32.322096301050237</v>
      </c>
      <c r="BQ68" s="9">
        <v>0</v>
      </c>
      <c r="BR68" s="9">
        <v>4.820394131341021</v>
      </c>
      <c r="BS68" s="9">
        <v>25.284727669359292</v>
      </c>
      <c r="BT68" s="9">
        <v>2.1316595664996338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22.837701540015757</v>
      </c>
      <c r="CA68" s="9">
        <v>0</v>
      </c>
      <c r="CB68" s="11">
        <v>4.8136267662822831</v>
      </c>
      <c r="CC68" s="12"/>
      <c r="CD68" s="12"/>
      <c r="CE68" s="12"/>
    </row>
    <row r="69" spans="1:83" x14ac:dyDescent="0.35">
      <c r="A69" s="8" t="s">
        <v>117</v>
      </c>
      <c r="B69" s="8" t="s">
        <v>185</v>
      </c>
      <c r="C69" s="8"/>
      <c r="D69" s="9">
        <v>74.599999999999994</v>
      </c>
      <c r="E69" s="9">
        <v>25.4</v>
      </c>
      <c r="F69" s="9">
        <v>96.062992125984252</v>
      </c>
      <c r="G69" s="9">
        <v>3.9370078740157481</v>
      </c>
      <c r="H69" s="9">
        <v>21.562143647643992</v>
      </c>
      <c r="I69" s="9">
        <v>580.91803278688531</v>
      </c>
      <c r="J69" s="9">
        <v>50.486569379527729</v>
      </c>
      <c r="K69" s="9">
        <v>50.486569379527729</v>
      </c>
      <c r="L69" s="9">
        <v>0</v>
      </c>
      <c r="M69" s="9">
        <v>5.1181102362204731E-2</v>
      </c>
      <c r="N69" s="9">
        <v>0</v>
      </c>
      <c r="O69" s="9">
        <v>0</v>
      </c>
      <c r="P69" s="9">
        <v>7.5815032511106981</v>
      </c>
      <c r="Q69" s="9">
        <v>1.5078740157480315</v>
      </c>
      <c r="R69" s="9">
        <v>13.984251968503939</v>
      </c>
      <c r="S69" s="9">
        <v>0.2283464566929134</v>
      </c>
      <c r="T69" s="9">
        <v>23.878570345568598</v>
      </c>
      <c r="U69" s="9">
        <v>0.82677165354330706</v>
      </c>
      <c r="V69" s="9">
        <v>2.8519135026898867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7.8740157480314964E-6</v>
      </c>
      <c r="AJ69" s="10">
        <v>5.905511811023622E-4</v>
      </c>
      <c r="AK69" s="10">
        <v>3.1496062992125984E-3</v>
      </c>
      <c r="AL69" s="10">
        <v>0</v>
      </c>
      <c r="AM69" s="10">
        <v>0</v>
      </c>
      <c r="AN69" s="10">
        <v>0</v>
      </c>
      <c r="AO69" s="10">
        <v>0</v>
      </c>
      <c r="AP69" s="10">
        <v>0.11023622047244094</v>
      </c>
      <c r="AQ69" s="10">
        <v>1.4960629921259845E-4</v>
      </c>
      <c r="AR69" s="10">
        <v>3.9370078740157478E-5</v>
      </c>
      <c r="AS69" s="10">
        <v>1.9685039370078741E-6</v>
      </c>
      <c r="AT69" s="10">
        <v>0</v>
      </c>
      <c r="AU69" s="10">
        <v>0</v>
      </c>
      <c r="AV69" s="10">
        <v>0</v>
      </c>
      <c r="AW69" s="10">
        <v>0</v>
      </c>
      <c r="AX69" s="10">
        <v>3.9370078740157478E-5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6.6929133858267716E-3</v>
      </c>
      <c r="BF69" s="10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80.314960629921259</v>
      </c>
      <c r="BP69" s="9">
        <v>15.748031496062993</v>
      </c>
      <c r="BQ69" s="9">
        <v>0</v>
      </c>
      <c r="BR69" s="9">
        <v>0</v>
      </c>
      <c r="BS69" s="9">
        <v>23.966336456692915</v>
      </c>
      <c r="BT69" s="9">
        <v>2.0012706755669294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19.488188976377955</v>
      </c>
      <c r="CA69" s="9">
        <v>0</v>
      </c>
      <c r="CB69" s="11">
        <v>0</v>
      </c>
      <c r="CC69" s="12"/>
      <c r="CD69" s="12"/>
      <c r="CE69" s="12"/>
    </row>
    <row r="70" spans="1:83" x14ac:dyDescent="0.35">
      <c r="A70" s="8" t="s">
        <v>117</v>
      </c>
      <c r="B70" s="8" t="s">
        <v>186</v>
      </c>
      <c r="C70" s="8"/>
      <c r="D70" s="9">
        <v>70.227960526315783</v>
      </c>
      <c r="E70" s="9">
        <v>29.77203947368421</v>
      </c>
      <c r="F70" s="9">
        <v>95.41803566860095</v>
      </c>
      <c r="G70" s="9">
        <v>4.581964331399039</v>
      </c>
      <c r="H70" s="9">
        <v>22.708447352571451</v>
      </c>
      <c r="I70" s="9">
        <v>619.01875777778559</v>
      </c>
      <c r="J70" s="9">
        <v>52.398474278531069</v>
      </c>
      <c r="K70" s="9">
        <v>52.398474278531069</v>
      </c>
      <c r="L70" s="9">
        <v>0</v>
      </c>
      <c r="M70" s="9">
        <v>4.02684080717437E-2</v>
      </c>
      <c r="N70" s="9">
        <v>0.42028073209661848</v>
      </c>
      <c r="O70" s="9">
        <v>0</v>
      </c>
      <c r="P70" s="9">
        <v>7.7949295010311159</v>
      </c>
      <c r="Q70" s="9">
        <v>1.0717609747707986</v>
      </c>
      <c r="R70" s="9">
        <v>11.499410802407761</v>
      </c>
      <c r="S70" s="9">
        <v>0.56749143430372129</v>
      </c>
      <c r="T70" s="9">
        <v>23.039114242710362</v>
      </c>
      <c r="U70" s="9">
        <v>0.70170425040095408</v>
      </c>
      <c r="V70" s="9">
        <v>2.4618293259895969</v>
      </c>
      <c r="W70" s="10">
        <v>0</v>
      </c>
      <c r="X70" s="10">
        <v>0</v>
      </c>
      <c r="Y70" s="10">
        <v>0</v>
      </c>
      <c r="Z70" s="10">
        <v>5.4886108510115323E-7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4.5090285242565469E-6</v>
      </c>
      <c r="AH70" s="10">
        <v>0</v>
      </c>
      <c r="AI70" s="10">
        <v>6.8871446066990545E-6</v>
      </c>
      <c r="AJ70" s="10">
        <v>1.6558493835714075E-3</v>
      </c>
      <c r="AK70" s="10">
        <v>1.1143191821064992E-2</v>
      </c>
      <c r="AL70" s="10">
        <v>0</v>
      </c>
      <c r="AM70" s="10">
        <v>9.7425374828873177E-8</v>
      </c>
      <c r="AN70" s="10">
        <v>0</v>
      </c>
      <c r="AO70" s="10">
        <v>0</v>
      </c>
      <c r="AP70" s="10">
        <v>8.2962921951267476E-2</v>
      </c>
      <c r="AQ70" s="10">
        <v>1.3808680203118804E-4</v>
      </c>
      <c r="AR70" s="10">
        <v>1.0313660072802998E-5</v>
      </c>
      <c r="AS70" s="10">
        <v>2.7577633052556636E-6</v>
      </c>
      <c r="AT70" s="10">
        <v>5.8327089019640582E-7</v>
      </c>
      <c r="AU70" s="10">
        <v>0</v>
      </c>
      <c r="AV70" s="10">
        <v>0</v>
      </c>
      <c r="AW70" s="10">
        <v>0</v>
      </c>
      <c r="AX70" s="10">
        <v>5.9735758708606503E-5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5.9985215452293475E-3</v>
      </c>
      <c r="BF70" s="10">
        <v>0</v>
      </c>
      <c r="BG70" s="9">
        <v>0</v>
      </c>
      <c r="BH70" s="9">
        <v>0</v>
      </c>
      <c r="BI70" s="9">
        <v>0</v>
      </c>
      <c r="BJ70" s="9">
        <v>8.80515683147262E-2</v>
      </c>
      <c r="BK70" s="9">
        <v>0</v>
      </c>
      <c r="BL70" s="9">
        <v>0</v>
      </c>
      <c r="BM70" s="9">
        <v>0</v>
      </c>
      <c r="BN70" s="9">
        <v>0</v>
      </c>
      <c r="BO70" s="9">
        <v>69.329495865828889</v>
      </c>
      <c r="BP70" s="9">
        <v>23.272781453897874</v>
      </c>
      <c r="BQ70" s="9">
        <v>0</v>
      </c>
      <c r="BR70" s="9">
        <v>2.681347623486106</v>
      </c>
      <c r="BS70" s="9">
        <v>24.360789092021605</v>
      </c>
      <c r="BT70" s="9">
        <v>2.0402820412009368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20.883447893365894</v>
      </c>
      <c r="CA70" s="9">
        <v>0</v>
      </c>
      <c r="CB70" s="11">
        <v>2.7277067805594681</v>
      </c>
      <c r="CC70" s="12"/>
      <c r="CD70" s="12"/>
      <c r="CE70" s="12"/>
    </row>
    <row r="71" spans="1:83" x14ac:dyDescent="0.35">
      <c r="A71" s="8" t="s">
        <v>117</v>
      </c>
      <c r="B71" s="8" t="s">
        <v>187</v>
      </c>
      <c r="C71" s="8"/>
      <c r="D71" s="9">
        <v>70.227960526315783</v>
      </c>
      <c r="E71" s="9">
        <v>29.77203947368421</v>
      </c>
      <c r="F71" s="9">
        <v>95.41803566860095</v>
      </c>
      <c r="G71" s="9">
        <v>4.581964331399039</v>
      </c>
      <c r="H71" s="9">
        <v>22.708447352571454</v>
      </c>
      <c r="I71" s="9">
        <v>619.01875777778559</v>
      </c>
      <c r="J71" s="9">
        <v>52.398474278531069</v>
      </c>
      <c r="K71" s="9">
        <v>52.398474278531069</v>
      </c>
      <c r="L71" s="9">
        <v>0</v>
      </c>
      <c r="M71" s="9">
        <v>4.02684080717437E-2</v>
      </c>
      <c r="N71" s="9">
        <v>0.42028073209661848</v>
      </c>
      <c r="O71" s="9">
        <v>0</v>
      </c>
      <c r="P71" s="9">
        <v>7.794929501031115</v>
      </c>
      <c r="Q71" s="9">
        <v>1.0717609747707986</v>
      </c>
      <c r="R71" s="9">
        <v>11.499410802407761</v>
      </c>
      <c r="S71" s="9">
        <v>0.56749143430372129</v>
      </c>
      <c r="T71" s="9">
        <v>23.039114242710362</v>
      </c>
      <c r="U71" s="9">
        <v>0.70170425040095408</v>
      </c>
      <c r="V71" s="9">
        <v>2.4618293259895969</v>
      </c>
      <c r="W71" s="10">
        <v>0</v>
      </c>
      <c r="X71" s="10">
        <v>0</v>
      </c>
      <c r="Y71" s="10">
        <v>0</v>
      </c>
      <c r="Z71" s="10">
        <v>5.4886108510115323E-7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4.5090285242565469E-6</v>
      </c>
      <c r="AH71" s="10">
        <v>0</v>
      </c>
      <c r="AI71" s="10">
        <v>6.8871446066990554E-6</v>
      </c>
      <c r="AJ71" s="10">
        <v>1.6558493835714075E-3</v>
      </c>
      <c r="AK71" s="10">
        <v>1.1143191821064991E-2</v>
      </c>
      <c r="AL71" s="10">
        <v>0</v>
      </c>
      <c r="AM71" s="10">
        <v>9.742537482887319E-8</v>
      </c>
      <c r="AN71" s="10">
        <v>0</v>
      </c>
      <c r="AO71" s="10">
        <v>0</v>
      </c>
      <c r="AP71" s="10">
        <v>8.2962921951267476E-2</v>
      </c>
      <c r="AQ71" s="10">
        <v>1.3808680203118804E-4</v>
      </c>
      <c r="AR71" s="10">
        <v>1.0313660072802998E-5</v>
      </c>
      <c r="AS71" s="10">
        <v>2.7577633052556636E-6</v>
      </c>
      <c r="AT71" s="10">
        <v>5.8327089019640582E-7</v>
      </c>
      <c r="AU71" s="10">
        <v>0</v>
      </c>
      <c r="AV71" s="10">
        <v>0</v>
      </c>
      <c r="AW71" s="10">
        <v>0</v>
      </c>
      <c r="AX71" s="10">
        <v>5.973575870860651E-5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5.9985215452293475E-3</v>
      </c>
      <c r="BF71" s="10">
        <v>0</v>
      </c>
      <c r="BG71" s="9">
        <v>0</v>
      </c>
      <c r="BH71" s="9">
        <v>0</v>
      </c>
      <c r="BI71" s="9">
        <v>0</v>
      </c>
      <c r="BJ71" s="9">
        <v>8.80515683147262E-2</v>
      </c>
      <c r="BK71" s="9">
        <v>0</v>
      </c>
      <c r="BL71" s="9">
        <v>0</v>
      </c>
      <c r="BM71" s="9">
        <v>0</v>
      </c>
      <c r="BN71" s="9">
        <v>0</v>
      </c>
      <c r="BO71" s="9">
        <v>69.329495865828889</v>
      </c>
      <c r="BP71" s="9">
        <v>23.272781453897878</v>
      </c>
      <c r="BQ71" s="9">
        <v>0</v>
      </c>
      <c r="BR71" s="9">
        <v>2.681347623486106</v>
      </c>
      <c r="BS71" s="9">
        <v>24.360789092021605</v>
      </c>
      <c r="BT71" s="9">
        <v>2.0402820412009368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20.883447893365894</v>
      </c>
      <c r="CA71" s="9">
        <v>0</v>
      </c>
      <c r="CB71" s="11">
        <v>2.7277067805594681</v>
      </c>
      <c r="CC71" s="12"/>
      <c r="CD71" s="12"/>
      <c r="CE71" s="12"/>
    </row>
    <row r="72" spans="1:83" x14ac:dyDescent="0.35">
      <c r="A72" s="8" t="s">
        <v>117</v>
      </c>
      <c r="B72" s="8" t="s">
        <v>188</v>
      </c>
      <c r="C72" s="8"/>
      <c r="D72" s="9">
        <v>63.889130434782608</v>
      </c>
      <c r="E72" s="9">
        <v>36.113043478260877</v>
      </c>
      <c r="F72" s="9">
        <v>95.69963430229744</v>
      </c>
      <c r="G72" s="9">
        <v>4.3003656977025742</v>
      </c>
      <c r="H72" s="9">
        <v>25.544029613669114</v>
      </c>
      <c r="I72" s="9">
        <v>699.87403739843103</v>
      </c>
      <c r="J72" s="9">
        <v>57.277608974863668</v>
      </c>
      <c r="K72" s="9">
        <v>57.277608974863668</v>
      </c>
      <c r="L72" s="9">
        <v>0</v>
      </c>
      <c r="M72" s="9">
        <v>2.0969337264736189E-2</v>
      </c>
      <c r="N72" s="9">
        <v>0.20776651615488911</v>
      </c>
      <c r="O72" s="9">
        <v>0</v>
      </c>
      <c r="P72" s="9">
        <v>8.3849407251132302</v>
      </c>
      <c r="Q72" s="9">
        <v>0.73862014547173405</v>
      </c>
      <c r="R72" s="9">
        <v>8.8060533191527863</v>
      </c>
      <c r="S72" s="9">
        <v>0.99139951887169209</v>
      </c>
      <c r="T72" s="9">
        <v>20.528408685872737</v>
      </c>
      <c r="U72" s="9">
        <v>0.43051886220448027</v>
      </c>
      <c r="V72" s="9">
        <v>1.9210293646815522</v>
      </c>
      <c r="W72" s="10">
        <v>0</v>
      </c>
      <c r="X72" s="10">
        <v>0</v>
      </c>
      <c r="Y72" s="10">
        <v>0</v>
      </c>
      <c r="Z72" s="10">
        <v>3.3434673486433456E-6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5.2331743004853716E-6</v>
      </c>
      <c r="AH72" s="10">
        <v>0</v>
      </c>
      <c r="AI72" s="10">
        <v>1.0241459675528804E-5</v>
      </c>
      <c r="AJ72" s="10">
        <v>3.9582977097201577E-4</v>
      </c>
      <c r="AK72" s="10">
        <v>4.9916152170622332E-3</v>
      </c>
      <c r="AL72" s="10">
        <v>0</v>
      </c>
      <c r="AM72" s="10">
        <v>2.9359268657097911E-7</v>
      </c>
      <c r="AN72" s="10">
        <v>0</v>
      </c>
      <c r="AO72" s="10">
        <v>0</v>
      </c>
      <c r="AP72" s="10">
        <v>4.4370169586779473E-2</v>
      </c>
      <c r="AQ72" s="10">
        <v>6.5644395126243489E-5</v>
      </c>
      <c r="AR72" s="10">
        <v>2.3628428781841069E-5</v>
      </c>
      <c r="AS72" s="10">
        <v>5.6164348237637213E-6</v>
      </c>
      <c r="AT72" s="10">
        <v>7.3082338111270394E-6</v>
      </c>
      <c r="AU72" s="10">
        <v>0</v>
      </c>
      <c r="AV72" s="10">
        <v>0</v>
      </c>
      <c r="AW72" s="10">
        <v>0</v>
      </c>
      <c r="AX72" s="10">
        <v>3.6446016195328861E-5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7.0943977696713628E-3</v>
      </c>
      <c r="BF72" s="10">
        <v>0</v>
      </c>
      <c r="BG72" s="9">
        <v>0</v>
      </c>
      <c r="BH72" s="9">
        <v>0</v>
      </c>
      <c r="BI72" s="9">
        <v>0</v>
      </c>
      <c r="BJ72" s="9">
        <v>0.10919197935278938</v>
      </c>
      <c r="BK72" s="9">
        <v>0</v>
      </c>
      <c r="BL72" s="9">
        <v>0</v>
      </c>
      <c r="BM72" s="9">
        <v>0</v>
      </c>
      <c r="BN72" s="9">
        <v>0</v>
      </c>
      <c r="BO72" s="9">
        <v>54.099606333712323</v>
      </c>
      <c r="BP72" s="9">
        <v>38.433248296280787</v>
      </c>
      <c r="BQ72" s="9">
        <v>0</v>
      </c>
      <c r="BR72" s="9">
        <v>3.0359020543400335</v>
      </c>
      <c r="BS72" s="9">
        <v>25.874371779433663</v>
      </c>
      <c r="BT72" s="9">
        <v>2.1899753689859902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23.905049201846296</v>
      </c>
      <c r="CA72" s="9">
        <v>0</v>
      </c>
      <c r="CB72" s="11">
        <v>3.0575876929515395</v>
      </c>
      <c r="CC72" s="12"/>
      <c r="CD72" s="12"/>
      <c r="CE72" s="12"/>
    </row>
    <row r="73" spans="1:83" x14ac:dyDescent="0.35">
      <c r="A73" s="8" t="s">
        <v>117</v>
      </c>
      <c r="B73" s="8" t="s">
        <v>189</v>
      </c>
      <c r="C73" s="8"/>
      <c r="D73" s="9">
        <v>66.13636363636364</v>
      </c>
      <c r="E73" s="9">
        <v>33.863636363636367</v>
      </c>
      <c r="F73" s="9">
        <v>96.807070903671161</v>
      </c>
      <c r="G73" s="9">
        <v>3.1929290963288275</v>
      </c>
      <c r="H73" s="9">
        <v>25.50111578309069</v>
      </c>
      <c r="I73" s="9">
        <v>690.29915464837609</v>
      </c>
      <c r="J73" s="9">
        <v>57.320929149394338</v>
      </c>
      <c r="K73" s="9">
        <v>57.320929149394338</v>
      </c>
      <c r="L73" s="9">
        <v>0</v>
      </c>
      <c r="M73" s="9">
        <v>1.5249081633873359E-2</v>
      </c>
      <c r="N73" s="9">
        <v>0</v>
      </c>
      <c r="O73" s="9">
        <v>0</v>
      </c>
      <c r="P73" s="9">
        <v>8.4124800436975313</v>
      </c>
      <c r="Q73" s="9">
        <v>0.93913042379596989</v>
      </c>
      <c r="R73" s="9">
        <v>9.787546614115044</v>
      </c>
      <c r="S73" s="9">
        <v>0.22835387756553691</v>
      </c>
      <c r="T73" s="9">
        <v>20.61650424895133</v>
      </c>
      <c r="U73" s="9">
        <v>0.53905569239960271</v>
      </c>
      <c r="V73" s="9">
        <v>2.1126502502980218</v>
      </c>
      <c r="W73" s="10">
        <v>0</v>
      </c>
      <c r="X73" s="10">
        <v>0</v>
      </c>
      <c r="Y73" s="10">
        <v>0</v>
      </c>
      <c r="Z73" s="10">
        <v>1.400034725069753E-6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2.2105540180749056E-6</v>
      </c>
      <c r="AH73" s="10">
        <v>0</v>
      </c>
      <c r="AI73" s="10">
        <v>1.2484494867501665E-5</v>
      </c>
      <c r="AJ73" s="10">
        <v>2.6045455059062683E-4</v>
      </c>
      <c r="AK73" s="10">
        <v>6.481893995499693E-3</v>
      </c>
      <c r="AL73" s="10">
        <v>0</v>
      </c>
      <c r="AM73" s="10">
        <v>1.6983435028538614E-7</v>
      </c>
      <c r="AN73" s="10">
        <v>0</v>
      </c>
      <c r="AO73" s="10">
        <v>0</v>
      </c>
      <c r="AP73" s="10">
        <v>6.2616496745743516E-2</v>
      </c>
      <c r="AQ73" s="10">
        <v>3.5894484825930744E-5</v>
      </c>
      <c r="AR73" s="10">
        <v>0</v>
      </c>
      <c r="AS73" s="10">
        <v>2.1415115610512083E-6</v>
      </c>
      <c r="AT73" s="10">
        <v>6.233260591366556E-6</v>
      </c>
      <c r="AU73" s="10">
        <v>0</v>
      </c>
      <c r="AV73" s="10">
        <v>0</v>
      </c>
      <c r="AW73" s="10">
        <v>0</v>
      </c>
      <c r="AX73" s="10">
        <v>2.1100803723912193E-5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1.257920652090138E-2</v>
      </c>
      <c r="BF73" s="10">
        <v>0</v>
      </c>
      <c r="BG73" s="9">
        <v>0</v>
      </c>
      <c r="BH73" s="9">
        <v>0</v>
      </c>
      <c r="BI73" s="9">
        <v>0</v>
      </c>
      <c r="BJ73" s="9">
        <v>9.2629350271271671E-2</v>
      </c>
      <c r="BK73" s="9">
        <v>0</v>
      </c>
      <c r="BL73" s="9">
        <v>0</v>
      </c>
      <c r="BM73" s="9">
        <v>0</v>
      </c>
      <c r="BN73" s="9">
        <v>0</v>
      </c>
      <c r="BO73" s="9">
        <v>59.495991557051561</v>
      </c>
      <c r="BP73" s="9">
        <v>36.504572895768213</v>
      </c>
      <c r="BQ73" s="9">
        <v>0</v>
      </c>
      <c r="BR73" s="9">
        <v>0.79327368652692942</v>
      </c>
      <c r="BS73" s="9">
        <v>26.102748234272184</v>
      </c>
      <c r="BT73" s="9">
        <v>2.2125618003695187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23.759690054710401</v>
      </c>
      <c r="CA73" s="9">
        <v>0</v>
      </c>
      <c r="CB73" s="11">
        <v>0.71387710058012588</v>
      </c>
      <c r="CC73" s="12"/>
      <c r="CD73" s="12"/>
      <c r="CE73" s="12"/>
    </row>
    <row r="74" spans="1:83" x14ac:dyDescent="0.35">
      <c r="A74" s="8" t="s">
        <v>117</v>
      </c>
      <c r="B74" s="8" t="s">
        <v>190</v>
      </c>
      <c r="C74" s="8"/>
      <c r="D74" s="9">
        <v>72</v>
      </c>
      <c r="E74" s="9">
        <v>28</v>
      </c>
      <c r="F74" s="9">
        <v>93.65822219356393</v>
      </c>
      <c r="G74" s="9">
        <v>6.3417778064360641</v>
      </c>
      <c r="H74" s="9">
        <v>22.073570572126808</v>
      </c>
      <c r="I74" s="9">
        <v>611.72651254577625</v>
      </c>
      <c r="J74" s="9">
        <v>51.111544752808761</v>
      </c>
      <c r="K74" s="9">
        <v>51.111544752808761</v>
      </c>
      <c r="L74" s="9">
        <v>0</v>
      </c>
      <c r="M74" s="9">
        <v>2.3598396951442783E-2</v>
      </c>
      <c r="N74" s="9">
        <v>1.1152416356877324</v>
      </c>
      <c r="O74" s="9">
        <v>0</v>
      </c>
      <c r="P74" s="9">
        <v>7.602846891190068</v>
      </c>
      <c r="Q74" s="9">
        <v>1.1620256985376245</v>
      </c>
      <c r="R74" s="9">
        <v>11.396373305986957</v>
      </c>
      <c r="S74" s="9">
        <v>1.1839259512245257</v>
      </c>
      <c r="T74" s="9">
        <v>23.216246562070697</v>
      </c>
      <c r="U74" s="9">
        <v>0.87871190767816387</v>
      </c>
      <c r="V74" s="9">
        <v>2.369313394915062</v>
      </c>
      <c r="W74" s="10">
        <v>0</v>
      </c>
      <c r="X74" s="10">
        <v>0</v>
      </c>
      <c r="Y74" s="10">
        <v>0</v>
      </c>
      <c r="Z74" s="10">
        <v>1.5022903848780636E-6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2.3141901603363039E-6</v>
      </c>
      <c r="AH74" s="10">
        <v>2.747252747252747E-7</v>
      </c>
      <c r="AI74" s="10">
        <v>1.5221290045544694E-5</v>
      </c>
      <c r="AJ74" s="10">
        <v>3.7853962700146171E-4</v>
      </c>
      <c r="AK74" s="10">
        <v>6.714935802678991E-3</v>
      </c>
      <c r="AL74" s="10">
        <v>0</v>
      </c>
      <c r="AM74" s="10">
        <v>2.8402366052817111E-7</v>
      </c>
      <c r="AN74" s="10">
        <v>0</v>
      </c>
      <c r="AO74" s="10">
        <v>0</v>
      </c>
      <c r="AP74" s="10">
        <v>6.7082343616476706E-2</v>
      </c>
      <c r="AQ74" s="10">
        <v>5.9863804452594734E-5</v>
      </c>
      <c r="AR74" s="10">
        <v>2.7472527472527467E-6</v>
      </c>
      <c r="AS74" s="10">
        <v>4.5144093249793987E-6</v>
      </c>
      <c r="AT74" s="10">
        <v>6.2908994998189091E-6</v>
      </c>
      <c r="AU74" s="10">
        <v>0</v>
      </c>
      <c r="AV74" s="10">
        <v>0</v>
      </c>
      <c r="AW74" s="10">
        <v>0</v>
      </c>
      <c r="AX74" s="10">
        <v>2.5686509844605951E-5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1.0862282409391869E-2</v>
      </c>
      <c r="BF74" s="10">
        <v>0</v>
      </c>
      <c r="BG74" s="9">
        <v>0</v>
      </c>
      <c r="BH74" s="9">
        <v>0</v>
      </c>
      <c r="BI74" s="9">
        <v>0</v>
      </c>
      <c r="BJ74" s="9">
        <v>1.1180124223602486</v>
      </c>
      <c r="BK74" s="9">
        <v>0</v>
      </c>
      <c r="BL74" s="9">
        <v>0</v>
      </c>
      <c r="BM74" s="9">
        <v>0</v>
      </c>
      <c r="BN74" s="9">
        <v>0</v>
      </c>
      <c r="BO74" s="9">
        <v>66.724082568797428</v>
      </c>
      <c r="BP74" s="9">
        <v>22.095653614488356</v>
      </c>
      <c r="BQ74" s="9">
        <v>0</v>
      </c>
      <c r="BR74" s="9">
        <v>4.8384860102781619</v>
      </c>
      <c r="BS74" s="9">
        <v>23.698227482078085</v>
      </c>
      <c r="BT74" s="9">
        <v>1.9747546979775219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20.343754325724461</v>
      </c>
      <c r="CA74" s="9">
        <v>0</v>
      </c>
      <c r="CB74" s="11">
        <v>3.7204735879179123</v>
      </c>
      <c r="CC74" s="12"/>
      <c r="CD74" s="12"/>
      <c r="CE74" s="12"/>
    </row>
    <row r="75" spans="1:83" x14ac:dyDescent="0.35">
      <c r="A75" s="8" t="s">
        <v>117</v>
      </c>
      <c r="B75" s="8" t="s">
        <v>191</v>
      </c>
      <c r="C75" s="8"/>
      <c r="D75" s="9">
        <v>61.766666666666673</v>
      </c>
      <c r="E75" s="9">
        <v>38.233333333333341</v>
      </c>
      <c r="F75" s="9">
        <v>96.593482026451397</v>
      </c>
      <c r="G75" s="9">
        <v>3.406517973548604</v>
      </c>
      <c r="H75" s="9">
        <v>27.421806484684691</v>
      </c>
      <c r="I75" s="9">
        <v>746.74627087633769</v>
      </c>
      <c r="J75" s="9">
        <v>60.551045868072514</v>
      </c>
      <c r="K75" s="9">
        <v>60.551045868072514</v>
      </c>
      <c r="L75" s="9">
        <v>0</v>
      </c>
      <c r="M75" s="9">
        <v>2.8991388347858957E-2</v>
      </c>
      <c r="N75" s="9">
        <v>0</v>
      </c>
      <c r="O75" s="9">
        <v>0</v>
      </c>
      <c r="P75" s="9">
        <v>8.79918853691197</v>
      </c>
      <c r="Q75" s="9">
        <v>0.78357067222872379</v>
      </c>
      <c r="R75" s="9">
        <v>7.9674729223265395</v>
      </c>
      <c r="S75" s="9">
        <v>0.27800544994569781</v>
      </c>
      <c r="T75" s="9">
        <v>18.550767793361906</v>
      </c>
      <c r="U75" s="9">
        <v>0.55731431929949171</v>
      </c>
      <c r="V75" s="9">
        <v>1.7561339926211259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3.1502884246755241E-6</v>
      </c>
      <c r="AH75" s="10">
        <v>0</v>
      </c>
      <c r="AI75" s="10">
        <v>1.5275764381348319E-5</v>
      </c>
      <c r="AJ75" s="10">
        <v>3.6376317042892468E-4</v>
      </c>
      <c r="AK75" s="10">
        <v>4.5737840267526027E-3</v>
      </c>
      <c r="AL75" s="10">
        <v>0</v>
      </c>
      <c r="AM75" s="10">
        <v>3.784425069065344E-7</v>
      </c>
      <c r="AN75" s="10">
        <v>0</v>
      </c>
      <c r="AO75" s="10">
        <v>0</v>
      </c>
      <c r="AP75" s="10">
        <v>5.0615641637822097E-2</v>
      </c>
      <c r="AQ75" s="10">
        <v>5.3995230457649702E-5</v>
      </c>
      <c r="AR75" s="10">
        <v>0</v>
      </c>
      <c r="AS75" s="10">
        <v>1.0947439262042227E-5</v>
      </c>
      <c r="AT75" s="10">
        <v>9.6688612188555867E-6</v>
      </c>
      <c r="AU75" s="10">
        <v>0</v>
      </c>
      <c r="AV75" s="10">
        <v>0</v>
      </c>
      <c r="AW75" s="10">
        <v>0</v>
      </c>
      <c r="AX75" s="10">
        <v>1.1765356277498238E-5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8.5225316574608374E-3</v>
      </c>
      <c r="BF75" s="10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49.455859143414244</v>
      </c>
      <c r="BP75" s="9">
        <v>47.000867673820977</v>
      </c>
      <c r="BQ75" s="9">
        <v>0</v>
      </c>
      <c r="BR75" s="9">
        <v>0.13675520921618622</v>
      </c>
      <c r="BS75" s="9">
        <v>27.112521904648776</v>
      </c>
      <c r="BT75" s="9">
        <v>2.3124284163697642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25.827084816647446</v>
      </c>
      <c r="CA75" s="9">
        <v>0</v>
      </c>
      <c r="CB75" s="11">
        <v>0.13675520921618656</v>
      </c>
      <c r="CC75" s="12"/>
      <c r="CD75" s="12"/>
      <c r="CE75" s="12"/>
    </row>
    <row r="76" spans="1:83" x14ac:dyDescent="0.35">
      <c r="A76" s="8" t="s">
        <v>117</v>
      </c>
      <c r="B76" s="8" t="s">
        <v>192</v>
      </c>
      <c r="C76" s="8"/>
      <c r="D76" s="9">
        <v>70</v>
      </c>
      <c r="E76" s="9">
        <v>30</v>
      </c>
      <c r="F76" s="9">
        <v>96.666666666666671</v>
      </c>
      <c r="G76" s="9">
        <v>3.3333333333333335</v>
      </c>
      <c r="H76" s="9">
        <v>24.921753887402364</v>
      </c>
      <c r="I76" s="9">
        <v>674.62068965517233</v>
      </c>
      <c r="J76" s="9">
        <v>56.298371060796342</v>
      </c>
      <c r="K76" s="9">
        <v>56.298371060796342</v>
      </c>
      <c r="L76" s="9">
        <v>0</v>
      </c>
      <c r="M76" s="9">
        <v>3.3333333333333333E-2</v>
      </c>
      <c r="N76" s="9">
        <v>0</v>
      </c>
      <c r="O76" s="9">
        <v>0</v>
      </c>
      <c r="P76" s="9">
        <v>8.2895098492254373</v>
      </c>
      <c r="Q76" s="9">
        <v>0.96999999999999986</v>
      </c>
      <c r="R76" s="9">
        <v>10.133333333333333</v>
      </c>
      <c r="S76" s="9">
        <v>0.20666666666666667</v>
      </c>
      <c r="T76" s="9">
        <v>20.947167946706166</v>
      </c>
      <c r="U76" s="9">
        <v>0.6166666666666667</v>
      </c>
      <c r="V76" s="9">
        <v>2.2489108764675478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6.6666666666666666E-6</v>
      </c>
      <c r="AJ76" s="10">
        <v>4.7999999999999996E-4</v>
      </c>
      <c r="AK76" s="10">
        <v>1.1666666666666667E-2</v>
      </c>
      <c r="AL76" s="10">
        <v>0</v>
      </c>
      <c r="AM76" s="10">
        <v>0</v>
      </c>
      <c r="AN76" s="10">
        <v>0</v>
      </c>
      <c r="AO76" s="10">
        <v>0</v>
      </c>
      <c r="AP76" s="10">
        <v>6.6666666666666666E-2</v>
      </c>
      <c r="AQ76" s="10">
        <v>6.666666666666667E-5</v>
      </c>
      <c r="AR76" s="10">
        <v>0</v>
      </c>
      <c r="AS76" s="10">
        <v>6.6666666666666666E-6</v>
      </c>
      <c r="AT76" s="10">
        <v>0</v>
      </c>
      <c r="AU76" s="10">
        <v>0</v>
      </c>
      <c r="AV76" s="10">
        <v>0</v>
      </c>
      <c r="AW76" s="10">
        <v>0</v>
      </c>
      <c r="AX76" s="10">
        <v>2.0000000000000002E-5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1.5366666666666667E-2</v>
      </c>
      <c r="BF76" s="10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63.333333333333329</v>
      </c>
      <c r="BP76" s="9">
        <v>33.333333333333329</v>
      </c>
      <c r="BQ76" s="9">
        <v>0</v>
      </c>
      <c r="BR76" s="9">
        <v>0</v>
      </c>
      <c r="BS76" s="9">
        <v>25.814076333333333</v>
      </c>
      <c r="BT76" s="9">
        <v>2.1840121493666667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23.1</v>
      </c>
      <c r="CA76" s="9">
        <v>0</v>
      </c>
      <c r="CB76" s="11">
        <v>0</v>
      </c>
      <c r="CC76" s="12"/>
      <c r="CD76" s="12"/>
      <c r="CE76" s="12"/>
    </row>
    <row r="77" spans="1:83" x14ac:dyDescent="0.35">
      <c r="A77" s="8" t="s">
        <v>117</v>
      </c>
      <c r="B77" s="8" t="s">
        <v>193</v>
      </c>
      <c r="C77" s="8"/>
      <c r="D77" s="9">
        <v>66.478656126482207</v>
      </c>
      <c r="E77" s="9">
        <v>33.522430830039532</v>
      </c>
      <c r="F77" s="9">
        <v>95.466140425457496</v>
      </c>
      <c r="G77" s="9">
        <v>4.5338595745425101</v>
      </c>
      <c r="H77" s="9">
        <v>24.665686395638932</v>
      </c>
      <c r="I77" s="9">
        <v>675.44343549775363</v>
      </c>
      <c r="J77" s="9">
        <v>55.746922962982609</v>
      </c>
      <c r="K77" s="9">
        <v>55.746922962982609</v>
      </c>
      <c r="L77" s="9">
        <v>0</v>
      </c>
      <c r="M77" s="9">
        <v>2.0196538278697131E-2</v>
      </c>
      <c r="N77" s="9">
        <v>0.38269366699937768</v>
      </c>
      <c r="O77" s="9">
        <v>0</v>
      </c>
      <c r="P77" s="9">
        <v>8.1963020962785151</v>
      </c>
      <c r="Q77" s="9">
        <v>0.89459910331926562</v>
      </c>
      <c r="R77" s="9">
        <v>9.6990066396018939</v>
      </c>
      <c r="S77" s="9">
        <v>0.84876971663336165</v>
      </c>
      <c r="T77" s="9">
        <v>21.222392045691876</v>
      </c>
      <c r="U77" s="9">
        <v>0.56970133112168175</v>
      </c>
      <c r="V77" s="9">
        <v>2.081005593644047</v>
      </c>
      <c r="W77" s="10">
        <v>0</v>
      </c>
      <c r="X77" s="10">
        <v>0</v>
      </c>
      <c r="Y77" s="10">
        <v>0</v>
      </c>
      <c r="Z77" s="10">
        <v>2.3973149518086268E-6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3.7477731948454878E-6</v>
      </c>
      <c r="AH77" s="10">
        <v>6.8681318681318674E-8</v>
      </c>
      <c r="AI77" s="10">
        <v>1.2047176066025991E-5</v>
      </c>
      <c r="AJ77" s="10">
        <v>3.5766342988402999E-4</v>
      </c>
      <c r="AK77" s="10">
        <v>5.7950150580757878E-3</v>
      </c>
      <c r="AL77" s="10">
        <v>0</v>
      </c>
      <c r="AM77" s="10">
        <v>2.6026084598887891E-7</v>
      </c>
      <c r="AN77" s="10">
        <v>0</v>
      </c>
      <c r="AO77" s="10">
        <v>0</v>
      </c>
      <c r="AP77" s="10">
        <v>5.4609794883944796E-2</v>
      </c>
      <c r="AQ77" s="10">
        <v>5.6761769882753117E-5</v>
      </c>
      <c r="AR77" s="10">
        <v>1.2501027577733721E-5</v>
      </c>
      <c r="AS77" s="10">
        <v>4.4721976333895127E-6</v>
      </c>
      <c r="AT77" s="10">
        <v>6.785156928359886E-6</v>
      </c>
      <c r="AU77" s="10">
        <v>0</v>
      </c>
      <c r="AV77" s="10">
        <v>0</v>
      </c>
      <c r="AW77" s="10">
        <v>0</v>
      </c>
      <c r="AX77" s="10">
        <v>2.9919836489793965E-5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9.407571117408994E-3</v>
      </c>
      <c r="BF77" s="10">
        <v>0</v>
      </c>
      <c r="BG77" s="9">
        <v>0</v>
      </c>
      <c r="BH77" s="9">
        <v>0</v>
      </c>
      <c r="BI77" s="9">
        <v>0</v>
      </c>
      <c r="BJ77" s="9">
        <v>0.35725643283427477</v>
      </c>
      <c r="BK77" s="9">
        <v>0</v>
      </c>
      <c r="BL77" s="9">
        <v>0</v>
      </c>
      <c r="BM77" s="9">
        <v>0</v>
      </c>
      <c r="BN77" s="9">
        <v>0</v>
      </c>
      <c r="BO77" s="9">
        <v>58.60482169831841</v>
      </c>
      <c r="BP77" s="9">
        <v>33.866680775704538</v>
      </c>
      <c r="BQ77" s="9">
        <v>0</v>
      </c>
      <c r="BR77" s="9">
        <v>2.9258909513712896</v>
      </c>
      <c r="BS77" s="9">
        <v>25.387429818804396</v>
      </c>
      <c r="BT77" s="9">
        <v>2.1418168090797551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22.978385696031864</v>
      </c>
      <c r="CA77" s="9">
        <v>0</v>
      </c>
      <c r="CB77" s="11">
        <v>2.6373815186002791</v>
      </c>
      <c r="CC77" s="12"/>
      <c r="CD77" s="12"/>
      <c r="CE77" s="12"/>
    </row>
    <row r="78" spans="1:83" x14ac:dyDescent="0.35">
      <c r="A78" s="8" t="s">
        <v>117</v>
      </c>
      <c r="B78" s="8" t="s">
        <v>194</v>
      </c>
      <c r="C78" s="8"/>
      <c r="D78" s="9">
        <v>66.478656126482207</v>
      </c>
      <c r="E78" s="9">
        <v>33.522430830039532</v>
      </c>
      <c r="F78" s="9">
        <v>95.466140425457496</v>
      </c>
      <c r="G78" s="9">
        <v>4.5338595745425101</v>
      </c>
      <c r="H78" s="9">
        <v>24.665686395638932</v>
      </c>
      <c r="I78" s="9">
        <v>675.44343549775363</v>
      </c>
      <c r="J78" s="9">
        <v>55.746922962982609</v>
      </c>
      <c r="K78" s="9">
        <v>55.746922962982609</v>
      </c>
      <c r="L78" s="9">
        <v>0</v>
      </c>
      <c r="M78" s="9">
        <v>2.0196538278697131E-2</v>
      </c>
      <c r="N78" s="9">
        <v>0.38269366699937768</v>
      </c>
      <c r="O78" s="9">
        <v>0</v>
      </c>
      <c r="P78" s="9">
        <v>8.1963020962785151</v>
      </c>
      <c r="Q78" s="9">
        <v>0.89459910331926562</v>
      </c>
      <c r="R78" s="9">
        <v>9.6990066396018939</v>
      </c>
      <c r="S78" s="9">
        <v>0.84876971663336165</v>
      </c>
      <c r="T78" s="9">
        <v>21.222392045691876</v>
      </c>
      <c r="U78" s="9">
        <v>0.56970133112168175</v>
      </c>
      <c r="V78" s="9">
        <v>2.081005593644047</v>
      </c>
      <c r="W78" s="10">
        <v>0</v>
      </c>
      <c r="X78" s="10">
        <v>0</v>
      </c>
      <c r="Y78" s="10">
        <v>0</v>
      </c>
      <c r="Z78" s="10">
        <v>2.3973149518086268E-6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3.7477731948454878E-6</v>
      </c>
      <c r="AH78" s="10">
        <v>6.8681318681318674E-8</v>
      </c>
      <c r="AI78" s="10">
        <v>1.2047176066025991E-5</v>
      </c>
      <c r="AJ78" s="10">
        <v>3.5766342988402999E-4</v>
      </c>
      <c r="AK78" s="10">
        <v>5.7950150580757878E-3</v>
      </c>
      <c r="AL78" s="10">
        <v>0</v>
      </c>
      <c r="AM78" s="10">
        <v>2.6026084598887891E-7</v>
      </c>
      <c r="AN78" s="10">
        <v>0</v>
      </c>
      <c r="AO78" s="10">
        <v>0</v>
      </c>
      <c r="AP78" s="10">
        <v>5.4609794883944796E-2</v>
      </c>
      <c r="AQ78" s="10">
        <v>5.6761769882753117E-5</v>
      </c>
      <c r="AR78" s="10">
        <v>1.2501027577733721E-5</v>
      </c>
      <c r="AS78" s="10">
        <v>4.4721976333895127E-6</v>
      </c>
      <c r="AT78" s="10">
        <v>6.785156928359886E-6</v>
      </c>
      <c r="AU78" s="10">
        <v>0</v>
      </c>
      <c r="AV78" s="10">
        <v>0</v>
      </c>
      <c r="AW78" s="10">
        <v>0</v>
      </c>
      <c r="AX78" s="10">
        <v>2.9919836489793965E-5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9.407571117408994E-3</v>
      </c>
      <c r="BF78" s="10">
        <v>0</v>
      </c>
      <c r="BG78" s="9">
        <v>0</v>
      </c>
      <c r="BH78" s="9">
        <v>0</v>
      </c>
      <c r="BI78" s="9">
        <v>0</v>
      </c>
      <c r="BJ78" s="9">
        <v>0.35725643283427477</v>
      </c>
      <c r="BK78" s="9">
        <v>0</v>
      </c>
      <c r="BL78" s="9">
        <v>0</v>
      </c>
      <c r="BM78" s="9">
        <v>0</v>
      </c>
      <c r="BN78" s="9">
        <v>0</v>
      </c>
      <c r="BO78" s="9">
        <v>58.60482169831841</v>
      </c>
      <c r="BP78" s="9">
        <v>33.866680775704538</v>
      </c>
      <c r="BQ78" s="9">
        <v>0</v>
      </c>
      <c r="BR78" s="9">
        <v>2.9258909513712896</v>
      </c>
      <c r="BS78" s="9">
        <v>25.387429818804396</v>
      </c>
      <c r="BT78" s="9">
        <v>2.1418168090797551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22.978385696031864</v>
      </c>
      <c r="CA78" s="9">
        <v>0</v>
      </c>
      <c r="CB78" s="11">
        <v>2.6373815186002791</v>
      </c>
      <c r="CC78" s="12"/>
      <c r="CD78" s="12"/>
      <c r="CE78" s="12"/>
    </row>
    <row r="79" spans="1:83" x14ac:dyDescent="0.35">
      <c r="A79" s="8" t="s">
        <v>117</v>
      </c>
      <c r="B79" s="8" t="s">
        <v>195</v>
      </c>
      <c r="C79" s="8"/>
      <c r="D79" s="9">
        <v>66.478656126482207</v>
      </c>
      <c r="E79" s="9">
        <v>33.522430830039532</v>
      </c>
      <c r="F79" s="9">
        <v>95.466140425457496</v>
      </c>
      <c r="G79" s="9">
        <v>4.5338595745425101</v>
      </c>
      <c r="H79" s="9">
        <v>24.665686395638932</v>
      </c>
      <c r="I79" s="9">
        <v>675.44343549775363</v>
      </c>
      <c r="J79" s="9">
        <v>55.746922962982609</v>
      </c>
      <c r="K79" s="9">
        <v>55.746922962982609</v>
      </c>
      <c r="L79" s="9">
        <v>0</v>
      </c>
      <c r="M79" s="9">
        <v>2.0196538278697131E-2</v>
      </c>
      <c r="N79" s="9">
        <v>0.38269366699937768</v>
      </c>
      <c r="O79" s="9">
        <v>0</v>
      </c>
      <c r="P79" s="9">
        <v>8.1963020962785151</v>
      </c>
      <c r="Q79" s="9">
        <v>0.89459910331926562</v>
      </c>
      <c r="R79" s="9">
        <v>9.6990066396018939</v>
      </c>
      <c r="S79" s="9">
        <v>0.84876971663336165</v>
      </c>
      <c r="T79" s="9">
        <v>21.222392045691876</v>
      </c>
      <c r="U79" s="9">
        <v>0.56970133112168175</v>
      </c>
      <c r="V79" s="9">
        <v>2.081005593644047</v>
      </c>
      <c r="W79" s="10">
        <v>0</v>
      </c>
      <c r="X79" s="10">
        <v>0</v>
      </c>
      <c r="Y79" s="10">
        <v>0</v>
      </c>
      <c r="Z79" s="10">
        <v>2.3973149518086268E-6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3.7477731948454878E-6</v>
      </c>
      <c r="AH79" s="10">
        <v>6.8681318681318674E-8</v>
      </c>
      <c r="AI79" s="10">
        <v>1.2047176066025991E-5</v>
      </c>
      <c r="AJ79" s="10">
        <v>3.5766342988402999E-4</v>
      </c>
      <c r="AK79" s="10">
        <v>5.7950150580757878E-3</v>
      </c>
      <c r="AL79" s="10">
        <v>0</v>
      </c>
      <c r="AM79" s="10">
        <v>2.6026084598887891E-7</v>
      </c>
      <c r="AN79" s="10">
        <v>0</v>
      </c>
      <c r="AO79" s="10">
        <v>0</v>
      </c>
      <c r="AP79" s="10">
        <v>5.4609794883944796E-2</v>
      </c>
      <c r="AQ79" s="10">
        <v>5.6761769882753117E-5</v>
      </c>
      <c r="AR79" s="10">
        <v>1.2501027577733721E-5</v>
      </c>
      <c r="AS79" s="10">
        <v>4.4721976333895127E-6</v>
      </c>
      <c r="AT79" s="10">
        <v>6.785156928359886E-6</v>
      </c>
      <c r="AU79" s="10">
        <v>0</v>
      </c>
      <c r="AV79" s="10">
        <v>0</v>
      </c>
      <c r="AW79" s="10">
        <v>0</v>
      </c>
      <c r="AX79" s="10">
        <v>2.9919836489793965E-5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9.407571117408994E-3</v>
      </c>
      <c r="BF79" s="10">
        <v>0</v>
      </c>
      <c r="BG79" s="9">
        <v>0</v>
      </c>
      <c r="BH79" s="9">
        <v>0</v>
      </c>
      <c r="BI79" s="9">
        <v>0</v>
      </c>
      <c r="BJ79" s="9">
        <v>0.35725643283427477</v>
      </c>
      <c r="BK79" s="9">
        <v>0</v>
      </c>
      <c r="BL79" s="9">
        <v>0</v>
      </c>
      <c r="BM79" s="9">
        <v>0</v>
      </c>
      <c r="BN79" s="9">
        <v>0</v>
      </c>
      <c r="BO79" s="9">
        <v>58.60482169831841</v>
      </c>
      <c r="BP79" s="9">
        <v>33.866680775704538</v>
      </c>
      <c r="BQ79" s="9">
        <v>0</v>
      </c>
      <c r="BR79" s="9">
        <v>2.9258909513712896</v>
      </c>
      <c r="BS79" s="9">
        <v>25.387429818804396</v>
      </c>
      <c r="BT79" s="9">
        <v>2.1418168090797551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22.978385696031864</v>
      </c>
      <c r="CA79" s="9">
        <v>0</v>
      </c>
      <c r="CB79" s="11">
        <v>2.6373815186002791</v>
      </c>
      <c r="CC79" s="12"/>
      <c r="CD79" s="12"/>
      <c r="CE79" s="12"/>
    </row>
    <row r="80" spans="1:83" x14ac:dyDescent="0.35">
      <c r="A80" s="8" t="s">
        <v>117</v>
      </c>
      <c r="B80" s="8" t="s">
        <v>196</v>
      </c>
      <c r="C80" s="8"/>
      <c r="D80" s="9">
        <v>49.207547169811328</v>
      </c>
      <c r="E80" s="9">
        <v>50.792452830188672</v>
      </c>
      <c r="F80" s="9">
        <v>93.503027148447146</v>
      </c>
      <c r="G80" s="9">
        <v>6.4969728515528171</v>
      </c>
      <c r="H80" s="9">
        <v>25.741406205919322</v>
      </c>
      <c r="I80" s="9">
        <v>725.27674013134424</v>
      </c>
      <c r="J80" s="9">
        <v>57.324277933664973</v>
      </c>
      <c r="K80" s="9">
        <v>57.324277933664973</v>
      </c>
      <c r="L80" s="9">
        <v>0</v>
      </c>
      <c r="M80" s="9">
        <v>1.2726356538989756</v>
      </c>
      <c r="N80" s="9">
        <v>1.0426482158773729</v>
      </c>
      <c r="O80" s="9">
        <v>0</v>
      </c>
      <c r="P80" s="9">
        <v>8.3536728227674892</v>
      </c>
      <c r="Q80" s="9">
        <v>0.25312536795696089</v>
      </c>
      <c r="R80" s="9">
        <v>7.3504558833189453</v>
      </c>
      <c r="S80" s="9">
        <v>1.4162073948421494</v>
      </c>
      <c r="T80" s="9">
        <v>19.605969284358245</v>
      </c>
      <c r="U80" s="9">
        <v>0.92700446754637966</v>
      </c>
      <c r="V80" s="9">
        <v>1.6604989216174157</v>
      </c>
      <c r="W80" s="10">
        <v>0</v>
      </c>
      <c r="X80" s="10">
        <v>0</v>
      </c>
      <c r="Y80" s="10">
        <v>0</v>
      </c>
      <c r="Z80" s="10">
        <v>1.3417200100256075E-6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1.8866302820165329E-8</v>
      </c>
      <c r="AH80" s="10">
        <v>5.5955180919761385E-7</v>
      </c>
      <c r="AI80" s="10">
        <v>7.5236859586096324E-7</v>
      </c>
      <c r="AJ80" s="10">
        <v>1.5360700953048872E-4</v>
      </c>
      <c r="AK80" s="10">
        <v>3.8848619685302271E-4</v>
      </c>
      <c r="AL80" s="10">
        <v>0</v>
      </c>
      <c r="AM80" s="10">
        <v>9.1891945013576455E-8</v>
      </c>
      <c r="AN80" s="10">
        <v>0</v>
      </c>
      <c r="AO80" s="10">
        <v>0</v>
      </c>
      <c r="AP80" s="10">
        <v>4.6220040207435815E-2</v>
      </c>
      <c r="AQ80" s="10">
        <v>8.1327706581402589E-5</v>
      </c>
      <c r="AR80" s="10">
        <v>1.101864301444415E-5</v>
      </c>
      <c r="AS80" s="10">
        <v>4.143177381157939E-6</v>
      </c>
      <c r="AT80" s="10">
        <v>8.3437068378518818E-7</v>
      </c>
      <c r="AU80" s="10">
        <v>0</v>
      </c>
      <c r="AV80" s="10">
        <v>0</v>
      </c>
      <c r="AW80" s="10">
        <v>0</v>
      </c>
      <c r="AX80" s="10">
        <v>1.7123060258873038E-5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5.2435105474068445E-3</v>
      </c>
      <c r="BF80" s="10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46.762605313921092</v>
      </c>
      <c r="BP80" s="9">
        <v>42.144814622400034</v>
      </c>
      <c r="BQ80" s="9">
        <v>0</v>
      </c>
      <c r="BR80" s="9">
        <v>4.6185518636585714</v>
      </c>
      <c r="BS80" s="9">
        <v>25.620190237990872</v>
      </c>
      <c r="BT80" s="9">
        <v>2.1648368145372978</v>
      </c>
      <c r="BU80" s="9">
        <v>9.7003205662155104E-3</v>
      </c>
      <c r="BV80" s="9">
        <v>0</v>
      </c>
      <c r="BW80" s="9">
        <v>2.801498972260966</v>
      </c>
      <c r="BX80" s="9">
        <v>0</v>
      </c>
      <c r="BY80" s="9">
        <v>2.8611959211792324</v>
      </c>
      <c r="BZ80" s="9">
        <v>24.322848575618917</v>
      </c>
      <c r="CA80" s="9">
        <v>0</v>
      </c>
      <c r="CB80" s="11">
        <v>1.7844079192988458</v>
      </c>
      <c r="CC80" s="12"/>
      <c r="CD80" s="12"/>
      <c r="CE80" s="12"/>
    </row>
    <row r="81" spans="1:83" x14ac:dyDescent="0.35">
      <c r="A81" s="8" t="s">
        <v>117</v>
      </c>
      <c r="B81" s="8" t="s">
        <v>197</v>
      </c>
      <c r="C81" s="8"/>
      <c r="D81" s="9">
        <v>27.06190476190476</v>
      </c>
      <c r="E81" s="9">
        <v>72.938095238095244</v>
      </c>
      <c r="F81" s="9">
        <v>98.506459670462192</v>
      </c>
      <c r="G81" s="9">
        <v>1.4935403295377976</v>
      </c>
      <c r="H81" s="9">
        <v>22.340272036075664</v>
      </c>
      <c r="I81" s="9">
        <v>609.14803347727593</v>
      </c>
      <c r="J81" s="9">
        <v>53.237879001486327</v>
      </c>
      <c r="K81" s="9">
        <v>53.237879001486327</v>
      </c>
      <c r="L81" s="9">
        <v>0</v>
      </c>
      <c r="M81" s="9">
        <v>2.3511466374778776E-2</v>
      </c>
      <c r="N81" s="9">
        <v>1.0606060606060607E-2</v>
      </c>
      <c r="O81" s="9">
        <v>0</v>
      </c>
      <c r="P81" s="9">
        <v>7.8243204512864679</v>
      </c>
      <c r="Q81" s="9">
        <v>6.8303661276095148E-2</v>
      </c>
      <c r="R81" s="9">
        <v>1.1087369279086459</v>
      </c>
      <c r="S81" s="9">
        <v>0.18468537563492263</v>
      </c>
      <c r="T81" s="9">
        <v>36.306818449430295</v>
      </c>
      <c r="U81" s="9">
        <v>4.2628787050976016E-2</v>
      </c>
      <c r="V81" s="9">
        <v>0.22979635194648088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7.4863371643426463E-4</v>
      </c>
      <c r="AL81" s="10">
        <v>0</v>
      </c>
      <c r="AM81" s="10">
        <v>0</v>
      </c>
      <c r="AN81" s="10">
        <v>0</v>
      </c>
      <c r="AO81" s="10">
        <v>0</v>
      </c>
      <c r="AP81" s="10">
        <v>8.8281567767763656E-3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1.8324852783522645E-7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3.1670674521982399E-4</v>
      </c>
      <c r="BF81" s="10">
        <v>0</v>
      </c>
      <c r="BG81" s="9">
        <v>0</v>
      </c>
      <c r="BH81" s="9">
        <v>0</v>
      </c>
      <c r="BI81" s="9">
        <v>1.8344155844155841</v>
      </c>
      <c r="BJ81" s="9">
        <v>0.69805194805194815</v>
      </c>
      <c r="BK81" s="9">
        <v>0</v>
      </c>
      <c r="BL81" s="9">
        <v>0</v>
      </c>
      <c r="BM81" s="9">
        <v>0</v>
      </c>
      <c r="BN81" s="9">
        <v>0</v>
      </c>
      <c r="BO81" s="9">
        <v>6.4714743073636729</v>
      </c>
      <c r="BP81" s="9">
        <v>31.0431119445444</v>
      </c>
      <c r="BQ81" s="9">
        <v>0</v>
      </c>
      <c r="BR81" s="9">
        <v>60.74580604008564</v>
      </c>
      <c r="BS81" s="9">
        <v>22.094250180013457</v>
      </c>
      <c r="BT81" s="9">
        <v>1.8161213428033305</v>
      </c>
      <c r="BU81" s="9">
        <v>0.10443722943722943</v>
      </c>
      <c r="BV81" s="9">
        <v>0.15476190476190477</v>
      </c>
      <c r="BW81" s="9">
        <v>8.2792207792207792E-2</v>
      </c>
      <c r="BX81" s="9">
        <v>2.9707792207792211E-2</v>
      </c>
      <c r="BY81" s="9">
        <v>2.2023809523809526</v>
      </c>
      <c r="BZ81" s="9">
        <v>22.693371461452838</v>
      </c>
      <c r="CA81" s="9">
        <v>0</v>
      </c>
      <c r="CB81" s="11">
        <v>58.087706751887467</v>
      </c>
      <c r="CC81" s="12"/>
      <c r="CD81" s="12"/>
      <c r="CE81" s="12"/>
    </row>
    <row r="82" spans="1:83" x14ac:dyDescent="0.35">
      <c r="A82" s="8" t="s">
        <v>117</v>
      </c>
      <c r="B82" s="8" t="s">
        <v>198</v>
      </c>
      <c r="C82" s="8"/>
      <c r="D82" s="9">
        <v>27.06190476190476</v>
      </c>
      <c r="E82" s="9">
        <v>72.938095238095244</v>
      </c>
      <c r="F82" s="9">
        <v>98.506459670462192</v>
      </c>
      <c r="G82" s="9">
        <v>1.4935403295377976</v>
      </c>
      <c r="H82" s="9">
        <v>22.340272036075664</v>
      </c>
      <c r="I82" s="9">
        <v>609.14803347727593</v>
      </c>
      <c r="J82" s="9">
        <v>53.237879001486327</v>
      </c>
      <c r="K82" s="9">
        <v>53.237879001486327</v>
      </c>
      <c r="L82" s="9">
        <v>0</v>
      </c>
      <c r="M82" s="9">
        <v>2.3511466374778776E-2</v>
      </c>
      <c r="N82" s="9">
        <v>1.0606060606060607E-2</v>
      </c>
      <c r="O82" s="9">
        <v>0</v>
      </c>
      <c r="P82" s="9">
        <v>7.8243204512864679</v>
      </c>
      <c r="Q82" s="9">
        <v>6.8303661276095148E-2</v>
      </c>
      <c r="R82" s="9">
        <v>1.1087369279086459</v>
      </c>
      <c r="S82" s="9">
        <v>0.18468537563492263</v>
      </c>
      <c r="T82" s="9">
        <v>36.306818449430295</v>
      </c>
      <c r="U82" s="9">
        <v>4.2628787050976016E-2</v>
      </c>
      <c r="V82" s="9">
        <v>0.22979635194648088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7.4863371643426463E-4</v>
      </c>
      <c r="AL82" s="10">
        <v>0</v>
      </c>
      <c r="AM82" s="10">
        <v>0</v>
      </c>
      <c r="AN82" s="10">
        <v>0</v>
      </c>
      <c r="AO82" s="10">
        <v>0</v>
      </c>
      <c r="AP82" s="10">
        <v>8.8281567767763656E-3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1.8324852783522645E-7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3.1670674521982399E-4</v>
      </c>
      <c r="BF82" s="10">
        <v>0</v>
      </c>
      <c r="BG82" s="9">
        <v>0</v>
      </c>
      <c r="BH82" s="9">
        <v>0</v>
      </c>
      <c r="BI82" s="9">
        <v>1.8344155844155841</v>
      </c>
      <c r="BJ82" s="9">
        <v>0.69805194805194815</v>
      </c>
      <c r="BK82" s="9">
        <v>0</v>
      </c>
      <c r="BL82" s="9">
        <v>0</v>
      </c>
      <c r="BM82" s="9">
        <v>0</v>
      </c>
      <c r="BN82" s="9">
        <v>0</v>
      </c>
      <c r="BO82" s="9">
        <v>6.4714743073636729</v>
      </c>
      <c r="BP82" s="9">
        <v>31.0431119445444</v>
      </c>
      <c r="BQ82" s="9">
        <v>0</v>
      </c>
      <c r="BR82" s="9">
        <v>60.74580604008564</v>
      </c>
      <c r="BS82" s="9">
        <v>22.094250180013457</v>
      </c>
      <c r="BT82" s="9">
        <v>1.8161213428033305</v>
      </c>
      <c r="BU82" s="9">
        <v>0.10443722943722943</v>
      </c>
      <c r="BV82" s="9">
        <v>0.15476190476190477</v>
      </c>
      <c r="BW82" s="9">
        <v>8.2792207792207792E-2</v>
      </c>
      <c r="BX82" s="9">
        <v>2.9707792207792211E-2</v>
      </c>
      <c r="BY82" s="9">
        <v>2.2023809523809526</v>
      </c>
      <c r="BZ82" s="9">
        <v>22.693371461452838</v>
      </c>
      <c r="CA82" s="9">
        <v>0</v>
      </c>
      <c r="CB82" s="11">
        <v>58.087706751887467</v>
      </c>
      <c r="CC82" s="12"/>
      <c r="CD82" s="12"/>
      <c r="CE82" s="12"/>
    </row>
    <row r="83" spans="1:83" x14ac:dyDescent="0.35">
      <c r="A83" s="8" t="s">
        <v>117</v>
      </c>
      <c r="B83" s="8" t="s">
        <v>199</v>
      </c>
      <c r="C83" s="8"/>
      <c r="D83" s="9">
        <v>32.968965517241365</v>
      </c>
      <c r="E83" s="9">
        <v>67.036206896551732</v>
      </c>
      <c r="F83" s="9">
        <v>96.988107433099415</v>
      </c>
      <c r="G83" s="9">
        <v>3.0118925669005536</v>
      </c>
      <c r="H83" s="9">
        <v>16.725718261439166</v>
      </c>
      <c r="I83" s="9">
        <v>455.23846524921248</v>
      </c>
      <c r="J83" s="9">
        <v>44.184945119019609</v>
      </c>
      <c r="K83" s="9">
        <v>44.180161139709391</v>
      </c>
      <c r="L83" s="9">
        <v>0</v>
      </c>
      <c r="M83" s="9">
        <v>7.3493469124525646E-2</v>
      </c>
      <c r="N83" s="9">
        <v>0.37019566022037054</v>
      </c>
      <c r="O83" s="9">
        <v>0</v>
      </c>
      <c r="P83" s="9">
        <v>6.4675673426434512</v>
      </c>
      <c r="Q83" s="9">
        <v>0.32265143857352002</v>
      </c>
      <c r="R83" s="9">
        <v>2.0823949544142404</v>
      </c>
      <c r="S83" s="9">
        <v>0.69363701990855653</v>
      </c>
      <c r="T83" s="9">
        <v>44.220651207553558</v>
      </c>
      <c r="U83" s="9">
        <v>0.2138501403471661</v>
      </c>
      <c r="V83" s="9">
        <v>0.42728021343552869</v>
      </c>
      <c r="W83" s="10">
        <v>0</v>
      </c>
      <c r="X83" s="10">
        <v>0</v>
      </c>
      <c r="Y83" s="10">
        <v>0</v>
      </c>
      <c r="Z83" s="10">
        <v>3.1463692659955606E-7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3.599843191888662E-6</v>
      </c>
      <c r="AH83" s="10">
        <v>9.6809217155755221E-7</v>
      </c>
      <c r="AI83" s="10">
        <v>6.3290081578101622E-6</v>
      </c>
      <c r="AJ83" s="10">
        <v>2.15391403276687E-4</v>
      </c>
      <c r="AK83" s="10">
        <v>2.5666212717985878E-3</v>
      </c>
      <c r="AL83" s="10">
        <v>0</v>
      </c>
      <c r="AM83" s="10">
        <v>2.1705884729804277E-7</v>
      </c>
      <c r="AN83" s="10">
        <v>0</v>
      </c>
      <c r="AO83" s="10">
        <v>0</v>
      </c>
      <c r="AP83" s="10">
        <v>6.4676330188771544E-2</v>
      </c>
      <c r="AQ83" s="10">
        <v>1.2080549843672605E-3</v>
      </c>
      <c r="AR83" s="10">
        <v>2.329489543058888E-6</v>
      </c>
      <c r="AS83" s="10">
        <v>1.6948590030614297E-5</v>
      </c>
      <c r="AT83" s="10">
        <v>1.592555586949305E-6</v>
      </c>
      <c r="AU83" s="10">
        <v>0</v>
      </c>
      <c r="AV83" s="10">
        <v>0</v>
      </c>
      <c r="AW83" s="10">
        <v>0</v>
      </c>
      <c r="AX83" s="10">
        <v>4.4548888794132042E-6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1.7044467273238536E-3</v>
      </c>
      <c r="BF83" s="10">
        <v>0</v>
      </c>
      <c r="BG83" s="9">
        <v>0</v>
      </c>
      <c r="BH83" s="9">
        <v>0</v>
      </c>
      <c r="BI83" s="9">
        <v>0.9279427658495818</v>
      </c>
      <c r="BJ83" s="9">
        <v>38.667919688180987</v>
      </c>
      <c r="BK83" s="9">
        <v>6.2041690897308543E-2</v>
      </c>
      <c r="BL83" s="9">
        <v>0</v>
      </c>
      <c r="BM83" s="9">
        <v>0</v>
      </c>
      <c r="BN83" s="9">
        <v>6.8309743701841629E-3</v>
      </c>
      <c r="BO83" s="9">
        <v>12.032971367347393</v>
      </c>
      <c r="BP83" s="9">
        <v>4.8932666696320277</v>
      </c>
      <c r="BQ83" s="9">
        <v>0</v>
      </c>
      <c r="BR83" s="9">
        <v>80.070292656469107</v>
      </c>
      <c r="BS83" s="9">
        <v>17.967090086102974</v>
      </c>
      <c r="BT83" s="9">
        <v>1.4079392836453175</v>
      </c>
      <c r="BU83" s="9">
        <v>0.11576013952745297</v>
      </c>
      <c r="BV83" s="9">
        <v>0.14383705822171938</v>
      </c>
      <c r="BW83" s="9">
        <v>0</v>
      </c>
      <c r="BX83" s="9">
        <v>0.35418316311424114</v>
      </c>
      <c r="BY83" s="9">
        <v>1.5411645507094203</v>
      </c>
      <c r="BZ83" s="9">
        <v>16.619467481197741</v>
      </c>
      <c r="CA83" s="9">
        <v>0</v>
      </c>
      <c r="CB83" s="11">
        <v>39.783353915958543</v>
      </c>
      <c r="CC83" s="12"/>
      <c r="CD83" s="12"/>
      <c r="CE83" s="12"/>
    </row>
    <row r="84" spans="1:83" x14ac:dyDescent="0.35">
      <c r="A84" s="8" t="s">
        <v>117</v>
      </c>
      <c r="B84" s="8" t="s">
        <v>200</v>
      </c>
      <c r="C84" s="8"/>
      <c r="D84" s="9">
        <v>66.202912621359218</v>
      </c>
      <c r="E84" s="9">
        <v>33.798058252427197</v>
      </c>
      <c r="F84" s="9">
        <v>92.968983887923017</v>
      </c>
      <c r="G84" s="9">
        <v>7.0310161120770003</v>
      </c>
      <c r="H84" s="9">
        <v>22.615822116722924</v>
      </c>
      <c r="I84" s="9">
        <v>637.22466532266355</v>
      </c>
      <c r="J84" s="9">
        <v>51.994318583900387</v>
      </c>
      <c r="K84" s="9">
        <v>51.994318583900387</v>
      </c>
      <c r="L84" s="9">
        <v>0</v>
      </c>
      <c r="M84" s="9">
        <v>0.16468926774053583</v>
      </c>
      <c r="N84" s="9">
        <v>0.65576274503828513</v>
      </c>
      <c r="O84" s="9">
        <v>0</v>
      </c>
      <c r="P84" s="9">
        <v>7.6957419113351051</v>
      </c>
      <c r="Q84" s="9">
        <v>0.88560018197049428</v>
      </c>
      <c r="R84" s="9">
        <v>9.5722511230576295</v>
      </c>
      <c r="S84" s="9">
        <v>1.4729050706105946</v>
      </c>
      <c r="T84" s="9">
        <v>23.152164347187469</v>
      </c>
      <c r="U84" s="9">
        <v>0.58869337100455965</v>
      </c>
      <c r="V84" s="9">
        <v>2.0459001512302719</v>
      </c>
      <c r="W84" s="10">
        <v>0</v>
      </c>
      <c r="X84" s="10">
        <v>0</v>
      </c>
      <c r="Y84" s="10">
        <v>0</v>
      </c>
      <c r="Z84" s="10">
        <v>5.3879146335094631E-4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7.3862208370817171E-7</v>
      </c>
      <c r="AH84" s="10">
        <v>5.4310475275788635E-7</v>
      </c>
      <c r="AI84" s="10">
        <v>8.5358555455596532E-6</v>
      </c>
      <c r="AJ84" s="10">
        <v>1.8622347556451142E-4</v>
      </c>
      <c r="AK84" s="10">
        <v>2.5066900550972599E-3</v>
      </c>
      <c r="AL84" s="10">
        <v>0</v>
      </c>
      <c r="AM84" s="10">
        <v>1.7825965946621266E-5</v>
      </c>
      <c r="AN84" s="10">
        <v>0</v>
      </c>
      <c r="AO84" s="10">
        <v>0</v>
      </c>
      <c r="AP84" s="10">
        <v>6.2427402725230743E-2</v>
      </c>
      <c r="AQ84" s="10">
        <v>9.547776800003761E-5</v>
      </c>
      <c r="AR84" s="10">
        <v>6.4533983472468245E-6</v>
      </c>
      <c r="AS84" s="10">
        <v>5.8547830720421601E-6</v>
      </c>
      <c r="AT84" s="10">
        <v>4.6117495534586013E-6</v>
      </c>
      <c r="AU84" s="10">
        <v>0</v>
      </c>
      <c r="AV84" s="10">
        <v>0</v>
      </c>
      <c r="AW84" s="10">
        <v>0</v>
      </c>
      <c r="AX84" s="10">
        <v>8.3301475482940084E-5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2.1284950781373262E-3</v>
      </c>
      <c r="BF84" s="10">
        <v>0</v>
      </c>
      <c r="BG84" s="9">
        <v>0</v>
      </c>
      <c r="BH84" s="9">
        <v>0</v>
      </c>
      <c r="BI84" s="9">
        <v>0.54483072028941393</v>
      </c>
      <c r="BJ84" s="9">
        <v>0.1930470694892476</v>
      </c>
      <c r="BK84" s="9">
        <v>0</v>
      </c>
      <c r="BL84" s="9">
        <v>0</v>
      </c>
      <c r="BM84" s="9">
        <v>0</v>
      </c>
      <c r="BN84" s="9">
        <v>0</v>
      </c>
      <c r="BO84" s="9">
        <v>57.616189952405001</v>
      </c>
      <c r="BP84" s="9">
        <v>26.667287214472054</v>
      </c>
      <c r="BQ84" s="9">
        <v>0</v>
      </c>
      <c r="BR84" s="9">
        <v>7.8909457856301941</v>
      </c>
      <c r="BS84" s="9">
        <v>23.729417030085326</v>
      </c>
      <c r="BT84" s="9">
        <v>1.9778393442754385</v>
      </c>
      <c r="BU84" s="9">
        <v>4.5631509678553846E-2</v>
      </c>
      <c r="BV84" s="9">
        <v>4.9678482326361427E-2</v>
      </c>
      <c r="BW84" s="9">
        <v>7.1294471945044638E-2</v>
      </c>
      <c r="BX84" s="9">
        <v>0</v>
      </c>
      <c r="BY84" s="9">
        <v>1.2652197058916759</v>
      </c>
      <c r="BZ84" s="9">
        <v>21.106569589944296</v>
      </c>
      <c r="CA84" s="9">
        <v>0</v>
      </c>
      <c r="CB84" s="11">
        <v>7.7810244673173328</v>
      </c>
      <c r="CC84" s="12"/>
      <c r="CD84" s="12"/>
      <c r="CE84" s="12"/>
    </row>
    <row r="85" spans="1:83" x14ac:dyDescent="0.35">
      <c r="A85" s="8" t="s">
        <v>117</v>
      </c>
      <c r="B85" s="8" t="s">
        <v>201</v>
      </c>
      <c r="C85" s="8"/>
      <c r="D85" s="9">
        <v>77.204545454545467</v>
      </c>
      <c r="E85" s="9">
        <v>22.804545454545451</v>
      </c>
      <c r="F85" s="9">
        <v>90.496781101232528</v>
      </c>
      <c r="G85" s="9">
        <v>9.5032188987674786</v>
      </c>
      <c r="H85" s="9">
        <v>18.579798263872231</v>
      </c>
      <c r="I85" s="9">
        <v>528.82270224991487</v>
      </c>
      <c r="J85" s="9">
        <v>44.751045263773022</v>
      </c>
      <c r="K85" s="9">
        <v>44.751045263773022</v>
      </c>
      <c r="L85" s="9">
        <v>0</v>
      </c>
      <c r="M85" s="9">
        <v>0.27578131885295043</v>
      </c>
      <c r="N85" s="9">
        <v>1.3147819191839967</v>
      </c>
      <c r="O85" s="9">
        <v>0</v>
      </c>
      <c r="P85" s="9">
        <v>6.775433544398032</v>
      </c>
      <c r="Q85" s="9">
        <v>0.64099551662492316</v>
      </c>
      <c r="R85" s="9">
        <v>12.422530511506316</v>
      </c>
      <c r="S85" s="9">
        <v>2.5794562827103764</v>
      </c>
      <c r="T85" s="9">
        <v>25.350633303555334</v>
      </c>
      <c r="U85" s="9">
        <v>0.68945284124185779</v>
      </c>
      <c r="V85" s="9">
        <v>2.7515696502839959</v>
      </c>
      <c r="W85" s="10">
        <v>0</v>
      </c>
      <c r="X85" s="10">
        <v>0</v>
      </c>
      <c r="Y85" s="10">
        <v>0</v>
      </c>
      <c r="Z85" s="10">
        <v>1.9625013959935875E-3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5.1342237652976512E-5</v>
      </c>
      <c r="AH85" s="10">
        <v>3.7180512795649401E-6</v>
      </c>
      <c r="AI85" s="10">
        <v>2.7093663038196568E-5</v>
      </c>
      <c r="AJ85" s="10">
        <v>4.6566357081346864E-3</v>
      </c>
      <c r="AK85" s="10">
        <v>1.0751868835486185E-2</v>
      </c>
      <c r="AL85" s="10">
        <v>0</v>
      </c>
      <c r="AM85" s="10">
        <v>1.1483195867662394E-5</v>
      </c>
      <c r="AN85" s="10">
        <v>0</v>
      </c>
      <c r="AO85" s="10">
        <v>0</v>
      </c>
      <c r="AP85" s="10">
        <v>0.19120496955171581</v>
      </c>
      <c r="AQ85" s="10">
        <v>4.517348742623554E-4</v>
      </c>
      <c r="AR85" s="10">
        <v>3.5151758438998782E-5</v>
      </c>
      <c r="AS85" s="10">
        <v>6.0497500609664257E-5</v>
      </c>
      <c r="AT85" s="10">
        <v>4.4014335607874671E-5</v>
      </c>
      <c r="AU85" s="10">
        <v>0</v>
      </c>
      <c r="AV85" s="10">
        <v>0</v>
      </c>
      <c r="AW85" s="10">
        <v>0</v>
      </c>
      <c r="AX85" s="10">
        <v>1.4379302251716524E-4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3.6544183436525851E-2</v>
      </c>
      <c r="BF85" s="10">
        <v>0</v>
      </c>
      <c r="BG85" s="9">
        <v>0</v>
      </c>
      <c r="BH85" s="9">
        <v>0</v>
      </c>
      <c r="BI85" s="9">
        <v>0</v>
      </c>
      <c r="BJ85" s="9">
        <v>3.0070836144491477</v>
      </c>
      <c r="BK85" s="9">
        <v>0</v>
      </c>
      <c r="BL85" s="9">
        <v>0</v>
      </c>
      <c r="BM85" s="9">
        <v>0</v>
      </c>
      <c r="BN85" s="9">
        <v>0</v>
      </c>
      <c r="BO85" s="9">
        <v>77.489099134531401</v>
      </c>
      <c r="BP85" s="9">
        <v>6.725165322073531</v>
      </c>
      <c r="BQ85" s="9">
        <v>0</v>
      </c>
      <c r="BR85" s="9">
        <v>6.2825166446275782</v>
      </c>
      <c r="BS85" s="9">
        <v>21.364480269525789</v>
      </c>
      <c r="BT85" s="9">
        <v>1.7439470986561008</v>
      </c>
      <c r="BU85" s="9">
        <v>0</v>
      </c>
      <c r="BV85" s="9">
        <v>0</v>
      </c>
      <c r="BW85" s="9">
        <v>0</v>
      </c>
      <c r="BX85" s="9">
        <v>0</v>
      </c>
      <c r="BY85" s="9">
        <v>0.31168831168831174</v>
      </c>
      <c r="BZ85" s="9">
        <v>16.726891307542161</v>
      </c>
      <c r="CA85" s="9">
        <v>0</v>
      </c>
      <c r="CB85" s="11">
        <v>3.2754330301784309</v>
      </c>
      <c r="CC85" s="12"/>
      <c r="CD85" s="12"/>
      <c r="CE85" s="12"/>
    </row>
    <row r="86" spans="1:83" x14ac:dyDescent="0.35">
      <c r="A86" s="8" t="s">
        <v>117</v>
      </c>
      <c r="B86" s="8" t="s">
        <v>202</v>
      </c>
      <c r="C86" s="8"/>
      <c r="D86" s="9">
        <v>99.5</v>
      </c>
      <c r="E86" s="9">
        <v>0.5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12"/>
      <c r="CD86" s="12"/>
      <c r="CE86" s="12"/>
    </row>
    <row r="87" spans="1:83" x14ac:dyDescent="0.35">
      <c r="A87" s="8" t="s">
        <v>117</v>
      </c>
      <c r="B87" s="8" t="s">
        <v>203</v>
      </c>
      <c r="C87" s="8"/>
      <c r="D87" s="9">
        <v>74.688000000000002</v>
      </c>
      <c r="E87" s="9">
        <v>25.312000000000001</v>
      </c>
      <c r="F87" s="9">
        <v>96.102185247294187</v>
      </c>
      <c r="G87" s="9">
        <v>3.8978147527058025</v>
      </c>
      <c r="H87" s="9">
        <v>15.859009791161208</v>
      </c>
      <c r="I87" s="9">
        <v>446.15109026955054</v>
      </c>
      <c r="J87" s="9">
        <v>42.273287215213848</v>
      </c>
      <c r="K87" s="9">
        <v>42.273287215213848</v>
      </c>
      <c r="L87" s="9">
        <v>0</v>
      </c>
      <c r="M87" s="9">
        <v>0.39405575859087688</v>
      </c>
      <c r="N87" s="9">
        <v>7.9934943180861223E-2</v>
      </c>
      <c r="O87" s="9">
        <v>0</v>
      </c>
      <c r="P87" s="9">
        <v>6.4324357543827144</v>
      </c>
      <c r="Q87" s="9">
        <v>0.5557473903316964</v>
      </c>
      <c r="R87" s="9">
        <v>0.78639193412608255</v>
      </c>
      <c r="S87" s="9">
        <v>0.3833529645406128</v>
      </c>
      <c r="T87" s="9">
        <v>46.557504889981793</v>
      </c>
      <c r="U87" s="9">
        <v>0.14365654345712561</v>
      </c>
      <c r="V87" s="9">
        <v>0.16949381719182086</v>
      </c>
      <c r="W87" s="10">
        <v>0</v>
      </c>
      <c r="X87" s="10">
        <v>0</v>
      </c>
      <c r="Y87" s="10">
        <v>0</v>
      </c>
      <c r="Z87" s="10">
        <v>2.5748448466564744E-6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1.0269712399583687E-6</v>
      </c>
      <c r="AH87" s="10">
        <v>8.7623220153340631E-8</v>
      </c>
      <c r="AI87" s="10">
        <v>7.8778762228426935E-6</v>
      </c>
      <c r="AJ87" s="10">
        <v>2.7699150802317136E-4</v>
      </c>
      <c r="AK87" s="10">
        <v>2.0802152806872645E-3</v>
      </c>
      <c r="AL87" s="10">
        <v>0</v>
      </c>
      <c r="AM87" s="10">
        <v>4.9688031501224134E-7</v>
      </c>
      <c r="AN87" s="10">
        <v>0</v>
      </c>
      <c r="AO87" s="10">
        <v>0</v>
      </c>
      <c r="AP87" s="10">
        <v>4.5887912730262236E-2</v>
      </c>
      <c r="AQ87" s="10">
        <v>4.946452288768471E-4</v>
      </c>
      <c r="AR87" s="10">
        <v>4.3811610076670314E-7</v>
      </c>
      <c r="AS87" s="10">
        <v>1.9458942354959435E-5</v>
      </c>
      <c r="AT87" s="10">
        <v>2.7464569431869614E-6</v>
      </c>
      <c r="AU87" s="10">
        <v>0</v>
      </c>
      <c r="AV87" s="10">
        <v>0</v>
      </c>
      <c r="AW87" s="10">
        <v>0</v>
      </c>
      <c r="AX87" s="10">
        <v>1.0294790389467366E-6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9.404340312230622E-4</v>
      </c>
      <c r="BF87" s="10">
        <v>0</v>
      </c>
      <c r="BG87" s="9">
        <v>0</v>
      </c>
      <c r="BH87" s="9">
        <v>0</v>
      </c>
      <c r="BI87" s="9">
        <v>2.2367748268237344</v>
      </c>
      <c r="BJ87" s="9">
        <v>1.6559937057435088</v>
      </c>
      <c r="BK87" s="9">
        <v>0</v>
      </c>
      <c r="BL87" s="9">
        <v>0</v>
      </c>
      <c r="BM87" s="9">
        <v>0</v>
      </c>
      <c r="BN87" s="9">
        <v>0</v>
      </c>
      <c r="BO87" s="9">
        <v>4.7732475904113745</v>
      </c>
      <c r="BP87" s="9">
        <v>4.3706715432418415</v>
      </c>
      <c r="BQ87" s="9">
        <v>0</v>
      </c>
      <c r="BR87" s="9">
        <v>85.103282229878403</v>
      </c>
      <c r="BS87" s="9">
        <v>17.26292306179754</v>
      </c>
      <c r="BT87" s="9">
        <v>1.3383030908117768</v>
      </c>
      <c r="BU87" s="9">
        <v>2.3225179853742093</v>
      </c>
      <c r="BV87" s="9">
        <v>2.3900334044433826</v>
      </c>
      <c r="BW87" s="9">
        <v>0.51173983739837392</v>
      </c>
      <c r="BX87" s="9">
        <v>1.7514546440593142</v>
      </c>
      <c r="BY87" s="9">
        <v>43.123702163334919</v>
      </c>
      <c r="BZ87" s="9">
        <v>16.632714843820477</v>
      </c>
      <c r="CA87" s="9">
        <v>0</v>
      </c>
      <c r="CB87" s="11">
        <v>76.089751709798463</v>
      </c>
      <c r="CC87" s="12"/>
      <c r="CD87" s="12"/>
      <c r="CE87" s="12"/>
    </row>
    <row r="88" spans="1:83" x14ac:dyDescent="0.35">
      <c r="A88" s="8" t="s">
        <v>117</v>
      </c>
      <c r="B88" s="8" t="s">
        <v>204</v>
      </c>
      <c r="C88" s="8"/>
      <c r="D88" s="9">
        <v>66.653516139657441</v>
      </c>
      <c r="E88" s="9">
        <v>33.347163208168645</v>
      </c>
      <c r="F88" s="9">
        <v>95.727937171127891</v>
      </c>
      <c r="G88" s="9">
        <v>4.2720628288721167</v>
      </c>
      <c r="H88" s="9">
        <v>24.932416940986311</v>
      </c>
      <c r="I88" s="9">
        <v>681.19962145216937</v>
      </c>
      <c r="J88" s="9">
        <v>56.22503358686042</v>
      </c>
      <c r="K88" s="9">
        <v>56.22503358686042</v>
      </c>
      <c r="L88" s="9">
        <v>0</v>
      </c>
      <c r="M88" s="9">
        <v>2.2841394045917004E-2</v>
      </c>
      <c r="N88" s="9">
        <v>0.30888614410509435</v>
      </c>
      <c r="O88" s="9">
        <v>0</v>
      </c>
      <c r="P88" s="9">
        <v>8.2597340418717238</v>
      </c>
      <c r="Q88" s="9">
        <v>0.90964303124898116</v>
      </c>
      <c r="R88" s="9">
        <v>9.6484749267150427</v>
      </c>
      <c r="S88" s="9">
        <v>0.6793325767717755</v>
      </c>
      <c r="T88" s="9">
        <v>20.940783921754807</v>
      </c>
      <c r="U88" s="9">
        <v>0.59142143020168125</v>
      </c>
      <c r="V88" s="9">
        <v>2.0813818324894315</v>
      </c>
      <c r="W88" s="10">
        <v>0</v>
      </c>
      <c r="X88" s="10">
        <v>0</v>
      </c>
      <c r="Y88" s="10">
        <v>0</v>
      </c>
      <c r="Z88" s="10">
        <v>1.6797171642521304E-6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3.0189408110135711E-6</v>
      </c>
      <c r="AH88" s="10">
        <v>6.009615384615383E-8</v>
      </c>
      <c r="AI88" s="10">
        <v>1.2003900479333514E-5</v>
      </c>
      <c r="AJ88" s="10">
        <v>3.6894717608063987E-4</v>
      </c>
      <c r="AK88" s="10">
        <v>6.4767426103609438E-3</v>
      </c>
      <c r="AL88" s="10">
        <v>0</v>
      </c>
      <c r="AM88" s="10">
        <v>2.3833446778221343E-7</v>
      </c>
      <c r="AN88" s="10">
        <v>0</v>
      </c>
      <c r="AO88" s="10">
        <v>0</v>
      </c>
      <c r="AP88" s="10">
        <v>5.6897587863165358E-2</v>
      </c>
      <c r="AQ88" s="10">
        <v>5.6543736397168081E-5</v>
      </c>
      <c r="AR88" s="10">
        <v>7.984845532786873E-6</v>
      </c>
      <c r="AS88" s="10">
        <v>5.4128818173339706E-6</v>
      </c>
      <c r="AT88" s="10">
        <v>6.2320907382809677E-6</v>
      </c>
      <c r="AU88" s="10">
        <v>0</v>
      </c>
      <c r="AV88" s="10">
        <v>0</v>
      </c>
      <c r="AW88" s="10">
        <v>0</v>
      </c>
      <c r="AX88" s="10">
        <v>2.5594774438840889E-5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1.0330974797039885E-2</v>
      </c>
      <c r="BF88" s="10">
        <v>0</v>
      </c>
      <c r="BG88" s="9">
        <v>0</v>
      </c>
      <c r="BH88" s="9">
        <v>0</v>
      </c>
      <c r="BI88" s="9">
        <v>0</v>
      </c>
      <c r="BJ88" s="9">
        <v>0.29895038131089169</v>
      </c>
      <c r="BK88" s="9">
        <v>0</v>
      </c>
      <c r="BL88" s="9">
        <v>0</v>
      </c>
      <c r="BM88" s="9">
        <v>0</v>
      </c>
      <c r="BN88" s="9">
        <v>0</v>
      </c>
      <c r="BO88" s="9">
        <v>58.615417253908014</v>
      </c>
      <c r="BP88" s="9">
        <v>34.870964767600661</v>
      </c>
      <c r="BQ88" s="9">
        <v>0</v>
      </c>
      <c r="BR88" s="9">
        <v>2.1977612268093978</v>
      </c>
      <c r="BS88" s="9">
        <v>25.595529398772406</v>
      </c>
      <c r="BT88" s="9">
        <v>2.1623978575385907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23.233841935878026</v>
      </c>
      <c r="CA88" s="9">
        <v>0</v>
      </c>
      <c r="CB88" s="11">
        <v>1.942604768308325</v>
      </c>
      <c r="CC88" s="12"/>
      <c r="CD88" s="12"/>
      <c r="CE88" s="12"/>
    </row>
    <row r="89" spans="1:83" x14ac:dyDescent="0.35">
      <c r="A89" s="8" t="s">
        <v>117</v>
      </c>
      <c r="B89" s="8" t="s">
        <v>205</v>
      </c>
      <c r="C89" s="8"/>
      <c r="D89" s="9">
        <v>70.227960526315783</v>
      </c>
      <c r="E89" s="9">
        <v>29.772039473684206</v>
      </c>
      <c r="F89" s="9">
        <v>95.41803566860095</v>
      </c>
      <c r="G89" s="9">
        <v>4.581964331399039</v>
      </c>
      <c r="H89" s="9">
        <v>22.708447352571454</v>
      </c>
      <c r="I89" s="9">
        <v>619.01875777778559</v>
      </c>
      <c r="J89" s="9">
        <v>52.398474278531069</v>
      </c>
      <c r="K89" s="9">
        <v>52.398474278531069</v>
      </c>
      <c r="L89" s="9">
        <v>0</v>
      </c>
      <c r="M89" s="9">
        <v>4.02684080717437E-2</v>
      </c>
      <c r="N89" s="9">
        <v>0.42028073209661848</v>
      </c>
      <c r="O89" s="9">
        <v>0</v>
      </c>
      <c r="P89" s="9">
        <v>7.7949295010311141</v>
      </c>
      <c r="Q89" s="9">
        <v>1.0717609747707986</v>
      </c>
      <c r="R89" s="9">
        <v>11.499410802407761</v>
      </c>
      <c r="S89" s="9">
        <v>0.56749143430372129</v>
      </c>
      <c r="T89" s="9">
        <v>23.039114242710358</v>
      </c>
      <c r="U89" s="9">
        <v>0.70170425040095408</v>
      </c>
      <c r="V89" s="9">
        <v>2.4618293259895974</v>
      </c>
      <c r="W89" s="10">
        <v>0</v>
      </c>
      <c r="X89" s="10">
        <v>0</v>
      </c>
      <c r="Y89" s="10">
        <v>0</v>
      </c>
      <c r="Z89" s="10">
        <v>5.4886108510115323E-7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4.509028524256546E-6</v>
      </c>
      <c r="AH89" s="10">
        <v>0</v>
      </c>
      <c r="AI89" s="10">
        <v>6.8871446066990554E-6</v>
      </c>
      <c r="AJ89" s="10">
        <v>1.6558493835714075E-3</v>
      </c>
      <c r="AK89" s="10">
        <v>1.1143191821064991E-2</v>
      </c>
      <c r="AL89" s="10">
        <v>0</v>
      </c>
      <c r="AM89" s="10">
        <v>9.7425374828873177E-8</v>
      </c>
      <c r="AN89" s="10">
        <v>0</v>
      </c>
      <c r="AO89" s="10">
        <v>0</v>
      </c>
      <c r="AP89" s="10">
        <v>8.2962921951267476E-2</v>
      </c>
      <c r="AQ89" s="10">
        <v>1.3808680203118804E-4</v>
      </c>
      <c r="AR89" s="10">
        <v>1.0313660072802998E-5</v>
      </c>
      <c r="AS89" s="10">
        <v>2.7577633052556632E-6</v>
      </c>
      <c r="AT89" s="10">
        <v>5.8327089019640582E-7</v>
      </c>
      <c r="AU89" s="10">
        <v>0</v>
      </c>
      <c r="AV89" s="10">
        <v>0</v>
      </c>
      <c r="AW89" s="10">
        <v>0</v>
      </c>
      <c r="AX89" s="10">
        <v>5.973575870860651E-5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5.9985215452293475E-3</v>
      </c>
      <c r="BF89" s="10">
        <v>0</v>
      </c>
      <c r="BG89" s="9">
        <v>0</v>
      </c>
      <c r="BH89" s="9">
        <v>0</v>
      </c>
      <c r="BI89" s="9">
        <v>0</v>
      </c>
      <c r="BJ89" s="9">
        <v>8.80515683147262E-2</v>
      </c>
      <c r="BK89" s="9">
        <v>0</v>
      </c>
      <c r="BL89" s="9">
        <v>0</v>
      </c>
      <c r="BM89" s="9">
        <v>0</v>
      </c>
      <c r="BN89" s="9">
        <v>0</v>
      </c>
      <c r="BO89" s="9">
        <v>69.329495865828889</v>
      </c>
      <c r="BP89" s="9">
        <v>23.272781453897878</v>
      </c>
      <c r="BQ89" s="9">
        <v>0</v>
      </c>
      <c r="BR89" s="9">
        <v>2.681347623486106</v>
      </c>
      <c r="BS89" s="9">
        <v>24.360789092021605</v>
      </c>
      <c r="BT89" s="9">
        <v>2.0402820412009368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20.883447893365894</v>
      </c>
      <c r="CA89" s="9">
        <v>0</v>
      </c>
      <c r="CB89" s="11">
        <v>2.7277067805594686</v>
      </c>
      <c r="CC89" s="12"/>
      <c r="CD89" s="12"/>
      <c r="CE89" s="12"/>
    </row>
    <row r="90" spans="1:83" x14ac:dyDescent="0.35">
      <c r="A90" s="8" t="s">
        <v>117</v>
      </c>
      <c r="B90" s="8" t="s">
        <v>206</v>
      </c>
      <c r="C90" s="8"/>
      <c r="D90" s="9">
        <v>32.968965517241365</v>
      </c>
      <c r="E90" s="9">
        <v>67.036206896551732</v>
      </c>
      <c r="F90" s="9">
        <v>96.988107433099415</v>
      </c>
      <c r="G90" s="9">
        <v>3.0118925669005536</v>
      </c>
      <c r="H90" s="9">
        <v>16.725718261439166</v>
      </c>
      <c r="I90" s="9">
        <v>455.23846524921248</v>
      </c>
      <c r="J90" s="9">
        <v>44.184945119019609</v>
      </c>
      <c r="K90" s="9">
        <v>44.180161139709391</v>
      </c>
      <c r="L90" s="9">
        <v>0</v>
      </c>
      <c r="M90" s="9">
        <v>7.3493469124525646E-2</v>
      </c>
      <c r="N90" s="9">
        <v>0.37019566022037054</v>
      </c>
      <c r="O90" s="9">
        <v>0</v>
      </c>
      <c r="P90" s="9">
        <v>6.4675673426434512</v>
      </c>
      <c r="Q90" s="9">
        <v>0.32265143857352002</v>
      </c>
      <c r="R90" s="9">
        <v>2.0823949544142404</v>
      </c>
      <c r="S90" s="9">
        <v>0.69363701990855653</v>
      </c>
      <c r="T90" s="9">
        <v>44.220651207553558</v>
      </c>
      <c r="U90" s="9">
        <v>0.2138501403471661</v>
      </c>
      <c r="V90" s="9">
        <v>0.42728021343552869</v>
      </c>
      <c r="W90" s="10">
        <v>0</v>
      </c>
      <c r="X90" s="10">
        <v>0</v>
      </c>
      <c r="Y90" s="10">
        <v>0</v>
      </c>
      <c r="Z90" s="10">
        <v>3.1463692659955606E-7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3.599843191888662E-6</v>
      </c>
      <c r="AH90" s="10">
        <v>9.6809217155755221E-7</v>
      </c>
      <c r="AI90" s="10">
        <v>6.3290081578101622E-6</v>
      </c>
      <c r="AJ90" s="10">
        <v>2.15391403276687E-4</v>
      </c>
      <c r="AK90" s="10">
        <v>2.5666212717985878E-3</v>
      </c>
      <c r="AL90" s="10">
        <v>0</v>
      </c>
      <c r="AM90" s="10">
        <v>2.1705884729804277E-7</v>
      </c>
      <c r="AN90" s="10">
        <v>0</v>
      </c>
      <c r="AO90" s="10">
        <v>0</v>
      </c>
      <c r="AP90" s="10">
        <v>6.4676330188771544E-2</v>
      </c>
      <c r="AQ90" s="10">
        <v>1.2080549843672605E-3</v>
      </c>
      <c r="AR90" s="10">
        <v>2.329489543058888E-6</v>
      </c>
      <c r="AS90" s="10">
        <v>1.6948590030614297E-5</v>
      </c>
      <c r="AT90" s="10">
        <v>1.592555586949305E-6</v>
      </c>
      <c r="AU90" s="10">
        <v>0</v>
      </c>
      <c r="AV90" s="10">
        <v>0</v>
      </c>
      <c r="AW90" s="10">
        <v>0</v>
      </c>
      <c r="AX90" s="10">
        <v>4.4548888794132042E-6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1.7044467273238536E-3</v>
      </c>
      <c r="BF90" s="10">
        <v>0</v>
      </c>
      <c r="BG90" s="9">
        <v>0</v>
      </c>
      <c r="BH90" s="9">
        <v>0</v>
      </c>
      <c r="BI90" s="9">
        <v>0.9279427658495818</v>
      </c>
      <c r="BJ90" s="9">
        <v>38.667919688180987</v>
      </c>
      <c r="BK90" s="9">
        <v>6.2041690897308543E-2</v>
      </c>
      <c r="BL90" s="9">
        <v>0</v>
      </c>
      <c r="BM90" s="9">
        <v>0</v>
      </c>
      <c r="BN90" s="9">
        <v>6.8309743701841629E-3</v>
      </c>
      <c r="BO90" s="9">
        <v>12.032971367347393</v>
      </c>
      <c r="BP90" s="9">
        <v>4.8932666696320277</v>
      </c>
      <c r="BQ90" s="9">
        <v>0</v>
      </c>
      <c r="BR90" s="9">
        <v>80.070292656469107</v>
      </c>
      <c r="BS90" s="9">
        <v>17.967090086102974</v>
      </c>
      <c r="BT90" s="9">
        <v>1.4079392836453175</v>
      </c>
      <c r="BU90" s="9">
        <v>0.11576013952745297</v>
      </c>
      <c r="BV90" s="9">
        <v>0.14383705822171938</v>
      </c>
      <c r="BW90" s="9">
        <v>0</v>
      </c>
      <c r="BX90" s="9">
        <v>0.35418316311424114</v>
      </c>
      <c r="BY90" s="9">
        <v>1.5411645507094203</v>
      </c>
      <c r="BZ90" s="9">
        <v>16.619467481197741</v>
      </c>
      <c r="CA90" s="9">
        <v>0</v>
      </c>
      <c r="CB90" s="11">
        <v>39.783353915958543</v>
      </c>
      <c r="CC90" s="12"/>
      <c r="CD90" s="12"/>
      <c r="CE90" s="12"/>
    </row>
    <row r="91" spans="1:83" x14ac:dyDescent="0.35">
      <c r="A91" s="8" t="s">
        <v>117</v>
      </c>
      <c r="B91" s="8" t="s">
        <v>207</v>
      </c>
      <c r="C91" s="8"/>
      <c r="D91" s="9">
        <v>86.078496732026153</v>
      </c>
      <c r="E91" s="9">
        <v>13.9221568627451</v>
      </c>
      <c r="F91" s="9">
        <v>92.747355074395756</v>
      </c>
      <c r="G91" s="9">
        <v>7.2526449256042591</v>
      </c>
      <c r="H91" s="9">
        <v>15.980390555797626</v>
      </c>
      <c r="I91" s="9">
        <v>460.21398068707117</v>
      </c>
      <c r="J91" s="9">
        <v>41.685792334417961</v>
      </c>
      <c r="K91" s="9">
        <v>41.288533425097206</v>
      </c>
      <c r="L91" s="9">
        <v>0</v>
      </c>
      <c r="M91" s="9">
        <v>0.29668046270544229</v>
      </c>
      <c r="N91" s="9">
        <v>0</v>
      </c>
      <c r="O91" s="9">
        <v>0</v>
      </c>
      <c r="P91" s="9">
        <v>6.3711668070697911</v>
      </c>
      <c r="Q91" s="9">
        <v>2.5229928077141097</v>
      </c>
      <c r="R91" s="9">
        <v>2.3312928094140619</v>
      </c>
      <c r="S91" s="9">
        <v>0.17581225153748034</v>
      </c>
      <c r="T91" s="9">
        <v>42.142388713690714</v>
      </c>
      <c r="U91" s="9">
        <v>0.37426514269338479</v>
      </c>
      <c r="V91" s="9">
        <v>0.51477163934782377</v>
      </c>
      <c r="W91" s="10">
        <v>0</v>
      </c>
      <c r="X91" s="10">
        <v>0</v>
      </c>
      <c r="Y91" s="10">
        <v>0</v>
      </c>
      <c r="Z91" s="10">
        <v>4.7401981868776447E-6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9.2706964491920056E-6</v>
      </c>
      <c r="AH91" s="10">
        <v>6.0518034374243525E-8</v>
      </c>
      <c r="AI91" s="10">
        <v>1.1825293360623983E-5</v>
      </c>
      <c r="AJ91" s="10">
        <v>7.4690188578345007E-4</v>
      </c>
      <c r="AK91" s="10">
        <v>5.4930607995985143E-3</v>
      </c>
      <c r="AL91" s="10">
        <v>0</v>
      </c>
      <c r="AM91" s="10">
        <v>1.7313766771843096E-6</v>
      </c>
      <c r="AN91" s="10">
        <v>0</v>
      </c>
      <c r="AO91" s="10">
        <v>0</v>
      </c>
      <c r="AP91" s="10">
        <v>0.13110384348102402</v>
      </c>
      <c r="AQ91" s="10">
        <v>2.2738194359417292E-3</v>
      </c>
      <c r="AR91" s="10">
        <v>2.1191798114252422E-5</v>
      </c>
      <c r="AS91" s="10">
        <v>6.2148879577358961E-5</v>
      </c>
      <c r="AT91" s="10">
        <v>1.24481010422864E-5</v>
      </c>
      <c r="AU91" s="10">
        <v>0</v>
      </c>
      <c r="AV91" s="10">
        <v>0</v>
      </c>
      <c r="AW91" s="10">
        <v>0</v>
      </c>
      <c r="AX91" s="10">
        <v>3.3693231126956826E-6</v>
      </c>
      <c r="AY91" s="10">
        <v>0</v>
      </c>
      <c r="AZ91" s="10">
        <v>1.176470588235294E-5</v>
      </c>
      <c r="BA91" s="10">
        <v>0</v>
      </c>
      <c r="BB91" s="10">
        <v>0</v>
      </c>
      <c r="BC91" s="10">
        <v>0</v>
      </c>
      <c r="BD91" s="10">
        <v>0</v>
      </c>
      <c r="BE91" s="10">
        <v>2.6227500899027906E-3</v>
      </c>
      <c r="BF91" s="10">
        <v>0</v>
      </c>
      <c r="BG91" s="9">
        <v>0</v>
      </c>
      <c r="BH91" s="9">
        <v>0</v>
      </c>
      <c r="BI91" s="9">
        <v>7.5485426365839965</v>
      </c>
      <c r="BJ91" s="9">
        <v>2.568408368966256</v>
      </c>
      <c r="BK91" s="9">
        <v>3.1932247878898905</v>
      </c>
      <c r="BL91" s="9">
        <v>0</v>
      </c>
      <c r="BM91" s="9">
        <v>0</v>
      </c>
      <c r="BN91" s="9">
        <v>0.56724020985986634</v>
      </c>
      <c r="BO91" s="9">
        <v>14.496885655411887</v>
      </c>
      <c r="BP91" s="9">
        <v>5.4158193868812168</v>
      </c>
      <c r="BQ91" s="9">
        <v>0</v>
      </c>
      <c r="BR91" s="9">
        <v>72.705934974170503</v>
      </c>
      <c r="BS91" s="9">
        <v>17.324633005964138</v>
      </c>
      <c r="BT91" s="9">
        <v>1.3439141234078</v>
      </c>
      <c r="BU91" s="9">
        <v>10.652116650668445</v>
      </c>
      <c r="BV91" s="9">
        <v>9.5670009788807455</v>
      </c>
      <c r="BW91" s="9">
        <v>0</v>
      </c>
      <c r="BX91" s="9">
        <v>0</v>
      </c>
      <c r="BY91" s="9">
        <v>30.656864770789191</v>
      </c>
      <c r="BZ91" s="9">
        <v>15.06099429914712</v>
      </c>
      <c r="CA91" s="9">
        <v>0</v>
      </c>
      <c r="CB91" s="11">
        <v>38.738116399253443</v>
      </c>
      <c r="CC91" s="12"/>
      <c r="CD91" s="12"/>
      <c r="CE91" s="12"/>
    </row>
    <row r="92" spans="1:83" x14ac:dyDescent="0.35">
      <c r="A92" s="8" t="s">
        <v>117</v>
      </c>
      <c r="B92" s="8" t="s">
        <v>208</v>
      </c>
      <c r="C92" s="8"/>
      <c r="D92" s="9">
        <v>71.703729037952343</v>
      </c>
      <c r="E92" s="9">
        <v>28.301301853486322</v>
      </c>
      <c r="F92" s="9">
        <v>91.73288249457778</v>
      </c>
      <c r="G92" s="9">
        <v>8.2671175054222399</v>
      </c>
      <c r="H92" s="9">
        <v>20.597810190297579</v>
      </c>
      <c r="I92" s="9">
        <v>583.02368378628921</v>
      </c>
      <c r="J92" s="9">
        <v>48.372681923836709</v>
      </c>
      <c r="K92" s="9">
        <v>48.372681923836709</v>
      </c>
      <c r="L92" s="9">
        <v>0</v>
      </c>
      <c r="M92" s="9">
        <v>0.22023529329674313</v>
      </c>
      <c r="N92" s="9">
        <v>0.98527233211114096</v>
      </c>
      <c r="O92" s="9">
        <v>0</v>
      </c>
      <c r="P92" s="9">
        <v>7.2355877278665686</v>
      </c>
      <c r="Q92" s="9">
        <v>0.76329784929770872</v>
      </c>
      <c r="R92" s="9">
        <v>10.997390817281973</v>
      </c>
      <c r="S92" s="9">
        <v>2.0261806766604855</v>
      </c>
      <c r="T92" s="9">
        <v>24.251398825371403</v>
      </c>
      <c r="U92" s="9">
        <v>0.63907310612320867</v>
      </c>
      <c r="V92" s="9">
        <v>2.3987349007571339</v>
      </c>
      <c r="W92" s="10">
        <v>0</v>
      </c>
      <c r="X92" s="10">
        <v>0</v>
      </c>
      <c r="Y92" s="10">
        <v>0</v>
      </c>
      <c r="Z92" s="10">
        <v>1.250646429672267E-3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2.6040429868342343E-5</v>
      </c>
      <c r="AH92" s="10">
        <v>2.1305780161614134E-6</v>
      </c>
      <c r="AI92" s="10">
        <v>1.781475929187811E-5</v>
      </c>
      <c r="AJ92" s="10">
        <v>2.421429591849599E-3</v>
      </c>
      <c r="AK92" s="10">
        <v>6.629279445291722E-3</v>
      </c>
      <c r="AL92" s="10">
        <v>0</v>
      </c>
      <c r="AM92" s="10">
        <v>1.4654580907141829E-5</v>
      </c>
      <c r="AN92" s="10">
        <v>0</v>
      </c>
      <c r="AO92" s="10">
        <v>0</v>
      </c>
      <c r="AP92" s="10">
        <v>0.12681618613847329</v>
      </c>
      <c r="AQ92" s="10">
        <v>2.7360632113119653E-4</v>
      </c>
      <c r="AR92" s="10">
        <v>2.0802578393122803E-5</v>
      </c>
      <c r="AS92" s="10">
        <v>3.3176141840853206E-5</v>
      </c>
      <c r="AT92" s="10">
        <v>2.4313042580666636E-5</v>
      </c>
      <c r="AU92" s="10">
        <v>0</v>
      </c>
      <c r="AV92" s="10">
        <v>0</v>
      </c>
      <c r="AW92" s="10">
        <v>0</v>
      </c>
      <c r="AX92" s="10">
        <v>1.1354724900005266E-4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1.9336339257331588E-2</v>
      </c>
      <c r="BF92" s="10">
        <v>0</v>
      </c>
      <c r="BG92" s="9">
        <v>0</v>
      </c>
      <c r="BH92" s="9">
        <v>0</v>
      </c>
      <c r="BI92" s="9">
        <v>0.27241536014470696</v>
      </c>
      <c r="BJ92" s="9">
        <v>1.6000653419691977</v>
      </c>
      <c r="BK92" s="9">
        <v>0</v>
      </c>
      <c r="BL92" s="9">
        <v>0</v>
      </c>
      <c r="BM92" s="9">
        <v>0</v>
      </c>
      <c r="BN92" s="9">
        <v>0</v>
      </c>
      <c r="BO92" s="9">
        <v>67.552644543468205</v>
      </c>
      <c r="BP92" s="9">
        <v>16.696226268272792</v>
      </c>
      <c r="BQ92" s="9">
        <v>0</v>
      </c>
      <c r="BR92" s="9">
        <v>7.0867312151288857</v>
      </c>
      <c r="BS92" s="9">
        <v>22.546948649805557</v>
      </c>
      <c r="BT92" s="9">
        <v>1.8608932214657696</v>
      </c>
      <c r="BU92" s="9">
        <v>2.2815754839276923E-2</v>
      </c>
      <c r="BV92" s="9">
        <v>2.4839241163180713E-2</v>
      </c>
      <c r="BW92" s="9">
        <v>3.5647235972522319E-2</v>
      </c>
      <c r="BX92" s="9">
        <v>0</v>
      </c>
      <c r="BY92" s="9">
        <v>0.78845400878999383</v>
      </c>
      <c r="BZ92" s="9">
        <v>18.91673044874323</v>
      </c>
      <c r="CA92" s="9">
        <v>0</v>
      </c>
      <c r="CB92" s="11">
        <v>5.5282287487478818</v>
      </c>
      <c r="CC92" s="12"/>
      <c r="CD92" s="12"/>
      <c r="CE92" s="12"/>
    </row>
    <row r="93" spans="1:83" x14ac:dyDescent="0.35">
      <c r="A93" s="8" t="s">
        <v>117</v>
      </c>
      <c r="B93" s="8" t="s">
        <v>209</v>
      </c>
      <c r="C93" s="8"/>
      <c r="D93" s="9">
        <v>27.06190476190476</v>
      </c>
      <c r="E93" s="9">
        <v>72.938095238095244</v>
      </c>
      <c r="F93" s="9">
        <v>98.506459670462192</v>
      </c>
      <c r="G93" s="9">
        <v>1.4935403295377976</v>
      </c>
      <c r="H93" s="9">
        <v>22.340272036075664</v>
      </c>
      <c r="I93" s="9">
        <v>609.14803347727593</v>
      </c>
      <c r="J93" s="9">
        <v>53.237879001486327</v>
      </c>
      <c r="K93" s="9">
        <v>53.237879001486327</v>
      </c>
      <c r="L93" s="9">
        <v>0</v>
      </c>
      <c r="M93" s="9">
        <v>2.3511466374778776E-2</v>
      </c>
      <c r="N93" s="9">
        <v>1.0606060606060607E-2</v>
      </c>
      <c r="O93" s="9">
        <v>0</v>
      </c>
      <c r="P93" s="9">
        <v>7.8243204512864679</v>
      </c>
      <c r="Q93" s="9">
        <v>6.8303661276095148E-2</v>
      </c>
      <c r="R93" s="9">
        <v>1.1087369279086459</v>
      </c>
      <c r="S93" s="9">
        <v>0.18468537563492263</v>
      </c>
      <c r="T93" s="9">
        <v>36.306818449430295</v>
      </c>
      <c r="U93" s="9">
        <v>4.2628787050976016E-2</v>
      </c>
      <c r="V93" s="9">
        <v>0.22979635194648088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7.4863371643426463E-4</v>
      </c>
      <c r="AL93" s="10">
        <v>0</v>
      </c>
      <c r="AM93" s="10">
        <v>0</v>
      </c>
      <c r="AN93" s="10">
        <v>0</v>
      </c>
      <c r="AO93" s="10">
        <v>0</v>
      </c>
      <c r="AP93" s="10">
        <v>8.8281567767763656E-3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1.8324852783522645E-7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3.1670674521982399E-4</v>
      </c>
      <c r="BF93" s="10">
        <v>0</v>
      </c>
      <c r="BG93" s="9">
        <v>0</v>
      </c>
      <c r="BH93" s="9">
        <v>0</v>
      </c>
      <c r="BI93" s="9">
        <v>1.8344155844155841</v>
      </c>
      <c r="BJ93" s="9">
        <v>0.69805194805194815</v>
      </c>
      <c r="BK93" s="9">
        <v>0</v>
      </c>
      <c r="BL93" s="9">
        <v>0</v>
      </c>
      <c r="BM93" s="9">
        <v>0</v>
      </c>
      <c r="BN93" s="9">
        <v>0</v>
      </c>
      <c r="BO93" s="9">
        <v>6.4714743073636729</v>
      </c>
      <c r="BP93" s="9">
        <v>31.0431119445444</v>
      </c>
      <c r="BQ93" s="9">
        <v>0</v>
      </c>
      <c r="BR93" s="9">
        <v>60.74580604008564</v>
      </c>
      <c r="BS93" s="9">
        <v>22.094250180013457</v>
      </c>
      <c r="BT93" s="9">
        <v>1.8161213428033305</v>
      </c>
      <c r="BU93" s="9">
        <v>0.10443722943722943</v>
      </c>
      <c r="BV93" s="9">
        <v>0.15476190476190477</v>
      </c>
      <c r="BW93" s="9">
        <v>8.2792207792207792E-2</v>
      </c>
      <c r="BX93" s="9">
        <v>2.9707792207792211E-2</v>
      </c>
      <c r="BY93" s="9">
        <v>2.2023809523809526</v>
      </c>
      <c r="BZ93" s="9">
        <v>22.693371461452838</v>
      </c>
      <c r="CA93" s="9">
        <v>0</v>
      </c>
      <c r="CB93" s="11">
        <v>58.087706751887467</v>
      </c>
      <c r="CC93" s="12"/>
      <c r="CD93" s="12"/>
      <c r="CE93" s="12"/>
    </row>
    <row r="94" spans="1:83" x14ac:dyDescent="0.35">
      <c r="A94" s="8" t="s">
        <v>117</v>
      </c>
      <c r="B94" s="8" t="s">
        <v>210</v>
      </c>
      <c r="C94" s="8"/>
      <c r="D94" s="9">
        <v>30.583535353535353</v>
      </c>
      <c r="E94" s="9">
        <v>69.420750360750361</v>
      </c>
      <c r="F94" s="9">
        <v>97.369722379451659</v>
      </c>
      <c r="G94" s="9">
        <v>2.6302776205483349</v>
      </c>
      <c r="H94" s="9">
        <v>18.443376044333323</v>
      </c>
      <c r="I94" s="9">
        <v>502.7649378322335</v>
      </c>
      <c r="J94" s="9">
        <v>46.826553165491255</v>
      </c>
      <c r="K94" s="9">
        <v>46.769913317260098</v>
      </c>
      <c r="L94" s="9">
        <v>0</v>
      </c>
      <c r="M94" s="9">
        <v>0.10493215160195264</v>
      </c>
      <c r="N94" s="9">
        <v>0.65290588041647668</v>
      </c>
      <c r="O94" s="9">
        <v>0</v>
      </c>
      <c r="P94" s="9">
        <v>6.8945495676972737</v>
      </c>
      <c r="Q94" s="9">
        <v>0.36841054305924842</v>
      </c>
      <c r="R94" s="9">
        <v>2.5636925323719995</v>
      </c>
      <c r="S94" s="9">
        <v>0.42908084057245421</v>
      </c>
      <c r="T94" s="9">
        <v>40.927957828538297</v>
      </c>
      <c r="U94" s="9">
        <v>0.27089035020055247</v>
      </c>
      <c r="V94" s="9">
        <v>0.54965289480281454</v>
      </c>
      <c r="W94" s="10">
        <v>0</v>
      </c>
      <c r="X94" s="10">
        <v>0</v>
      </c>
      <c r="Y94" s="10">
        <v>0</v>
      </c>
      <c r="Z94" s="10">
        <v>2.2111502279440412E-6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1.8310360510146426E-6</v>
      </c>
      <c r="AH94" s="10">
        <v>9.85460770435522E-8</v>
      </c>
      <c r="AI94" s="10">
        <v>1.0270289942894826E-6</v>
      </c>
      <c r="AJ94" s="10">
        <v>2.2431389573007815E-4</v>
      </c>
      <c r="AK94" s="10">
        <v>2.5818051506113367E-3</v>
      </c>
      <c r="AL94" s="10">
        <v>0</v>
      </c>
      <c r="AM94" s="10">
        <v>9.3110271569678131E-8</v>
      </c>
      <c r="AN94" s="10">
        <v>0</v>
      </c>
      <c r="AO94" s="10">
        <v>0</v>
      </c>
      <c r="AP94" s="10">
        <v>5.0727711007033972E-2</v>
      </c>
      <c r="AQ94" s="10">
        <v>1.2422903971764817E-3</v>
      </c>
      <c r="AR94" s="10">
        <v>7.9282409526618089E-6</v>
      </c>
      <c r="AS94" s="10">
        <v>1.2395360489067715E-5</v>
      </c>
      <c r="AT94" s="10">
        <v>1.7984678917225751E-6</v>
      </c>
      <c r="AU94" s="10">
        <v>0</v>
      </c>
      <c r="AV94" s="10">
        <v>0</v>
      </c>
      <c r="AW94" s="10">
        <v>0</v>
      </c>
      <c r="AX94" s="10">
        <v>1.5866283400024599E-6</v>
      </c>
      <c r="AY94" s="10">
        <v>0</v>
      </c>
      <c r="AZ94" s="10">
        <v>2.30252151557027E-5</v>
      </c>
      <c r="BA94" s="10">
        <v>0</v>
      </c>
      <c r="BB94" s="10">
        <v>0</v>
      </c>
      <c r="BC94" s="10">
        <v>0</v>
      </c>
      <c r="BD94" s="10">
        <v>0</v>
      </c>
      <c r="BE94" s="10">
        <v>2.2392065949291494E-3</v>
      </c>
      <c r="BF94" s="10">
        <v>0</v>
      </c>
      <c r="BG94" s="9">
        <v>0</v>
      </c>
      <c r="BH94" s="9">
        <v>0</v>
      </c>
      <c r="BI94" s="9">
        <v>5.291171538639413E-2</v>
      </c>
      <c r="BJ94" s="9">
        <v>22.527155505867036</v>
      </c>
      <c r="BK94" s="9">
        <v>0.22563804108741353</v>
      </c>
      <c r="BL94" s="9">
        <v>0</v>
      </c>
      <c r="BM94" s="9">
        <v>0</v>
      </c>
      <c r="BN94" s="9">
        <v>8.0875214232467754E-2</v>
      </c>
      <c r="BO94" s="9">
        <v>15.479203897514072</v>
      </c>
      <c r="BP94" s="9">
        <v>12.102516042651542</v>
      </c>
      <c r="BQ94" s="9">
        <v>0</v>
      </c>
      <c r="BR94" s="9">
        <v>69.806929542626349</v>
      </c>
      <c r="BS94" s="9">
        <v>19.399575141025231</v>
      </c>
      <c r="BT94" s="9">
        <v>1.5495478221990491</v>
      </c>
      <c r="BU94" s="9">
        <v>0</v>
      </c>
      <c r="BV94" s="9">
        <v>0</v>
      </c>
      <c r="BW94" s="9">
        <v>0</v>
      </c>
      <c r="BX94" s="9">
        <v>0</v>
      </c>
      <c r="BY94" s="9">
        <v>0.4268547902940994</v>
      </c>
      <c r="BZ94" s="9">
        <v>18.497041728613205</v>
      </c>
      <c r="CA94" s="9">
        <v>0</v>
      </c>
      <c r="CB94" s="11">
        <v>46.901421962712746</v>
      </c>
      <c r="CC94" s="12"/>
      <c r="CD94" s="12"/>
      <c r="CE94" s="12"/>
    </row>
    <row r="95" spans="1:83" x14ac:dyDescent="0.35">
      <c r="A95" s="8" t="s">
        <v>117</v>
      </c>
      <c r="B95" s="8" t="s">
        <v>211</v>
      </c>
      <c r="C95" s="8"/>
      <c r="D95" s="9">
        <v>19.472202380952378</v>
      </c>
      <c r="E95" s="9">
        <v>80.529047619047617</v>
      </c>
      <c r="F95" s="9">
        <v>98.634642476897881</v>
      </c>
      <c r="G95" s="9">
        <v>1.3653575231021053</v>
      </c>
      <c r="H95" s="9">
        <v>21.471104460263302</v>
      </c>
      <c r="I95" s="9">
        <v>583.38123972551421</v>
      </c>
      <c r="J95" s="9">
        <v>51.939991890068534</v>
      </c>
      <c r="K95" s="9">
        <v>51.934307342185562</v>
      </c>
      <c r="L95" s="9">
        <v>0</v>
      </c>
      <c r="M95" s="9">
        <v>2.0778840889995775E-2</v>
      </c>
      <c r="N95" s="9">
        <v>0.10229926151251836</v>
      </c>
      <c r="O95" s="9">
        <v>0</v>
      </c>
      <c r="P95" s="9">
        <v>7.6174645081118415</v>
      </c>
      <c r="Q95" s="9">
        <v>8.5513610780401317E-2</v>
      </c>
      <c r="R95" s="9">
        <v>1.0558839101329394</v>
      </c>
      <c r="S95" s="9">
        <v>0.23300221651660574</v>
      </c>
      <c r="T95" s="9">
        <v>38.000951174495817</v>
      </c>
      <c r="U95" s="9">
        <v>3.6856184763491083E-2</v>
      </c>
      <c r="V95" s="9">
        <v>0.21743078347310979</v>
      </c>
      <c r="W95" s="10">
        <v>0</v>
      </c>
      <c r="X95" s="10">
        <v>0</v>
      </c>
      <c r="Y95" s="10">
        <v>0</v>
      </c>
      <c r="Z95" s="10">
        <v>1.043358372788108E-7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2.0803067383711869E-7</v>
      </c>
      <c r="AH95" s="10">
        <v>4.0584415584415581E-8</v>
      </c>
      <c r="AI95" s="10">
        <v>8.3067651294876846E-7</v>
      </c>
      <c r="AJ95" s="10">
        <v>1.7749031214019246E-5</v>
      </c>
      <c r="AK95" s="10">
        <v>7.5527895511974009E-4</v>
      </c>
      <c r="AL95" s="10">
        <v>0</v>
      </c>
      <c r="AM95" s="10">
        <v>1.3717697780834237E-8</v>
      </c>
      <c r="AN95" s="10">
        <v>0</v>
      </c>
      <c r="AO95" s="10">
        <v>0</v>
      </c>
      <c r="AP95" s="10">
        <v>7.7500907933871167E-3</v>
      </c>
      <c r="AQ95" s="10">
        <v>5.447463102142418E-5</v>
      </c>
      <c r="AR95" s="10">
        <v>4.0584415584415586E-7</v>
      </c>
      <c r="AS95" s="10">
        <v>2.1441062711930536E-6</v>
      </c>
      <c r="AT95" s="10">
        <v>3.0318459544528785E-7</v>
      </c>
      <c r="AU95" s="10">
        <v>0</v>
      </c>
      <c r="AV95" s="10">
        <v>0</v>
      </c>
      <c r="AW95" s="10">
        <v>0</v>
      </c>
      <c r="AX95" s="10">
        <v>4.906465449157418E-7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2.3836204224564778E-4</v>
      </c>
      <c r="BF95" s="10">
        <v>0</v>
      </c>
      <c r="BG95" s="9">
        <v>0</v>
      </c>
      <c r="BH95" s="9">
        <v>0</v>
      </c>
      <c r="BI95" s="9">
        <v>8.7245987079062743</v>
      </c>
      <c r="BJ95" s="9">
        <v>9.3919628376301016</v>
      </c>
      <c r="BK95" s="9">
        <v>9.9138387071177302E-3</v>
      </c>
      <c r="BL95" s="9">
        <v>0</v>
      </c>
      <c r="BM95" s="9">
        <v>0</v>
      </c>
      <c r="BN95" s="9">
        <v>8.1168831168831161E-3</v>
      </c>
      <c r="BO95" s="9">
        <v>6.1232378884930867</v>
      </c>
      <c r="BP95" s="9">
        <v>26.895390351227064</v>
      </c>
      <c r="BQ95" s="9">
        <v>0</v>
      </c>
      <c r="BR95" s="9">
        <v>65.486353868514328</v>
      </c>
      <c r="BS95" s="9">
        <v>21.422300257891269</v>
      </c>
      <c r="BT95" s="9">
        <v>1.7496584541093423</v>
      </c>
      <c r="BU95" s="9">
        <v>0.31417697940908529</v>
      </c>
      <c r="BV95" s="9">
        <v>0.74380287520590738</v>
      </c>
      <c r="BW95" s="9">
        <v>0.34624059095757115</v>
      </c>
      <c r="BX95" s="9">
        <v>0.39254783244293096</v>
      </c>
      <c r="BY95" s="9">
        <v>10.517943973693956</v>
      </c>
      <c r="BZ95" s="9">
        <v>21.901754360069791</v>
      </c>
      <c r="CA95" s="9">
        <v>0</v>
      </c>
      <c r="CB95" s="11">
        <v>45.68465369180187</v>
      </c>
      <c r="CC95" s="12"/>
      <c r="CD95" s="12"/>
      <c r="CE95" s="12"/>
    </row>
    <row r="98" spans="1:3" x14ac:dyDescent="0.35">
      <c r="B98" s="14" t="s">
        <v>242</v>
      </c>
      <c r="C98">
        <f>SUM(C2:C95)</f>
        <v>4</v>
      </c>
    </row>
    <row r="99" spans="1:3" x14ac:dyDescent="0.35">
      <c r="A99" s="13" t="s">
        <v>212</v>
      </c>
    </row>
    <row r="100" spans="1:3" x14ac:dyDescent="0.35">
      <c r="A100" s="14" t="s">
        <v>213</v>
      </c>
      <c r="B100" s="14" t="s">
        <v>214</v>
      </c>
      <c r="C100" s="14"/>
    </row>
    <row r="101" spans="1:3" x14ac:dyDescent="0.35">
      <c r="A101" s="14" t="s">
        <v>215</v>
      </c>
      <c r="B101" s="14" t="s">
        <v>216</v>
      </c>
      <c r="C101" s="14"/>
    </row>
    <row r="102" spans="1:3" x14ac:dyDescent="0.35">
      <c r="A102" s="14" t="s">
        <v>217</v>
      </c>
      <c r="B102" s="14" t="s">
        <v>218</v>
      </c>
      <c r="C102" s="14"/>
    </row>
    <row r="103" spans="1:3" x14ac:dyDescent="0.35">
      <c r="A103" s="14" t="s">
        <v>219</v>
      </c>
      <c r="B103" s="14" t="s">
        <v>220</v>
      </c>
      <c r="C103" s="14"/>
    </row>
    <row r="104" spans="1:3" x14ac:dyDescent="0.35">
      <c r="A104" s="14" t="s">
        <v>221</v>
      </c>
      <c r="B104" s="14" t="s">
        <v>222</v>
      </c>
      <c r="C104" s="14"/>
    </row>
    <row r="105" spans="1:3" x14ac:dyDescent="0.35">
      <c r="A105" s="14" t="s">
        <v>223</v>
      </c>
      <c r="B105" s="14" t="s">
        <v>224</v>
      </c>
      <c r="C105" s="14"/>
    </row>
    <row r="106" spans="1:3" x14ac:dyDescent="0.35">
      <c r="A106" s="14" t="s">
        <v>225</v>
      </c>
      <c r="B106" s="14" t="s">
        <v>226</v>
      </c>
      <c r="C106" s="14"/>
    </row>
    <row r="107" spans="1:3" x14ac:dyDescent="0.35">
      <c r="A107" s="14" t="s">
        <v>227</v>
      </c>
      <c r="B107" s="14" t="s">
        <v>228</v>
      </c>
      <c r="C107" s="14"/>
    </row>
    <row r="108" spans="1:3" x14ac:dyDescent="0.35">
      <c r="A108" s="14" t="s">
        <v>229</v>
      </c>
      <c r="B108" s="14" t="s">
        <v>230</v>
      </c>
      <c r="C108" s="14"/>
    </row>
    <row r="109" spans="1:3" x14ac:dyDescent="0.35">
      <c r="A109" s="14" t="s">
        <v>231</v>
      </c>
      <c r="B109" s="14" t="s">
        <v>232</v>
      </c>
      <c r="C109" s="14"/>
    </row>
    <row r="110" spans="1:3" x14ac:dyDescent="0.35">
      <c r="A110" s="14" t="s">
        <v>233</v>
      </c>
      <c r="B110" s="14" t="s">
        <v>234</v>
      </c>
      <c r="C110" s="14"/>
    </row>
    <row r="111" spans="1:3" x14ac:dyDescent="0.35">
      <c r="A111" s="14" t="s">
        <v>235</v>
      </c>
      <c r="B111" s="14" t="s">
        <v>236</v>
      </c>
      <c r="C111" s="14"/>
    </row>
    <row r="112" spans="1:3" x14ac:dyDescent="0.35">
      <c r="A112" s="14" t="s">
        <v>237</v>
      </c>
      <c r="B112" s="14" t="s">
        <v>238</v>
      </c>
      <c r="C112" s="14"/>
    </row>
    <row r="113" spans="1:3" x14ac:dyDescent="0.35">
      <c r="A113" s="14" t="s">
        <v>239</v>
      </c>
      <c r="B113" s="14" t="s">
        <v>240</v>
      </c>
      <c r="C113" s="14"/>
    </row>
  </sheetData>
  <autoFilter ref="B1:B113" xr:uid="{5C1C00B8-EB56-4545-B532-00F765CC31D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1B96-6F36-403A-A03F-B41BA123E54D}">
  <dimension ref="A1:CD106"/>
  <sheetViews>
    <sheetView tabSelected="1" zoomScale="85" zoomScaleNormal="85" workbookViewId="0">
      <selection activeCell="J1" sqref="J1:J1048576"/>
    </sheetView>
  </sheetViews>
  <sheetFormatPr baseColWidth="10" defaultRowHeight="14.5" x14ac:dyDescent="0.35"/>
  <cols>
    <col min="1" max="1" width="19.7265625" customWidth="1"/>
    <col min="2" max="2" width="28.26953125" bestFit="1" customWidth="1"/>
    <col min="7" max="7" width="6.453125" bestFit="1" customWidth="1"/>
    <col min="8" max="8" width="13.90625" hidden="1" customWidth="1"/>
    <col min="9" max="9" width="15.90625" hidden="1" customWidth="1"/>
    <col min="10" max="10" width="8.90625" bestFit="1" customWidth="1"/>
    <col min="11" max="11" width="11.81640625" hidden="1" customWidth="1"/>
    <col min="12" max="12" width="10.36328125" hidden="1" customWidth="1"/>
    <col min="13" max="13" width="7.36328125" hidden="1" customWidth="1"/>
    <col min="14" max="14" width="6.90625" hidden="1" customWidth="1"/>
    <col min="15" max="15" width="6.26953125" hidden="1" customWidth="1"/>
    <col min="16" max="17" width="7.26953125" hidden="1" customWidth="1"/>
    <col min="18" max="18" width="7.26953125" bestFit="1" customWidth="1"/>
    <col min="19" max="19" width="7.54296875" hidden="1" customWidth="1"/>
    <col min="20" max="20" width="8.26953125" bestFit="1" customWidth="1"/>
    <col min="21" max="21" width="6.453125" hidden="1" customWidth="1"/>
    <col min="22" max="22" width="6.26953125" hidden="1" customWidth="1"/>
    <col min="23" max="23" width="7.36328125" hidden="1" customWidth="1"/>
    <col min="24" max="24" width="7" hidden="1" customWidth="1"/>
    <col min="25" max="25" width="7.1796875" hidden="1" customWidth="1"/>
    <col min="26" max="26" width="7.26953125" hidden="1" customWidth="1"/>
    <col min="27" max="27" width="7.54296875" hidden="1" customWidth="1"/>
    <col min="28" max="28" width="6.453125" hidden="1" customWidth="1"/>
    <col min="29" max="30" width="7.36328125" hidden="1" customWidth="1"/>
    <col min="31" max="31" width="6.90625" hidden="1" customWidth="1"/>
    <col min="32" max="32" width="7.08984375" hidden="1" customWidth="1"/>
    <col min="33" max="34" width="7.453125" hidden="1" customWidth="1"/>
    <col min="35" max="35" width="7.08984375" hidden="1" customWidth="1"/>
    <col min="36" max="36" width="7.453125" hidden="1" customWidth="1"/>
    <col min="37" max="37" width="7.1796875" hidden="1" customWidth="1"/>
    <col min="38" max="38" width="7.54296875" hidden="1" customWidth="1"/>
    <col min="39" max="39" width="7.453125" hidden="1" customWidth="1"/>
    <col min="40" max="40" width="6.90625" hidden="1" customWidth="1"/>
    <col min="41" max="41" width="6.6328125" hidden="1" customWidth="1"/>
    <col min="42" max="42" width="7.81640625" hidden="1" customWidth="1"/>
    <col min="43" max="44" width="8" hidden="1" customWidth="1"/>
    <col min="45" max="45" width="7.08984375" hidden="1" customWidth="1"/>
    <col min="46" max="47" width="7.453125" hidden="1" customWidth="1"/>
    <col min="48" max="48" width="7.08984375" hidden="1" customWidth="1"/>
    <col min="49" max="49" width="7.26953125" hidden="1" customWidth="1"/>
    <col min="50" max="50" width="7.1796875" hidden="1" customWidth="1"/>
    <col min="51" max="51" width="6.7265625" hidden="1" customWidth="1"/>
    <col min="52" max="52" width="7.26953125" hidden="1" customWidth="1"/>
    <col min="53" max="53" width="6.90625" hidden="1" customWidth="1"/>
    <col min="54" max="54" width="7.26953125" hidden="1" customWidth="1"/>
    <col min="55" max="55" width="6.81640625" hidden="1" customWidth="1"/>
    <col min="56" max="56" width="6.54296875" hidden="1" customWidth="1"/>
    <col min="57" max="57" width="7.36328125" hidden="1" customWidth="1"/>
    <col min="58" max="58" width="7" hidden="1" customWidth="1"/>
    <col min="59" max="59" width="11.6328125" hidden="1" customWidth="1"/>
    <col min="60" max="60" width="8.7265625" hidden="1" customWidth="1"/>
    <col min="61" max="61" width="11.26953125" hidden="1" customWidth="1"/>
    <col min="62" max="62" width="10.1796875" hidden="1" customWidth="1"/>
    <col min="64" max="64" width="14.7265625" bestFit="1" customWidth="1"/>
    <col min="65" max="65" width="10.1796875" bestFit="1" customWidth="1"/>
    <col min="69" max="69" width="13.54296875" bestFit="1" customWidth="1"/>
    <col min="70" max="70" width="14.7265625" customWidth="1"/>
    <col min="71" max="77" width="0" hidden="1" customWidth="1"/>
    <col min="78" max="78" width="23.7265625" bestFit="1" customWidth="1"/>
    <col min="79" max="79" width="6.54296875" bestFit="1" customWidth="1"/>
    <col min="80" max="80" width="7.36328125" bestFit="1" customWidth="1"/>
  </cols>
  <sheetData>
    <row r="1" spans="1:82" x14ac:dyDescent="0.35">
      <c r="A1" s="15" t="s">
        <v>38</v>
      </c>
      <c r="B1" s="15" t="s">
        <v>39</v>
      </c>
      <c r="C1" s="22" t="s">
        <v>241</v>
      </c>
      <c r="D1" s="22" t="s">
        <v>243</v>
      </c>
      <c r="E1" s="22" t="s">
        <v>244</v>
      </c>
      <c r="F1" s="22" t="s">
        <v>248</v>
      </c>
      <c r="G1" s="22" t="s">
        <v>249</v>
      </c>
      <c r="H1" s="15" t="s">
        <v>44</v>
      </c>
      <c r="I1" s="15" t="s">
        <v>45</v>
      </c>
      <c r="J1" s="15" t="s">
        <v>481</v>
      </c>
      <c r="K1" s="15" t="s">
        <v>47</v>
      </c>
      <c r="L1" s="15" t="s">
        <v>48</v>
      </c>
      <c r="M1" s="15" t="s">
        <v>49</v>
      </c>
      <c r="N1" s="15" t="s">
        <v>50</v>
      </c>
      <c r="O1" s="15" t="s">
        <v>51</v>
      </c>
      <c r="P1" s="15" t="s">
        <v>52</v>
      </c>
      <c r="Q1" s="15" t="s">
        <v>53</v>
      </c>
      <c r="R1" s="15" t="s">
        <v>482</v>
      </c>
      <c r="S1" s="15" t="s">
        <v>55</v>
      </c>
      <c r="T1" s="15" t="s">
        <v>483</v>
      </c>
      <c r="U1" s="15" t="s">
        <v>57</v>
      </c>
      <c r="V1" s="15" t="s">
        <v>58</v>
      </c>
      <c r="W1" s="15" t="s">
        <v>59</v>
      </c>
      <c r="X1" s="15" t="s">
        <v>60</v>
      </c>
      <c r="Y1" s="15" t="s">
        <v>61</v>
      </c>
      <c r="Z1" s="15" t="s">
        <v>62</v>
      </c>
      <c r="AA1" s="15" t="s">
        <v>63</v>
      </c>
      <c r="AB1" s="15" t="s">
        <v>64</v>
      </c>
      <c r="AC1" s="15" t="s">
        <v>65</v>
      </c>
      <c r="AD1" s="15" t="s">
        <v>66</v>
      </c>
      <c r="AE1" s="15" t="s">
        <v>67</v>
      </c>
      <c r="AF1" s="15" t="s">
        <v>68</v>
      </c>
      <c r="AG1" s="15" t="s">
        <v>69</v>
      </c>
      <c r="AH1" s="15" t="s">
        <v>70</v>
      </c>
      <c r="AI1" s="15" t="s">
        <v>71</v>
      </c>
      <c r="AJ1" s="15" t="s">
        <v>72</v>
      </c>
      <c r="AK1" s="15" t="s">
        <v>73</v>
      </c>
      <c r="AL1" s="15" t="s">
        <v>74</v>
      </c>
      <c r="AM1" s="15" t="s">
        <v>75</v>
      </c>
      <c r="AN1" s="15" t="s">
        <v>76</v>
      </c>
      <c r="AO1" s="15" t="s">
        <v>77</v>
      </c>
      <c r="AP1" s="15" t="s">
        <v>78</v>
      </c>
      <c r="AQ1" s="15" t="s">
        <v>79</v>
      </c>
      <c r="AR1" s="15" t="s">
        <v>80</v>
      </c>
      <c r="AS1" s="15" t="s">
        <v>81</v>
      </c>
      <c r="AT1" s="15" t="s">
        <v>82</v>
      </c>
      <c r="AU1" s="15" t="s">
        <v>83</v>
      </c>
      <c r="AV1" s="15" t="s">
        <v>84</v>
      </c>
      <c r="AW1" s="15" t="s">
        <v>85</v>
      </c>
      <c r="AX1" s="15" t="s">
        <v>86</v>
      </c>
      <c r="AY1" s="15" t="s">
        <v>87</v>
      </c>
      <c r="AZ1" s="15" t="s">
        <v>88</v>
      </c>
      <c r="BA1" s="15" t="s">
        <v>89</v>
      </c>
      <c r="BB1" s="15" t="s">
        <v>90</v>
      </c>
      <c r="BC1" s="15" t="s">
        <v>91</v>
      </c>
      <c r="BD1" s="15" t="s">
        <v>92</v>
      </c>
      <c r="BE1" s="15" t="s">
        <v>93</v>
      </c>
      <c r="BF1" s="15" t="s">
        <v>94</v>
      </c>
      <c r="BG1" s="15" t="s">
        <v>95</v>
      </c>
      <c r="BH1" s="15" t="s">
        <v>96</v>
      </c>
      <c r="BI1" s="15" t="s">
        <v>97</v>
      </c>
      <c r="BJ1" s="15" t="s">
        <v>98</v>
      </c>
      <c r="BK1" s="22" t="s">
        <v>245</v>
      </c>
      <c r="BL1" s="22" t="s">
        <v>250</v>
      </c>
      <c r="BM1" s="15" t="s">
        <v>101</v>
      </c>
      <c r="BN1" s="22" t="s">
        <v>251</v>
      </c>
      <c r="BO1" s="22" t="s">
        <v>246</v>
      </c>
      <c r="BP1" s="22" t="s">
        <v>252</v>
      </c>
      <c r="BQ1" s="15" t="s">
        <v>105</v>
      </c>
      <c r="BR1" s="22" t="s">
        <v>253</v>
      </c>
      <c r="BS1" s="15" t="s">
        <v>107</v>
      </c>
      <c r="BT1" s="15" t="s">
        <v>108</v>
      </c>
      <c r="BU1" s="15" t="s">
        <v>109</v>
      </c>
      <c r="BV1" s="15" t="s">
        <v>110</v>
      </c>
      <c r="BW1" s="15" t="s">
        <v>111</v>
      </c>
      <c r="BX1" s="15" t="s">
        <v>112</v>
      </c>
      <c r="BY1" s="15" t="s">
        <v>113</v>
      </c>
      <c r="BZ1" s="15" t="s">
        <v>114</v>
      </c>
      <c r="CA1" s="15" t="s">
        <v>115</v>
      </c>
      <c r="CB1" s="16" t="s">
        <v>116</v>
      </c>
      <c r="CD1" s="32" t="s">
        <v>480</v>
      </c>
    </row>
    <row r="2" spans="1:82" x14ac:dyDescent="0.35">
      <c r="A2" s="17" t="s">
        <v>117</v>
      </c>
      <c r="B2" s="17" t="s">
        <v>118</v>
      </c>
      <c r="C2" s="17"/>
      <c r="D2" s="18">
        <f>'Composition of waste'!$D2*$C2/100</f>
        <v>0</v>
      </c>
      <c r="E2" s="18">
        <f>'Composition of waste'!$E2*$C2/100</f>
        <v>0</v>
      </c>
      <c r="F2" s="18">
        <f>'Composition of waste'!$F2*$E2/100</f>
        <v>0</v>
      </c>
      <c r="G2" s="18">
        <f>'Composition of waste'!$G2*$E2/100</f>
        <v>0</v>
      </c>
      <c r="H2" s="18">
        <v>20.70736708968014</v>
      </c>
      <c r="I2" s="18">
        <v>558.22694799590352</v>
      </c>
      <c r="J2" s="18">
        <f>'Composition of waste'!$J2*'Composition (mass)'!$E2/100</f>
        <v>0</v>
      </c>
      <c r="K2" s="18">
        <v>50.939981655674906</v>
      </c>
      <c r="L2" s="18">
        <v>0</v>
      </c>
      <c r="M2" s="18">
        <v>9.3482694229751716E-3</v>
      </c>
      <c r="N2" s="18">
        <v>0.3095120373868302</v>
      </c>
      <c r="O2" s="18">
        <v>0</v>
      </c>
      <c r="P2" s="18">
        <v>7.3773427288198388</v>
      </c>
      <c r="Q2" s="18">
        <v>5.1960458147020348E-2</v>
      </c>
      <c r="R2" s="18">
        <f>'Composition of waste'!$R2*'Composition (mass)'!$E2/100</f>
        <v>0</v>
      </c>
      <c r="S2" s="18">
        <v>0.27776539586854471</v>
      </c>
      <c r="T2" s="18">
        <f>'Composition of waste'!$T2*'Composition (mass)'!$E2/100</f>
        <v>0</v>
      </c>
      <c r="U2" s="18">
        <v>2.6625620643841635E-2</v>
      </c>
      <c r="V2" s="18">
        <v>0.20868592977643372</v>
      </c>
      <c r="W2" s="18">
        <v>0</v>
      </c>
      <c r="X2" s="18">
        <v>0</v>
      </c>
      <c r="Y2" s="18">
        <v>0</v>
      </c>
      <c r="Z2" s="18">
        <v>9.2668024439918526E-8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5.1863630266014738E-7</v>
      </c>
      <c r="AH2" s="18">
        <v>0</v>
      </c>
      <c r="AI2" s="18">
        <v>8.4504465635858754E-7</v>
      </c>
      <c r="AJ2" s="18">
        <v>3.3948982155971773E-5</v>
      </c>
      <c r="AK2" s="18">
        <v>4.1709091634016727E-4</v>
      </c>
      <c r="AL2" s="18">
        <v>0</v>
      </c>
      <c r="AM2" s="18">
        <v>2.2403258655804481E-8</v>
      </c>
      <c r="AN2" s="18">
        <v>0</v>
      </c>
      <c r="AO2" s="18">
        <v>0</v>
      </c>
      <c r="AP2" s="18">
        <v>7.5552512223702531E-3</v>
      </c>
      <c r="AQ2" s="18">
        <v>1.4870773905452476E-4</v>
      </c>
      <c r="AR2" s="18">
        <v>0</v>
      </c>
      <c r="AS2" s="18">
        <v>3.3647383434603213E-6</v>
      </c>
      <c r="AT2" s="18">
        <v>7.6374745417515267E-8</v>
      </c>
      <c r="AU2" s="18">
        <v>0</v>
      </c>
      <c r="AV2" s="18">
        <v>0</v>
      </c>
      <c r="AW2" s="18">
        <v>0</v>
      </c>
      <c r="AX2" s="18">
        <v>6.9704862398466229E-7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1.4820016481000134E-4</v>
      </c>
      <c r="BF2" s="18">
        <v>0</v>
      </c>
      <c r="BG2" s="18">
        <v>0</v>
      </c>
      <c r="BH2" s="18">
        <v>0</v>
      </c>
      <c r="BI2" s="18">
        <v>21.786320992525873</v>
      </c>
      <c r="BJ2" s="18">
        <v>30.974586694982474</v>
      </c>
      <c r="BK2" s="18">
        <f>'Composition of waste'!$BK2*$E2/100</f>
        <v>0</v>
      </c>
      <c r="BL2" s="18">
        <f>'Composition of waste'!$BL2*$E2/100</f>
        <v>0</v>
      </c>
      <c r="BM2" s="18">
        <v>0</v>
      </c>
      <c r="BN2" s="18">
        <f>'Composition of waste'!$BN2*$E2/100</f>
        <v>0</v>
      </c>
      <c r="BO2" s="18">
        <f>'Composition of waste'!$BO2*$E2/100</f>
        <v>0</v>
      </c>
      <c r="BP2" s="18">
        <f>'Composition of waste'!$BP2*$E2/100</f>
        <v>0</v>
      </c>
      <c r="BQ2" s="18">
        <v>0</v>
      </c>
      <c r="BR2" s="18">
        <f>'Composition of waste'!$BR2*$E2/100</f>
        <v>0</v>
      </c>
      <c r="BS2" s="18">
        <v>20.761268235800305</v>
      </c>
      <c r="BT2" s="18">
        <v>1.6842894285206502</v>
      </c>
      <c r="BU2" s="18">
        <v>0.65699032366239918</v>
      </c>
      <c r="BV2" s="18">
        <v>1.3474234283559927</v>
      </c>
      <c r="BW2" s="18">
        <v>0.78243837633048074</v>
      </c>
      <c r="BX2" s="18">
        <v>0.52431827900145411</v>
      </c>
      <c r="BY2" s="18">
        <v>25.097917427567907</v>
      </c>
      <c r="BZ2" s="18">
        <v>21.015834387354527</v>
      </c>
      <c r="CA2" s="18">
        <v>0</v>
      </c>
      <c r="CB2" s="19">
        <v>13.900910878664508</v>
      </c>
    </row>
    <row r="3" spans="1:82" x14ac:dyDescent="0.35">
      <c r="A3" s="17" t="s">
        <v>117</v>
      </c>
      <c r="B3" s="17" t="s">
        <v>119</v>
      </c>
      <c r="C3" s="17"/>
      <c r="D3" s="18">
        <f>'Composition of waste'!$D3*$C3/100</f>
        <v>0</v>
      </c>
      <c r="E3" s="18">
        <f>'Composition of waste'!$E3*$C3/100</f>
        <v>0</v>
      </c>
      <c r="F3" s="18">
        <f>'Composition of waste'!$F3*$E3/100</f>
        <v>0</v>
      </c>
      <c r="G3" s="18">
        <f>'Composition of waste'!$G3*$E3/100</f>
        <v>0</v>
      </c>
      <c r="H3" s="18">
        <v>20.496506679221739</v>
      </c>
      <c r="I3" s="18">
        <v>557.00194395160145</v>
      </c>
      <c r="J3" s="18">
        <f>'Composition of waste'!$J3*'Composition (mass)'!$E3/100</f>
        <v>0</v>
      </c>
      <c r="K3" s="18">
        <v>50.321489710094667</v>
      </c>
      <c r="L3" s="18">
        <v>0</v>
      </c>
      <c r="M3" s="18">
        <v>2.6744161387450387E-2</v>
      </c>
      <c r="N3" s="18">
        <v>7.8472887451122034E-2</v>
      </c>
      <c r="O3" s="18">
        <v>0</v>
      </c>
      <c r="P3" s="18">
        <v>7.4438744010545923</v>
      </c>
      <c r="Q3" s="18">
        <v>0.15348666242239459</v>
      </c>
      <c r="R3" s="18">
        <f>'Composition of waste'!$R3*'Composition (mass)'!$E3/100</f>
        <v>0</v>
      </c>
      <c r="S3" s="18">
        <v>0.28487271892803306</v>
      </c>
      <c r="T3" s="18">
        <f>'Composition of waste'!$T3*'Composition (mass)'!$E3/100</f>
        <v>0</v>
      </c>
      <c r="U3" s="18">
        <v>3.5541544308170664E-2</v>
      </c>
      <c r="V3" s="18">
        <v>0.20144450022304369</v>
      </c>
      <c r="W3" s="18">
        <v>0</v>
      </c>
      <c r="X3" s="18">
        <v>0</v>
      </c>
      <c r="Y3" s="18">
        <v>0</v>
      </c>
      <c r="Z3" s="18">
        <v>3.2467532467532465E-7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3.1348639268832737E-7</v>
      </c>
      <c r="AH3" s="18">
        <v>1.6233766233766232E-7</v>
      </c>
      <c r="AI3" s="18">
        <v>2.4776613954364861E-6</v>
      </c>
      <c r="AJ3" s="18">
        <v>3.7047142700105211E-5</v>
      </c>
      <c r="AK3" s="18">
        <v>1.106757471270264E-3</v>
      </c>
      <c r="AL3" s="18">
        <v>0</v>
      </c>
      <c r="AM3" s="18">
        <v>3.2467532467532468E-8</v>
      </c>
      <c r="AN3" s="18">
        <v>0</v>
      </c>
      <c r="AO3" s="18">
        <v>0</v>
      </c>
      <c r="AP3" s="18">
        <v>5.7887983976254833E-3</v>
      </c>
      <c r="AQ3" s="18">
        <v>6.9190785031171965E-5</v>
      </c>
      <c r="AR3" s="18">
        <v>1.6233766233766235E-6</v>
      </c>
      <c r="AS3" s="18">
        <v>5.2116867413118924E-6</v>
      </c>
      <c r="AT3" s="18">
        <v>1.1363636363636362E-6</v>
      </c>
      <c r="AU3" s="18">
        <v>0</v>
      </c>
      <c r="AV3" s="18">
        <v>0</v>
      </c>
      <c r="AW3" s="18">
        <v>0</v>
      </c>
      <c r="AX3" s="18">
        <v>8.9904050000785183E-7</v>
      </c>
      <c r="AY3" s="18">
        <v>0</v>
      </c>
      <c r="AZ3" s="18">
        <v>0</v>
      </c>
      <c r="BA3" s="18">
        <v>0</v>
      </c>
      <c r="BB3" s="18">
        <v>0</v>
      </c>
      <c r="BC3" s="18">
        <v>0</v>
      </c>
      <c r="BD3" s="18">
        <v>0</v>
      </c>
      <c r="BE3" s="18">
        <v>1.7183451373294176E-4</v>
      </c>
      <c r="BF3" s="18">
        <v>0</v>
      </c>
      <c r="BG3" s="18">
        <v>0</v>
      </c>
      <c r="BH3" s="18">
        <v>0</v>
      </c>
      <c r="BI3" s="18">
        <v>9.443242670268063</v>
      </c>
      <c r="BJ3" s="18">
        <v>5.1971607594340359</v>
      </c>
      <c r="BK3" s="18">
        <f>'Composition of waste'!$BK3*$E3/100</f>
        <v>0</v>
      </c>
      <c r="BL3" s="18">
        <f>'Composition of waste'!$BL3*$E3/100</f>
        <v>0</v>
      </c>
      <c r="BM3" s="18">
        <v>0</v>
      </c>
      <c r="BN3" s="18">
        <f>'Composition of waste'!$BN3*$E3/100</f>
        <v>0</v>
      </c>
      <c r="BO3" s="18">
        <f>'Composition of waste'!$BO3*$E3/100</f>
        <v>0</v>
      </c>
      <c r="BP3" s="18">
        <f>'Composition of waste'!$BP3*$E3/100</f>
        <v>0</v>
      </c>
      <c r="BQ3" s="18">
        <v>0</v>
      </c>
      <c r="BR3" s="18">
        <f>'Composition of waste'!$BR3*$E3/100</f>
        <v>0</v>
      </c>
      <c r="BS3" s="18">
        <v>20.739432435737857</v>
      </c>
      <c r="BT3" s="18">
        <v>1.682101702310058</v>
      </c>
      <c r="BU3" s="18">
        <v>0.39084313509948343</v>
      </c>
      <c r="BV3" s="18">
        <v>1.3182642629438277</v>
      </c>
      <c r="BW3" s="18">
        <v>0.43693957191538807</v>
      </c>
      <c r="BX3" s="18">
        <v>0.98645746635468534</v>
      </c>
      <c r="BY3" s="18">
        <v>12.569096562446017</v>
      </c>
      <c r="BZ3" s="18">
        <v>21.204440130018963</v>
      </c>
      <c r="CA3" s="18">
        <v>0</v>
      </c>
      <c r="CB3" s="19">
        <v>52.662290384768028</v>
      </c>
    </row>
    <row r="4" spans="1:82" x14ac:dyDescent="0.35">
      <c r="A4" s="17" t="s">
        <v>117</v>
      </c>
      <c r="B4" s="17" t="s">
        <v>120</v>
      </c>
      <c r="C4" s="17">
        <v>0.1</v>
      </c>
      <c r="D4" s="18">
        <f>'Composition of waste'!$D4*$C4/100</f>
        <v>2.8733333333333336E-2</v>
      </c>
      <c r="E4" s="18">
        <f>'Composition of waste'!$E4*$C4/100</f>
        <v>7.1266666666666673E-2</v>
      </c>
      <c r="F4" s="18">
        <f>'Composition of waste'!$F4*$E4/100</f>
        <v>7.0491871581264159E-2</v>
      </c>
      <c r="G4" s="18">
        <f>'Composition of waste'!$G4*$E4/100</f>
        <v>7.7479508540252359E-4</v>
      </c>
      <c r="H4" s="18">
        <v>16.627433191921021</v>
      </c>
      <c r="I4" s="18">
        <v>439.60033976579871</v>
      </c>
      <c r="J4" s="18">
        <f>'Composition of waste'!$J4*'Composition (mass)'!$E4/100</f>
        <v>3.1716468880760559E-2</v>
      </c>
      <c r="K4" s="18">
        <v>44.468974146202321</v>
      </c>
      <c r="L4" s="18">
        <v>0</v>
      </c>
      <c r="M4" s="18">
        <v>3.3154322143134636E-2</v>
      </c>
      <c r="N4" s="18">
        <v>0</v>
      </c>
      <c r="O4" s="18">
        <v>0</v>
      </c>
      <c r="P4" s="18">
        <v>6.442320647334868</v>
      </c>
      <c r="Q4" s="18">
        <v>0.33902514077919776</v>
      </c>
      <c r="R4" s="18">
        <f>'Composition of waste'!$R4*'Composition (mass)'!$E4/100</f>
        <v>1.808453827404019E-3</v>
      </c>
      <c r="S4" s="18">
        <v>4.6191977462024525E-3</v>
      </c>
      <c r="T4" s="18">
        <f>'Composition of waste'!$T4*'Composition (mass)'!$E4/100</f>
        <v>3.2373258259211106E-2</v>
      </c>
      <c r="U4" s="18">
        <v>0.23866954123963477</v>
      </c>
      <c r="V4" s="18">
        <v>0.5133648387390477</v>
      </c>
      <c r="W4" s="18">
        <v>0</v>
      </c>
      <c r="X4" s="18">
        <v>0</v>
      </c>
      <c r="Y4" s="18">
        <v>0</v>
      </c>
      <c r="Z4" s="18">
        <v>6.6887173833149559E-7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1.9863512967486362E-6</v>
      </c>
      <c r="AH4" s="18">
        <v>0</v>
      </c>
      <c r="AI4" s="18">
        <v>3.5663108429053294E-6</v>
      </c>
      <c r="AJ4" s="18">
        <v>3.4545909738304168E-4</v>
      </c>
      <c r="AK4" s="18">
        <v>2.7096957219594196E-3</v>
      </c>
      <c r="AL4" s="18">
        <v>0</v>
      </c>
      <c r="AM4" s="18">
        <v>1.6170525542080115E-7</v>
      </c>
      <c r="AN4" s="18">
        <v>0</v>
      </c>
      <c r="AO4" s="18">
        <v>0</v>
      </c>
      <c r="AP4" s="18">
        <v>4.7375973064886057E-2</v>
      </c>
      <c r="AQ4" s="18">
        <v>6.0555806164910408E-4</v>
      </c>
      <c r="AR4" s="18">
        <v>1.4523946717282988E-5</v>
      </c>
      <c r="AS4" s="18">
        <v>4.8587921648890059E-6</v>
      </c>
      <c r="AT4" s="18">
        <v>1.3247485791907022E-6</v>
      </c>
      <c r="AU4" s="18">
        <v>0</v>
      </c>
      <c r="AV4" s="18">
        <v>0</v>
      </c>
      <c r="AW4" s="18">
        <v>0</v>
      </c>
      <c r="AX4" s="18">
        <v>4.3434704869273536E-6</v>
      </c>
      <c r="AY4" s="18">
        <v>0</v>
      </c>
      <c r="AZ4" s="18">
        <v>0</v>
      </c>
      <c r="BA4" s="18">
        <v>0</v>
      </c>
      <c r="BB4" s="18">
        <v>0</v>
      </c>
      <c r="BC4" s="18">
        <v>0</v>
      </c>
      <c r="BD4" s="18">
        <v>0</v>
      </c>
      <c r="BE4" s="18">
        <v>1.4363094252008808E-3</v>
      </c>
      <c r="BF4" s="18">
        <v>0</v>
      </c>
      <c r="BG4" s="18">
        <v>0</v>
      </c>
      <c r="BH4" s="18">
        <v>0</v>
      </c>
      <c r="BI4" s="18">
        <v>0</v>
      </c>
      <c r="BJ4" s="18">
        <v>54.724265328949599</v>
      </c>
      <c r="BK4" s="18">
        <f>'Composition of waste'!$BK4*$E4/100</f>
        <v>0</v>
      </c>
      <c r="BL4" s="18">
        <f>'Composition of waste'!$BL4*$E4/100</f>
        <v>0</v>
      </c>
      <c r="BM4" s="18">
        <v>0</v>
      </c>
      <c r="BN4" s="18">
        <f>'Composition of waste'!$BN4*$E4/100</f>
        <v>3.5573346589988968E-5</v>
      </c>
      <c r="BO4" s="18">
        <f>'Composition of waste'!$BO4*$E4/100</f>
        <v>1.0303212742503478E-2</v>
      </c>
      <c r="BP4" s="18">
        <f>'Composition of waste'!$BP4*$E4/100</f>
        <v>1.5235145824644483E-3</v>
      </c>
      <c r="BQ4" s="18">
        <v>0</v>
      </c>
      <c r="BR4" s="18">
        <f>'Composition of waste'!$BR4*$E4/100</f>
        <v>5.8665144256296209E-2</v>
      </c>
      <c r="BS4" s="18">
        <v>18.000148747364999</v>
      </c>
      <c r="BT4" s="18">
        <v>1.411171409133809</v>
      </c>
      <c r="BU4" s="18">
        <v>0</v>
      </c>
      <c r="BV4" s="18">
        <v>0</v>
      </c>
      <c r="BW4" s="18">
        <v>0</v>
      </c>
      <c r="BX4" s="18">
        <v>0</v>
      </c>
      <c r="BY4" s="18">
        <v>0</v>
      </c>
      <c r="BZ4" s="18">
        <v>16.635650429933417</v>
      </c>
      <c r="CA4" s="18">
        <v>0</v>
      </c>
      <c r="CB4" s="19">
        <v>27.543607790376271</v>
      </c>
    </row>
    <row r="5" spans="1:82" x14ac:dyDescent="0.35">
      <c r="A5" s="17" t="s">
        <v>117</v>
      </c>
      <c r="B5" s="17" t="s">
        <v>121</v>
      </c>
      <c r="C5" s="17"/>
      <c r="D5" s="18">
        <f>'Composition of waste'!$D5*$C5/100</f>
        <v>0</v>
      </c>
      <c r="E5" s="18">
        <f>'Composition of waste'!$E5*$C5/100</f>
        <v>0</v>
      </c>
      <c r="F5" s="18">
        <f>'Composition of waste'!$F5*$E5/100</f>
        <v>0</v>
      </c>
      <c r="G5" s="18">
        <f>'Composition of waste'!$G5*$E5/100</f>
        <v>0</v>
      </c>
      <c r="H5" s="18">
        <v>16.561772537662883</v>
      </c>
      <c r="I5" s="18">
        <v>451.67256662757444</v>
      </c>
      <c r="J5" s="18">
        <f>'Composition of waste'!$J5*'Composition (mass)'!$E5/100</f>
        <v>0</v>
      </c>
      <c r="K5" s="18">
        <v>43.852376849455027</v>
      </c>
      <c r="L5" s="18">
        <v>0</v>
      </c>
      <c r="M5" s="18">
        <v>3.5115715154495637E-2</v>
      </c>
      <c r="N5" s="18">
        <v>0</v>
      </c>
      <c r="O5" s="18">
        <v>0</v>
      </c>
      <c r="P5" s="18">
        <v>6.518780005956712</v>
      </c>
      <c r="Q5" s="18">
        <v>0.33303300148718451</v>
      </c>
      <c r="R5" s="18">
        <f>'Composition of waste'!$R5*'Composition (mass)'!$E5/100</f>
        <v>0</v>
      </c>
      <c r="S5" s="18">
        <v>2.0752432907077283E-3</v>
      </c>
      <c r="T5" s="18">
        <f>'Composition of waste'!$T5*'Composition (mass)'!$E5/100</f>
        <v>0</v>
      </c>
      <c r="U5" s="18">
        <v>0.42288797975580056</v>
      </c>
      <c r="V5" s="18">
        <v>0.28991476898022317</v>
      </c>
      <c r="W5" s="18">
        <v>0</v>
      </c>
      <c r="X5" s="18">
        <v>0</v>
      </c>
      <c r="Y5" s="18">
        <v>0</v>
      </c>
      <c r="Z5" s="18">
        <v>8.3391251556045564E-6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1.2352887435603546E-6</v>
      </c>
      <c r="AH5" s="18">
        <v>0</v>
      </c>
      <c r="AI5" s="18">
        <v>6.734907483971154E-7</v>
      </c>
      <c r="AJ5" s="18">
        <v>1.2506020584487521E-4</v>
      </c>
      <c r="AK5" s="18">
        <v>3.5841635770068581E-3</v>
      </c>
      <c r="AL5" s="18">
        <v>0</v>
      </c>
      <c r="AM5" s="18">
        <v>1.4276706786070081E-7</v>
      </c>
      <c r="AN5" s="18">
        <v>0</v>
      </c>
      <c r="AO5" s="18">
        <v>0</v>
      </c>
      <c r="AP5" s="18">
        <v>3.6074870466298224E-2</v>
      </c>
      <c r="AQ5" s="18">
        <v>1.2506555379533664E-3</v>
      </c>
      <c r="AR5" s="18">
        <v>1.283028249320384E-5</v>
      </c>
      <c r="AS5" s="18">
        <v>1.5780963548636246E-5</v>
      </c>
      <c r="AT5" s="18">
        <v>6.5686407543279279E-7</v>
      </c>
      <c r="AU5" s="18">
        <v>0</v>
      </c>
      <c r="AV5" s="18">
        <v>0</v>
      </c>
      <c r="AW5" s="18">
        <v>0</v>
      </c>
      <c r="AX5" s="18">
        <v>1.9556735449145723E-6</v>
      </c>
      <c r="AY5" s="18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1.0742350942381173E-3</v>
      </c>
      <c r="BF5" s="18">
        <v>0</v>
      </c>
      <c r="BG5" s="18">
        <v>0</v>
      </c>
      <c r="BH5" s="18">
        <v>0</v>
      </c>
      <c r="BI5" s="18">
        <v>0</v>
      </c>
      <c r="BJ5" s="18">
        <v>23.583093283467822</v>
      </c>
      <c r="BK5" s="18">
        <f>'Composition of waste'!$BK5*$E5/100</f>
        <v>0</v>
      </c>
      <c r="BL5" s="18">
        <f>'Composition of waste'!$BL5*$E5/100</f>
        <v>0</v>
      </c>
      <c r="BM5" s="18">
        <v>0</v>
      </c>
      <c r="BN5" s="18">
        <f>'Composition of waste'!$BN5*$E5/100</f>
        <v>0</v>
      </c>
      <c r="BO5" s="18">
        <f>'Composition of waste'!$BO5*$E5/100</f>
        <v>0</v>
      </c>
      <c r="BP5" s="18">
        <f>'Composition of waste'!$BP5*$E5/100</f>
        <v>0</v>
      </c>
      <c r="BQ5" s="18">
        <v>0</v>
      </c>
      <c r="BR5" s="18">
        <f>'Composition of waste'!$BR5*$E5/100</f>
        <v>0</v>
      </c>
      <c r="BS5" s="18">
        <v>17.79058369825308</v>
      </c>
      <c r="BT5" s="18">
        <v>1.3903426214741381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17.159496569534323</v>
      </c>
      <c r="CA5" s="18">
        <v>0</v>
      </c>
      <c r="CB5" s="19">
        <v>60.94563180937687</v>
      </c>
      <c r="CD5" s="20"/>
    </row>
    <row r="6" spans="1:82" x14ac:dyDescent="0.35">
      <c r="A6" s="17" t="s">
        <v>117</v>
      </c>
      <c r="B6" s="17" t="s">
        <v>122</v>
      </c>
      <c r="C6" s="17"/>
      <c r="D6" s="18">
        <f>'Composition of waste'!$D6*$C6/100</f>
        <v>0</v>
      </c>
      <c r="E6" s="18">
        <f>'Composition of waste'!$E6*$C6/100</f>
        <v>0</v>
      </c>
      <c r="F6" s="18">
        <f>'Composition of waste'!$F6*$E6/100</f>
        <v>0</v>
      </c>
      <c r="G6" s="18">
        <f>'Composition of waste'!$G6*$E6/100</f>
        <v>0</v>
      </c>
      <c r="H6" s="18">
        <v>19.2058264142469</v>
      </c>
      <c r="I6" s="18">
        <v>513.99809525018293</v>
      </c>
      <c r="J6" s="18">
        <f>'Composition of waste'!$J6*'Composition (mass)'!$E6/100</f>
        <v>0</v>
      </c>
      <c r="K6" s="18">
        <v>48.316321209428857</v>
      </c>
      <c r="L6" s="18">
        <v>0</v>
      </c>
      <c r="M6" s="18">
        <v>2.5281767012530064E-2</v>
      </c>
      <c r="N6" s="18">
        <v>0</v>
      </c>
      <c r="O6" s="18">
        <v>0</v>
      </c>
      <c r="P6" s="18">
        <v>7.0319364988850133</v>
      </c>
      <c r="Q6" s="18">
        <v>0.34678987542418505</v>
      </c>
      <c r="R6" s="18">
        <f>'Composition of waste'!$R6*'Composition (mass)'!$E6/100</f>
        <v>0</v>
      </c>
      <c r="S6" s="18">
        <v>8.097001197180892E-2</v>
      </c>
      <c r="T6" s="18">
        <f>'Composition of waste'!$T6*'Composition (mass)'!$E6/100</f>
        <v>0</v>
      </c>
      <c r="U6" s="18">
        <v>0.2833108905775848</v>
      </c>
      <c r="V6" s="18">
        <v>0.42891065514079679</v>
      </c>
      <c r="W6" s="18">
        <v>0</v>
      </c>
      <c r="X6" s="18">
        <v>0</v>
      </c>
      <c r="Y6" s="18">
        <v>0</v>
      </c>
      <c r="Z6" s="18">
        <v>1.4731401806040518E-6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4.750001117975765E-6</v>
      </c>
      <c r="AH6" s="18">
        <v>4.9273038521776101E-7</v>
      </c>
      <c r="AI6" s="18">
        <v>8.9534338014496805E-7</v>
      </c>
      <c r="AJ6" s="18">
        <v>2.8574866931810913E-4</v>
      </c>
      <c r="AK6" s="18">
        <v>2.1944275115182797E-3</v>
      </c>
      <c r="AL6" s="18">
        <v>0</v>
      </c>
      <c r="AM6" s="18">
        <v>1.6107903456688871E-7</v>
      </c>
      <c r="AN6" s="18">
        <v>0</v>
      </c>
      <c r="AO6" s="18">
        <v>0</v>
      </c>
      <c r="AP6" s="18">
        <v>8.4927596920605128E-2</v>
      </c>
      <c r="AQ6" s="18">
        <v>3.5022977375752632E-3</v>
      </c>
      <c r="AR6" s="18">
        <v>1.2286975552822217E-5</v>
      </c>
      <c r="AS6" s="18">
        <v>2.2185232256509203E-5</v>
      </c>
      <c r="AT6" s="18">
        <v>1.5234091734247203E-6</v>
      </c>
      <c r="AU6" s="18">
        <v>0</v>
      </c>
      <c r="AV6" s="18">
        <v>0</v>
      </c>
      <c r="AW6" s="18">
        <v>0</v>
      </c>
      <c r="AX6" s="18">
        <v>1.6339976681703728E-6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3.6050703874110157E-3</v>
      </c>
      <c r="BF6" s="18">
        <v>0</v>
      </c>
      <c r="BG6" s="18">
        <v>0</v>
      </c>
      <c r="BH6" s="18">
        <v>0</v>
      </c>
      <c r="BI6" s="18">
        <v>0.26455857693197066</v>
      </c>
      <c r="BJ6" s="18">
        <v>34.328418916917762</v>
      </c>
      <c r="BK6" s="18">
        <f>'Composition of waste'!$BK6*$E6/100</f>
        <v>0</v>
      </c>
      <c r="BL6" s="18">
        <f>'Composition of waste'!$BL6*$E6/100</f>
        <v>0</v>
      </c>
      <c r="BM6" s="18">
        <v>0</v>
      </c>
      <c r="BN6" s="18">
        <f>'Composition of waste'!$BN6*$E6/100</f>
        <v>0</v>
      </c>
      <c r="BO6" s="18">
        <f>'Composition of waste'!$BO6*$E6/100</f>
        <v>0</v>
      </c>
      <c r="BP6" s="18">
        <f>'Composition of waste'!$BP6*$E6/100</f>
        <v>0</v>
      </c>
      <c r="BQ6" s="18">
        <v>0</v>
      </c>
      <c r="BR6" s="18">
        <f>'Composition of waste'!$BR6*$E6/100</f>
        <v>0</v>
      </c>
      <c r="BS6" s="18">
        <v>19.789689023585765</v>
      </c>
      <c r="BT6" s="18">
        <v>1.58803885645458</v>
      </c>
      <c r="BU6" s="18">
        <v>0</v>
      </c>
      <c r="BV6" s="18">
        <v>0</v>
      </c>
      <c r="BW6" s="18">
        <v>0</v>
      </c>
      <c r="BX6" s="18">
        <v>0</v>
      </c>
      <c r="BY6" s="18">
        <v>2.1342739514704969</v>
      </c>
      <c r="BZ6" s="18">
        <v>19.095712029395678</v>
      </c>
      <c r="CA6" s="18">
        <v>0</v>
      </c>
      <c r="CB6" s="19">
        <v>35.849357179253154</v>
      </c>
    </row>
    <row r="7" spans="1:82" x14ac:dyDescent="0.35">
      <c r="A7" s="17" t="s">
        <v>117</v>
      </c>
      <c r="B7" s="17" t="s">
        <v>123</v>
      </c>
      <c r="C7" s="17"/>
      <c r="D7" s="18">
        <f>'Composition of waste'!$D7*$C7/100</f>
        <v>0</v>
      </c>
      <c r="E7" s="18">
        <f>'Composition of waste'!$E7*$C7/100</f>
        <v>0</v>
      </c>
      <c r="F7" s="18">
        <f>'Composition of waste'!$F7*$E7/100</f>
        <v>0</v>
      </c>
      <c r="G7" s="18">
        <f>'Composition of waste'!$G7*$E7/100</f>
        <v>0</v>
      </c>
      <c r="H7" s="18">
        <v>19.347023266837258</v>
      </c>
      <c r="I7" s="18">
        <v>539.46658293396172</v>
      </c>
      <c r="J7" s="18">
        <f>'Composition of waste'!$J7*'Composition (mass)'!$E7/100</f>
        <v>0</v>
      </c>
      <c r="K7" s="18">
        <v>47.667609874252065</v>
      </c>
      <c r="L7" s="18">
        <v>0</v>
      </c>
      <c r="M7" s="18">
        <v>0.33650323822423894</v>
      </c>
      <c r="N7" s="18">
        <v>1.6652305483741814</v>
      </c>
      <c r="O7" s="18">
        <v>0</v>
      </c>
      <c r="P7" s="18">
        <v>7.1201827719839317</v>
      </c>
      <c r="Q7" s="18">
        <v>0.38378206845772361</v>
      </c>
      <c r="R7" s="18">
        <f>'Composition of waste'!$R7*'Composition (mass)'!$E7/100</f>
        <v>0</v>
      </c>
      <c r="S7" s="18">
        <v>1.0079474551418557</v>
      </c>
      <c r="T7" s="18">
        <f>'Composition of waste'!$T7*'Composition (mass)'!$E7/100</f>
        <v>0</v>
      </c>
      <c r="U7" s="18">
        <v>0.16864015099806251</v>
      </c>
      <c r="V7" s="18">
        <v>0.75400961225777152</v>
      </c>
      <c r="W7" s="18">
        <v>0</v>
      </c>
      <c r="X7" s="18">
        <v>0</v>
      </c>
      <c r="Y7" s="18">
        <v>0</v>
      </c>
      <c r="Z7" s="18">
        <v>5.7461406518010298E-7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1.1835390967884565E-6</v>
      </c>
      <c r="AH7" s="18">
        <v>0</v>
      </c>
      <c r="AI7" s="18">
        <v>0</v>
      </c>
      <c r="AJ7" s="18">
        <v>1.786914294622323E-4</v>
      </c>
      <c r="AK7" s="18">
        <v>2.624566886425388E-3</v>
      </c>
      <c r="AL7" s="18">
        <v>0</v>
      </c>
      <c r="AM7" s="18">
        <v>0</v>
      </c>
      <c r="AN7" s="18">
        <v>0</v>
      </c>
      <c r="AO7" s="18">
        <v>0</v>
      </c>
      <c r="AP7" s="18">
        <v>4.2894879756085295E-2</v>
      </c>
      <c r="AQ7" s="18">
        <v>2.9724404371886208E-4</v>
      </c>
      <c r="AR7" s="18">
        <v>0</v>
      </c>
      <c r="AS7" s="18">
        <v>1.9151814475304112E-5</v>
      </c>
      <c r="AT7" s="18">
        <v>5.4873176305646607E-6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1.1512607577851349E-4</v>
      </c>
      <c r="BA7" s="18">
        <v>0</v>
      </c>
      <c r="BB7" s="18">
        <v>0</v>
      </c>
      <c r="BC7" s="18">
        <v>0</v>
      </c>
      <c r="BD7" s="18">
        <v>0</v>
      </c>
      <c r="BE7" s="18">
        <v>2.5763090480195841E-3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f>'Composition of waste'!$BK7*$E7/100</f>
        <v>0</v>
      </c>
      <c r="BL7" s="18">
        <f>'Composition of waste'!$BL7*$E7/100</f>
        <v>0</v>
      </c>
      <c r="BM7" s="18">
        <v>0</v>
      </c>
      <c r="BN7" s="18">
        <f>'Composition of waste'!$BN7*$E7/100</f>
        <v>0</v>
      </c>
      <c r="BO7" s="18">
        <f>'Composition of waste'!$BO7*$E7/100</f>
        <v>0</v>
      </c>
      <c r="BP7" s="18">
        <f>'Composition of waste'!$BP7*$E7/100</f>
        <v>0</v>
      </c>
      <c r="BQ7" s="18">
        <v>0</v>
      </c>
      <c r="BR7" s="18">
        <f>'Composition of waste'!$BR7*$E7/100</f>
        <v>0</v>
      </c>
      <c r="BS7" s="18">
        <v>20.293003611913171</v>
      </c>
      <c r="BT7" s="18">
        <v>1.6379780572182121</v>
      </c>
      <c r="BU7" s="18">
        <v>0</v>
      </c>
      <c r="BV7" s="18">
        <v>0</v>
      </c>
      <c r="BW7" s="18">
        <v>0</v>
      </c>
      <c r="BX7" s="18">
        <v>0</v>
      </c>
      <c r="BY7" s="18">
        <v>0</v>
      </c>
      <c r="BZ7" s="18">
        <v>19.279271838967023</v>
      </c>
      <c r="CA7" s="18">
        <v>0</v>
      </c>
      <c r="CB7" s="19">
        <v>57.452961867954286</v>
      </c>
    </row>
    <row r="8" spans="1:82" x14ac:dyDescent="0.35">
      <c r="A8" s="17" t="s">
        <v>117</v>
      </c>
      <c r="B8" s="17" t="s">
        <v>124</v>
      </c>
      <c r="C8" s="17">
        <v>0.1</v>
      </c>
      <c r="D8" s="18">
        <f>'Composition of waste'!$D8*$C8/100</f>
        <v>5.4807142857142867E-2</v>
      </c>
      <c r="E8" s="18">
        <f>'Composition of waste'!$E8*$C8/100</f>
        <v>4.5214285714285714E-2</v>
      </c>
      <c r="F8" s="18">
        <f>'Composition of waste'!$F8*$E8/100</f>
        <v>4.3385644184889216E-2</v>
      </c>
      <c r="G8" s="18">
        <f>'Composition of waste'!$G8*$E8/100</f>
        <v>1.8286415293965069E-3</v>
      </c>
      <c r="H8" s="18">
        <v>20.474824810998559</v>
      </c>
      <c r="I8" s="18">
        <v>569.08710458364942</v>
      </c>
      <c r="J8" s="18">
        <f>'Composition of waste'!$J8*'Composition (mass)'!$E8/100</f>
        <v>2.2401094352076486E-2</v>
      </c>
      <c r="K8" s="18">
        <v>49.544284506962207</v>
      </c>
      <c r="L8" s="18">
        <v>0</v>
      </c>
      <c r="M8" s="18">
        <v>9.4605715475363922E-2</v>
      </c>
      <c r="N8" s="18">
        <v>1.599298853708202</v>
      </c>
      <c r="O8" s="18">
        <v>0</v>
      </c>
      <c r="P8" s="18">
        <v>7.359527914325847</v>
      </c>
      <c r="Q8" s="18">
        <v>0.4394226291479511</v>
      </c>
      <c r="R8" s="18">
        <f>'Composition of waste'!$R8*'Composition (mass)'!$E8/100</f>
        <v>1.5499796816644746E-3</v>
      </c>
      <c r="S8" s="18">
        <v>1.0497922947116964</v>
      </c>
      <c r="T8" s="18">
        <f>'Composition of waste'!$T8*'Composition (mass)'!$E8/100</f>
        <v>1.5951484864190537E-2</v>
      </c>
      <c r="U8" s="18">
        <v>0.24094318843167975</v>
      </c>
      <c r="V8" s="18">
        <v>0.76206459889623357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1.8661007664213237E-4</v>
      </c>
      <c r="AK8" s="18">
        <v>1.796172056146738E-3</v>
      </c>
      <c r="AL8" s="18">
        <v>0</v>
      </c>
      <c r="AM8" s="18">
        <v>0</v>
      </c>
      <c r="AN8" s="18">
        <v>0</v>
      </c>
      <c r="AO8" s="18">
        <v>0</v>
      </c>
      <c r="AP8" s="18">
        <v>4.2365234827295171E-2</v>
      </c>
      <c r="AQ8" s="18">
        <v>5.5569660498581248E-4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2.5041090197761508E-3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f>'Composition of waste'!$BK8*$E8/100</f>
        <v>0</v>
      </c>
      <c r="BL8" s="18">
        <f>'Composition of waste'!$BL8*$E8/100</f>
        <v>0</v>
      </c>
      <c r="BM8" s="18">
        <v>0</v>
      </c>
      <c r="BN8" s="18">
        <f>'Composition of waste'!$BN8*$E8/100</f>
        <v>0</v>
      </c>
      <c r="BO8" s="18">
        <f>'Composition of waste'!$BO8*$E8/100</f>
        <v>9.703481071480731E-3</v>
      </c>
      <c r="BP8" s="18">
        <f>'Composition of waste'!$BP8*$E8/100</f>
        <v>9.8472031930800508E-3</v>
      </c>
      <c r="BQ8" s="18">
        <v>0</v>
      </c>
      <c r="BR8" s="18">
        <f>'Composition of waste'!$BR8*$E8/100</f>
        <v>2.3832905205389419E-2</v>
      </c>
      <c r="BS8" s="18">
        <v>21.12445062400916</v>
      </c>
      <c r="BT8" s="18">
        <v>1.7202081667145059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8">
        <v>20.315077775235579</v>
      </c>
      <c r="CA8" s="18">
        <v>0</v>
      </c>
      <c r="CB8" s="19">
        <v>52.715551166603156</v>
      </c>
    </row>
    <row r="9" spans="1:82" x14ac:dyDescent="0.35">
      <c r="A9" s="17" t="s">
        <v>117</v>
      </c>
      <c r="B9" s="17" t="s">
        <v>125</v>
      </c>
      <c r="C9" s="17"/>
      <c r="D9" s="18">
        <f>'Composition of waste'!$D9*$C9/100</f>
        <v>0</v>
      </c>
      <c r="E9" s="18">
        <f>'Composition of waste'!$E9*$C9/100</f>
        <v>0</v>
      </c>
      <c r="F9" s="18">
        <f>'Composition of waste'!$F9*$E9/100</f>
        <v>0</v>
      </c>
      <c r="G9" s="18">
        <f>'Composition of waste'!$G9*$E9/100</f>
        <v>0</v>
      </c>
      <c r="H9" s="18">
        <v>25.77184229790425</v>
      </c>
      <c r="I9" s="18">
        <v>743.09677815443729</v>
      </c>
      <c r="J9" s="18">
        <f>'Composition of waste'!$J9*'Composition (mass)'!$E9/100</f>
        <v>0</v>
      </c>
      <c r="K9" s="18">
        <v>57.147639038488009</v>
      </c>
      <c r="L9" s="18">
        <v>0</v>
      </c>
      <c r="M9" s="18">
        <v>3.7887323880203563E-2</v>
      </c>
      <c r="N9" s="18">
        <v>2.7017804417282059</v>
      </c>
      <c r="O9" s="18">
        <v>0</v>
      </c>
      <c r="P9" s="18">
        <v>8.2849967159131381</v>
      </c>
      <c r="Q9" s="18">
        <v>0.59134707314240698</v>
      </c>
      <c r="R9" s="18">
        <f>'Composition of waste'!$R9*'Composition (mass)'!$E9/100</f>
        <v>0</v>
      </c>
      <c r="S9" s="18">
        <v>3.1353013820033664</v>
      </c>
      <c r="T9" s="18">
        <f>'Composition of waste'!$T9*'Composition (mass)'!$E9/100</f>
        <v>0</v>
      </c>
      <c r="U9" s="18">
        <v>0.46758787683042363</v>
      </c>
      <c r="V9" s="18">
        <v>1.331661443192113</v>
      </c>
      <c r="W9" s="18">
        <v>0</v>
      </c>
      <c r="X9" s="18">
        <v>0</v>
      </c>
      <c r="Y9" s="18">
        <v>0</v>
      </c>
      <c r="Z9" s="18">
        <v>1.2911784179388394E-6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1.7312227935384902E-6</v>
      </c>
      <c r="AH9" s="18">
        <v>0</v>
      </c>
      <c r="AI9" s="18">
        <v>1.6161598093847513E-5</v>
      </c>
      <c r="AJ9" s="18">
        <v>2.7628314209186122E-4</v>
      </c>
      <c r="AK9" s="18">
        <v>4.5496976685827101E-3</v>
      </c>
      <c r="AL9" s="18">
        <v>0</v>
      </c>
      <c r="AM9" s="18">
        <v>2.2003784366246872E-7</v>
      </c>
      <c r="AN9" s="18">
        <v>0</v>
      </c>
      <c r="AO9" s="18">
        <v>0</v>
      </c>
      <c r="AP9" s="18">
        <v>4.043927930657832E-2</v>
      </c>
      <c r="AQ9" s="18">
        <v>5.1176911996971843E-4</v>
      </c>
      <c r="AR9" s="18">
        <v>3.4882669851317739E-6</v>
      </c>
      <c r="AS9" s="18">
        <v>1.2310401102448743E-5</v>
      </c>
      <c r="AT9" s="18">
        <v>4.8489018535797112E-6</v>
      </c>
      <c r="AU9" s="18">
        <v>0</v>
      </c>
      <c r="AV9" s="18">
        <v>0</v>
      </c>
      <c r="AW9" s="18">
        <v>0</v>
      </c>
      <c r="AX9" s="18">
        <v>1.9825930934081898E-5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4.6431237735740632E-3</v>
      </c>
      <c r="BF9" s="18">
        <v>0</v>
      </c>
      <c r="BG9" s="18">
        <v>0</v>
      </c>
      <c r="BH9" s="18">
        <v>0</v>
      </c>
      <c r="BI9" s="18">
        <v>9.2709207460736923E-2</v>
      </c>
      <c r="BJ9" s="18">
        <v>1.0351329594016632</v>
      </c>
      <c r="BK9" s="18">
        <f>'Composition of waste'!$BK9*$E9/100</f>
        <v>0</v>
      </c>
      <c r="BL9" s="18">
        <f>'Composition of waste'!$BL9*$E9/100</f>
        <v>0</v>
      </c>
      <c r="BM9" s="18">
        <v>0</v>
      </c>
      <c r="BN9" s="18">
        <f>'Composition of waste'!$BN9*$E9/100</f>
        <v>0</v>
      </c>
      <c r="BO9" s="18">
        <f>'Composition of waste'!$BO9*$E9/100</f>
        <v>0</v>
      </c>
      <c r="BP9" s="18">
        <f>'Composition of waste'!$BP9*$E9/100</f>
        <v>0</v>
      </c>
      <c r="BQ9" s="18">
        <v>0</v>
      </c>
      <c r="BR9" s="18">
        <f>'Composition of waste'!$BR9*$E9/100</f>
        <v>0</v>
      </c>
      <c r="BS9" s="18">
        <v>25.175807584057925</v>
      </c>
      <c r="BT9" s="18">
        <v>2.1208873700633299</v>
      </c>
      <c r="BU9" s="18">
        <v>3.5180299032541774E-3</v>
      </c>
      <c r="BV9" s="18">
        <v>5.2770448548812663E-3</v>
      </c>
      <c r="BW9" s="18">
        <v>1.3755239499713026</v>
      </c>
      <c r="BX9" s="18">
        <v>0</v>
      </c>
      <c r="BY9" s="18">
        <v>1.4770282321901749</v>
      </c>
      <c r="BZ9" s="18">
        <v>24.483705487726525</v>
      </c>
      <c r="CA9" s="18">
        <v>0</v>
      </c>
      <c r="CB9" s="19">
        <v>5.9187735805184003</v>
      </c>
    </row>
    <row r="10" spans="1:82" x14ac:dyDescent="0.35">
      <c r="A10" s="17" t="s">
        <v>117</v>
      </c>
      <c r="B10" s="17" t="s">
        <v>126</v>
      </c>
      <c r="C10" s="17">
        <v>0.1</v>
      </c>
      <c r="D10" s="18">
        <f>'Composition of waste'!$D10*$C10/100</f>
        <v>8.0565217391304345E-2</v>
      </c>
      <c r="E10" s="18">
        <f>'Composition of waste'!$E10*$C10/100</f>
        <v>1.9443478260869562E-2</v>
      </c>
      <c r="F10" s="18">
        <f>'Composition of waste'!$F10*$E10/100</f>
        <v>1.8125307102994925E-2</v>
      </c>
      <c r="G10" s="18">
        <f>'Composition of waste'!$G10*$E10/100</f>
        <v>1.318171157874638E-3</v>
      </c>
      <c r="H10" s="18">
        <v>18.958190859816952</v>
      </c>
      <c r="I10" s="18">
        <v>539.36806460390744</v>
      </c>
      <c r="J10" s="18">
        <f>'Composition of waste'!$J10*'Composition (mass)'!$E10/100</f>
        <v>9.0386262008220666E-3</v>
      </c>
      <c r="K10" s="18">
        <v>46.486673215319222</v>
      </c>
      <c r="L10" s="18">
        <v>0</v>
      </c>
      <c r="M10" s="18">
        <v>1.0263210030019982</v>
      </c>
      <c r="N10" s="18">
        <v>0.52653570687178752</v>
      </c>
      <c r="O10" s="18">
        <v>0</v>
      </c>
      <c r="P10" s="18">
        <v>6.9570372600503019</v>
      </c>
      <c r="Q10" s="18">
        <v>1.3815970011621443</v>
      </c>
      <c r="R10" s="18">
        <f>'Composition of waste'!$R10*'Composition (mass)'!$E10/100</f>
        <v>9.1664084725802885E-4</v>
      </c>
      <c r="S10" s="18">
        <v>0.35185081082960012</v>
      </c>
      <c r="T10" s="18">
        <f>'Composition of waste'!$T10*'Composition (mass)'!$E10/100</f>
        <v>6.7062230236507071E-3</v>
      </c>
      <c r="U10" s="18">
        <v>0.81121296613794136</v>
      </c>
      <c r="V10" s="18">
        <v>1.0679109208275277</v>
      </c>
      <c r="W10" s="18">
        <v>0</v>
      </c>
      <c r="X10" s="18">
        <v>0</v>
      </c>
      <c r="Y10" s="18">
        <v>0</v>
      </c>
      <c r="Z10" s="18">
        <v>1.5579564558556209E-6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1.2279417622330309E-7</v>
      </c>
      <c r="AH10" s="18">
        <v>0</v>
      </c>
      <c r="AI10" s="18">
        <v>3.888636501458701E-6</v>
      </c>
      <c r="AJ10" s="18">
        <v>1.792749171111241E-4</v>
      </c>
      <c r="AK10" s="18">
        <v>5.6195451465860602E-4</v>
      </c>
      <c r="AL10" s="18">
        <v>0</v>
      </c>
      <c r="AM10" s="18">
        <v>2.5318609639308934E-7</v>
      </c>
      <c r="AN10" s="18">
        <v>0</v>
      </c>
      <c r="AO10" s="18">
        <v>0</v>
      </c>
      <c r="AP10" s="18">
        <v>0.10978937090245969</v>
      </c>
      <c r="AQ10" s="18">
        <v>7.2309380238748909E-5</v>
      </c>
      <c r="AR10" s="18">
        <v>3.6269288933699037E-5</v>
      </c>
      <c r="AS10" s="18">
        <v>2.3991249671609435E-5</v>
      </c>
      <c r="AT10" s="18">
        <v>6.1834327997030668E-7</v>
      </c>
      <c r="AU10" s="18">
        <v>0</v>
      </c>
      <c r="AV10" s="18">
        <v>0</v>
      </c>
      <c r="AW10" s="18">
        <v>0</v>
      </c>
      <c r="AX10" s="18">
        <v>1.4515023980387299E-5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3.6867778267398259E-3</v>
      </c>
      <c r="BF10" s="18">
        <v>0</v>
      </c>
      <c r="BG10" s="18">
        <v>0</v>
      </c>
      <c r="BH10" s="18">
        <v>0</v>
      </c>
      <c r="BI10" s="18">
        <v>6.7008672208075639</v>
      </c>
      <c r="BJ10" s="18">
        <v>0</v>
      </c>
      <c r="BK10" s="18">
        <f>'Composition of waste'!$BK10*$E10/100</f>
        <v>7.1392451092023269E-5</v>
      </c>
      <c r="BL10" s="18">
        <f>'Composition of waste'!$BL10*$E10/100</f>
        <v>0</v>
      </c>
      <c r="BM10" s="18">
        <v>0</v>
      </c>
      <c r="BN10" s="18">
        <f>'Composition of waste'!$BN10*$E10/100</f>
        <v>0</v>
      </c>
      <c r="BO10" s="18">
        <f>'Composition of waste'!$BO10*$E10/100</f>
        <v>5.8474846176671388E-3</v>
      </c>
      <c r="BP10" s="18">
        <f>'Composition of waste'!$BP10*$E10/100</f>
        <v>2.9798291519103066E-3</v>
      </c>
      <c r="BQ10" s="18">
        <v>0</v>
      </c>
      <c r="BR10" s="18">
        <f>'Composition of waste'!$BR10*$E10/100</f>
        <v>9.3192533643276145E-3</v>
      </c>
      <c r="BS10" s="18">
        <v>20.165156950375128</v>
      </c>
      <c r="BT10" s="18">
        <v>1.6253340223921</v>
      </c>
      <c r="BU10" s="18">
        <v>1.2978585334198574E-2</v>
      </c>
      <c r="BV10" s="18">
        <v>1.5345975436825534E-2</v>
      </c>
      <c r="BW10" s="18">
        <v>35.488767391256935</v>
      </c>
      <c r="BX10" s="18">
        <v>0</v>
      </c>
      <c r="BY10" s="18">
        <v>43.901764611465516</v>
      </c>
      <c r="BZ10" s="18">
        <v>18.743301379255026</v>
      </c>
      <c r="CA10" s="18">
        <v>0</v>
      </c>
      <c r="CB10" s="19">
        <v>5.2354890144376318</v>
      </c>
    </row>
    <row r="11" spans="1:82" x14ac:dyDescent="0.35">
      <c r="A11" s="17" t="s">
        <v>117</v>
      </c>
      <c r="B11" s="17" t="s">
        <v>127</v>
      </c>
      <c r="C11" s="17"/>
      <c r="D11" s="18">
        <f>'Composition of waste'!$D11*$C11/100</f>
        <v>0</v>
      </c>
      <c r="E11" s="18">
        <f>'Composition of waste'!$E11*$C11/100</f>
        <v>0</v>
      </c>
      <c r="F11" s="18">
        <f>'Composition of waste'!$F11*$E11/100</f>
        <v>0</v>
      </c>
      <c r="G11" s="18">
        <f>'Composition of waste'!$G11*$E11/100</f>
        <v>0</v>
      </c>
      <c r="H11" s="18">
        <v>18.695702123106482</v>
      </c>
      <c r="I11" s="18">
        <v>528.34761605651363</v>
      </c>
      <c r="J11" s="18">
        <f>'Composition of waste'!$J11*'Composition (mass)'!$E11/100</f>
        <v>0</v>
      </c>
      <c r="K11" s="18">
        <v>46.314213067535228</v>
      </c>
      <c r="L11" s="18">
        <v>0</v>
      </c>
      <c r="M11" s="18">
        <v>0.77588848343591332</v>
      </c>
      <c r="N11" s="18">
        <v>0.18138609235058628</v>
      </c>
      <c r="O11" s="18">
        <v>0</v>
      </c>
      <c r="P11" s="18">
        <v>6.9778275740648121</v>
      </c>
      <c r="Q11" s="18">
        <v>0.93642366963435431</v>
      </c>
      <c r="R11" s="18">
        <f>'Composition of waste'!$R11*'Composition (mass)'!$E11/100</f>
        <v>0</v>
      </c>
      <c r="S11" s="18">
        <v>0.24323036519821375</v>
      </c>
      <c r="T11" s="18">
        <f>'Composition of waste'!$T11*'Composition (mass)'!$E11/100</f>
        <v>0</v>
      </c>
      <c r="U11" s="18">
        <v>0.58585568642197239</v>
      </c>
      <c r="V11" s="18">
        <v>0.8086123602402705</v>
      </c>
      <c r="W11" s="18">
        <v>0</v>
      </c>
      <c r="X11" s="18">
        <v>0</v>
      </c>
      <c r="Y11" s="18">
        <v>0</v>
      </c>
      <c r="Z11" s="18">
        <v>8.9581098708843088E-7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7.7509361701721473E-9</v>
      </c>
      <c r="AH11" s="18">
        <v>0</v>
      </c>
      <c r="AI11" s="18">
        <v>8.5468234082165186E-7</v>
      </c>
      <c r="AJ11" s="18">
        <v>7.5072156795016805E-5</v>
      </c>
      <c r="AK11" s="18">
        <v>3.298280543590561E-4</v>
      </c>
      <c r="AL11" s="18">
        <v>0</v>
      </c>
      <c r="AM11" s="18">
        <v>8.958109870884308E-8</v>
      </c>
      <c r="AN11" s="18">
        <v>0</v>
      </c>
      <c r="AO11" s="18">
        <v>0</v>
      </c>
      <c r="AP11" s="18">
        <v>7.426473003663224E-2</v>
      </c>
      <c r="AQ11" s="18">
        <v>1.0493202952008286E-4</v>
      </c>
      <c r="AR11" s="18">
        <v>7.4918300861619799E-6</v>
      </c>
      <c r="AS11" s="18">
        <v>1.0140789933433448E-5</v>
      </c>
      <c r="AT11" s="18">
        <v>3.4491665957266044E-7</v>
      </c>
      <c r="AU11" s="18">
        <v>0</v>
      </c>
      <c r="AV11" s="18">
        <v>0</v>
      </c>
      <c r="AW11" s="18">
        <v>0</v>
      </c>
      <c r="AX11" s="18">
        <v>1.1057633791178179E-5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2.8770697894988525E-3</v>
      </c>
      <c r="BF11" s="18">
        <v>0</v>
      </c>
      <c r="BG11" s="18">
        <v>0</v>
      </c>
      <c r="BH11" s="18">
        <v>0</v>
      </c>
      <c r="BI11" s="18">
        <v>19.664521787765349</v>
      </c>
      <c r="BJ11" s="18">
        <v>0</v>
      </c>
      <c r="BK11" s="18">
        <f>'Composition of waste'!$BK11*$E11/100</f>
        <v>0</v>
      </c>
      <c r="BL11" s="18">
        <f>'Composition of waste'!$BL11*$E11/100</f>
        <v>0</v>
      </c>
      <c r="BM11" s="18">
        <v>0</v>
      </c>
      <c r="BN11" s="18">
        <f>'Composition of waste'!$BN11*$E11/100</f>
        <v>0</v>
      </c>
      <c r="BO11" s="18">
        <f>'Composition of waste'!$BO11*$E11/100</f>
        <v>0</v>
      </c>
      <c r="BP11" s="18">
        <f>'Composition of waste'!$BP11*$E11/100</f>
        <v>0</v>
      </c>
      <c r="BQ11" s="18">
        <v>0</v>
      </c>
      <c r="BR11" s="18">
        <f>'Composition of waste'!$BR11*$E11/100</f>
        <v>0</v>
      </c>
      <c r="BS11" s="18">
        <v>19.845923641621006</v>
      </c>
      <c r="BT11" s="18">
        <v>1.5937618481563178</v>
      </c>
      <c r="BU11" s="18">
        <v>3.9894135941583833</v>
      </c>
      <c r="BV11" s="18">
        <v>3.6492334009882224</v>
      </c>
      <c r="BW11" s="18">
        <v>16.612300406744001</v>
      </c>
      <c r="BX11" s="18">
        <v>0</v>
      </c>
      <c r="BY11" s="18">
        <v>49.227328327250646</v>
      </c>
      <c r="BZ11" s="18">
        <v>18.737553167281245</v>
      </c>
      <c r="CA11" s="18">
        <v>0</v>
      </c>
      <c r="CB11" s="19">
        <v>13.024139857845634</v>
      </c>
    </row>
    <row r="12" spans="1:82" x14ac:dyDescent="0.35">
      <c r="A12" s="17" t="s">
        <v>117</v>
      </c>
      <c r="B12" s="17" t="s">
        <v>128</v>
      </c>
      <c r="C12" s="17"/>
      <c r="D12" s="18">
        <f>'Composition of waste'!$D12*$C12/100</f>
        <v>0</v>
      </c>
      <c r="E12" s="18">
        <f>'Composition of waste'!$E12*$C12/100</f>
        <v>0</v>
      </c>
      <c r="F12" s="18">
        <f>'Composition of waste'!$F12*$E12/100</f>
        <v>0</v>
      </c>
      <c r="G12" s="18">
        <f>'Composition of waste'!$G12*$E12/100</f>
        <v>0</v>
      </c>
      <c r="H12" s="18">
        <v>24.758164783012067</v>
      </c>
      <c r="I12" s="18">
        <v>691.08826360273588</v>
      </c>
      <c r="J12" s="18">
        <f>'Composition of waste'!$J12*'Composition (mass)'!$E12/100</f>
        <v>0</v>
      </c>
      <c r="K12" s="18">
        <v>55.799930050288502</v>
      </c>
      <c r="L12" s="18">
        <v>0</v>
      </c>
      <c r="M12" s="18">
        <v>0.20068131416951168</v>
      </c>
      <c r="N12" s="18">
        <v>1.254461166590308</v>
      </c>
      <c r="O12" s="18">
        <v>0</v>
      </c>
      <c r="P12" s="18">
        <v>8.176775430575228</v>
      </c>
      <c r="Q12" s="18">
        <v>0.59446318125990838</v>
      </c>
      <c r="R12" s="18">
        <f>'Composition of waste'!$R12*'Composition (mass)'!$E12/100</f>
        <v>0</v>
      </c>
      <c r="S12" s="18">
        <v>1.3516872115621565</v>
      </c>
      <c r="T12" s="18">
        <f>'Composition of waste'!$T12*'Composition (mass)'!$E12/100</f>
        <v>0</v>
      </c>
      <c r="U12" s="18">
        <v>0.69863005079095308</v>
      </c>
      <c r="V12" s="18">
        <v>1.7860519442302654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3.1847133757961781E-8</v>
      </c>
      <c r="AH12" s="18">
        <v>0</v>
      </c>
      <c r="AI12" s="18">
        <v>2.2209150275875975E-6</v>
      </c>
      <c r="AJ12" s="18">
        <v>1.8822722667428677E-4</v>
      </c>
      <c r="AK12" s="18">
        <v>7.1756216423437989E-3</v>
      </c>
      <c r="AL12" s="18">
        <v>0</v>
      </c>
      <c r="AM12" s="18">
        <v>0</v>
      </c>
      <c r="AN12" s="18">
        <v>0</v>
      </c>
      <c r="AO12" s="18">
        <v>0</v>
      </c>
      <c r="AP12" s="18">
        <v>4.6230486456180019E-2</v>
      </c>
      <c r="AQ12" s="18">
        <v>1.0139695430275623E-4</v>
      </c>
      <c r="AR12" s="18">
        <v>1.8046709129511676E-6</v>
      </c>
      <c r="AS12" s="18">
        <v>6.8103870651641347E-7</v>
      </c>
      <c r="AT12" s="18">
        <v>2.1231422505307853E-7</v>
      </c>
      <c r="AU12" s="18">
        <v>0</v>
      </c>
      <c r="AV12" s="18">
        <v>0</v>
      </c>
      <c r="AW12" s="18">
        <v>0</v>
      </c>
      <c r="AX12" s="18">
        <v>7.4643817023177395E-5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4.5121113997438796E-3</v>
      </c>
      <c r="BF12" s="18">
        <v>0</v>
      </c>
      <c r="BG12" s="18">
        <v>0</v>
      </c>
      <c r="BH12" s="18">
        <v>0</v>
      </c>
      <c r="BI12" s="18">
        <v>0.99009900990099009</v>
      </c>
      <c r="BJ12" s="18">
        <v>0</v>
      </c>
      <c r="BK12" s="18">
        <f>'Composition of waste'!$BK12*$E12/100</f>
        <v>0</v>
      </c>
      <c r="BL12" s="18">
        <f>'Composition of waste'!$BL12*$E12/100</f>
        <v>0</v>
      </c>
      <c r="BM12" s="18">
        <v>0</v>
      </c>
      <c r="BN12" s="18">
        <f>'Composition of waste'!$BN12*$E12/100</f>
        <v>0</v>
      </c>
      <c r="BO12" s="18">
        <f>'Composition of waste'!$BO12*$E12/100</f>
        <v>0</v>
      </c>
      <c r="BP12" s="18">
        <f>'Composition of waste'!$BP12*$E12/100</f>
        <v>0</v>
      </c>
      <c r="BQ12" s="18">
        <v>0</v>
      </c>
      <c r="BR12" s="18">
        <f>'Composition of waste'!$BR12*$E12/100</f>
        <v>0</v>
      </c>
      <c r="BS12" s="18">
        <v>25.087241901406436</v>
      </c>
      <c r="BT12" s="18">
        <v>2.1121282240490968</v>
      </c>
      <c r="BU12" s="18">
        <v>0</v>
      </c>
      <c r="BV12" s="18">
        <v>6.0190775175078481E-2</v>
      </c>
      <c r="BW12" s="18">
        <v>0</v>
      </c>
      <c r="BX12" s="18">
        <v>0</v>
      </c>
      <c r="BY12" s="18">
        <v>1.4988716349318039</v>
      </c>
      <c r="BZ12" s="18">
        <v>23.344005762381283</v>
      </c>
      <c r="CA12" s="18">
        <v>0</v>
      </c>
      <c r="CB12" s="19">
        <v>6.2400246016002443</v>
      </c>
    </row>
    <row r="13" spans="1:82" x14ac:dyDescent="0.35">
      <c r="A13" s="17" t="s">
        <v>117</v>
      </c>
      <c r="B13" s="17" t="s">
        <v>129</v>
      </c>
      <c r="C13" s="17"/>
      <c r="D13" s="18">
        <f>'Composition of waste'!$D13*$C13/100</f>
        <v>0</v>
      </c>
      <c r="E13" s="18">
        <f>'Composition of waste'!$E13*$C13/100</f>
        <v>0</v>
      </c>
      <c r="F13" s="18">
        <f>'Composition of waste'!$F13*$E13/100</f>
        <v>0</v>
      </c>
      <c r="G13" s="18">
        <f>'Composition of waste'!$G13*$E13/100</f>
        <v>0</v>
      </c>
      <c r="H13" s="18">
        <v>31.362676241021028</v>
      </c>
      <c r="I13" s="18">
        <v>856.92445713384006</v>
      </c>
      <c r="J13" s="18">
        <f>'Composition of waste'!$J13*'Composition (mass)'!$E13/100</f>
        <v>0</v>
      </c>
      <c r="K13" s="18">
        <v>67.66933491421338</v>
      </c>
      <c r="L13" s="18">
        <v>0</v>
      </c>
      <c r="M13" s="18">
        <v>0.36903180068440783</v>
      </c>
      <c r="N13" s="18">
        <v>0.19381620747986483</v>
      </c>
      <c r="O13" s="18">
        <v>0</v>
      </c>
      <c r="P13" s="18">
        <v>9.642163261588534</v>
      </c>
      <c r="Q13" s="18">
        <v>0.47011397026430513</v>
      </c>
      <c r="R13" s="18">
        <f>'Composition of waste'!$R13*'Composition (mass)'!$E13/100</f>
        <v>0</v>
      </c>
      <c r="S13" s="18">
        <v>0.13925516207160307</v>
      </c>
      <c r="T13" s="18">
        <f>'Composition of waste'!$T13*'Composition (mass)'!$E13/100</f>
        <v>0</v>
      </c>
      <c r="U13" s="18">
        <v>0.31488409614991564</v>
      </c>
      <c r="V13" s="18">
        <v>0.44655179047296739</v>
      </c>
      <c r="W13" s="18">
        <v>0</v>
      </c>
      <c r="X13" s="18">
        <v>0</v>
      </c>
      <c r="Y13" s="18">
        <v>0</v>
      </c>
      <c r="Z13" s="18">
        <v>1.4280469345402725E-6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7.6850795463481518E-9</v>
      </c>
      <c r="AH13" s="18">
        <v>0</v>
      </c>
      <c r="AI13" s="18">
        <v>4.2271129478931262E-7</v>
      </c>
      <c r="AJ13" s="18">
        <v>7.0325489526782867E-5</v>
      </c>
      <c r="AK13" s="18">
        <v>1.8205812222552045E-4</v>
      </c>
      <c r="AL13" s="18">
        <v>0</v>
      </c>
      <c r="AM13" s="18">
        <v>1.8498988645128521E-7</v>
      </c>
      <c r="AN13" s="18">
        <v>0</v>
      </c>
      <c r="AO13" s="18">
        <v>0</v>
      </c>
      <c r="AP13" s="18">
        <v>3.6728948376642777E-2</v>
      </c>
      <c r="AQ13" s="18">
        <v>1.8092110563304323E-5</v>
      </c>
      <c r="AR13" s="18">
        <v>2.0391941442443729E-5</v>
      </c>
      <c r="AS13" s="18">
        <v>1.3455166503364278E-6</v>
      </c>
      <c r="AT13" s="18">
        <v>3.4198603981249278E-7</v>
      </c>
      <c r="AU13" s="18">
        <v>0</v>
      </c>
      <c r="AV13" s="18">
        <v>0</v>
      </c>
      <c r="AW13" s="18">
        <v>0</v>
      </c>
      <c r="AX13" s="18">
        <v>6.9140552399702317E-6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1.3065206396096415E-3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f>'Composition of waste'!$BK13*$E13/100</f>
        <v>0</v>
      </c>
      <c r="BL13" s="18">
        <f>'Composition of waste'!$BL13*$E13/100</f>
        <v>0</v>
      </c>
      <c r="BM13" s="18">
        <v>0</v>
      </c>
      <c r="BN13" s="18">
        <f>'Composition of waste'!$BN13*$E13/100</f>
        <v>0</v>
      </c>
      <c r="BO13" s="18">
        <f>'Composition of waste'!$BO13*$E13/100</f>
        <v>0</v>
      </c>
      <c r="BP13" s="18">
        <f>'Composition of waste'!$BP13*$E13/100</f>
        <v>0</v>
      </c>
      <c r="BQ13" s="18">
        <v>0</v>
      </c>
      <c r="BR13" s="18">
        <f>'Composition of waste'!$BR13*$E13/100</f>
        <v>0</v>
      </c>
      <c r="BS13" s="18">
        <v>28.708751861501501</v>
      </c>
      <c r="BT13" s="18">
        <v>2.4702955591024982</v>
      </c>
      <c r="BU13" s="18">
        <v>0</v>
      </c>
      <c r="BV13" s="18">
        <v>5.4226475279106852E-2</v>
      </c>
      <c r="BW13" s="18">
        <v>12.446308443917543</v>
      </c>
      <c r="BX13" s="18">
        <v>0</v>
      </c>
      <c r="BY13" s="18">
        <v>13.158771839337993</v>
      </c>
      <c r="BZ13" s="18">
        <v>30.653308836286385</v>
      </c>
      <c r="CA13" s="18">
        <v>0</v>
      </c>
      <c r="CB13" s="19">
        <v>2.0557546158498599</v>
      </c>
    </row>
    <row r="14" spans="1:82" x14ac:dyDescent="0.35">
      <c r="A14" s="17" t="s">
        <v>117</v>
      </c>
      <c r="B14" s="17" t="s">
        <v>130</v>
      </c>
      <c r="C14" s="17"/>
      <c r="D14" s="18">
        <f>'Composition of waste'!$D14*$C14/100</f>
        <v>0</v>
      </c>
      <c r="E14" s="18">
        <f>'Composition of waste'!$E14*$C14/100</f>
        <v>0</v>
      </c>
      <c r="F14" s="18">
        <f>'Composition of waste'!$F14*$E14/100</f>
        <v>0</v>
      </c>
      <c r="G14" s="18">
        <f>'Composition of waste'!$G14*$E14/100</f>
        <v>0</v>
      </c>
      <c r="H14" s="18">
        <v>36.957975113905924</v>
      </c>
      <c r="I14" s="18">
        <v>1000.3495900729962</v>
      </c>
      <c r="J14" s="18">
        <f>'Composition of waste'!$J14*'Composition (mass)'!$E14/100</f>
        <v>0</v>
      </c>
      <c r="K14" s="18">
        <v>77.163204955869134</v>
      </c>
      <c r="L14" s="18">
        <v>0</v>
      </c>
      <c r="M14" s="18">
        <v>2.052839981955993E-2</v>
      </c>
      <c r="N14" s="18">
        <v>0.37788411737515382</v>
      </c>
      <c r="O14" s="18">
        <v>0</v>
      </c>
      <c r="P14" s="18">
        <v>10.829703909393363</v>
      </c>
      <c r="Q14" s="18">
        <v>3.3103026269624247E-2</v>
      </c>
      <c r="R14" s="18">
        <f>'Composition of waste'!$R14*'Composition (mass)'!$E14/100</f>
        <v>0</v>
      </c>
      <c r="S14" s="18">
        <v>0.22507949944587077</v>
      </c>
      <c r="T14" s="18">
        <f>'Composition of waste'!$T14*'Composition (mass)'!$E14/100</f>
        <v>0</v>
      </c>
      <c r="U14" s="18">
        <v>2.636896375048034E-2</v>
      </c>
      <c r="V14" s="18">
        <v>2.7243248925466517E-2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5.8998056370815488E-7</v>
      </c>
      <c r="AH14" s="18">
        <v>0</v>
      </c>
      <c r="AI14" s="18">
        <v>3.7290558640239253E-6</v>
      </c>
      <c r="AJ14" s="18">
        <v>1.8908616013499589E-5</v>
      </c>
      <c r="AK14" s="18">
        <v>7.1090047393364927E-6</v>
      </c>
      <c r="AL14" s="18">
        <v>0</v>
      </c>
      <c r="AM14" s="18">
        <v>2.3599222548326195E-7</v>
      </c>
      <c r="AN14" s="18">
        <v>0</v>
      </c>
      <c r="AO14" s="18">
        <v>0</v>
      </c>
      <c r="AP14" s="18">
        <v>2.1229554301880702E-3</v>
      </c>
      <c r="AQ14" s="18">
        <v>0</v>
      </c>
      <c r="AR14" s="18">
        <v>0</v>
      </c>
      <c r="AS14" s="18">
        <v>6.5251850346121938E-7</v>
      </c>
      <c r="AT14" s="18">
        <v>4.719844509665239E-6</v>
      </c>
      <c r="AU14" s="18">
        <v>0</v>
      </c>
      <c r="AV14" s="18">
        <v>0</v>
      </c>
      <c r="AW14" s="18">
        <v>0</v>
      </c>
      <c r="AX14" s="18">
        <v>9.2417061611374404E-7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8.4820757291394027E-5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f>'Composition of waste'!$BK14*$E14/100</f>
        <v>0</v>
      </c>
      <c r="BL14" s="18">
        <f>'Composition of waste'!$BL14*$E14/100</f>
        <v>0</v>
      </c>
      <c r="BM14" s="18">
        <v>0</v>
      </c>
      <c r="BN14" s="18">
        <f>'Composition of waste'!$BN14*$E14/100</f>
        <v>0</v>
      </c>
      <c r="BO14" s="18">
        <f>'Composition of waste'!$BO14*$E14/100</f>
        <v>0</v>
      </c>
      <c r="BP14" s="18">
        <f>'Composition of waste'!$BP14*$E14/100</f>
        <v>0</v>
      </c>
      <c r="BQ14" s="18">
        <v>0</v>
      </c>
      <c r="BR14" s="18">
        <f>'Composition of waste'!$BR14*$E14/100</f>
        <v>0</v>
      </c>
      <c r="BS14" s="18">
        <v>32.380290269553242</v>
      </c>
      <c r="BT14" s="18">
        <v>2.8334107076588162</v>
      </c>
      <c r="BU14" s="18">
        <v>0</v>
      </c>
      <c r="BV14" s="18">
        <v>0</v>
      </c>
      <c r="BW14" s="18">
        <v>0.69316624990950149</v>
      </c>
      <c r="BX14" s="18">
        <v>0</v>
      </c>
      <c r="BY14" s="18">
        <v>0.67553992793535333</v>
      </c>
      <c r="BZ14" s="18">
        <v>36.023920840271558</v>
      </c>
      <c r="CA14" s="18">
        <v>0</v>
      </c>
      <c r="CB14" s="19">
        <v>0.8985630231509063</v>
      </c>
    </row>
    <row r="15" spans="1:82" x14ac:dyDescent="0.35">
      <c r="A15" s="17" t="s">
        <v>117</v>
      </c>
      <c r="B15" s="17" t="s">
        <v>131</v>
      </c>
      <c r="C15" s="17">
        <v>0.1</v>
      </c>
      <c r="D15" s="18">
        <f>'Composition of waste'!$D15*$C15/100</f>
        <v>7.8433333333333341E-2</v>
      </c>
      <c r="E15" s="18">
        <f>'Composition of waste'!$E15*$C15/100</f>
        <v>2.1566666666666668E-2</v>
      </c>
      <c r="F15" s="18">
        <f>'Composition of waste'!$F15*$E15/100</f>
        <v>2.0599565638159265E-2</v>
      </c>
      <c r="G15" s="18">
        <f>'Composition of waste'!$G15*$E15/100</f>
        <v>9.671010285074071E-4</v>
      </c>
      <c r="H15" s="18">
        <v>15.282541504397559</v>
      </c>
      <c r="I15" s="18">
        <v>430.95009533617895</v>
      </c>
      <c r="J15" s="18">
        <f>'Composition of waste'!$J15*'Composition (mass)'!$E15/100</f>
        <v>8.8842650613060667E-3</v>
      </c>
      <c r="K15" s="18">
        <v>41.194428414093039</v>
      </c>
      <c r="L15" s="18">
        <v>0</v>
      </c>
      <c r="M15" s="18">
        <v>0</v>
      </c>
      <c r="N15" s="18">
        <v>0</v>
      </c>
      <c r="O15" s="18">
        <v>0</v>
      </c>
      <c r="P15" s="18">
        <v>6.2841250849933408</v>
      </c>
      <c r="Q15" s="18">
        <v>0</v>
      </c>
      <c r="R15" s="18">
        <f>'Composition of waste'!$R15*'Composition (mass)'!$E15/100</f>
        <v>3.3011906452216943E-4</v>
      </c>
      <c r="S15" s="18">
        <v>0</v>
      </c>
      <c r="T15" s="18">
        <f>'Composition of waste'!$T15*'Composition (mass)'!$E15/100</f>
        <v>9.9973835506028171E-3</v>
      </c>
      <c r="U15" s="18">
        <v>0</v>
      </c>
      <c r="V15" s="18">
        <v>0.33970934640643008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f>'Composition of waste'!$BK15*$E15/100</f>
        <v>0</v>
      </c>
      <c r="BL15" s="18">
        <f>'Composition of waste'!$BL15*$E15/100</f>
        <v>0</v>
      </c>
      <c r="BM15" s="18">
        <v>0</v>
      </c>
      <c r="BN15" s="18">
        <f>'Composition of waste'!$BN15*$E15/100</f>
        <v>0</v>
      </c>
      <c r="BO15" s="18">
        <f>'Composition of waste'!$BO15*$E15/100</f>
        <v>2.0632441532635591E-3</v>
      </c>
      <c r="BP15" s="18">
        <f>'Composition of waste'!$BP15*$E15/100</f>
        <v>2.6946746556193337E-4</v>
      </c>
      <c r="BQ15" s="18">
        <v>0</v>
      </c>
      <c r="BR15" s="18">
        <f>'Composition of waste'!$BR15*$E15/100</f>
        <v>1.826685401933377E-2</v>
      </c>
      <c r="BS15" s="18">
        <v>16.966856575323735</v>
      </c>
      <c r="BT15" s="18">
        <v>1.3090221152995172</v>
      </c>
      <c r="BU15" s="18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15.906765049843854</v>
      </c>
      <c r="CA15" s="18">
        <v>0</v>
      </c>
      <c r="CB15" s="19">
        <v>84.699477678518249</v>
      </c>
    </row>
    <row r="16" spans="1:82" x14ac:dyDescent="0.35">
      <c r="A16" s="17" t="s">
        <v>117</v>
      </c>
      <c r="B16" s="17" t="s">
        <v>132</v>
      </c>
      <c r="C16" s="17"/>
      <c r="D16" s="18">
        <f>'Composition of waste'!$D16*$C16/100</f>
        <v>0</v>
      </c>
      <c r="E16" s="18">
        <f>'Composition of waste'!$E16*$C16/100</f>
        <v>0</v>
      </c>
      <c r="F16" s="18">
        <f>'Composition of waste'!$F16*$E16/100</f>
        <v>0</v>
      </c>
      <c r="G16" s="18">
        <f>'Composition of waste'!$G16*$E16/100</f>
        <v>0</v>
      </c>
      <c r="H16" s="18">
        <v>15.46892363404111</v>
      </c>
      <c r="I16" s="18">
        <v>432.42941204593296</v>
      </c>
      <c r="J16" s="18">
        <f>'Composition of waste'!$J16*'Composition (mass)'!$E16/100</f>
        <v>0</v>
      </c>
      <c r="K16" s="18">
        <v>41.78183469394066</v>
      </c>
      <c r="L16" s="18">
        <v>0</v>
      </c>
      <c r="M16" s="18">
        <v>2.4084177688806441E-2</v>
      </c>
      <c r="N16" s="18">
        <v>0</v>
      </c>
      <c r="O16" s="18">
        <v>0</v>
      </c>
      <c r="P16" s="18">
        <v>6.473609946329046</v>
      </c>
      <c r="Q16" s="18">
        <v>0.50217264788471772</v>
      </c>
      <c r="R16" s="18">
        <f>'Composition of waste'!$R16*'Composition (mass)'!$E16/100</f>
        <v>0</v>
      </c>
      <c r="S16" s="18">
        <v>9.9476811260278946E-3</v>
      </c>
      <c r="T16" s="18">
        <f>'Composition of waste'!$T16*'Composition (mass)'!$E16/100</f>
        <v>0</v>
      </c>
      <c r="U16" s="18">
        <v>6.3925392778761386E-2</v>
      </c>
      <c r="V16" s="18">
        <v>7.5957107879667779E-2</v>
      </c>
      <c r="W16" s="18">
        <v>0</v>
      </c>
      <c r="X16" s="18">
        <v>0</v>
      </c>
      <c r="Y16" s="18">
        <v>0</v>
      </c>
      <c r="Z16" s="18">
        <v>7.5165393366632409E-7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3.5082298247220264E-7</v>
      </c>
      <c r="AH16" s="18">
        <v>0</v>
      </c>
      <c r="AI16" s="18">
        <v>1.9861403580160254E-6</v>
      </c>
      <c r="AJ16" s="18">
        <v>1.3188812923674333E-4</v>
      </c>
      <c r="AK16" s="18">
        <v>6.2692347164742884E-4</v>
      </c>
      <c r="AL16" s="18">
        <v>0</v>
      </c>
      <c r="AM16" s="18">
        <v>3.8608669630353036E-7</v>
      </c>
      <c r="AN16" s="18">
        <v>0</v>
      </c>
      <c r="AO16" s="18">
        <v>0</v>
      </c>
      <c r="AP16" s="18">
        <v>1.8336264974459511E-2</v>
      </c>
      <c r="AQ16" s="18">
        <v>2.2310044596879499E-4</v>
      </c>
      <c r="AR16" s="18">
        <v>0</v>
      </c>
      <c r="AS16" s="18">
        <v>2.61948950163274E-6</v>
      </c>
      <c r="AT16" s="18">
        <v>2.1490227295076686E-6</v>
      </c>
      <c r="AU16" s="18">
        <v>0</v>
      </c>
      <c r="AV16" s="18">
        <v>0</v>
      </c>
      <c r="AW16" s="18">
        <v>0</v>
      </c>
      <c r="AX16" s="18">
        <v>8.3087659332051554E-7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9.8886752593225561E-5</v>
      </c>
      <c r="BF16" s="18">
        <v>0</v>
      </c>
      <c r="BG16" s="18">
        <v>0</v>
      </c>
      <c r="BH16" s="18">
        <v>0</v>
      </c>
      <c r="BI16" s="18">
        <v>1.7614202805668302</v>
      </c>
      <c r="BJ16" s="18">
        <v>0</v>
      </c>
      <c r="BK16" s="18">
        <f>'Composition of waste'!$BK16*$E16/100</f>
        <v>0</v>
      </c>
      <c r="BL16" s="18">
        <f>'Composition of waste'!$BL16*$E16/100</f>
        <v>0</v>
      </c>
      <c r="BM16" s="18">
        <v>0</v>
      </c>
      <c r="BN16" s="18">
        <f>'Composition of waste'!$BN16*$E16/100</f>
        <v>0</v>
      </c>
      <c r="BO16" s="18">
        <f>'Composition of waste'!$BO16*$E16/100</f>
        <v>0</v>
      </c>
      <c r="BP16" s="18">
        <f>'Composition of waste'!$BP16*$E16/100</f>
        <v>0</v>
      </c>
      <c r="BQ16" s="18">
        <v>0</v>
      </c>
      <c r="BR16" s="18">
        <f>'Composition of waste'!$BR16*$E16/100</f>
        <v>0</v>
      </c>
      <c r="BS16" s="18">
        <v>17.083040389499615</v>
      </c>
      <c r="BT16" s="18">
        <v>1.3205126945215124</v>
      </c>
      <c r="BU16" s="18">
        <v>18.108636568634431</v>
      </c>
      <c r="BV16" s="18">
        <v>5.191554511144342</v>
      </c>
      <c r="BW16" s="18">
        <v>0</v>
      </c>
      <c r="BX16" s="18">
        <v>0</v>
      </c>
      <c r="BY16" s="18">
        <v>25.061611360345605</v>
      </c>
      <c r="BZ16" s="18">
        <v>15.768966302912006</v>
      </c>
      <c r="CA16" s="18">
        <v>0</v>
      </c>
      <c r="CB16" s="19">
        <v>65.636500809361792</v>
      </c>
    </row>
    <row r="17" spans="1:80" x14ac:dyDescent="0.35">
      <c r="A17" s="17" t="s">
        <v>117</v>
      </c>
      <c r="B17" s="17" t="s">
        <v>133</v>
      </c>
      <c r="C17" s="17"/>
      <c r="D17" s="18">
        <f>'Composition of waste'!$D17*$C17/100</f>
        <v>0</v>
      </c>
      <c r="E17" s="18">
        <f>'Composition of waste'!$E17*$C17/100</f>
        <v>0</v>
      </c>
      <c r="F17" s="18">
        <f>'Composition of waste'!$F17*$E17/100</f>
        <v>0</v>
      </c>
      <c r="G17" s="18">
        <f>'Composition of waste'!$G17*$E17/100</f>
        <v>0</v>
      </c>
      <c r="H17" s="18">
        <v>15.791316748543814</v>
      </c>
      <c r="I17" s="18">
        <v>441.28309532102634</v>
      </c>
      <c r="J17" s="18">
        <f>'Composition of waste'!$J17*'Composition (mass)'!$E17/100</f>
        <v>0</v>
      </c>
      <c r="K17" s="18">
        <v>38.953828877731006</v>
      </c>
      <c r="L17" s="18">
        <v>0</v>
      </c>
      <c r="M17" s="18">
        <v>0.13000945626477539</v>
      </c>
      <c r="N17" s="18">
        <v>0</v>
      </c>
      <c r="O17" s="18">
        <v>0</v>
      </c>
      <c r="P17" s="18">
        <v>6.2505290672506932</v>
      </c>
      <c r="Q17" s="18">
        <v>3.4380614657210398</v>
      </c>
      <c r="R17" s="18">
        <f>'Composition of waste'!$R17*'Composition (mass)'!$E17/100</f>
        <v>0</v>
      </c>
      <c r="S17" s="18">
        <v>0.14362884160756503</v>
      </c>
      <c r="T17" s="18">
        <f>'Composition of waste'!$T17*'Composition (mass)'!$E17/100</f>
        <v>0</v>
      </c>
      <c r="U17" s="18">
        <v>0.4265248226950355</v>
      </c>
      <c r="V17" s="18">
        <v>0.41469278573160456</v>
      </c>
      <c r="W17" s="18">
        <v>0</v>
      </c>
      <c r="X17" s="18">
        <v>0</v>
      </c>
      <c r="Y17" s="18">
        <v>0</v>
      </c>
      <c r="Z17" s="18">
        <v>2.3664302600472814E-6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5.0555555555555547E-6</v>
      </c>
      <c r="AH17" s="18">
        <v>0</v>
      </c>
      <c r="AI17" s="18">
        <v>1.4763593380614658E-5</v>
      </c>
      <c r="AJ17" s="18">
        <v>5.7163120567375891E-4</v>
      </c>
      <c r="AK17" s="18">
        <v>3.3711583924349886E-3</v>
      </c>
      <c r="AL17" s="18">
        <v>0</v>
      </c>
      <c r="AM17" s="18">
        <v>6.3711583924349886E-6</v>
      </c>
      <c r="AN17" s="18">
        <v>0</v>
      </c>
      <c r="AO17" s="18">
        <v>0</v>
      </c>
      <c r="AP17" s="18">
        <v>0.12476359338061467</v>
      </c>
      <c r="AQ17" s="18">
        <v>1.6122931442080378E-3</v>
      </c>
      <c r="AR17" s="18">
        <v>0</v>
      </c>
      <c r="AS17" s="18">
        <v>2.6069739952718673E-5</v>
      </c>
      <c r="AT17" s="18">
        <v>4.3971631205673758E-6</v>
      </c>
      <c r="AU17" s="18">
        <v>0</v>
      </c>
      <c r="AV17" s="18">
        <v>0</v>
      </c>
      <c r="AW17" s="18">
        <v>0</v>
      </c>
      <c r="AX17" s="18">
        <v>4.0425531914893616E-6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1.2312056737588653E-3</v>
      </c>
      <c r="BF17" s="18">
        <v>0</v>
      </c>
      <c r="BG17" s="18">
        <v>0</v>
      </c>
      <c r="BH17" s="18">
        <v>0</v>
      </c>
      <c r="BI17" s="18">
        <v>0</v>
      </c>
      <c r="BJ17" s="18">
        <v>1.3191489361702127</v>
      </c>
      <c r="BK17" s="18">
        <f>'Composition of waste'!$BK17*$E17/100</f>
        <v>0</v>
      </c>
      <c r="BL17" s="18">
        <f>'Composition of waste'!$BL17*$E17/100</f>
        <v>0</v>
      </c>
      <c r="BM17" s="18">
        <v>0</v>
      </c>
      <c r="BN17" s="18">
        <f>'Composition of waste'!$BN17*$E17/100</f>
        <v>0</v>
      </c>
      <c r="BO17" s="18">
        <f>'Composition of waste'!$BO17*$E17/100</f>
        <v>0</v>
      </c>
      <c r="BP17" s="18">
        <f>'Composition of waste'!$BP17*$E17/100</f>
        <v>0</v>
      </c>
      <c r="BQ17" s="18">
        <v>0</v>
      </c>
      <c r="BR17" s="18">
        <f>'Composition of waste'!$BR17*$E17/100</f>
        <v>0</v>
      </c>
      <c r="BS17" s="18">
        <v>16.075768296417966</v>
      </c>
      <c r="BT17" s="18">
        <v>1.2180018178490697</v>
      </c>
      <c r="BU17" s="18">
        <v>20.813238770685583</v>
      </c>
      <c r="BV17" s="18">
        <v>13.191489361702127</v>
      </c>
      <c r="BW17" s="18">
        <v>0</v>
      </c>
      <c r="BX17" s="18">
        <v>0</v>
      </c>
      <c r="BY17" s="18">
        <v>34.004728132387704</v>
      </c>
      <c r="BZ17" s="18">
        <v>14.080378250591016</v>
      </c>
      <c r="CA17" s="18">
        <v>0</v>
      </c>
      <c r="CB17" s="19">
        <v>28.54137115839244</v>
      </c>
    </row>
    <row r="18" spans="1:80" x14ac:dyDescent="0.35">
      <c r="A18" s="17" t="s">
        <v>117</v>
      </c>
      <c r="B18" s="17" t="s">
        <v>134</v>
      </c>
      <c r="C18" s="17"/>
      <c r="D18" s="18">
        <f>'Composition of waste'!$D18*$C18/100</f>
        <v>0</v>
      </c>
      <c r="E18" s="18">
        <f>'Composition of waste'!$E18*$C18/100</f>
        <v>0</v>
      </c>
      <c r="F18" s="18">
        <f>'Composition of waste'!$F18*$E18/100</f>
        <v>0</v>
      </c>
      <c r="G18" s="18">
        <f>'Composition of waste'!$G18*$E18/100</f>
        <v>0</v>
      </c>
      <c r="H18" s="18">
        <v>15.34606198084473</v>
      </c>
      <c r="I18" s="18">
        <v>424.70208333333335</v>
      </c>
      <c r="J18" s="18">
        <f>'Composition of waste'!$J18*'Composition (mass)'!$E18/100</f>
        <v>0</v>
      </c>
      <c r="K18" s="18">
        <v>40.645289716866287</v>
      </c>
      <c r="L18" s="18">
        <v>0</v>
      </c>
      <c r="M18" s="18">
        <v>1.7741935483870968E-2</v>
      </c>
      <c r="N18" s="18">
        <v>0</v>
      </c>
      <c r="O18" s="18">
        <v>0</v>
      </c>
      <c r="P18" s="18">
        <v>6.4025816182799113</v>
      </c>
      <c r="Q18" s="18">
        <v>1.4233870967741935</v>
      </c>
      <c r="R18" s="18">
        <f>'Composition of waste'!$R18*'Composition (mass)'!$E18/100</f>
        <v>0</v>
      </c>
      <c r="S18" s="18">
        <v>8.0645161290322578E-3</v>
      </c>
      <c r="T18" s="18">
        <f>'Composition of waste'!$T18*'Composition (mass)'!$E18/100</f>
        <v>0</v>
      </c>
      <c r="U18" s="18">
        <v>0.11008064516129033</v>
      </c>
      <c r="V18" s="18">
        <v>0.18613651142239893</v>
      </c>
      <c r="W18" s="18">
        <v>0</v>
      </c>
      <c r="X18" s="18">
        <v>0</v>
      </c>
      <c r="Y18" s="18">
        <v>0</v>
      </c>
      <c r="Z18" s="18">
        <v>9.2741935483870959E-7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1.4112903225806453E-7</v>
      </c>
      <c r="AH18" s="18">
        <v>0</v>
      </c>
      <c r="AI18" s="18">
        <v>6.85483870967742E-7</v>
      </c>
      <c r="AJ18" s="18">
        <v>4.4354838709677422E-4</v>
      </c>
      <c r="AK18" s="18">
        <v>9.6774193548387108E-4</v>
      </c>
      <c r="AL18" s="18">
        <v>0</v>
      </c>
      <c r="AM18" s="18">
        <v>8.0645161290322569E-7</v>
      </c>
      <c r="AN18" s="18">
        <v>0</v>
      </c>
      <c r="AO18" s="18">
        <v>0</v>
      </c>
      <c r="AP18" s="18">
        <v>0.11169354838709677</v>
      </c>
      <c r="AQ18" s="18">
        <v>9.6774193548387108E-4</v>
      </c>
      <c r="AR18" s="18">
        <v>0</v>
      </c>
      <c r="AS18" s="18">
        <v>1.6169354838709675E-5</v>
      </c>
      <c r="AT18" s="18">
        <v>1.4153225806451611E-6</v>
      </c>
      <c r="AU18" s="18">
        <v>0</v>
      </c>
      <c r="AV18" s="18">
        <v>0</v>
      </c>
      <c r="AW18" s="18">
        <v>0</v>
      </c>
      <c r="AX18" s="18">
        <v>4.1935483870967736E-6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7.0967741935483864E-4</v>
      </c>
      <c r="BF18" s="18">
        <v>0</v>
      </c>
      <c r="BG18" s="18">
        <v>0</v>
      </c>
      <c r="BH18" s="18">
        <v>0</v>
      </c>
      <c r="BI18" s="18">
        <v>25.403225806451612</v>
      </c>
      <c r="BJ18" s="18">
        <v>10.887096774193548</v>
      </c>
      <c r="BK18" s="18">
        <f>'Composition of waste'!$BK18*$E18/100</f>
        <v>0</v>
      </c>
      <c r="BL18" s="18">
        <f>'Composition of waste'!$BL18*$E18/100</f>
        <v>0</v>
      </c>
      <c r="BM18" s="18">
        <v>0</v>
      </c>
      <c r="BN18" s="18">
        <f>'Composition of waste'!$BN18*$E18/100</f>
        <v>0</v>
      </c>
      <c r="BO18" s="18">
        <f>'Composition of waste'!$BO18*$E18/100</f>
        <v>0</v>
      </c>
      <c r="BP18" s="18">
        <f>'Composition of waste'!$BP18*$E18/100</f>
        <v>0</v>
      </c>
      <c r="BQ18" s="18">
        <v>0</v>
      </c>
      <c r="BR18" s="18">
        <f>'Composition of waste'!$BR18*$E18/100</f>
        <v>0</v>
      </c>
      <c r="BS18" s="18">
        <v>16.655942872242786</v>
      </c>
      <c r="BT18" s="18">
        <v>1.2773282944196505</v>
      </c>
      <c r="BU18" s="18">
        <v>15.322580645161288</v>
      </c>
      <c r="BV18" s="18">
        <v>23.387096774193548</v>
      </c>
      <c r="BW18" s="18">
        <v>0</v>
      </c>
      <c r="BX18" s="18">
        <v>0</v>
      </c>
      <c r="BY18" s="18">
        <v>64.112903225806448</v>
      </c>
      <c r="BZ18" s="18">
        <v>16.129032258064516</v>
      </c>
      <c r="CA18" s="18">
        <v>0</v>
      </c>
      <c r="CB18" s="19">
        <v>12.338709677419374</v>
      </c>
    </row>
    <row r="19" spans="1:80" x14ac:dyDescent="0.35">
      <c r="A19" s="17" t="s">
        <v>117</v>
      </c>
      <c r="B19" s="17" t="s">
        <v>135</v>
      </c>
      <c r="C19" s="17"/>
      <c r="D19" s="18">
        <f>'Composition of waste'!$D19*$C19/100</f>
        <v>0</v>
      </c>
      <c r="E19" s="18">
        <f>'Composition of waste'!$E19*$C19/100</f>
        <v>0</v>
      </c>
      <c r="F19" s="18">
        <f>'Composition of waste'!$F19*$E19/100</f>
        <v>0</v>
      </c>
      <c r="G19" s="18">
        <f>'Composition of waste'!$G19*$E19/100</f>
        <v>0</v>
      </c>
      <c r="H19" s="18">
        <v>15.878457597027261</v>
      </c>
      <c r="I19" s="18">
        <v>448.00000000000006</v>
      </c>
      <c r="J19" s="18">
        <f>'Composition of waste'!$J19*'Composition (mass)'!$E19/100</f>
        <v>0</v>
      </c>
      <c r="K19" s="18">
        <v>42.12166298404194</v>
      </c>
      <c r="L19" s="18">
        <v>0</v>
      </c>
      <c r="M19" s="18">
        <v>0.26222222222222225</v>
      </c>
      <c r="N19" s="18">
        <v>0</v>
      </c>
      <c r="O19" s="18">
        <v>0</v>
      </c>
      <c r="P19" s="18">
        <v>6.5866365536903233</v>
      </c>
      <c r="Q19" s="18">
        <v>1.1333333333333333</v>
      </c>
      <c r="R19" s="18">
        <f>'Composition of waste'!$R19*'Composition (mass)'!$E19/100</f>
        <v>0</v>
      </c>
      <c r="S19" s="18">
        <v>1.4814814814814815E-2</v>
      </c>
      <c r="T19" s="18">
        <f>'Composition of waste'!$T19*'Composition (mass)'!$E19/100</f>
        <v>0</v>
      </c>
      <c r="U19" s="18">
        <v>0.16370370370370371</v>
      </c>
      <c r="V19" s="18">
        <v>0.23672746068079456</v>
      </c>
      <c r="W19" s="18">
        <v>0</v>
      </c>
      <c r="X19" s="18">
        <v>0</v>
      </c>
      <c r="Y19" s="18">
        <v>0</v>
      </c>
      <c r="Z19" s="18">
        <v>2.9629629629629629E-7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1.4814814814814815E-7</v>
      </c>
      <c r="AH19" s="18">
        <v>0</v>
      </c>
      <c r="AI19" s="18">
        <v>1.4814814814814815E-6</v>
      </c>
      <c r="AJ19" s="18">
        <v>5.1851851851851863E-4</v>
      </c>
      <c r="AK19" s="18">
        <v>1.0222222222222223E-3</v>
      </c>
      <c r="AL19" s="18">
        <v>0</v>
      </c>
      <c r="AM19" s="18">
        <v>2.2222222222222222E-7</v>
      </c>
      <c r="AN19" s="18">
        <v>0</v>
      </c>
      <c r="AO19" s="18">
        <v>0</v>
      </c>
      <c r="AP19" s="18">
        <v>7.7037037037037043E-2</v>
      </c>
      <c r="AQ19" s="18">
        <v>3.1111111111111118E-4</v>
      </c>
      <c r="AR19" s="18">
        <v>0</v>
      </c>
      <c r="AS19" s="18">
        <v>2.3555555555555556E-5</v>
      </c>
      <c r="AT19" s="18">
        <v>3.2962962962962962E-6</v>
      </c>
      <c r="AU19" s="18">
        <v>0</v>
      </c>
      <c r="AV19" s="18">
        <v>0</v>
      </c>
      <c r="AW19" s="18">
        <v>0</v>
      </c>
      <c r="AX19" s="18">
        <v>3.7037037037037036E-7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5.037037037037038E-4</v>
      </c>
      <c r="BF19" s="18">
        <v>0</v>
      </c>
      <c r="BG19" s="18">
        <v>0</v>
      </c>
      <c r="BH19" s="18">
        <v>0</v>
      </c>
      <c r="BI19" s="18">
        <v>25.925925925925924</v>
      </c>
      <c r="BJ19" s="18">
        <v>0</v>
      </c>
      <c r="BK19" s="18">
        <f>'Composition of waste'!$BK19*$E19/100</f>
        <v>0</v>
      </c>
      <c r="BL19" s="18">
        <f>'Composition of waste'!$BL19*$E19/100</f>
        <v>0</v>
      </c>
      <c r="BM19" s="18">
        <v>0</v>
      </c>
      <c r="BN19" s="18">
        <f>'Composition of waste'!$BN19*$E19/100</f>
        <v>0</v>
      </c>
      <c r="BO19" s="18">
        <f>'Composition of waste'!$BO19*$E19/100</f>
        <v>0</v>
      </c>
      <c r="BP19" s="18">
        <f>'Composition of waste'!$BP19*$E19/100</f>
        <v>0</v>
      </c>
      <c r="BQ19" s="18">
        <v>0</v>
      </c>
      <c r="BR19" s="18">
        <f>'Composition of waste'!$BR19*$E19/100</f>
        <v>0</v>
      </c>
      <c r="BS19" s="18">
        <v>17.558714074074075</v>
      </c>
      <c r="BT19" s="18">
        <v>1.367556821925926</v>
      </c>
      <c r="BU19" s="18">
        <v>16.296296296296298</v>
      </c>
      <c r="BV19" s="18">
        <v>18.518518518518519</v>
      </c>
      <c r="BW19" s="18">
        <v>0</v>
      </c>
      <c r="BX19" s="18">
        <v>0</v>
      </c>
      <c r="BY19" s="18">
        <v>60.74074074074074</v>
      </c>
      <c r="BZ19" s="18">
        <v>16</v>
      </c>
      <c r="CA19" s="18">
        <v>0</v>
      </c>
      <c r="CB19" s="19">
        <v>25.18518518518519</v>
      </c>
    </row>
    <row r="20" spans="1:80" x14ac:dyDescent="0.35">
      <c r="A20" s="17" t="s">
        <v>117</v>
      </c>
      <c r="B20" s="17" t="s">
        <v>136</v>
      </c>
      <c r="C20" s="17">
        <v>0.1</v>
      </c>
      <c r="D20" s="18">
        <f>'Composition of waste'!$D20*$C20/100</f>
        <v>9.5000000000000001E-2</v>
      </c>
      <c r="E20" s="18">
        <f>'Composition of waste'!$E20*$C20/100</f>
        <v>5.000000000000001E-3</v>
      </c>
      <c r="F20" s="18">
        <f>'Composition of waste'!$F20*$E20/100</f>
        <v>4.4688892105305481E-3</v>
      </c>
      <c r="G20" s="18">
        <f>'Composition of waste'!$G20*$E20/100</f>
        <v>5.3111078946945205E-4</v>
      </c>
      <c r="H20" s="18">
        <v>15.543519724145114</v>
      </c>
      <c r="I20" s="18">
        <v>463.22916666666657</v>
      </c>
      <c r="J20" s="18">
        <f>'Composition of waste'!$J20*'Composition (mass)'!$E20/100</f>
        <v>2.0177105024934351E-3</v>
      </c>
      <c r="K20" s="18">
        <v>40.354210049868691</v>
      </c>
      <c r="L20" s="18">
        <v>0</v>
      </c>
      <c r="M20" s="18">
        <v>0.56349527990865378</v>
      </c>
      <c r="N20" s="18">
        <v>0</v>
      </c>
      <c r="O20" s="18">
        <v>0</v>
      </c>
      <c r="P20" s="18">
        <v>6.1336624009149219</v>
      </c>
      <c r="Q20" s="18">
        <v>4.1706603839329262</v>
      </c>
      <c r="R20" s="18">
        <f>'Composition of waste'!$R20*'Composition (mass)'!$E20/100</f>
        <v>1.9168971765223035E-4</v>
      </c>
      <c r="S20" s="18">
        <v>0.32354684978798454</v>
      </c>
      <c r="T20" s="18">
        <f>'Composition of waste'!$T20*'Composition (mass)'!$E20/100</f>
        <v>1.9333749459037983E-3</v>
      </c>
      <c r="U20" s="18">
        <v>0.54203856483491741</v>
      </c>
      <c r="V20" s="18">
        <v>0.85305032268290359</v>
      </c>
      <c r="W20" s="18">
        <v>0</v>
      </c>
      <c r="X20" s="18">
        <v>0</v>
      </c>
      <c r="Y20" s="18">
        <v>0</v>
      </c>
      <c r="Z20" s="18">
        <v>5.6737588652482272E-7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1.1773049645390069E-5</v>
      </c>
      <c r="AH20" s="18">
        <v>0</v>
      </c>
      <c r="AI20" s="18">
        <v>2.8368794326241132E-6</v>
      </c>
      <c r="AJ20" s="18">
        <v>6.7088017239992929E-4</v>
      </c>
      <c r="AK20" s="18">
        <v>1.3752888074063351E-2</v>
      </c>
      <c r="AL20" s="18">
        <v>0</v>
      </c>
      <c r="AM20" s="18">
        <v>1.4184397163120568E-7</v>
      </c>
      <c r="AN20" s="18">
        <v>0</v>
      </c>
      <c r="AO20" s="18">
        <v>0</v>
      </c>
      <c r="AP20" s="18">
        <v>0.22733739673962572</v>
      </c>
      <c r="AQ20" s="18">
        <v>3.543995218260669E-3</v>
      </c>
      <c r="AR20" s="18">
        <v>0</v>
      </c>
      <c r="AS20" s="18">
        <v>2.9078014184397158E-5</v>
      </c>
      <c r="AT20" s="18">
        <v>1.4184397163120566E-6</v>
      </c>
      <c r="AU20" s="18">
        <v>0</v>
      </c>
      <c r="AV20" s="18">
        <v>0</v>
      </c>
      <c r="AW20" s="18">
        <v>0</v>
      </c>
      <c r="AX20" s="18">
        <v>1.4184397163120566E-6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3.7789946553877657E-3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f>'Composition of waste'!$BK20*$E20/100</f>
        <v>0</v>
      </c>
      <c r="BL20" s="18">
        <f>'Composition of waste'!$BL20*$E20/100</f>
        <v>0</v>
      </c>
      <c r="BM20" s="18">
        <v>0</v>
      </c>
      <c r="BN20" s="18">
        <f>'Composition of waste'!$BN20*$E20/100</f>
        <v>0</v>
      </c>
      <c r="BO20" s="18">
        <f>'Composition of waste'!$BO20*$E20/100</f>
        <v>1.201170775638861E-3</v>
      </c>
      <c r="BP20" s="18">
        <f>'Composition of waste'!$BP20*$E20/100</f>
        <v>1.9608079638474776E-4</v>
      </c>
      <c r="BQ20" s="18">
        <v>0</v>
      </c>
      <c r="BR20" s="18">
        <f>'Composition of waste'!$BR20*$E20/100</f>
        <v>3.1056512439491171E-3</v>
      </c>
      <c r="BS20" s="18">
        <v>17.269016276193693</v>
      </c>
      <c r="BT20" s="18">
        <v>1.3389057097155561</v>
      </c>
      <c r="BU20" s="18">
        <v>0</v>
      </c>
      <c r="BV20" s="18">
        <v>0</v>
      </c>
      <c r="BW20" s="18">
        <v>0</v>
      </c>
      <c r="BX20" s="18">
        <v>0</v>
      </c>
      <c r="BY20" s="18">
        <v>0</v>
      </c>
      <c r="BZ20" s="18">
        <v>13.093174227925999</v>
      </c>
      <c r="CA20" s="18">
        <v>0</v>
      </c>
      <c r="CB20" s="19">
        <v>61.432752770138791</v>
      </c>
    </row>
    <row r="21" spans="1:80" x14ac:dyDescent="0.35">
      <c r="A21" s="17" t="s">
        <v>117</v>
      </c>
      <c r="B21" s="17" t="s">
        <v>137</v>
      </c>
      <c r="C21" s="17">
        <v>0.1</v>
      </c>
      <c r="D21" s="18">
        <f>'Composition of waste'!$D21*$C21/100</f>
        <v>8.9033333333333339E-2</v>
      </c>
      <c r="E21" s="18">
        <f>'Composition of waste'!$E21*$C21/100</f>
        <v>1.0966666666666666E-2</v>
      </c>
      <c r="F21" s="18">
        <f>'Composition of waste'!$F21*$E21/100</f>
        <v>1.0233902997532834E-2</v>
      </c>
      <c r="G21" s="18">
        <f>'Composition of waste'!$G21*$E21/100</f>
        <v>7.3276366913383253E-4</v>
      </c>
      <c r="H21" s="18">
        <v>15.262831968450998</v>
      </c>
      <c r="I21" s="18">
        <v>442.57711745134185</v>
      </c>
      <c r="J21" s="18">
        <f>'Composition of waste'!$J21*'Composition (mass)'!$E21/100</f>
        <v>4.4462907587101055E-3</v>
      </c>
      <c r="K21" s="18">
        <v>40.159987649065293</v>
      </c>
      <c r="L21" s="18">
        <v>0</v>
      </c>
      <c r="M21" s="18">
        <v>0.2925348073014607</v>
      </c>
      <c r="N21" s="18">
        <v>0</v>
      </c>
      <c r="O21" s="18">
        <v>0</v>
      </c>
      <c r="P21" s="18">
        <v>6.3088880876869302</v>
      </c>
      <c r="Q21" s="18">
        <v>2.5721300992142635</v>
      </c>
      <c r="R21" s="18">
        <f>'Composition of waste'!$R21*'Composition (mass)'!$E21/100</f>
        <v>1.3376068489710292E-4</v>
      </c>
      <c r="S21" s="18">
        <v>0.60266301973521763</v>
      </c>
      <c r="T21" s="18">
        <f>'Composition of waste'!$T21*'Composition (mass)'!$E21/100</f>
        <v>4.9498765686469878E-3</v>
      </c>
      <c r="U21" s="18">
        <v>0.27782235138437777</v>
      </c>
      <c r="V21" s="18">
        <v>0.26870659910011208</v>
      </c>
      <c r="W21" s="18">
        <v>0</v>
      </c>
      <c r="X21" s="18">
        <v>0</v>
      </c>
      <c r="Y21" s="18">
        <v>0</v>
      </c>
      <c r="Z21" s="18">
        <v>1.6436264174596844E-6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1.6518384713279008E-5</v>
      </c>
      <c r="AH21" s="18">
        <v>0</v>
      </c>
      <c r="AI21" s="18">
        <v>7.3050062998208186E-6</v>
      </c>
      <c r="AJ21" s="18">
        <v>3.2872528349193688E-4</v>
      </c>
      <c r="AK21" s="18">
        <v>2.9855452352460731E-3</v>
      </c>
      <c r="AL21" s="18">
        <v>0</v>
      </c>
      <c r="AM21" s="18">
        <v>1.4610012599641637E-6</v>
      </c>
      <c r="AN21" s="18">
        <v>0</v>
      </c>
      <c r="AO21" s="18">
        <v>0</v>
      </c>
      <c r="AP21" s="18">
        <v>9.7063080517408404E-2</v>
      </c>
      <c r="AQ21" s="18">
        <v>3.2872528349193685E-3</v>
      </c>
      <c r="AR21" s="18">
        <v>0</v>
      </c>
      <c r="AS21" s="18">
        <v>4.3658378761689487E-5</v>
      </c>
      <c r="AT21" s="18">
        <v>1.1590834552142889E-5</v>
      </c>
      <c r="AU21" s="18">
        <v>0</v>
      </c>
      <c r="AV21" s="18">
        <v>0</v>
      </c>
      <c r="AW21" s="18">
        <v>0</v>
      </c>
      <c r="AX21" s="18">
        <v>1.4928359324051384E-6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1.8750799349124042E-3</v>
      </c>
      <c r="BF21" s="18">
        <v>0</v>
      </c>
      <c r="BG21" s="18">
        <v>0</v>
      </c>
      <c r="BH21" s="18">
        <v>0</v>
      </c>
      <c r="BI21" s="18">
        <v>14.97526291463268</v>
      </c>
      <c r="BJ21" s="18">
        <v>0</v>
      </c>
      <c r="BK21" s="18">
        <f>'Composition of waste'!$BK21*$E21/100</f>
        <v>9.513248829204153E-4</v>
      </c>
      <c r="BL21" s="18">
        <f>'Composition of waste'!$BL21*$E21/100</f>
        <v>0</v>
      </c>
      <c r="BM21" s="18">
        <v>0</v>
      </c>
      <c r="BN21" s="18">
        <f>'Composition of waste'!$BN21*$E21/100</f>
        <v>6.0083676816026239E-5</v>
      </c>
      <c r="BO21" s="18">
        <f>'Composition of waste'!$BO21*$E21/100</f>
        <v>8.2987575529258823E-4</v>
      </c>
      <c r="BP21" s="18">
        <f>'Composition of waste'!$BP21*$E21/100</f>
        <v>4.0055784544017496E-4</v>
      </c>
      <c r="BQ21" s="18">
        <v>0</v>
      </c>
      <c r="BR21" s="18">
        <f>'Composition of waste'!$BR21*$E21/100</f>
        <v>9.0034693968000703E-3</v>
      </c>
      <c r="BS21" s="18">
        <v>16.692835143833587</v>
      </c>
      <c r="BT21" s="18">
        <v>1.28144611375276</v>
      </c>
      <c r="BU21" s="18">
        <v>17.349389962074444</v>
      </c>
      <c r="BV21" s="18">
        <v>23.37602015942662</v>
      </c>
      <c r="BW21" s="18">
        <v>0</v>
      </c>
      <c r="BX21" s="18">
        <v>0</v>
      </c>
      <c r="BY21" s="18">
        <v>55.700673036133743</v>
      </c>
      <c r="BZ21" s="18">
        <v>14.286600692663717</v>
      </c>
      <c r="CA21" s="18">
        <v>0</v>
      </c>
      <c r="CB21" s="19">
        <v>17.175261648337038</v>
      </c>
    </row>
    <row r="22" spans="1:80" x14ac:dyDescent="0.35">
      <c r="A22" s="17" t="s">
        <v>117</v>
      </c>
      <c r="B22" s="17" t="s">
        <v>138</v>
      </c>
      <c r="C22" s="17"/>
      <c r="D22" s="18">
        <f>'Composition of waste'!$D22*$C22/100</f>
        <v>0</v>
      </c>
      <c r="E22" s="18">
        <f>'Composition of waste'!$E22*$C22/100</f>
        <v>0</v>
      </c>
      <c r="F22" s="18">
        <f>'Composition of waste'!$F22*$E22/100</f>
        <v>0</v>
      </c>
      <c r="G22" s="18">
        <f>'Composition of waste'!$G22*$E22/100</f>
        <v>0</v>
      </c>
      <c r="H22" s="18">
        <v>15.697317524935062</v>
      </c>
      <c r="I22" s="18">
        <v>434.37704918032784</v>
      </c>
      <c r="J22" s="18">
        <f>'Composition of waste'!$J22*'Composition (mass)'!$E22/100</f>
        <v>0</v>
      </c>
      <c r="K22" s="18">
        <v>42.284944062782223</v>
      </c>
      <c r="L22" s="18">
        <v>0</v>
      </c>
      <c r="M22" s="18">
        <v>0.22799999999999998</v>
      </c>
      <c r="N22" s="18">
        <v>0</v>
      </c>
      <c r="O22" s="18">
        <v>0</v>
      </c>
      <c r="P22" s="18">
        <v>6.4380823833403875</v>
      </c>
      <c r="Q22" s="18">
        <v>0.86399999999999999</v>
      </c>
      <c r="R22" s="18">
        <f>'Composition of waste'!$R22*'Composition (mass)'!$E22/100</f>
        <v>0</v>
      </c>
      <c r="S22" s="18">
        <v>4.8000000000000001E-2</v>
      </c>
      <c r="T22" s="18">
        <f>'Composition of waste'!$T22*'Composition (mass)'!$E22/100</f>
        <v>0</v>
      </c>
      <c r="U22" s="18">
        <v>0.15359999999999999</v>
      </c>
      <c r="V22" s="18">
        <v>0.19885106697186739</v>
      </c>
      <c r="W22" s="18">
        <v>0</v>
      </c>
      <c r="X22" s="18">
        <v>0</v>
      </c>
      <c r="Y22" s="18">
        <v>0</v>
      </c>
      <c r="Z22" s="18">
        <v>2.2400000000000002E-6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2.2400000000000002E-7</v>
      </c>
      <c r="AH22" s="18">
        <v>0</v>
      </c>
      <c r="AI22" s="18">
        <v>7.9999999999999986E-7</v>
      </c>
      <c r="AJ22" s="18">
        <v>4.4000000000000002E-4</v>
      </c>
      <c r="AK22" s="18">
        <v>1.2800000000000001E-3</v>
      </c>
      <c r="AL22" s="18">
        <v>0</v>
      </c>
      <c r="AM22" s="18">
        <v>3.9999999999999993E-7</v>
      </c>
      <c r="AN22" s="18">
        <v>0</v>
      </c>
      <c r="AO22" s="18">
        <v>0</v>
      </c>
      <c r="AP22" s="18">
        <v>7.2000000000000008E-2</v>
      </c>
      <c r="AQ22" s="18">
        <v>4.4000000000000002E-4</v>
      </c>
      <c r="AR22" s="18">
        <v>0</v>
      </c>
      <c r="AS22" s="18">
        <v>2.2079999999999999E-5</v>
      </c>
      <c r="AT22" s="18">
        <v>1.7360000000000002E-6</v>
      </c>
      <c r="AU22" s="18">
        <v>0</v>
      </c>
      <c r="AV22" s="18">
        <v>0</v>
      </c>
      <c r="AW22" s="18">
        <v>0</v>
      </c>
      <c r="AX22" s="18">
        <v>3.1999999999999994E-6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7.6000000000000004E-4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f>'Composition of waste'!$BK22*$E22/100</f>
        <v>0</v>
      </c>
      <c r="BL22" s="18">
        <f>'Composition of waste'!$BL22*$E22/100</f>
        <v>0</v>
      </c>
      <c r="BM22" s="18">
        <v>0</v>
      </c>
      <c r="BN22" s="18">
        <f>'Composition of waste'!$BN22*$E22/100</f>
        <v>0</v>
      </c>
      <c r="BO22" s="18">
        <f>'Composition of waste'!$BO22*$E22/100</f>
        <v>0</v>
      </c>
      <c r="BP22" s="18">
        <f>'Composition of waste'!$BP22*$E22/100</f>
        <v>0</v>
      </c>
      <c r="BQ22" s="18">
        <v>0</v>
      </c>
      <c r="BR22" s="18">
        <f>'Composition of waste'!$BR22*$E22/100</f>
        <v>0</v>
      </c>
      <c r="BS22" s="18">
        <v>17.257249600000002</v>
      </c>
      <c r="BT22" s="18">
        <v>1.3377419854400001</v>
      </c>
      <c r="BU22" s="18">
        <v>0</v>
      </c>
      <c r="BV22" s="18">
        <v>0</v>
      </c>
      <c r="BW22" s="18">
        <v>0</v>
      </c>
      <c r="BX22" s="18">
        <v>0</v>
      </c>
      <c r="BY22" s="18">
        <v>64</v>
      </c>
      <c r="BZ22" s="18">
        <v>16.239999999999998</v>
      </c>
      <c r="CA22" s="18">
        <v>0</v>
      </c>
      <c r="CB22" s="19">
        <v>89.6</v>
      </c>
    </row>
    <row r="23" spans="1:80" x14ac:dyDescent="0.35">
      <c r="A23" s="17" t="s">
        <v>117</v>
      </c>
      <c r="B23" s="17" t="s">
        <v>139</v>
      </c>
      <c r="C23" s="17"/>
      <c r="D23" s="18">
        <f>'Composition of waste'!$D23*$C23/100</f>
        <v>0</v>
      </c>
      <c r="E23" s="18">
        <f>'Composition of waste'!$E23*$C23/100</f>
        <v>0</v>
      </c>
      <c r="F23" s="18">
        <f>'Composition of waste'!$F23*$E23/100</f>
        <v>0</v>
      </c>
      <c r="G23" s="18">
        <f>'Composition of waste'!$G23*$E23/100</f>
        <v>0</v>
      </c>
      <c r="H23" s="18">
        <v>15.92741209232452</v>
      </c>
      <c r="I23" s="18">
        <v>428.0771754982984</v>
      </c>
      <c r="J23" s="18">
        <f>'Composition of waste'!$J23*'Composition (mass)'!$E23/100</f>
        <v>0</v>
      </c>
      <c r="K23" s="18">
        <v>40.816225561532619</v>
      </c>
      <c r="L23" s="18">
        <v>0</v>
      </c>
      <c r="M23" s="18">
        <v>5.2936451612903224E-2</v>
      </c>
      <c r="N23" s="18">
        <v>0</v>
      </c>
      <c r="O23" s="18">
        <v>0</v>
      </c>
      <c r="P23" s="18">
        <v>6.4076044126141181</v>
      </c>
      <c r="Q23" s="18">
        <v>1.5144838709677417</v>
      </c>
      <c r="R23" s="18">
        <f>'Composition of waste'!$R23*'Composition (mass)'!$E23/100</f>
        <v>0</v>
      </c>
      <c r="S23" s="18">
        <v>1.2E-2</v>
      </c>
      <c r="T23" s="18">
        <f>'Composition of waste'!$T23*'Composition (mass)'!$E23/100</f>
        <v>0</v>
      </c>
      <c r="U23" s="18">
        <v>0.19808387096774194</v>
      </c>
      <c r="V23" s="18">
        <v>0.25692565853565585</v>
      </c>
      <c r="W23" s="18">
        <v>0</v>
      </c>
      <c r="X23" s="18">
        <v>0</v>
      </c>
      <c r="Y23" s="18">
        <v>0</v>
      </c>
      <c r="Z23" s="18">
        <v>1.1599999999999999E-6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6.8400000000000004E-7</v>
      </c>
      <c r="AH23" s="18">
        <v>0</v>
      </c>
      <c r="AI23" s="18">
        <v>1.1999999999999999E-6</v>
      </c>
      <c r="AJ23" s="18">
        <v>8.6677419354838712E-4</v>
      </c>
      <c r="AK23" s="18">
        <v>2.0090322580645164E-3</v>
      </c>
      <c r="AL23" s="18">
        <v>0</v>
      </c>
      <c r="AM23" s="18">
        <v>5.2E-7</v>
      </c>
      <c r="AN23" s="18">
        <v>0</v>
      </c>
      <c r="AO23" s="18">
        <v>0</v>
      </c>
      <c r="AP23" s="18">
        <v>6.0290322580645164E-2</v>
      </c>
      <c r="AQ23" s="18">
        <v>4.9774193548387104E-4</v>
      </c>
      <c r="AR23" s="18">
        <v>0</v>
      </c>
      <c r="AS23" s="18">
        <v>6.0399999999999998E-5</v>
      </c>
      <c r="AT23" s="18">
        <v>3.3159999999999993E-6</v>
      </c>
      <c r="AU23" s="18">
        <v>0</v>
      </c>
      <c r="AV23" s="18">
        <v>0</v>
      </c>
      <c r="AW23" s="18">
        <v>0</v>
      </c>
      <c r="AX23" s="18">
        <v>1.253032258064516E-6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1.2454838709677419E-3</v>
      </c>
      <c r="BF23" s="18">
        <v>0</v>
      </c>
      <c r="BG23" s="18">
        <v>0</v>
      </c>
      <c r="BH23" s="18">
        <v>0</v>
      </c>
      <c r="BI23" s="18">
        <v>26.400000000000002</v>
      </c>
      <c r="BJ23" s="18">
        <v>0</v>
      </c>
      <c r="BK23" s="18">
        <f>'Composition of waste'!$BK23*$E23/100</f>
        <v>0</v>
      </c>
      <c r="BL23" s="18">
        <f>'Composition of waste'!$BL23*$E23/100</f>
        <v>0</v>
      </c>
      <c r="BM23" s="18">
        <v>0</v>
      </c>
      <c r="BN23" s="18">
        <f>'Composition of waste'!$BN23*$E23/100</f>
        <v>0</v>
      </c>
      <c r="BO23" s="18">
        <f>'Composition of waste'!$BO23*$E23/100</f>
        <v>0</v>
      </c>
      <c r="BP23" s="18">
        <f>'Composition of waste'!$BP23*$E23/100</f>
        <v>0</v>
      </c>
      <c r="BQ23" s="18">
        <v>0</v>
      </c>
      <c r="BR23" s="18">
        <f>'Composition of waste'!$BR23*$E23/100</f>
        <v>0</v>
      </c>
      <c r="BS23" s="18">
        <v>16.557197534918906</v>
      </c>
      <c r="BT23" s="18">
        <v>1.26639013620348</v>
      </c>
      <c r="BU23" s="18">
        <v>4.8</v>
      </c>
      <c r="BV23" s="18">
        <v>4</v>
      </c>
      <c r="BW23" s="18">
        <v>0</v>
      </c>
      <c r="BX23" s="18">
        <v>0</v>
      </c>
      <c r="BY23" s="18">
        <v>35.200000000000003</v>
      </c>
      <c r="BZ23" s="18">
        <v>15.74258064516129</v>
      </c>
      <c r="CA23" s="18">
        <v>0</v>
      </c>
      <c r="CB23" s="19">
        <v>47.858709677419348</v>
      </c>
    </row>
    <row r="24" spans="1:80" x14ac:dyDescent="0.35">
      <c r="A24" s="17" t="s">
        <v>117</v>
      </c>
      <c r="B24" s="17" t="s">
        <v>140</v>
      </c>
      <c r="C24" s="17"/>
      <c r="D24" s="18">
        <f>'Composition of waste'!$D24*$C24/100</f>
        <v>0</v>
      </c>
      <c r="E24" s="18">
        <f>'Composition of waste'!$E24*$C24/100</f>
        <v>0</v>
      </c>
      <c r="F24" s="18">
        <f>'Composition of waste'!$F24*$E24/100</f>
        <v>0</v>
      </c>
      <c r="G24" s="18">
        <f>'Composition of waste'!$G24*$E24/100</f>
        <v>0</v>
      </c>
      <c r="H24" s="18">
        <v>15.019950414632746</v>
      </c>
      <c r="I24" s="18">
        <v>439.29033816425118</v>
      </c>
      <c r="J24" s="18">
        <f>'Composition of waste'!$J24*'Composition (mass)'!$E24/100</f>
        <v>0</v>
      </c>
      <c r="K24" s="18">
        <v>40.119821516586342</v>
      </c>
      <c r="L24" s="18">
        <v>0</v>
      </c>
      <c r="M24" s="18">
        <v>0.13730730730730731</v>
      </c>
      <c r="N24" s="18">
        <v>0</v>
      </c>
      <c r="O24" s="18">
        <v>0</v>
      </c>
      <c r="P24" s="18">
        <v>6.2309228837050137</v>
      </c>
      <c r="Q24" s="18">
        <v>2.7403026403026405</v>
      </c>
      <c r="R24" s="18">
        <f>'Composition of waste'!$R24*'Composition (mass)'!$E24/100</f>
        <v>0</v>
      </c>
      <c r="S24" s="18">
        <v>0.25944476944476941</v>
      </c>
      <c r="T24" s="18">
        <f>'Composition of waste'!$T24*'Composition (mass)'!$E24/100</f>
        <v>0</v>
      </c>
      <c r="U24" s="18">
        <v>0.34427115427115423</v>
      </c>
      <c r="V24" s="18">
        <v>0.32689088570355646</v>
      </c>
      <c r="W24" s="18">
        <v>0</v>
      </c>
      <c r="X24" s="18">
        <v>0</v>
      </c>
      <c r="Y24" s="18">
        <v>0</v>
      </c>
      <c r="Z24" s="18">
        <v>3.79002379002379E-5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1.2633412633412632E-5</v>
      </c>
      <c r="AH24" s="18">
        <v>0</v>
      </c>
      <c r="AI24" s="18">
        <v>0</v>
      </c>
      <c r="AJ24" s="18">
        <v>5.1320801320801327E-4</v>
      </c>
      <c r="AK24" s="18">
        <v>4.3261183261183262E-3</v>
      </c>
      <c r="AL24" s="18">
        <v>0</v>
      </c>
      <c r="AM24" s="18">
        <v>2.5266825266825267E-6</v>
      </c>
      <c r="AN24" s="18">
        <v>0</v>
      </c>
      <c r="AO24" s="18">
        <v>0</v>
      </c>
      <c r="AP24" s="18">
        <v>0.12295230295230296</v>
      </c>
      <c r="AQ24" s="18">
        <v>3.2273182273182276E-4</v>
      </c>
      <c r="AR24" s="18">
        <v>7.6190476190476184E-5</v>
      </c>
      <c r="AS24" s="18">
        <v>8.8433888433888427E-5</v>
      </c>
      <c r="AT24" s="18">
        <v>3.79002379002379E-5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1.447115947115947E-3</v>
      </c>
      <c r="BF24" s="18">
        <v>0</v>
      </c>
      <c r="BG24" s="18">
        <v>0</v>
      </c>
      <c r="BH24" s="18">
        <v>0</v>
      </c>
      <c r="BI24" s="18">
        <v>20.817245817245816</v>
      </c>
      <c r="BJ24" s="18">
        <v>0</v>
      </c>
      <c r="BK24" s="18">
        <f>'Composition of waste'!$BK24*$E24/100</f>
        <v>0</v>
      </c>
      <c r="BL24" s="18">
        <f>'Composition of waste'!$BL24*$E24/100</f>
        <v>0</v>
      </c>
      <c r="BM24" s="18">
        <v>0</v>
      </c>
      <c r="BN24" s="18">
        <f>'Composition of waste'!$BN24*$E24/100</f>
        <v>0</v>
      </c>
      <c r="BO24" s="18">
        <f>'Composition of waste'!$BO24*$E24/100</f>
        <v>0</v>
      </c>
      <c r="BP24" s="18">
        <f>'Composition of waste'!$BP24*$E24/100</f>
        <v>0</v>
      </c>
      <c r="BQ24" s="18">
        <v>0</v>
      </c>
      <c r="BR24" s="18">
        <f>'Composition of waste'!$BR24*$E24/100</f>
        <v>0</v>
      </c>
      <c r="BS24" s="18">
        <v>16.716238733018734</v>
      </c>
      <c r="BT24" s="18">
        <v>1.2842360106955528</v>
      </c>
      <c r="BU24" s="18">
        <v>10.476190476190476</v>
      </c>
      <c r="BV24" s="18">
        <v>11.795366795366794</v>
      </c>
      <c r="BW24" s="18">
        <v>0</v>
      </c>
      <c r="BX24" s="18">
        <v>0</v>
      </c>
      <c r="BY24" s="18">
        <v>43.088803088803083</v>
      </c>
      <c r="BZ24" s="18">
        <v>15.343070343070343</v>
      </c>
      <c r="CA24" s="18">
        <v>0</v>
      </c>
      <c r="CB24" s="19">
        <v>38.188578188578191</v>
      </c>
    </row>
    <row r="25" spans="1:80" x14ac:dyDescent="0.35">
      <c r="A25" s="17" t="s">
        <v>117</v>
      </c>
      <c r="B25" s="17" t="s">
        <v>141</v>
      </c>
      <c r="C25" s="17"/>
      <c r="D25" s="18">
        <f>'Composition of waste'!$D25*$C25/100</f>
        <v>0</v>
      </c>
      <c r="E25" s="18">
        <f>'Composition of waste'!$E25*$C25/100</f>
        <v>0</v>
      </c>
      <c r="F25" s="18">
        <f>'Composition of waste'!$F25*$E25/100</f>
        <v>0</v>
      </c>
      <c r="G25" s="18">
        <f>'Composition of waste'!$G25*$E25/100</f>
        <v>0</v>
      </c>
      <c r="H25" s="18">
        <v>15.520815968709035</v>
      </c>
      <c r="I25" s="18">
        <v>417.63888888888886</v>
      </c>
      <c r="J25" s="18">
        <f>'Composition of waste'!$J25*'Composition (mass)'!$E25/100</f>
        <v>0</v>
      </c>
      <c r="K25" s="18">
        <v>39.895937324405274</v>
      </c>
      <c r="L25" s="18">
        <v>0</v>
      </c>
      <c r="M25" s="18">
        <v>6.6190476190476202E-2</v>
      </c>
      <c r="N25" s="18">
        <v>0</v>
      </c>
      <c r="O25" s="18">
        <v>0</v>
      </c>
      <c r="P25" s="18">
        <v>6.5305804399209766</v>
      </c>
      <c r="Q25" s="18">
        <v>0.78911564625850339</v>
      </c>
      <c r="R25" s="18">
        <f>'Composition of waste'!$R25*'Composition (mass)'!$E25/100</f>
        <v>0</v>
      </c>
      <c r="S25" s="18">
        <v>1.3605442176870748E-2</v>
      </c>
      <c r="T25" s="18">
        <f>'Composition of waste'!$T25*'Composition (mass)'!$E25/100</f>
        <v>0</v>
      </c>
      <c r="U25" s="18">
        <v>0.12789115646258503</v>
      </c>
      <c r="V25" s="18">
        <v>7.2467590004324858E-2</v>
      </c>
      <c r="W25" s="18">
        <v>0</v>
      </c>
      <c r="X25" s="18">
        <v>0</v>
      </c>
      <c r="Y25" s="18">
        <v>0</v>
      </c>
      <c r="Z25" s="18">
        <v>2.3809523809523812E-6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3.6734693877551024E-6</v>
      </c>
      <c r="AH25" s="18">
        <v>0</v>
      </c>
      <c r="AI25" s="18">
        <v>1.2244897959183674E-5</v>
      </c>
      <c r="AJ25" s="18">
        <v>4.829931972789115E-4</v>
      </c>
      <c r="AK25" s="18">
        <v>6.8027210884353748E-4</v>
      </c>
      <c r="AL25" s="18">
        <v>0</v>
      </c>
      <c r="AM25" s="18">
        <v>6.8027210884353747E-7</v>
      </c>
      <c r="AN25" s="18">
        <v>0</v>
      </c>
      <c r="AO25" s="18">
        <v>0</v>
      </c>
      <c r="AP25" s="18">
        <v>4.2993197278911571E-2</v>
      </c>
      <c r="AQ25" s="18">
        <v>3.4013605442176874E-4</v>
      </c>
      <c r="AR25" s="18">
        <v>0</v>
      </c>
      <c r="AS25" s="18">
        <v>6.1156462585034021E-5</v>
      </c>
      <c r="AT25" s="18">
        <v>3.9863945578231298E-6</v>
      </c>
      <c r="AU25" s="18">
        <v>0</v>
      </c>
      <c r="AV25" s="18">
        <v>0</v>
      </c>
      <c r="AW25" s="18">
        <v>0</v>
      </c>
      <c r="AX25" s="18">
        <v>1.4421768707482995E-6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8.4353741496598638E-4</v>
      </c>
      <c r="BF25" s="18">
        <v>0</v>
      </c>
      <c r="BG25" s="18">
        <v>0</v>
      </c>
      <c r="BH25" s="18">
        <v>0</v>
      </c>
      <c r="BI25" s="18">
        <v>9.0476190476190492</v>
      </c>
      <c r="BJ25" s="18">
        <v>0</v>
      </c>
      <c r="BK25" s="18">
        <f>'Composition of waste'!$BK25*$E25/100</f>
        <v>0</v>
      </c>
      <c r="BL25" s="18">
        <f>'Composition of waste'!$BL25*$E25/100</f>
        <v>0</v>
      </c>
      <c r="BM25" s="18">
        <v>0</v>
      </c>
      <c r="BN25" s="18">
        <f>'Composition of waste'!$BN25*$E25/100</f>
        <v>0</v>
      </c>
      <c r="BO25" s="18">
        <f>'Composition of waste'!$BO25*$E25/100</f>
        <v>0</v>
      </c>
      <c r="BP25" s="18">
        <f>'Composition of waste'!$BP25*$E25/100</f>
        <v>0</v>
      </c>
      <c r="BQ25" s="18">
        <v>0</v>
      </c>
      <c r="BR25" s="18">
        <f>'Composition of waste'!$BR25*$E25/100</f>
        <v>0</v>
      </c>
      <c r="BS25" s="18">
        <v>16.259199346100289</v>
      </c>
      <c r="BT25" s="18">
        <v>1.2366742711116314</v>
      </c>
      <c r="BU25" s="18">
        <v>44.421768707482997</v>
      </c>
      <c r="BV25" s="18">
        <v>11.360544217687076</v>
      </c>
      <c r="BW25" s="18">
        <v>0</v>
      </c>
      <c r="BX25" s="18">
        <v>0</v>
      </c>
      <c r="BY25" s="18">
        <v>64.829931972789112</v>
      </c>
      <c r="BZ25" s="18">
        <v>15.034013605442178</v>
      </c>
      <c r="CA25" s="18">
        <v>0</v>
      </c>
      <c r="CB25" s="19">
        <v>22.040816326530589</v>
      </c>
    </row>
    <row r="26" spans="1:80" x14ac:dyDescent="0.35">
      <c r="A26" s="17" t="s">
        <v>117</v>
      </c>
      <c r="B26" s="17" t="s">
        <v>142</v>
      </c>
      <c r="C26" s="17"/>
      <c r="D26" s="18">
        <f>'Composition of waste'!$D26*$C26/100</f>
        <v>0</v>
      </c>
      <c r="E26" s="18">
        <f>'Composition of waste'!$E26*$C26/100</f>
        <v>0</v>
      </c>
      <c r="F26" s="18">
        <f>'Composition of waste'!$F26*$E26/100</f>
        <v>0</v>
      </c>
      <c r="G26" s="18">
        <f>'Composition of waste'!$G26*$E26/100</f>
        <v>0</v>
      </c>
      <c r="H26" s="18">
        <v>13.429778720302771</v>
      </c>
      <c r="I26" s="18">
        <v>461.89583333333326</v>
      </c>
      <c r="J26" s="18">
        <f>'Composition of waste'!$J26*'Composition (mass)'!$E26/100</f>
        <v>0</v>
      </c>
      <c r="K26" s="18">
        <v>34.900531337736396</v>
      </c>
      <c r="L26" s="18">
        <v>0</v>
      </c>
      <c r="M26" s="18">
        <v>0.83870967741935498</v>
      </c>
      <c r="N26" s="18">
        <v>0</v>
      </c>
      <c r="O26" s="18">
        <v>0</v>
      </c>
      <c r="P26" s="18">
        <v>5.3064331695901732</v>
      </c>
      <c r="Q26" s="18">
        <v>5.064516129032258</v>
      </c>
      <c r="R26" s="18">
        <f>'Composition of waste'!$R26*'Composition (mass)'!$E26/100</f>
        <v>0</v>
      </c>
      <c r="S26" s="18">
        <v>0.35483870967741932</v>
      </c>
      <c r="T26" s="18">
        <f>'Composition of waste'!$T26*'Composition (mass)'!$E26/100</f>
        <v>0</v>
      </c>
      <c r="U26" s="18">
        <v>0.45161290322580638</v>
      </c>
      <c r="V26" s="18">
        <v>0.7445460456895957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1.5967741935483874E-3</v>
      </c>
      <c r="AK26" s="18">
        <v>1.3145161290322581E-2</v>
      </c>
      <c r="AL26" s="18">
        <v>0</v>
      </c>
      <c r="AM26" s="18">
        <v>0</v>
      </c>
      <c r="AN26" s="18">
        <v>0</v>
      </c>
      <c r="AO26" s="18">
        <v>0</v>
      </c>
      <c r="AP26" s="18">
        <v>0.24193548387096772</v>
      </c>
      <c r="AQ26" s="18">
        <v>6.7741935483870966E-3</v>
      </c>
      <c r="AR26" s="18">
        <v>0</v>
      </c>
      <c r="AS26" s="18">
        <v>0</v>
      </c>
      <c r="AT26" s="18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1.2741935483870967E-2</v>
      </c>
      <c r="BF26" s="18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f>'Composition of waste'!$BK26*$E26/100</f>
        <v>0</v>
      </c>
      <c r="BL26" s="18">
        <f>'Composition of waste'!$BL26*$E26/100</f>
        <v>0</v>
      </c>
      <c r="BM26" s="18">
        <v>0</v>
      </c>
      <c r="BN26" s="18">
        <f>'Composition of waste'!$BN26*$E26/100</f>
        <v>0</v>
      </c>
      <c r="BO26" s="18">
        <f>'Composition of waste'!$BO26*$E26/100</f>
        <v>0</v>
      </c>
      <c r="BP26" s="18">
        <f>'Composition of waste'!$BP26*$E26/100</f>
        <v>0</v>
      </c>
      <c r="BQ26" s="18">
        <v>0</v>
      </c>
      <c r="BR26" s="18">
        <f>'Composition of waste'!$BR26*$E26/100</f>
        <v>0</v>
      </c>
      <c r="BS26" s="18">
        <v>14.89074693548387</v>
      </c>
      <c r="BT26" s="18">
        <v>1.1036948719193547</v>
      </c>
      <c r="BU26" s="18">
        <v>0</v>
      </c>
      <c r="BV26" s="18">
        <v>0</v>
      </c>
      <c r="BW26" s="18">
        <v>0</v>
      </c>
      <c r="BX26" s="18">
        <v>0</v>
      </c>
      <c r="BY26" s="18">
        <v>0</v>
      </c>
      <c r="BZ26" s="18">
        <v>10.64516129032258</v>
      </c>
      <c r="CA26" s="18">
        <v>0</v>
      </c>
      <c r="CB26" s="19">
        <v>53.225806451612904</v>
      </c>
    </row>
    <row r="27" spans="1:80" x14ac:dyDescent="0.35">
      <c r="A27" s="17" t="s">
        <v>117</v>
      </c>
      <c r="B27" s="17" t="s">
        <v>143</v>
      </c>
      <c r="C27" s="17"/>
      <c r="D27" s="18">
        <f>'Composition of waste'!$D27*$C27/100</f>
        <v>0</v>
      </c>
      <c r="E27" s="18">
        <f>'Composition of waste'!$E27*$C27/100</f>
        <v>0</v>
      </c>
      <c r="F27" s="18">
        <f>'Composition of waste'!$F27*$E27/100</f>
        <v>0</v>
      </c>
      <c r="G27" s="18">
        <f>'Composition of waste'!$G27*$E27/100</f>
        <v>0</v>
      </c>
      <c r="H27" s="18">
        <v>15.692028614901158</v>
      </c>
      <c r="I27" s="18">
        <v>459.1174889310563</v>
      </c>
      <c r="J27" s="18">
        <f>'Composition of waste'!$J27*'Composition (mass)'!$E27/100</f>
        <v>0</v>
      </c>
      <c r="K27" s="18">
        <v>40.980970320924513</v>
      </c>
      <c r="L27" s="18">
        <v>0</v>
      </c>
      <c r="M27" s="18">
        <v>0.31859025032938071</v>
      </c>
      <c r="N27" s="18">
        <v>0</v>
      </c>
      <c r="O27" s="18">
        <v>0</v>
      </c>
      <c r="P27" s="18">
        <v>6.2275240790148088</v>
      </c>
      <c r="Q27" s="18">
        <v>4.115678524374176</v>
      </c>
      <c r="R27" s="18">
        <f>'Composition of waste'!$R27*'Composition (mass)'!$E27/100</f>
        <v>0</v>
      </c>
      <c r="S27" s="18">
        <v>0.21396574440052701</v>
      </c>
      <c r="T27" s="18">
        <f>'Composition of waste'!$T27*'Composition (mass)'!$E27/100</f>
        <v>0</v>
      </c>
      <c r="U27" s="18">
        <v>0.57530961791831348</v>
      </c>
      <c r="V27" s="18">
        <v>0.71532863118761825</v>
      </c>
      <c r="W27" s="18">
        <v>0</v>
      </c>
      <c r="X27" s="18">
        <v>0</v>
      </c>
      <c r="Y27" s="18">
        <v>0</v>
      </c>
      <c r="Z27" s="18">
        <v>9.0909090909090893E-6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1.9090909090909087E-5</v>
      </c>
      <c r="AH27" s="18">
        <v>0</v>
      </c>
      <c r="AI27" s="18">
        <v>9.0909090909090893E-6</v>
      </c>
      <c r="AJ27" s="18">
        <v>3.7437417654808966E-3</v>
      </c>
      <c r="AK27" s="18">
        <v>7.7667984189723318E-3</v>
      </c>
      <c r="AL27" s="18">
        <v>0</v>
      </c>
      <c r="AM27" s="18">
        <v>1.8181818181818181E-6</v>
      </c>
      <c r="AN27" s="18">
        <v>0</v>
      </c>
      <c r="AO27" s="18">
        <v>0</v>
      </c>
      <c r="AP27" s="18">
        <v>0.18511198945981555</v>
      </c>
      <c r="AQ27" s="18">
        <v>3.7272727272727271E-3</v>
      </c>
      <c r="AR27" s="18">
        <v>0</v>
      </c>
      <c r="AS27" s="18">
        <v>7.3636363636363626E-5</v>
      </c>
      <c r="AT27" s="18">
        <v>1.7272727272727271E-5</v>
      </c>
      <c r="AU27" s="18">
        <v>0</v>
      </c>
      <c r="AV27" s="18">
        <v>0</v>
      </c>
      <c r="AW27" s="18">
        <v>0</v>
      </c>
      <c r="AX27" s="18">
        <v>9.0909090909090893E-6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6.3109354413702235E-3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f>'Composition of waste'!$BK27*$E27/100</f>
        <v>0</v>
      </c>
      <c r="BL27" s="18">
        <f>'Composition of waste'!$BL27*$E27/100</f>
        <v>0</v>
      </c>
      <c r="BM27" s="18">
        <v>0</v>
      </c>
      <c r="BN27" s="18">
        <f>'Composition of waste'!$BN27*$E27/100</f>
        <v>0</v>
      </c>
      <c r="BO27" s="18">
        <f>'Composition of waste'!$BO27*$E27/100</f>
        <v>0</v>
      </c>
      <c r="BP27" s="18">
        <f>'Composition of waste'!$BP27*$E27/100</f>
        <v>0</v>
      </c>
      <c r="BQ27" s="18">
        <v>0</v>
      </c>
      <c r="BR27" s="18">
        <f>'Composition of waste'!$BR27*$E27/100</f>
        <v>0</v>
      </c>
      <c r="BS27" s="18">
        <v>17.361192973649537</v>
      </c>
      <c r="BT27" s="18">
        <v>1.3480219850939394</v>
      </c>
      <c r="BU27" s="18">
        <v>0</v>
      </c>
      <c r="BV27" s="18">
        <v>0</v>
      </c>
      <c r="BW27" s="18">
        <v>0</v>
      </c>
      <c r="BX27" s="18">
        <v>0</v>
      </c>
      <c r="BY27" s="18">
        <v>13.636363636363635</v>
      </c>
      <c r="BZ27" s="18">
        <v>14.500658761528328</v>
      </c>
      <c r="CA27" s="18">
        <v>0</v>
      </c>
      <c r="CB27" s="19">
        <v>67.154150197628468</v>
      </c>
    </row>
    <row r="28" spans="1:80" x14ac:dyDescent="0.35">
      <c r="A28" s="17" t="s">
        <v>117</v>
      </c>
      <c r="B28" s="17" t="s">
        <v>144</v>
      </c>
      <c r="C28" s="17"/>
      <c r="D28" s="18">
        <f>'Composition of waste'!$D28*$C28/100</f>
        <v>0</v>
      </c>
      <c r="E28" s="18">
        <f>'Composition of waste'!$E28*$C28/100</f>
        <v>0</v>
      </c>
      <c r="F28" s="18">
        <f>'Composition of waste'!$F28*$E28/100</f>
        <v>0</v>
      </c>
      <c r="G28" s="18">
        <f>'Composition of waste'!$G28*$E28/100</f>
        <v>0</v>
      </c>
      <c r="H28" s="18">
        <v>15.014607026236371</v>
      </c>
      <c r="I28" s="18">
        <v>462.59183673469386</v>
      </c>
      <c r="J28" s="18">
        <f>'Composition of waste'!$J28*'Composition (mass)'!$E28/100</f>
        <v>0</v>
      </c>
      <c r="K28" s="18">
        <v>38.862261873828373</v>
      </c>
      <c r="L28" s="18">
        <v>0</v>
      </c>
      <c r="M28" s="18">
        <v>0.5178571428571429</v>
      </c>
      <c r="N28" s="18">
        <v>0</v>
      </c>
      <c r="O28" s="18">
        <v>0</v>
      </c>
      <c r="P28" s="18">
        <v>6.074242357300343</v>
      </c>
      <c r="Q28" s="18">
        <v>4.8928571428571432</v>
      </c>
      <c r="R28" s="18">
        <f>'Composition of waste'!$R28*'Composition (mass)'!$E28/100</f>
        <v>0</v>
      </c>
      <c r="S28" s="18">
        <v>8.6250000000000007E-2</v>
      </c>
      <c r="T28" s="18">
        <f>'Composition of waste'!$T28*'Composition (mass)'!$E28/100</f>
        <v>0</v>
      </c>
      <c r="U28" s="18">
        <v>0.91785714285714304</v>
      </c>
      <c r="V28" s="18">
        <v>0.88772797755297939</v>
      </c>
      <c r="W28" s="18">
        <v>0</v>
      </c>
      <c r="X28" s="18">
        <v>0</v>
      </c>
      <c r="Y28" s="18">
        <v>0</v>
      </c>
      <c r="Z28" s="18">
        <v>1.7857142857142857E-6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6.4285714285714288E-5</v>
      </c>
      <c r="AH28" s="18">
        <v>0</v>
      </c>
      <c r="AI28" s="18">
        <v>3.0357142857142854E-5</v>
      </c>
      <c r="AJ28" s="18">
        <v>9.1071428571428575E-4</v>
      </c>
      <c r="AK28" s="18">
        <v>1.0857142857142859E-2</v>
      </c>
      <c r="AL28" s="18">
        <v>0</v>
      </c>
      <c r="AM28" s="18">
        <v>8.9285714285714284E-7</v>
      </c>
      <c r="AN28" s="18">
        <v>0</v>
      </c>
      <c r="AO28" s="18">
        <v>0</v>
      </c>
      <c r="AP28" s="18">
        <v>0.31428571428571433</v>
      </c>
      <c r="AQ28" s="18">
        <v>3.1250000000000002E-3</v>
      </c>
      <c r="AR28" s="18">
        <v>0</v>
      </c>
      <c r="AS28" s="18">
        <v>7.857142857142858E-5</v>
      </c>
      <c r="AT28" s="18">
        <v>1.9642857142857145E-5</v>
      </c>
      <c r="AU28" s="18">
        <v>0</v>
      </c>
      <c r="AV28" s="18">
        <v>0</v>
      </c>
      <c r="AW28" s="18">
        <v>0</v>
      </c>
      <c r="AX28" s="18">
        <v>1.0357142857142857E-5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5.2678571428571436E-3</v>
      </c>
      <c r="BF28" s="18">
        <v>0</v>
      </c>
      <c r="BG28" s="18">
        <v>0</v>
      </c>
      <c r="BH28" s="18">
        <v>0</v>
      </c>
      <c r="BI28" s="18">
        <v>0</v>
      </c>
      <c r="BJ28" s="18">
        <v>0</v>
      </c>
      <c r="BK28" s="18">
        <f>'Composition of waste'!$BK28*$E28/100</f>
        <v>0</v>
      </c>
      <c r="BL28" s="18">
        <f>'Composition of waste'!$BL28*$E28/100</f>
        <v>0</v>
      </c>
      <c r="BM28" s="18">
        <v>0</v>
      </c>
      <c r="BN28" s="18">
        <f>'Composition of waste'!$BN28*$E28/100</f>
        <v>0</v>
      </c>
      <c r="BO28" s="18">
        <f>'Composition of waste'!$BO28*$E28/100</f>
        <v>0</v>
      </c>
      <c r="BP28" s="18">
        <f>'Composition of waste'!$BP28*$E28/100</f>
        <v>0</v>
      </c>
      <c r="BQ28" s="18">
        <v>0</v>
      </c>
      <c r="BR28" s="18">
        <f>'Composition of waste'!$BR28*$E28/100</f>
        <v>0</v>
      </c>
      <c r="BS28" s="18">
        <v>16.950631071428571</v>
      </c>
      <c r="BT28" s="18">
        <v>1.3074174129642857</v>
      </c>
      <c r="BU28" s="18">
        <v>16.696428571428573</v>
      </c>
      <c r="BV28" s="18">
        <v>12.946428571428573</v>
      </c>
      <c r="BW28" s="18">
        <v>0</v>
      </c>
      <c r="BX28" s="18">
        <v>0</v>
      </c>
      <c r="BY28" s="18">
        <v>29.642857142857142</v>
      </c>
      <c r="BZ28" s="18">
        <v>14.285714285714286</v>
      </c>
      <c r="CA28" s="18">
        <v>0</v>
      </c>
      <c r="CB28" s="19">
        <v>29.285714285714278</v>
      </c>
    </row>
    <row r="29" spans="1:80" x14ac:dyDescent="0.35">
      <c r="A29" s="17" t="s">
        <v>117</v>
      </c>
      <c r="B29" s="17" t="s">
        <v>145</v>
      </c>
      <c r="C29" s="17"/>
      <c r="D29" s="18">
        <f>'Composition of waste'!$D29*$C29/100</f>
        <v>0</v>
      </c>
      <c r="E29" s="18">
        <f>'Composition of waste'!$E29*$C29/100</f>
        <v>0</v>
      </c>
      <c r="F29" s="18">
        <f>'Composition of waste'!$F29*$E29/100</f>
        <v>0</v>
      </c>
      <c r="G29" s="18">
        <f>'Composition of waste'!$G29*$E29/100</f>
        <v>0</v>
      </c>
      <c r="H29" s="18">
        <v>15.659455081333208</v>
      </c>
      <c r="I29" s="18">
        <v>438.95299145299145</v>
      </c>
      <c r="J29" s="18">
        <f>'Composition of waste'!$J29*'Composition (mass)'!$E29/100</f>
        <v>0</v>
      </c>
      <c r="K29" s="18">
        <v>41.20933036004098</v>
      </c>
      <c r="L29" s="18">
        <v>0</v>
      </c>
      <c r="M29" s="18">
        <v>0.18770491803278688</v>
      </c>
      <c r="N29" s="18">
        <v>0</v>
      </c>
      <c r="O29" s="18">
        <v>0</v>
      </c>
      <c r="P29" s="18">
        <v>6.453506524358553</v>
      </c>
      <c r="Q29" s="18">
        <v>1.581967213114754</v>
      </c>
      <c r="R29" s="18">
        <f>'Composition of waste'!$R29*'Composition (mass)'!$E29/100</f>
        <v>0</v>
      </c>
      <c r="S29" s="18">
        <v>2.3770491803278688E-2</v>
      </c>
      <c r="T29" s="18">
        <f>'Composition of waste'!$T29*'Composition (mass)'!$E29/100</f>
        <v>0</v>
      </c>
      <c r="U29" s="18">
        <v>0.32868852459016401</v>
      </c>
      <c r="V29" s="18">
        <v>0.46569336527369415</v>
      </c>
      <c r="W29" s="18">
        <v>0</v>
      </c>
      <c r="X29" s="18">
        <v>0</v>
      </c>
      <c r="Y29" s="18">
        <v>0</v>
      </c>
      <c r="Z29" s="18">
        <v>2.7868852459016396E-6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1.1803278688524591E-5</v>
      </c>
      <c r="AH29" s="18">
        <v>0</v>
      </c>
      <c r="AI29" s="18">
        <v>5.7377049180327874E-6</v>
      </c>
      <c r="AJ29" s="18">
        <v>5.0000000000000001E-4</v>
      </c>
      <c r="AK29" s="18">
        <v>2.7049180327868854E-3</v>
      </c>
      <c r="AL29" s="18">
        <v>0</v>
      </c>
      <c r="AM29" s="18">
        <v>7.3770491803278695E-7</v>
      </c>
      <c r="AN29" s="18">
        <v>0</v>
      </c>
      <c r="AO29" s="18">
        <v>0</v>
      </c>
      <c r="AP29" s="18">
        <v>7.8688524590163927E-2</v>
      </c>
      <c r="AQ29" s="18">
        <v>1.8852459016393446E-3</v>
      </c>
      <c r="AR29" s="18">
        <v>0</v>
      </c>
      <c r="AS29" s="18">
        <v>2.9098360655737705E-5</v>
      </c>
      <c r="AT29" s="18">
        <v>2.4590163934426232E-6</v>
      </c>
      <c r="AU29" s="18">
        <v>0</v>
      </c>
      <c r="AV29" s="18">
        <v>0</v>
      </c>
      <c r="AW29" s="18">
        <v>0</v>
      </c>
      <c r="AX29" s="18">
        <v>4.0983606557377053E-6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1.3114754098360656E-3</v>
      </c>
      <c r="BF29" s="18">
        <v>0</v>
      </c>
      <c r="BG29" s="18">
        <v>0</v>
      </c>
      <c r="BH29" s="18">
        <v>0</v>
      </c>
      <c r="BI29" s="18">
        <v>15.655737704918032</v>
      </c>
      <c r="BJ29" s="18">
        <v>0</v>
      </c>
      <c r="BK29" s="18">
        <f>'Composition of waste'!$BK29*$E29/100</f>
        <v>0</v>
      </c>
      <c r="BL29" s="18">
        <f>'Composition of waste'!$BL29*$E29/100</f>
        <v>0</v>
      </c>
      <c r="BM29" s="18">
        <v>0</v>
      </c>
      <c r="BN29" s="18">
        <f>'Composition of waste'!$BN29*$E29/100</f>
        <v>0</v>
      </c>
      <c r="BO29" s="18">
        <f>'Composition of waste'!$BO29*$E29/100</f>
        <v>0</v>
      </c>
      <c r="BP29" s="18">
        <f>'Composition of waste'!$BP29*$E29/100</f>
        <v>0</v>
      </c>
      <c r="BQ29" s="18">
        <v>0</v>
      </c>
      <c r="BR29" s="18">
        <f>'Composition of waste'!$BR29*$E29/100</f>
        <v>0</v>
      </c>
      <c r="BS29" s="18">
        <v>17.297551573503675</v>
      </c>
      <c r="BT29" s="18">
        <v>1.3412301047178743</v>
      </c>
      <c r="BU29" s="18">
        <v>15.000000000000002</v>
      </c>
      <c r="BV29" s="18">
        <v>18.360655737704921</v>
      </c>
      <c r="BW29" s="18">
        <v>0</v>
      </c>
      <c r="BX29" s="18">
        <v>0</v>
      </c>
      <c r="BY29" s="18">
        <v>49.016393442622956</v>
      </c>
      <c r="BZ29" s="18">
        <v>15.409836065573771</v>
      </c>
      <c r="CA29" s="18">
        <v>0</v>
      </c>
      <c r="CB29" s="19">
        <v>23.688524590163922</v>
      </c>
    </row>
    <row r="30" spans="1:80" x14ac:dyDescent="0.35">
      <c r="A30" s="17" t="s">
        <v>117</v>
      </c>
      <c r="B30" s="17" t="s">
        <v>146</v>
      </c>
      <c r="C30" s="17"/>
      <c r="D30" s="18">
        <f>'Composition of waste'!$D30*$C30/100</f>
        <v>0</v>
      </c>
      <c r="E30" s="18">
        <f>'Composition of waste'!$E30*$C30/100</f>
        <v>0</v>
      </c>
      <c r="F30" s="18">
        <f>'Composition of waste'!$F30*$E30/100</f>
        <v>0</v>
      </c>
      <c r="G30" s="18">
        <f>'Composition of waste'!$G30*$E30/100</f>
        <v>0</v>
      </c>
      <c r="H30" s="18">
        <v>16.229120157019175</v>
      </c>
      <c r="I30" s="18">
        <v>441.29708686440677</v>
      </c>
      <c r="J30" s="18">
        <f>'Composition of waste'!$J30*'Composition (mass)'!$E30/100</f>
        <v>0</v>
      </c>
      <c r="K30" s="18">
        <v>39.657051080265923</v>
      </c>
      <c r="L30" s="18">
        <v>0</v>
      </c>
      <c r="M30" s="18">
        <v>0.10146179401993358</v>
      </c>
      <c r="N30" s="18">
        <v>0</v>
      </c>
      <c r="O30" s="18">
        <v>0</v>
      </c>
      <c r="P30" s="18">
        <v>6.4060805888814372</v>
      </c>
      <c r="Q30" s="18">
        <v>2.9201734957548915</v>
      </c>
      <c r="R30" s="18">
        <f>'Composition of waste'!$R30*'Composition (mass)'!$E30/100</f>
        <v>0</v>
      </c>
      <c r="S30" s="18">
        <v>7.6688815060908078E-2</v>
      </c>
      <c r="T30" s="18">
        <f>'Composition of waste'!$T30*'Composition (mass)'!$E30/100</f>
        <v>0</v>
      </c>
      <c r="U30" s="18">
        <v>0.39478589885566628</v>
      </c>
      <c r="V30" s="18">
        <v>0.5220194419497588</v>
      </c>
      <c r="W30" s="18">
        <v>0</v>
      </c>
      <c r="X30" s="18">
        <v>0</v>
      </c>
      <c r="Y30" s="18">
        <v>0</v>
      </c>
      <c r="Z30" s="18">
        <v>5.5555555555555562E-7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4.769841269841269E-6</v>
      </c>
      <c r="AH30" s="18">
        <v>0</v>
      </c>
      <c r="AI30" s="18">
        <v>1.7718715393133996E-5</v>
      </c>
      <c r="AJ30" s="18">
        <v>1.1238464377999265E-3</v>
      </c>
      <c r="AK30" s="18">
        <v>5.6060354374307866E-3</v>
      </c>
      <c r="AL30" s="18">
        <v>0</v>
      </c>
      <c r="AM30" s="18">
        <v>5.5555555555555562E-7</v>
      </c>
      <c r="AN30" s="18">
        <v>0</v>
      </c>
      <c r="AO30" s="18">
        <v>0</v>
      </c>
      <c r="AP30" s="18">
        <v>0.16193244739756368</v>
      </c>
      <c r="AQ30" s="18">
        <v>1.3750461424880032E-3</v>
      </c>
      <c r="AR30" s="18">
        <v>4.0697674418604647E-4</v>
      </c>
      <c r="AS30" s="18">
        <v>1.2321889996308601E-4</v>
      </c>
      <c r="AT30" s="18">
        <v>3.9682539682539681E-6</v>
      </c>
      <c r="AU30" s="18">
        <v>0</v>
      </c>
      <c r="AV30" s="18">
        <v>0</v>
      </c>
      <c r="AW30" s="18">
        <v>0</v>
      </c>
      <c r="AX30" s="18">
        <v>1.3750461424880031E-6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2.1520856404577335E-3</v>
      </c>
      <c r="BF30" s="18">
        <v>0</v>
      </c>
      <c r="BG30" s="18">
        <v>0</v>
      </c>
      <c r="BH30" s="18">
        <v>0</v>
      </c>
      <c r="BI30" s="18">
        <v>0.8462532299741603</v>
      </c>
      <c r="BJ30" s="18">
        <v>0.79365079365079383</v>
      </c>
      <c r="BK30" s="18">
        <f>'Composition of waste'!$BK30*$E30/100</f>
        <v>0</v>
      </c>
      <c r="BL30" s="18">
        <f>'Composition of waste'!$BL30*$E30/100</f>
        <v>0</v>
      </c>
      <c r="BM30" s="18">
        <v>0</v>
      </c>
      <c r="BN30" s="18">
        <f>'Composition of waste'!$BN30*$E30/100</f>
        <v>0</v>
      </c>
      <c r="BO30" s="18">
        <f>'Composition of waste'!$BO30*$E30/100</f>
        <v>0</v>
      </c>
      <c r="BP30" s="18">
        <f>'Composition of waste'!$BP30*$E30/100</f>
        <v>0</v>
      </c>
      <c r="BQ30" s="18">
        <v>0</v>
      </c>
      <c r="BR30" s="18">
        <f>'Composition of waste'!$BR30*$E30/100</f>
        <v>0</v>
      </c>
      <c r="BS30" s="18">
        <v>16.477100563055661</v>
      </c>
      <c r="BT30" s="18">
        <v>1.2573325209722883</v>
      </c>
      <c r="BU30" s="18">
        <v>22.381875230712442</v>
      </c>
      <c r="BV30" s="18">
        <v>15.794573643410853</v>
      </c>
      <c r="BW30" s="18">
        <v>0</v>
      </c>
      <c r="BX30" s="18">
        <v>0</v>
      </c>
      <c r="BY30" s="18">
        <v>39.022702104097455</v>
      </c>
      <c r="BZ30" s="18">
        <v>14.563492063492063</v>
      </c>
      <c r="CA30" s="18">
        <v>0</v>
      </c>
      <c r="CB30" s="19">
        <v>21.626984126984119</v>
      </c>
    </row>
    <row r="31" spans="1:80" x14ac:dyDescent="0.35">
      <c r="A31" s="17" t="s">
        <v>117</v>
      </c>
      <c r="B31" s="17" t="s">
        <v>147</v>
      </c>
      <c r="C31" s="17"/>
      <c r="D31" s="18">
        <f>'Composition of waste'!$D31*$C31/100</f>
        <v>0</v>
      </c>
      <c r="E31" s="18">
        <f>'Composition of waste'!$E31*$C31/100</f>
        <v>0</v>
      </c>
      <c r="F31" s="18">
        <f>'Composition of waste'!$F31*$E31/100</f>
        <v>0</v>
      </c>
      <c r="G31" s="18">
        <f>'Composition of waste'!$G31*$E31/100</f>
        <v>0</v>
      </c>
      <c r="H31" s="18">
        <v>15.142208078179197</v>
      </c>
      <c r="I31" s="18">
        <v>427.10996753993919</v>
      </c>
      <c r="J31" s="18">
        <f>'Composition of waste'!$J31*'Composition (mass)'!$E31/100</f>
        <v>0</v>
      </c>
      <c r="K31" s="18">
        <v>41.032172535140113</v>
      </c>
      <c r="L31" s="18">
        <v>0</v>
      </c>
      <c r="M31" s="18">
        <v>6.3615079044308714E-2</v>
      </c>
      <c r="N31" s="18">
        <v>0</v>
      </c>
      <c r="O31" s="18">
        <v>0</v>
      </c>
      <c r="P31" s="18">
        <v>6.4734584737882512</v>
      </c>
      <c r="Q31" s="18">
        <v>1.0946828412069705</v>
      </c>
      <c r="R31" s="18">
        <f>'Composition of waste'!$R31*'Composition (mass)'!$E31/100</f>
        <v>0</v>
      </c>
      <c r="S31" s="18">
        <v>5.1387461459403922E-3</v>
      </c>
      <c r="T31" s="18">
        <f>'Composition of waste'!$T31*'Composition (mass)'!$E31/100</f>
        <v>0</v>
      </c>
      <c r="U31" s="18">
        <v>0.11262341651558369</v>
      </c>
      <c r="V31" s="18">
        <v>0.11556240390492442</v>
      </c>
      <c r="W31" s="18">
        <v>0</v>
      </c>
      <c r="X31" s="18">
        <v>0</v>
      </c>
      <c r="Y31" s="18">
        <v>0</v>
      </c>
      <c r="Z31" s="18">
        <v>1.3103802672148E-6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1.2846865364850981E-7</v>
      </c>
      <c r="AH31" s="18">
        <v>0</v>
      </c>
      <c r="AI31" s="18">
        <v>4.3679342240493337E-7</v>
      </c>
      <c r="AJ31" s="18">
        <v>3.2631038026721486E-4</v>
      </c>
      <c r="AK31" s="18">
        <v>1.9362102613254501E-3</v>
      </c>
      <c r="AL31" s="18">
        <v>0</v>
      </c>
      <c r="AM31" s="18">
        <v>5.9095580678314509E-7</v>
      </c>
      <c r="AN31" s="18">
        <v>0</v>
      </c>
      <c r="AO31" s="18">
        <v>0</v>
      </c>
      <c r="AP31" s="18">
        <v>3.5401341847870027E-2</v>
      </c>
      <c r="AQ31" s="18">
        <v>1.824254881808839E-4</v>
      </c>
      <c r="AR31" s="18">
        <v>0</v>
      </c>
      <c r="AS31" s="18">
        <v>2.2995889003083259E-6</v>
      </c>
      <c r="AT31" s="18">
        <v>1.2846865364850979E-6</v>
      </c>
      <c r="AU31" s="18">
        <v>0</v>
      </c>
      <c r="AV31" s="18">
        <v>0</v>
      </c>
      <c r="AW31" s="18">
        <v>0</v>
      </c>
      <c r="AX31" s="18">
        <v>1.1726676443756713E-6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2.9221566566971148E-4</v>
      </c>
      <c r="BF31" s="18">
        <v>0</v>
      </c>
      <c r="BG31" s="18">
        <v>0</v>
      </c>
      <c r="BH31" s="18">
        <v>0</v>
      </c>
      <c r="BI31" s="18">
        <v>0.38540596094552937</v>
      </c>
      <c r="BJ31" s="18">
        <v>0</v>
      </c>
      <c r="BK31" s="18">
        <f>'Composition of waste'!$BK31*$E31/100</f>
        <v>0</v>
      </c>
      <c r="BL31" s="18">
        <f>'Composition of waste'!$BL31*$E31/100</f>
        <v>0</v>
      </c>
      <c r="BM31" s="18">
        <v>0</v>
      </c>
      <c r="BN31" s="18">
        <f>'Composition of waste'!$BN31*$E31/100</f>
        <v>0</v>
      </c>
      <c r="BO31" s="18">
        <f>'Composition of waste'!$BO31*$E31/100</f>
        <v>0</v>
      </c>
      <c r="BP31" s="18">
        <f>'Composition of waste'!$BP31*$E31/100</f>
        <v>0</v>
      </c>
      <c r="BQ31" s="18">
        <v>0</v>
      </c>
      <c r="BR31" s="18">
        <f>'Composition of waste'!$BR31*$E31/100</f>
        <v>0</v>
      </c>
      <c r="BS31" s="18">
        <v>16.973696068945806</v>
      </c>
      <c r="BT31" s="18">
        <v>1.3096985412187405</v>
      </c>
      <c r="BU31" s="18">
        <v>20.889003083247694</v>
      </c>
      <c r="BV31" s="18">
        <v>18.49948612538541</v>
      </c>
      <c r="BW31" s="18">
        <v>0</v>
      </c>
      <c r="BX31" s="18">
        <v>0</v>
      </c>
      <c r="BY31" s="18">
        <v>38.540596094552946</v>
      </c>
      <c r="BZ31" s="18">
        <v>15.6020416411654</v>
      </c>
      <c r="CA31" s="18">
        <v>0</v>
      </c>
      <c r="CB31" s="19">
        <v>53.080072057923473</v>
      </c>
    </row>
    <row r="32" spans="1:80" x14ac:dyDescent="0.35">
      <c r="A32" s="17" t="s">
        <v>117</v>
      </c>
      <c r="B32" s="17" t="s">
        <v>148</v>
      </c>
      <c r="C32" s="17"/>
      <c r="D32" s="18">
        <f>'Composition of waste'!$D32*$C32/100</f>
        <v>0</v>
      </c>
      <c r="E32" s="18">
        <f>'Composition of waste'!$E32*$C32/100</f>
        <v>0</v>
      </c>
      <c r="F32" s="18">
        <f>'Composition of waste'!$F32*$E32/100</f>
        <v>0</v>
      </c>
      <c r="G32" s="18">
        <f>'Composition of waste'!$G32*$E32/100</f>
        <v>0</v>
      </c>
      <c r="H32" s="18">
        <v>15.015690665990453</v>
      </c>
      <c r="I32" s="18">
        <v>447.54687500000006</v>
      </c>
      <c r="J32" s="18">
        <f>'Composition of waste'!$J32*'Composition (mass)'!$E32/100</f>
        <v>0</v>
      </c>
      <c r="K32" s="18">
        <v>38.792273784482653</v>
      </c>
      <c r="L32" s="18">
        <v>0</v>
      </c>
      <c r="M32" s="18">
        <v>0.57499999999999996</v>
      </c>
      <c r="N32" s="18">
        <v>0</v>
      </c>
      <c r="O32" s="18">
        <v>0</v>
      </c>
      <c r="P32" s="18">
        <v>6.0480663795622442</v>
      </c>
      <c r="Q32" s="18">
        <v>3.7777777777777777</v>
      </c>
      <c r="R32" s="18">
        <f>'Composition of waste'!$R32*'Composition (mass)'!$E32/100</f>
        <v>0</v>
      </c>
      <c r="S32" s="18">
        <v>0.27777777777777779</v>
      </c>
      <c r="T32" s="18">
        <f>'Composition of waste'!$T32*'Composition (mass)'!$E32/100</f>
        <v>0</v>
      </c>
      <c r="U32" s="18">
        <v>0.70277777777777772</v>
      </c>
      <c r="V32" s="18">
        <v>0.69045509365231739</v>
      </c>
      <c r="W32" s="18">
        <v>0</v>
      </c>
      <c r="X32" s="18">
        <v>0</v>
      </c>
      <c r="Y32" s="18">
        <v>0</v>
      </c>
      <c r="Z32" s="18">
        <v>4.7222222222222214E-5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2.7777777777777779E-6</v>
      </c>
      <c r="AH32" s="18">
        <v>0</v>
      </c>
      <c r="AI32" s="18">
        <v>4.7222222222222214E-5</v>
      </c>
      <c r="AJ32" s="18">
        <v>7.7777777777777773E-4</v>
      </c>
      <c r="AK32" s="18">
        <v>6.1111111111111106E-3</v>
      </c>
      <c r="AL32" s="18">
        <v>0</v>
      </c>
      <c r="AM32" s="18">
        <v>1.0277777777777777E-5</v>
      </c>
      <c r="AN32" s="18">
        <v>0</v>
      </c>
      <c r="AO32" s="18">
        <v>0</v>
      </c>
      <c r="AP32" s="18">
        <v>0.25638888888888889</v>
      </c>
      <c r="AQ32" s="18">
        <v>2.7777777777777779E-3</v>
      </c>
      <c r="AR32" s="18">
        <v>0</v>
      </c>
      <c r="AS32" s="18">
        <v>1.6666666666666664E-5</v>
      </c>
      <c r="AT32" s="18">
        <v>8.333333333333332E-6</v>
      </c>
      <c r="AU32" s="18">
        <v>0</v>
      </c>
      <c r="AV32" s="18">
        <v>0</v>
      </c>
      <c r="AW32" s="18">
        <v>0</v>
      </c>
      <c r="AX32" s="18">
        <v>8.333333333333332E-6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3.5833333333333333E-3</v>
      </c>
      <c r="BF32" s="18">
        <v>0</v>
      </c>
      <c r="BG32" s="18">
        <v>0</v>
      </c>
      <c r="BH32" s="18">
        <v>0</v>
      </c>
      <c r="BI32" s="18">
        <v>0</v>
      </c>
      <c r="BJ32" s="18">
        <v>0</v>
      </c>
      <c r="BK32" s="18">
        <f>'Composition of waste'!$BK32*$E32/100</f>
        <v>0</v>
      </c>
      <c r="BL32" s="18">
        <f>'Composition of waste'!$BL32*$E32/100</f>
        <v>0</v>
      </c>
      <c r="BM32" s="18">
        <v>0</v>
      </c>
      <c r="BN32" s="18">
        <f>'Composition of waste'!$BN32*$E32/100</f>
        <v>0</v>
      </c>
      <c r="BO32" s="18">
        <f>'Composition of waste'!$BO32*$E32/100</f>
        <v>0</v>
      </c>
      <c r="BP32" s="18">
        <f>'Composition of waste'!$BP32*$E32/100</f>
        <v>0</v>
      </c>
      <c r="BQ32" s="18">
        <v>0</v>
      </c>
      <c r="BR32" s="18">
        <f>'Composition of waste'!$BR32*$E32/100</f>
        <v>0</v>
      </c>
      <c r="BS32" s="18">
        <v>16.476452033828053</v>
      </c>
      <c r="BT32" s="18">
        <v>1.2597981894789279</v>
      </c>
      <c r="BU32" s="18">
        <v>19.722222222222221</v>
      </c>
      <c r="BV32" s="18">
        <v>8.6111111111111107</v>
      </c>
      <c r="BW32" s="18">
        <v>0</v>
      </c>
      <c r="BX32" s="18">
        <v>0</v>
      </c>
      <c r="BY32" s="18">
        <v>28.333333333333332</v>
      </c>
      <c r="BZ32" s="18">
        <v>13.888888888888889</v>
      </c>
      <c r="CA32" s="18">
        <v>0</v>
      </c>
      <c r="CB32" s="19">
        <v>26.666666666666671</v>
      </c>
    </row>
    <row r="33" spans="1:80" x14ac:dyDescent="0.35">
      <c r="A33" s="17" t="s">
        <v>117</v>
      </c>
      <c r="B33" s="17" t="s">
        <v>149</v>
      </c>
      <c r="C33" s="17"/>
      <c r="D33" s="18">
        <f>'Composition of waste'!$D33*$C33/100</f>
        <v>0</v>
      </c>
      <c r="E33" s="18">
        <f>'Composition of waste'!$E33*$C33/100</f>
        <v>0</v>
      </c>
      <c r="F33" s="18">
        <f>'Composition of waste'!$F33*$E33/100</f>
        <v>0</v>
      </c>
      <c r="G33" s="18">
        <f>'Composition of waste'!$G33*$E33/100</f>
        <v>0</v>
      </c>
      <c r="H33" s="18">
        <v>18.046345354609848</v>
      </c>
      <c r="I33" s="18">
        <v>513.50704225352115</v>
      </c>
      <c r="J33" s="18">
        <f>'Composition of waste'!$J33*'Composition (mass)'!$E33/100</f>
        <v>0</v>
      </c>
      <c r="K33" s="18">
        <v>45.428311096477785</v>
      </c>
      <c r="L33" s="18">
        <v>0</v>
      </c>
      <c r="M33" s="18">
        <v>0.47432432432432425</v>
      </c>
      <c r="N33" s="18">
        <v>0</v>
      </c>
      <c r="O33" s="18">
        <v>0</v>
      </c>
      <c r="P33" s="18">
        <v>7.0051359327301999</v>
      </c>
      <c r="Q33" s="18">
        <v>2.3648648648648649</v>
      </c>
      <c r="R33" s="18">
        <f>'Composition of waste'!$R33*'Composition (mass)'!$E33/100</f>
        <v>0</v>
      </c>
      <c r="S33" s="18">
        <v>4.0540540540540536E-2</v>
      </c>
      <c r="T33" s="18">
        <f>'Composition of waste'!$T33*'Composition (mass)'!$E33/100</f>
        <v>0</v>
      </c>
      <c r="U33" s="18">
        <v>0.2797297297297297</v>
      </c>
      <c r="V33" s="18">
        <v>0.23992648041972417</v>
      </c>
      <c r="W33" s="18">
        <v>0</v>
      </c>
      <c r="X33" s="18">
        <v>0</v>
      </c>
      <c r="Y33" s="18">
        <v>0</v>
      </c>
      <c r="Z33" s="18">
        <v>5.4054054054054048E-7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4.7297297297297294E-7</v>
      </c>
      <c r="AH33" s="18">
        <v>0</v>
      </c>
      <c r="AI33" s="18">
        <v>2.7027027027027026E-6</v>
      </c>
      <c r="AJ33" s="18">
        <v>7.1621621621621625E-4</v>
      </c>
      <c r="AK33" s="18">
        <v>1.0810810810810811E-3</v>
      </c>
      <c r="AL33" s="18">
        <v>0</v>
      </c>
      <c r="AM33" s="18">
        <v>1.7567567567567565E-6</v>
      </c>
      <c r="AN33" s="18">
        <v>0</v>
      </c>
      <c r="AO33" s="18">
        <v>0</v>
      </c>
      <c r="AP33" s="18">
        <v>0.12162162162162164</v>
      </c>
      <c r="AQ33" s="18">
        <v>5.4054054054054055E-4</v>
      </c>
      <c r="AR33" s="18">
        <v>0</v>
      </c>
      <c r="AS33" s="18">
        <v>8.9864864864864857E-5</v>
      </c>
      <c r="AT33" s="18">
        <v>5.4054054054054052E-6</v>
      </c>
      <c r="AU33" s="18">
        <v>0</v>
      </c>
      <c r="AV33" s="18">
        <v>0</v>
      </c>
      <c r="AW33" s="18">
        <v>0</v>
      </c>
      <c r="AX33" s="18">
        <v>1.6216216216216214E-6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1.756756756756757E-3</v>
      </c>
      <c r="BF33" s="18">
        <v>0</v>
      </c>
      <c r="BG33" s="18">
        <v>0</v>
      </c>
      <c r="BH33" s="18">
        <v>0</v>
      </c>
      <c r="BI33" s="18">
        <v>5.4054054054054053</v>
      </c>
      <c r="BJ33" s="18">
        <v>0</v>
      </c>
      <c r="BK33" s="18">
        <f>'Composition of waste'!$BK33*$E33/100</f>
        <v>0</v>
      </c>
      <c r="BL33" s="18">
        <f>'Composition of waste'!$BL33*$E33/100</f>
        <v>0</v>
      </c>
      <c r="BM33" s="18">
        <v>0</v>
      </c>
      <c r="BN33" s="18">
        <f>'Composition of waste'!$BN33*$E33/100</f>
        <v>0</v>
      </c>
      <c r="BO33" s="18">
        <f>'Composition of waste'!$BO33*$E33/100</f>
        <v>0</v>
      </c>
      <c r="BP33" s="18">
        <f>'Composition of waste'!$BP33*$E33/100</f>
        <v>0</v>
      </c>
      <c r="BQ33" s="18">
        <v>0</v>
      </c>
      <c r="BR33" s="18">
        <f>'Composition of waste'!$BR33*$E33/100</f>
        <v>0</v>
      </c>
      <c r="BS33" s="18">
        <v>19.057973378378378</v>
      </c>
      <c r="BT33" s="18">
        <v>1.5158335671216217</v>
      </c>
      <c r="BU33" s="18">
        <v>18.918918918918916</v>
      </c>
      <c r="BV33" s="18">
        <v>18.918918918918916</v>
      </c>
      <c r="BW33" s="18">
        <v>0</v>
      </c>
      <c r="BX33" s="18">
        <v>0</v>
      </c>
      <c r="BY33" s="18">
        <v>43.243243243243242</v>
      </c>
      <c r="BZ33" s="18">
        <v>17.837837837837839</v>
      </c>
      <c r="CA33" s="18">
        <v>0</v>
      </c>
      <c r="CB33" s="19">
        <v>31.081081081081095</v>
      </c>
    </row>
    <row r="34" spans="1:80" x14ac:dyDescent="0.35">
      <c r="A34" s="17" t="s">
        <v>117</v>
      </c>
      <c r="B34" s="17" t="s">
        <v>150</v>
      </c>
      <c r="C34" s="17"/>
      <c r="D34" s="18">
        <f>'Composition of waste'!$D34*$C34/100</f>
        <v>0</v>
      </c>
      <c r="E34" s="18">
        <f>'Composition of waste'!$E34*$C34/100</f>
        <v>0</v>
      </c>
      <c r="F34" s="18">
        <f>'Composition of waste'!$F34*$E34/100</f>
        <v>0</v>
      </c>
      <c r="G34" s="18">
        <f>'Composition of waste'!$G34*$E34/100</f>
        <v>0</v>
      </c>
      <c r="H34" s="18">
        <v>15.020649601817412</v>
      </c>
      <c r="I34" s="18">
        <v>428.12631578947355</v>
      </c>
      <c r="J34" s="18">
        <f>'Composition of waste'!$J34*'Composition (mass)'!$E34/100</f>
        <v>0</v>
      </c>
      <c r="K34" s="18">
        <v>40.496842714333901</v>
      </c>
      <c r="L34" s="18">
        <v>0</v>
      </c>
      <c r="M34" s="18">
        <v>4.469387755102041E-2</v>
      </c>
      <c r="N34" s="18">
        <v>0</v>
      </c>
      <c r="O34" s="18">
        <v>0</v>
      </c>
      <c r="P34" s="18">
        <v>6.4799466760870033</v>
      </c>
      <c r="Q34" s="18">
        <v>1.4897959183673468</v>
      </c>
      <c r="R34" s="18">
        <f>'Composition of waste'!$R34*'Composition (mass)'!$E34/100</f>
        <v>0</v>
      </c>
      <c r="S34" s="18">
        <v>6.8367346938775511E-2</v>
      </c>
      <c r="T34" s="18">
        <f>'Composition of waste'!$T34*'Composition (mass)'!$E34/100</f>
        <v>0</v>
      </c>
      <c r="U34" s="18">
        <v>0.20204081632653062</v>
      </c>
      <c r="V34" s="18">
        <v>0.28987036001729943</v>
      </c>
      <c r="W34" s="18">
        <v>0</v>
      </c>
      <c r="X34" s="18">
        <v>0</v>
      </c>
      <c r="Y34" s="18">
        <v>0</v>
      </c>
      <c r="Z34" s="18">
        <v>3.0612244897959182E-5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1.0204081632653061E-5</v>
      </c>
      <c r="AH34" s="18">
        <v>0</v>
      </c>
      <c r="AI34" s="18">
        <v>0</v>
      </c>
      <c r="AJ34" s="18">
        <v>3.0612244897959182E-4</v>
      </c>
      <c r="AK34" s="18">
        <v>3.0612244897959182E-3</v>
      </c>
      <c r="AL34" s="18">
        <v>0</v>
      </c>
      <c r="AM34" s="18">
        <v>2.0408163265306121E-6</v>
      </c>
      <c r="AN34" s="18">
        <v>0</v>
      </c>
      <c r="AO34" s="18">
        <v>0</v>
      </c>
      <c r="AP34" s="18">
        <v>8.5714285714285715E-2</v>
      </c>
      <c r="AQ34" s="18">
        <v>3.7755102040816323E-4</v>
      </c>
      <c r="AR34" s="18">
        <v>0</v>
      </c>
      <c r="AS34" s="18">
        <v>7.142857142857142E-5</v>
      </c>
      <c r="AT34" s="18">
        <v>3.0612244897959182E-5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1.0204081632653062E-3</v>
      </c>
      <c r="BF34" s="18">
        <v>0</v>
      </c>
      <c r="BG34" s="18">
        <v>0</v>
      </c>
      <c r="BH34" s="18">
        <v>0</v>
      </c>
      <c r="BI34" s="18">
        <v>23.469387755102037</v>
      </c>
      <c r="BJ34" s="18">
        <v>0</v>
      </c>
      <c r="BK34" s="18">
        <f>'Composition of waste'!$BK34*$E34/100</f>
        <v>0</v>
      </c>
      <c r="BL34" s="18">
        <f>'Composition of waste'!$BL34*$E34/100</f>
        <v>0</v>
      </c>
      <c r="BM34" s="18">
        <v>0</v>
      </c>
      <c r="BN34" s="18">
        <f>'Composition of waste'!$BN34*$E34/100</f>
        <v>0</v>
      </c>
      <c r="BO34" s="18">
        <f>'Composition of waste'!$BO34*$E34/100</f>
        <v>0</v>
      </c>
      <c r="BP34" s="18">
        <f>'Composition of waste'!$BP34*$E34/100</f>
        <v>0</v>
      </c>
      <c r="BQ34" s="18">
        <v>0</v>
      </c>
      <c r="BR34" s="18">
        <f>'Composition of waste'!$BR34*$E34/100</f>
        <v>0</v>
      </c>
      <c r="BS34" s="18">
        <v>17.085512040816326</v>
      </c>
      <c r="BT34" s="18">
        <v>1.3207571408367347</v>
      </c>
      <c r="BU34" s="18">
        <v>35.714285714285708</v>
      </c>
      <c r="BV34" s="18">
        <v>18.367346938775508</v>
      </c>
      <c r="BW34" s="18">
        <v>0</v>
      </c>
      <c r="BX34" s="18">
        <v>0</v>
      </c>
      <c r="BY34" s="18">
        <v>77.551020408163254</v>
      </c>
      <c r="BZ34" s="18">
        <v>16.224489795918366</v>
      </c>
      <c r="CA34" s="18">
        <v>0</v>
      </c>
      <c r="CB34" s="19">
        <v>10.204081632653057</v>
      </c>
    </row>
    <row r="35" spans="1:80" x14ac:dyDescent="0.35">
      <c r="A35" s="17" t="s">
        <v>117</v>
      </c>
      <c r="B35" s="17" t="s">
        <v>151</v>
      </c>
      <c r="C35" s="17"/>
      <c r="D35" s="18">
        <f>'Composition of waste'!$D35*$C35/100</f>
        <v>0</v>
      </c>
      <c r="E35" s="18">
        <f>'Composition of waste'!$E35*$C35/100</f>
        <v>0</v>
      </c>
      <c r="F35" s="18">
        <f>'Composition of waste'!$F35*$E35/100</f>
        <v>0</v>
      </c>
      <c r="G35" s="18">
        <f>'Composition of waste'!$G35*$E35/100</f>
        <v>0</v>
      </c>
      <c r="H35" s="18">
        <v>15.725219116980378</v>
      </c>
      <c r="I35" s="18">
        <v>434.94545454545448</v>
      </c>
      <c r="J35" s="18">
        <f>'Composition of waste'!$J35*'Composition (mass)'!$E35/100</f>
        <v>0</v>
      </c>
      <c r="K35" s="18">
        <v>41.549329657134621</v>
      </c>
      <c r="L35" s="18">
        <v>0</v>
      </c>
      <c r="M35" s="18">
        <v>0.25044247787610618</v>
      </c>
      <c r="N35" s="18">
        <v>0</v>
      </c>
      <c r="O35" s="18">
        <v>0</v>
      </c>
      <c r="P35" s="18">
        <v>6.513314904814882</v>
      </c>
      <c r="Q35" s="18">
        <v>1.2831858407079644</v>
      </c>
      <c r="R35" s="18">
        <f>'Composition of waste'!$R35*'Composition (mass)'!$E35/100</f>
        <v>0</v>
      </c>
      <c r="S35" s="18">
        <v>1.7699115044247787E-2</v>
      </c>
      <c r="T35" s="18">
        <f>'Composition of waste'!$T35*'Composition (mass)'!$E35/100</f>
        <v>0</v>
      </c>
      <c r="U35" s="18">
        <v>0.17256637168141592</v>
      </c>
      <c r="V35" s="18">
        <v>0.28281599284873682</v>
      </c>
      <c r="W35" s="18">
        <v>0</v>
      </c>
      <c r="X35" s="18">
        <v>0</v>
      </c>
      <c r="Y35" s="18">
        <v>0</v>
      </c>
      <c r="Z35" s="18">
        <v>1.061946902654867E-6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2.6548672566371676E-7</v>
      </c>
      <c r="AH35" s="18">
        <v>0</v>
      </c>
      <c r="AI35" s="18">
        <v>8.8495575221238928E-7</v>
      </c>
      <c r="AJ35" s="18">
        <v>3.7168141592920358E-4</v>
      </c>
      <c r="AK35" s="18">
        <v>1.1504424778761061E-3</v>
      </c>
      <c r="AL35" s="18">
        <v>0</v>
      </c>
      <c r="AM35" s="18">
        <v>3.5398230088495575E-7</v>
      </c>
      <c r="AN35" s="18">
        <v>0</v>
      </c>
      <c r="AO35" s="18">
        <v>0</v>
      </c>
      <c r="AP35" s="18">
        <v>8.8495575221238937E-2</v>
      </c>
      <c r="AQ35" s="18">
        <v>3.1858407079646018E-4</v>
      </c>
      <c r="AR35" s="18">
        <v>0</v>
      </c>
      <c r="AS35" s="18">
        <v>2.7079646017699112E-5</v>
      </c>
      <c r="AT35" s="18">
        <v>0</v>
      </c>
      <c r="AU35" s="18">
        <v>0</v>
      </c>
      <c r="AV35" s="18">
        <v>0</v>
      </c>
      <c r="AW35" s="18">
        <v>0</v>
      </c>
      <c r="AX35" s="18">
        <v>1.9469026548672563E-6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6.1946902654867264E-4</v>
      </c>
      <c r="BF35" s="18">
        <v>0</v>
      </c>
      <c r="BG35" s="18">
        <v>0</v>
      </c>
      <c r="BH35" s="18">
        <v>0</v>
      </c>
      <c r="BI35" s="18">
        <v>17.699115044247787</v>
      </c>
      <c r="BJ35" s="18">
        <v>0</v>
      </c>
      <c r="BK35" s="18">
        <f>'Composition of waste'!$BK35*$E35/100</f>
        <v>0</v>
      </c>
      <c r="BL35" s="18">
        <f>'Composition of waste'!$BL35*$E35/100</f>
        <v>0</v>
      </c>
      <c r="BM35" s="18">
        <v>0</v>
      </c>
      <c r="BN35" s="18">
        <f>'Composition of waste'!$BN35*$E35/100</f>
        <v>0</v>
      </c>
      <c r="BO35" s="18">
        <f>'Composition of waste'!$BO35*$E35/100</f>
        <v>0</v>
      </c>
      <c r="BP35" s="18">
        <f>'Composition of waste'!$BP35*$E35/100</f>
        <v>0</v>
      </c>
      <c r="BQ35" s="18">
        <v>0</v>
      </c>
      <c r="BR35" s="18">
        <f>'Composition of waste'!$BR35*$E35/100</f>
        <v>0</v>
      </c>
      <c r="BS35" s="18">
        <v>17.208259427620266</v>
      </c>
      <c r="BT35" s="18">
        <v>1.332282698099609</v>
      </c>
      <c r="BU35" s="18">
        <v>8.8495575221238933</v>
      </c>
      <c r="BV35" s="18">
        <v>17.699115044247787</v>
      </c>
      <c r="BW35" s="18">
        <v>0</v>
      </c>
      <c r="BX35" s="18">
        <v>0</v>
      </c>
      <c r="BY35" s="18">
        <v>44.247787610619469</v>
      </c>
      <c r="BZ35" s="18">
        <v>15.929203539823007</v>
      </c>
      <c r="CA35" s="18">
        <v>0</v>
      </c>
      <c r="CB35" s="19">
        <v>41.327433628318573</v>
      </c>
    </row>
    <row r="36" spans="1:80" x14ac:dyDescent="0.35">
      <c r="A36" s="17" t="s">
        <v>117</v>
      </c>
      <c r="B36" s="17" t="s">
        <v>152</v>
      </c>
      <c r="C36" s="17"/>
      <c r="D36" s="18">
        <f>'Composition of waste'!$D36*$C36/100</f>
        <v>0</v>
      </c>
      <c r="E36" s="18">
        <f>'Composition of waste'!$E36*$C36/100</f>
        <v>0</v>
      </c>
      <c r="F36" s="18">
        <f>'Composition of waste'!$F36*$E36/100</f>
        <v>0</v>
      </c>
      <c r="G36" s="18">
        <f>'Composition of waste'!$G36*$E36/100</f>
        <v>0</v>
      </c>
      <c r="H36" s="18">
        <v>15.725596012985743</v>
      </c>
      <c r="I36" s="18">
        <v>450.91025641025641</v>
      </c>
      <c r="J36" s="18">
        <f>'Composition of waste'!$J36*'Composition (mass)'!$E36/100</f>
        <v>0</v>
      </c>
      <c r="K36" s="18">
        <v>41.60534419255341</v>
      </c>
      <c r="L36" s="18">
        <v>0</v>
      </c>
      <c r="M36" s="18">
        <v>0.19447852760736195</v>
      </c>
      <c r="N36" s="18">
        <v>0</v>
      </c>
      <c r="O36" s="18">
        <v>0</v>
      </c>
      <c r="P36" s="18">
        <v>6.5287341470715088</v>
      </c>
      <c r="Q36" s="18">
        <v>1.6564417177914113</v>
      </c>
      <c r="R36" s="18">
        <f>'Composition of waste'!$R36*'Composition (mass)'!$E36/100</f>
        <v>0</v>
      </c>
      <c r="S36" s="18">
        <v>1.6871165644171779E-2</v>
      </c>
      <c r="T36" s="18">
        <f>'Composition of waste'!$T36*'Composition (mass)'!$E36/100</f>
        <v>0</v>
      </c>
      <c r="U36" s="18">
        <v>0.20122699386503065</v>
      </c>
      <c r="V36" s="18">
        <v>0.21784735645471889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4.1717791411042947E-7</v>
      </c>
      <c r="AH36" s="18">
        <v>0</v>
      </c>
      <c r="AI36" s="18">
        <v>0</v>
      </c>
      <c r="AJ36" s="18">
        <v>0</v>
      </c>
      <c r="AK36" s="18">
        <v>1.656441717791411E-3</v>
      </c>
      <c r="AL36" s="18">
        <v>0</v>
      </c>
      <c r="AM36" s="18">
        <v>0</v>
      </c>
      <c r="AN36" s="18">
        <v>0</v>
      </c>
      <c r="AO36" s="18">
        <v>0</v>
      </c>
      <c r="AP36" s="18">
        <v>8.0981595092024544E-2</v>
      </c>
      <c r="AQ36" s="18">
        <v>0</v>
      </c>
      <c r="AR36" s="18">
        <v>0</v>
      </c>
      <c r="AS36" s="18">
        <v>1.9631901840490797E-5</v>
      </c>
      <c r="AT36" s="18">
        <v>1.2269938650306748E-6</v>
      </c>
      <c r="AU36" s="18">
        <v>0</v>
      </c>
      <c r="AV36" s="18">
        <v>0</v>
      </c>
      <c r="AW36" s="18">
        <v>0</v>
      </c>
      <c r="AX36" s="18">
        <v>1.840490797546012E-6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1.8098159509202455E-3</v>
      </c>
      <c r="BF36" s="18">
        <v>0</v>
      </c>
      <c r="BG36" s="18">
        <v>0</v>
      </c>
      <c r="BH36" s="18">
        <v>0</v>
      </c>
      <c r="BI36" s="18">
        <v>1.7975460122699385</v>
      </c>
      <c r="BJ36" s="18">
        <v>0</v>
      </c>
      <c r="BK36" s="18">
        <f>'Composition of waste'!$BK36*$E36/100</f>
        <v>0</v>
      </c>
      <c r="BL36" s="18">
        <f>'Composition of waste'!$BL36*$E36/100</f>
        <v>0</v>
      </c>
      <c r="BM36" s="18">
        <v>0</v>
      </c>
      <c r="BN36" s="18">
        <f>'Composition of waste'!$BN36*$E36/100</f>
        <v>0</v>
      </c>
      <c r="BO36" s="18">
        <f>'Composition of waste'!$BO36*$E36/100</f>
        <v>0</v>
      </c>
      <c r="BP36" s="18">
        <f>'Composition of waste'!$BP36*$E36/100</f>
        <v>0</v>
      </c>
      <c r="BQ36" s="18">
        <v>0</v>
      </c>
      <c r="BR36" s="18">
        <f>'Composition of waste'!$BR36*$E36/100</f>
        <v>0</v>
      </c>
      <c r="BS36" s="18">
        <v>17.368889386503067</v>
      </c>
      <c r="BT36" s="18">
        <v>1.3487831603251534</v>
      </c>
      <c r="BU36" s="18">
        <v>20.736196319018404</v>
      </c>
      <c r="BV36" s="18">
        <v>18.711656441717789</v>
      </c>
      <c r="BW36" s="18">
        <v>0</v>
      </c>
      <c r="BX36" s="18">
        <v>0</v>
      </c>
      <c r="BY36" s="18">
        <v>41.226993865030671</v>
      </c>
      <c r="BZ36" s="18">
        <v>15.889570552147239</v>
      </c>
      <c r="CA36" s="18">
        <v>0</v>
      </c>
      <c r="CB36" s="19">
        <v>43.417177914110425</v>
      </c>
    </row>
    <row r="37" spans="1:80" x14ac:dyDescent="0.35">
      <c r="A37" s="17" t="s">
        <v>117</v>
      </c>
      <c r="B37" s="17" t="s">
        <v>153</v>
      </c>
      <c r="C37" s="17"/>
      <c r="D37" s="18">
        <f>'Composition of waste'!$D37*$C37/100</f>
        <v>0</v>
      </c>
      <c r="E37" s="18">
        <f>'Composition of waste'!$E37*$C37/100</f>
        <v>0</v>
      </c>
      <c r="F37" s="18">
        <f>'Composition of waste'!$F37*$E37/100</f>
        <v>0</v>
      </c>
      <c r="G37" s="18">
        <f>'Composition of waste'!$G37*$E37/100</f>
        <v>0</v>
      </c>
      <c r="H37" s="18">
        <v>16.568721997546856</v>
      </c>
      <c r="I37" s="18">
        <v>441.76315789473676</v>
      </c>
      <c r="J37" s="18">
        <f>'Composition of waste'!$J37*'Composition (mass)'!$E37/100</f>
        <v>0</v>
      </c>
      <c r="K37" s="18">
        <v>40.540769333619728</v>
      </c>
      <c r="L37" s="18">
        <v>0</v>
      </c>
      <c r="M37" s="18">
        <v>0.20606060606060606</v>
      </c>
      <c r="N37" s="18">
        <v>0</v>
      </c>
      <c r="O37" s="18">
        <v>0</v>
      </c>
      <c r="P37" s="18">
        <v>6.5991927267936559</v>
      </c>
      <c r="Q37" s="18">
        <v>1.8888888888888888</v>
      </c>
      <c r="R37" s="18">
        <f>'Composition of waste'!$R37*'Composition (mass)'!$E37/100</f>
        <v>0</v>
      </c>
      <c r="S37" s="18">
        <v>4.0404040404040401E-2</v>
      </c>
      <c r="T37" s="18">
        <f>'Composition of waste'!$T37*'Composition (mass)'!$E37/100</f>
        <v>0</v>
      </c>
      <c r="U37" s="18">
        <v>0.22929292929292927</v>
      </c>
      <c r="V37" s="18">
        <v>0.25107457950993356</v>
      </c>
      <c r="W37" s="18">
        <v>0</v>
      </c>
      <c r="X37" s="18">
        <v>0</v>
      </c>
      <c r="Y37" s="18">
        <v>0</v>
      </c>
      <c r="Z37" s="18">
        <v>3.2323232323232324E-6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6.575757575757575E-6</v>
      </c>
      <c r="AH37" s="18">
        <v>0</v>
      </c>
      <c r="AI37" s="18">
        <v>3.0303030303030296E-6</v>
      </c>
      <c r="AJ37" s="18">
        <v>3.9393939393939391E-4</v>
      </c>
      <c r="AK37" s="18">
        <v>2.7272727272727275E-3</v>
      </c>
      <c r="AL37" s="18">
        <v>0</v>
      </c>
      <c r="AM37" s="18">
        <v>4.0404040404040405E-7</v>
      </c>
      <c r="AN37" s="18">
        <v>0</v>
      </c>
      <c r="AO37" s="18">
        <v>0</v>
      </c>
      <c r="AP37" s="18">
        <v>0.12525252525252525</v>
      </c>
      <c r="AQ37" s="18">
        <v>4.3434343434343436E-3</v>
      </c>
      <c r="AR37" s="18">
        <v>0</v>
      </c>
      <c r="AS37" s="18">
        <v>3.7979797979797979E-5</v>
      </c>
      <c r="AT37" s="18">
        <v>3.0303030303030296E-6</v>
      </c>
      <c r="AU37" s="18">
        <v>0</v>
      </c>
      <c r="AV37" s="18">
        <v>0</v>
      </c>
      <c r="AW37" s="18">
        <v>0</v>
      </c>
      <c r="AX37" s="18">
        <v>2.0202020202020202E-6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1.0101010101010101E-3</v>
      </c>
      <c r="BF37" s="18">
        <v>0</v>
      </c>
      <c r="BG37" s="18">
        <v>0</v>
      </c>
      <c r="BH37" s="18">
        <v>0</v>
      </c>
      <c r="BI37" s="18">
        <v>0.80808080808080807</v>
      </c>
      <c r="BJ37" s="18">
        <v>0</v>
      </c>
      <c r="BK37" s="18">
        <f>'Composition of waste'!$BK37*$E37/100</f>
        <v>0</v>
      </c>
      <c r="BL37" s="18">
        <f>'Composition of waste'!$BL37*$E37/100</f>
        <v>0</v>
      </c>
      <c r="BM37" s="18">
        <v>0</v>
      </c>
      <c r="BN37" s="18">
        <f>'Composition of waste'!$BN37*$E37/100</f>
        <v>0</v>
      </c>
      <c r="BO37" s="18">
        <f>'Composition of waste'!$BO37*$E37/100</f>
        <v>0</v>
      </c>
      <c r="BP37" s="18">
        <f>'Composition of waste'!$BP37*$E37/100</f>
        <v>0</v>
      </c>
      <c r="BQ37" s="18">
        <v>0</v>
      </c>
      <c r="BR37" s="18">
        <f>'Composition of waste'!$BR37*$E37/100</f>
        <v>0</v>
      </c>
      <c r="BS37" s="18">
        <v>16.601528689267177</v>
      </c>
      <c r="BT37" s="18">
        <v>1.2694737631260995</v>
      </c>
      <c r="BU37" s="18">
        <v>24.141414141414142</v>
      </c>
      <c r="BV37" s="18">
        <v>21.212121212121211</v>
      </c>
      <c r="BW37" s="18">
        <v>0</v>
      </c>
      <c r="BX37" s="18">
        <v>0</v>
      </c>
      <c r="BY37" s="18">
        <v>46.161616161616166</v>
      </c>
      <c r="BZ37" s="18">
        <v>16.060606060606059</v>
      </c>
      <c r="CA37" s="18">
        <v>0</v>
      </c>
      <c r="CB37" s="19">
        <v>26.767676767676761</v>
      </c>
    </row>
    <row r="38" spans="1:80" x14ac:dyDescent="0.35">
      <c r="A38" s="17" t="s">
        <v>117</v>
      </c>
      <c r="B38" s="17" t="s">
        <v>154</v>
      </c>
      <c r="C38" s="17"/>
      <c r="D38" s="18">
        <f>'Composition of waste'!$D38*$C38/100</f>
        <v>0</v>
      </c>
      <c r="E38" s="18">
        <f>'Composition of waste'!$E38*$C38/100</f>
        <v>0</v>
      </c>
      <c r="F38" s="18">
        <f>'Composition of waste'!$F38*$E38/100</f>
        <v>0</v>
      </c>
      <c r="G38" s="18">
        <f>'Composition of waste'!$G38*$E38/100</f>
        <v>0</v>
      </c>
      <c r="H38" s="18">
        <v>15.927235177514511</v>
      </c>
      <c r="I38" s="18">
        <v>448.4595959595959</v>
      </c>
      <c r="J38" s="18">
        <f>'Composition of waste'!$J38*'Composition (mass)'!$E38/100</f>
        <v>0</v>
      </c>
      <c r="K38" s="18">
        <v>40.765333393081953</v>
      </c>
      <c r="L38" s="18">
        <v>0</v>
      </c>
      <c r="M38" s="18">
        <v>0.39532710280373834</v>
      </c>
      <c r="N38" s="18">
        <v>0</v>
      </c>
      <c r="O38" s="18">
        <v>0</v>
      </c>
      <c r="P38" s="18">
        <v>6.2648548881586521</v>
      </c>
      <c r="Q38" s="18">
        <v>2.2056074766355143</v>
      </c>
      <c r="R38" s="18">
        <f>'Composition of waste'!$R38*'Composition (mass)'!$E38/100</f>
        <v>0</v>
      </c>
      <c r="S38" s="18">
        <v>8.411214953271029E-2</v>
      </c>
      <c r="T38" s="18">
        <f>'Composition of waste'!$T38*'Composition (mass)'!$E38/100</f>
        <v>0</v>
      </c>
      <c r="U38" s="18">
        <v>0.42616822429906548</v>
      </c>
      <c r="V38" s="18">
        <v>0.6305357597572564</v>
      </c>
      <c r="W38" s="18">
        <v>0</v>
      </c>
      <c r="X38" s="18">
        <v>0</v>
      </c>
      <c r="Y38" s="18">
        <v>0</v>
      </c>
      <c r="Z38" s="18">
        <v>1.4018691588785047E-6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2.3457943925233643E-5</v>
      </c>
      <c r="AH38" s="18">
        <v>0</v>
      </c>
      <c r="AI38" s="18">
        <v>7.4766355140186919E-6</v>
      </c>
      <c r="AJ38" s="18">
        <v>4.9532710280373834E-4</v>
      </c>
      <c r="AK38" s="18">
        <v>8.41121495327103E-3</v>
      </c>
      <c r="AL38" s="18">
        <v>0</v>
      </c>
      <c r="AM38" s="18">
        <v>1.5887850467289721E-6</v>
      </c>
      <c r="AN38" s="18">
        <v>0</v>
      </c>
      <c r="AO38" s="18">
        <v>0</v>
      </c>
      <c r="AP38" s="18">
        <v>9.3457943925233655E-2</v>
      </c>
      <c r="AQ38" s="18">
        <v>1.7757009345794395E-3</v>
      </c>
      <c r="AR38" s="18">
        <v>9.3457943925233641E-5</v>
      </c>
      <c r="AS38" s="18">
        <v>2.9906542056074768E-5</v>
      </c>
      <c r="AT38" s="18">
        <v>7.6355140186915878E-6</v>
      </c>
      <c r="AU38" s="18">
        <v>0</v>
      </c>
      <c r="AV38" s="18">
        <v>0</v>
      </c>
      <c r="AW38" s="18">
        <v>0</v>
      </c>
      <c r="AX38" s="18">
        <v>5.2149532710280373E-6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2.7102803738317757E-3</v>
      </c>
      <c r="BF38" s="18">
        <v>0</v>
      </c>
      <c r="BG38" s="18">
        <v>0</v>
      </c>
      <c r="BH38" s="18">
        <v>0</v>
      </c>
      <c r="BI38" s="18">
        <v>2.429906542056075</v>
      </c>
      <c r="BJ38" s="18">
        <v>0.93457943925233655</v>
      </c>
      <c r="BK38" s="18">
        <f>'Composition of waste'!$BK38*$E38/100</f>
        <v>0</v>
      </c>
      <c r="BL38" s="18">
        <f>'Composition of waste'!$BL38*$E38/100</f>
        <v>0</v>
      </c>
      <c r="BM38" s="18">
        <v>0</v>
      </c>
      <c r="BN38" s="18">
        <f>'Composition of waste'!$BN38*$E38/100</f>
        <v>0</v>
      </c>
      <c r="BO38" s="18">
        <f>'Composition of waste'!$BO38*$E38/100</f>
        <v>0</v>
      </c>
      <c r="BP38" s="18">
        <f>'Composition of waste'!$BP38*$E38/100</f>
        <v>0</v>
      </c>
      <c r="BQ38" s="18">
        <v>0</v>
      </c>
      <c r="BR38" s="18">
        <f>'Composition of waste'!$BR38*$E38/100</f>
        <v>0</v>
      </c>
      <c r="BS38" s="18">
        <v>17.002908793626709</v>
      </c>
      <c r="BT38" s="18">
        <v>1.3113715581943546</v>
      </c>
      <c r="BU38" s="18">
        <v>5.9813084112149539</v>
      </c>
      <c r="BV38" s="18">
        <v>3.7383177570093462</v>
      </c>
      <c r="BW38" s="18">
        <v>0</v>
      </c>
      <c r="BX38" s="18">
        <v>0</v>
      </c>
      <c r="BY38" s="18">
        <v>12.149532710280376</v>
      </c>
      <c r="BZ38" s="18">
        <v>14.672897196261683</v>
      </c>
      <c r="CA38" s="18">
        <v>0</v>
      </c>
      <c r="CB38" s="19">
        <v>45.514018691588774</v>
      </c>
    </row>
    <row r="39" spans="1:80" x14ac:dyDescent="0.35">
      <c r="A39" s="17" t="s">
        <v>117</v>
      </c>
      <c r="B39" s="17" t="s">
        <v>155</v>
      </c>
      <c r="C39" s="17"/>
      <c r="D39" s="18">
        <f>'Composition of waste'!$D39*$C39/100</f>
        <v>0</v>
      </c>
      <c r="E39" s="18">
        <f>'Composition of waste'!$E39*$C39/100</f>
        <v>0</v>
      </c>
      <c r="F39" s="18">
        <f>'Composition of waste'!$F39*$E39/100</f>
        <v>0</v>
      </c>
      <c r="G39" s="18">
        <f>'Composition of waste'!$G39*$E39/100</f>
        <v>0</v>
      </c>
      <c r="H39" s="18">
        <v>23.431862897586626</v>
      </c>
      <c r="I39" s="18">
        <v>689</v>
      </c>
      <c r="J39" s="18">
        <f>'Composition of waste'!$J39*'Composition (mass)'!$E39/100</f>
        <v>0</v>
      </c>
      <c r="K39" s="18">
        <v>53.758359495640526</v>
      </c>
      <c r="L39" s="18">
        <v>0</v>
      </c>
      <c r="M39" s="18">
        <v>3.7812499999999999E-2</v>
      </c>
      <c r="N39" s="18">
        <v>0</v>
      </c>
      <c r="O39" s="18">
        <v>0</v>
      </c>
      <c r="P39" s="18">
        <v>7.8125035665328202</v>
      </c>
      <c r="Q39" s="18">
        <v>1.40625</v>
      </c>
      <c r="R39" s="18">
        <f>'Composition of waste'!$R39*'Composition (mass)'!$E39/100</f>
        <v>0</v>
      </c>
      <c r="S39" s="18">
        <v>1.8749999999999999E-2</v>
      </c>
      <c r="T39" s="18">
        <f>'Composition of waste'!$T39*'Composition (mass)'!$E39/100</f>
        <v>0</v>
      </c>
      <c r="U39" s="18">
        <v>0.14531250000000001</v>
      </c>
      <c r="V39" s="18">
        <v>0.21083539466883264</v>
      </c>
      <c r="W39" s="18">
        <v>0</v>
      </c>
      <c r="X39" s="18">
        <v>0</v>
      </c>
      <c r="Y39" s="18">
        <v>0</v>
      </c>
      <c r="Z39" s="18">
        <v>4.9999999999999998E-7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1.21875E-6</v>
      </c>
      <c r="AH39" s="18">
        <v>0</v>
      </c>
      <c r="AI39" s="18">
        <v>2.1874999999999998E-6</v>
      </c>
      <c r="AJ39" s="18">
        <v>5.9374999999999999E-4</v>
      </c>
      <c r="AK39" s="18">
        <v>1.25E-3</v>
      </c>
      <c r="AL39" s="18">
        <v>0</v>
      </c>
      <c r="AM39" s="18">
        <v>3.1249999999999997E-6</v>
      </c>
      <c r="AN39" s="18">
        <v>0</v>
      </c>
      <c r="AO39" s="18">
        <v>0</v>
      </c>
      <c r="AP39" s="18">
        <v>7.8125E-2</v>
      </c>
      <c r="AQ39" s="18">
        <v>4.4374999999999992E-4</v>
      </c>
      <c r="AR39" s="18">
        <v>0</v>
      </c>
      <c r="AS39" s="18">
        <v>1.8656250000000001E-4</v>
      </c>
      <c r="AT39" s="18">
        <v>3.0218750000000002E-6</v>
      </c>
      <c r="AU39" s="18">
        <v>0</v>
      </c>
      <c r="AV39" s="18">
        <v>0</v>
      </c>
      <c r="AW39" s="18">
        <v>0</v>
      </c>
      <c r="AX39" s="18">
        <v>2.4999999999999998E-6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2E-3</v>
      </c>
      <c r="BF39" s="18">
        <v>0</v>
      </c>
      <c r="BG39" s="18">
        <v>0</v>
      </c>
      <c r="BH39" s="18">
        <v>0</v>
      </c>
      <c r="BI39" s="18">
        <v>0.3125</v>
      </c>
      <c r="BJ39" s="18">
        <v>0.15625</v>
      </c>
      <c r="BK39" s="18">
        <f>'Composition of waste'!$BK39*$E39/100</f>
        <v>0</v>
      </c>
      <c r="BL39" s="18">
        <f>'Composition of waste'!$BL39*$E39/100</f>
        <v>0</v>
      </c>
      <c r="BM39" s="18">
        <v>0</v>
      </c>
      <c r="BN39" s="18">
        <f>'Composition of waste'!$BN39*$E39/100</f>
        <v>0</v>
      </c>
      <c r="BO39" s="18">
        <f>'Composition of waste'!$BO39*$E39/100</f>
        <v>0</v>
      </c>
      <c r="BP39" s="18">
        <f>'Composition of waste'!$BP39*$E39/100</f>
        <v>0</v>
      </c>
      <c r="BQ39" s="18">
        <v>0</v>
      </c>
      <c r="BR39" s="18">
        <f>'Composition of waste'!$BR39*$E39/100</f>
        <v>0</v>
      </c>
      <c r="BS39" s="18">
        <v>22.40172046875</v>
      </c>
      <c r="BT39" s="18">
        <v>1.8465301543593748</v>
      </c>
      <c r="BU39" s="18">
        <v>0.625</v>
      </c>
      <c r="BV39" s="18">
        <v>0.3125</v>
      </c>
      <c r="BW39" s="18">
        <v>0</v>
      </c>
      <c r="BX39" s="18">
        <v>0</v>
      </c>
      <c r="BY39" s="18">
        <v>1.25</v>
      </c>
      <c r="BZ39" s="18">
        <v>22.21875</v>
      </c>
      <c r="CA39" s="18">
        <v>0</v>
      </c>
      <c r="CB39" s="19">
        <v>42.96875</v>
      </c>
    </row>
    <row r="40" spans="1:80" x14ac:dyDescent="0.35">
      <c r="A40" s="17" t="s">
        <v>117</v>
      </c>
      <c r="B40" s="17" t="s">
        <v>156</v>
      </c>
      <c r="C40" s="17"/>
      <c r="D40" s="18">
        <f>'Composition of waste'!$D40*$C40/100</f>
        <v>0</v>
      </c>
      <c r="E40" s="18">
        <f>'Composition of waste'!$E40*$C40/100</f>
        <v>0</v>
      </c>
      <c r="F40" s="18">
        <f>'Composition of waste'!$F40*$E40/100</f>
        <v>0</v>
      </c>
      <c r="G40" s="18">
        <f>'Composition of waste'!$G40*$E40/100</f>
        <v>0</v>
      </c>
      <c r="H40" s="18">
        <v>15.419122358146494</v>
      </c>
      <c r="I40" s="18">
        <v>442.14285714285711</v>
      </c>
      <c r="J40" s="18">
        <f>'Composition of waste'!$J40*'Composition (mass)'!$E40/100</f>
        <v>0</v>
      </c>
      <c r="K40" s="18">
        <v>41.083149589309741</v>
      </c>
      <c r="L40" s="18">
        <v>0</v>
      </c>
      <c r="M40" s="18">
        <v>0.12678571428571428</v>
      </c>
      <c r="N40" s="18">
        <v>0</v>
      </c>
      <c r="O40" s="18">
        <v>0</v>
      </c>
      <c r="P40" s="18">
        <v>6.2535558850207869</v>
      </c>
      <c r="Q40" s="18">
        <v>2.3125000000000004</v>
      </c>
      <c r="R40" s="18">
        <f>'Composition of waste'!$R40*'Composition (mass)'!$E40/100</f>
        <v>0</v>
      </c>
      <c r="S40" s="18">
        <v>8.9285714285714298E-3</v>
      </c>
      <c r="T40" s="18">
        <f>'Composition of waste'!$T40*'Composition (mass)'!$E40/100</f>
        <v>0</v>
      </c>
      <c r="U40" s="18">
        <v>0.19553571428571428</v>
      </c>
      <c r="V40" s="18">
        <v>0.41215941814959772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6.9642857142857147E-4</v>
      </c>
      <c r="AK40" s="18">
        <v>3.4821428571428581E-3</v>
      </c>
      <c r="AL40" s="18">
        <v>0</v>
      </c>
      <c r="AM40" s="18">
        <v>0</v>
      </c>
      <c r="AN40" s="18">
        <v>0</v>
      </c>
      <c r="AO40" s="18">
        <v>0</v>
      </c>
      <c r="AP40" s="18">
        <v>8.9285714285714288E-2</v>
      </c>
      <c r="AQ40" s="18">
        <v>6.8750000000000007E-4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1.7857142857142859E-3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f>'Composition of waste'!$BK40*$E40/100</f>
        <v>0</v>
      </c>
      <c r="BL40" s="18">
        <f>'Composition of waste'!$BL40*$E40/100</f>
        <v>0</v>
      </c>
      <c r="BM40" s="18">
        <v>0</v>
      </c>
      <c r="BN40" s="18">
        <f>'Composition of waste'!$BN40*$E40/100</f>
        <v>0</v>
      </c>
      <c r="BO40" s="18">
        <f>'Composition of waste'!$BO40*$E40/100</f>
        <v>0</v>
      </c>
      <c r="BP40" s="18">
        <f>'Composition of waste'!$BP40*$E40/100</f>
        <v>0</v>
      </c>
      <c r="BQ40" s="18">
        <v>0</v>
      </c>
      <c r="BR40" s="18">
        <f>'Composition of waste'!$BR40*$E40/100</f>
        <v>0</v>
      </c>
      <c r="BS40" s="18">
        <v>17.023715803571431</v>
      </c>
      <c r="BT40" s="18">
        <v>1.3146454929732145</v>
      </c>
      <c r="BU40" s="18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15.178571428571429</v>
      </c>
      <c r="CA40" s="18">
        <v>0</v>
      </c>
      <c r="CB40" s="19">
        <v>79.464285714285708</v>
      </c>
    </row>
    <row r="41" spans="1:80" x14ac:dyDescent="0.35">
      <c r="A41" s="17" t="s">
        <v>117</v>
      </c>
      <c r="B41" s="17" t="s">
        <v>157</v>
      </c>
      <c r="C41" s="17"/>
      <c r="D41" s="18">
        <f>'Composition of waste'!$D41*$C41/100</f>
        <v>0</v>
      </c>
      <c r="E41" s="18">
        <f>'Composition of waste'!$E41*$C41/100</f>
        <v>0</v>
      </c>
      <c r="F41" s="18">
        <f>'Composition of waste'!$F41*$E41/100</f>
        <v>0</v>
      </c>
      <c r="G41" s="18">
        <f>'Composition of waste'!$G41*$E41/100</f>
        <v>0</v>
      </c>
      <c r="H41" s="18">
        <v>15.267222615199028</v>
      </c>
      <c r="I41" s="18">
        <v>420.57480314960628</v>
      </c>
      <c r="J41" s="18">
        <f>'Composition of waste'!$J41*'Composition (mass)'!$E41/100</f>
        <v>0</v>
      </c>
      <c r="K41" s="18">
        <v>39.052269826217199</v>
      </c>
      <c r="L41" s="18">
        <v>0</v>
      </c>
      <c r="M41" s="18">
        <v>6.4436090225563916E-2</v>
      </c>
      <c r="N41" s="18">
        <v>0</v>
      </c>
      <c r="O41" s="18">
        <v>0</v>
      </c>
      <c r="P41" s="18">
        <v>6.3936009974889565</v>
      </c>
      <c r="Q41" s="18">
        <v>1.0526315789473684</v>
      </c>
      <c r="R41" s="18">
        <f>'Composition of waste'!$R41*'Composition (mass)'!$E41/100</f>
        <v>0</v>
      </c>
      <c r="S41" s="18">
        <v>2.2556390977443608E-2</v>
      </c>
      <c r="T41" s="18">
        <f>'Composition of waste'!$T41*'Composition (mass)'!$E41/100</f>
        <v>0</v>
      </c>
      <c r="U41" s="18">
        <v>0.14736842105263159</v>
      </c>
      <c r="V41" s="18">
        <v>0.13349292895533527</v>
      </c>
      <c r="W41" s="18">
        <v>0</v>
      </c>
      <c r="X41" s="18">
        <v>0</v>
      </c>
      <c r="Y41" s="18">
        <v>0</v>
      </c>
      <c r="Z41" s="18">
        <v>1.5037593984962406E-7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5.2631578947368416E-7</v>
      </c>
      <c r="AH41" s="18">
        <v>0</v>
      </c>
      <c r="AI41" s="18">
        <v>2.2556390977443606E-6</v>
      </c>
      <c r="AJ41" s="18">
        <v>4.7368421052631577E-4</v>
      </c>
      <c r="AK41" s="18">
        <v>1.0526315789473684E-3</v>
      </c>
      <c r="AL41" s="18">
        <v>0</v>
      </c>
      <c r="AM41" s="18">
        <v>3.0075187969924812E-7</v>
      </c>
      <c r="AN41" s="18">
        <v>0</v>
      </c>
      <c r="AO41" s="18">
        <v>0</v>
      </c>
      <c r="AP41" s="18">
        <v>3.7593984962406013E-2</v>
      </c>
      <c r="AQ41" s="18">
        <v>7.5187969924812024E-4</v>
      </c>
      <c r="AR41" s="18">
        <v>0</v>
      </c>
      <c r="AS41" s="18">
        <v>5.0150375939849617E-5</v>
      </c>
      <c r="AT41" s="18">
        <v>3.759398496240601E-6</v>
      </c>
      <c r="AU41" s="18">
        <v>0</v>
      </c>
      <c r="AV41" s="18">
        <v>0</v>
      </c>
      <c r="AW41" s="18">
        <v>0</v>
      </c>
      <c r="AX41" s="18">
        <v>8.5714285714285713E-7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6.8421052631578944E-4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f>'Composition of waste'!$BK41*$E41/100</f>
        <v>0</v>
      </c>
      <c r="BL41" s="18">
        <f>'Composition of waste'!$BL41*$E41/100</f>
        <v>0</v>
      </c>
      <c r="BM41" s="18">
        <v>0</v>
      </c>
      <c r="BN41" s="18">
        <f>'Composition of waste'!$BN41*$E41/100</f>
        <v>0</v>
      </c>
      <c r="BO41" s="18">
        <f>'Composition of waste'!$BO41*$E41/100</f>
        <v>0</v>
      </c>
      <c r="BP41" s="18">
        <f>'Composition of waste'!$BP41*$E41/100</f>
        <v>0</v>
      </c>
      <c r="BQ41" s="18">
        <v>0</v>
      </c>
      <c r="BR41" s="18">
        <f>'Composition of waste'!$BR41*$E41/100</f>
        <v>0</v>
      </c>
      <c r="BS41" s="18">
        <v>15.985191309173526</v>
      </c>
      <c r="BT41" s="18">
        <v>1.2095873001765101</v>
      </c>
      <c r="BU41" s="18">
        <v>21.127819548872179</v>
      </c>
      <c r="BV41" s="18">
        <v>32.481203007518801</v>
      </c>
      <c r="BW41" s="18">
        <v>0</v>
      </c>
      <c r="BX41" s="18">
        <v>0</v>
      </c>
      <c r="BY41" s="18">
        <v>53.609022556390975</v>
      </c>
      <c r="BZ41" s="18">
        <v>15.563909774436091</v>
      </c>
      <c r="CA41" s="18">
        <v>0</v>
      </c>
      <c r="CB41" s="19">
        <v>29.924812030075174</v>
      </c>
    </row>
    <row r="42" spans="1:80" x14ac:dyDescent="0.35">
      <c r="A42" s="17" t="s">
        <v>117</v>
      </c>
      <c r="B42" s="17" t="s">
        <v>158</v>
      </c>
      <c r="C42" s="17"/>
      <c r="D42" s="18">
        <f>'Composition of waste'!$D42*$C42/100</f>
        <v>0</v>
      </c>
      <c r="E42" s="18">
        <f>'Composition of waste'!$E42*$C42/100</f>
        <v>0</v>
      </c>
      <c r="F42" s="18">
        <f>'Composition of waste'!$F42*$E42/100</f>
        <v>0</v>
      </c>
      <c r="G42" s="18">
        <f>'Composition of waste'!$G42*$E42/100</f>
        <v>0</v>
      </c>
      <c r="H42" s="18">
        <v>15.438517388497985</v>
      </c>
      <c r="I42" s="18">
        <v>437.92857142857133</v>
      </c>
      <c r="J42" s="18">
        <f>'Composition of waste'!$J42*'Composition (mass)'!$E42/100</f>
        <v>0</v>
      </c>
      <c r="K42" s="18">
        <v>41.088304180992537</v>
      </c>
      <c r="L42" s="18">
        <v>0</v>
      </c>
      <c r="M42" s="18">
        <v>0.19929078014184401</v>
      </c>
      <c r="N42" s="18">
        <v>0</v>
      </c>
      <c r="O42" s="18">
        <v>0</v>
      </c>
      <c r="P42" s="18">
        <v>6.2653045036397064</v>
      </c>
      <c r="Q42" s="18">
        <v>2.3404255319148937</v>
      </c>
      <c r="R42" s="18">
        <f>'Composition of waste'!$R42*'Composition (mass)'!$E42/100</f>
        <v>0</v>
      </c>
      <c r="S42" s="18">
        <v>0.30496453900709225</v>
      </c>
      <c r="T42" s="18">
        <f>'Composition of waste'!$T42*'Composition (mass)'!$E42/100</f>
        <v>0</v>
      </c>
      <c r="U42" s="18">
        <v>0.25673758865248231</v>
      </c>
      <c r="V42" s="18">
        <v>0.4281241310184582</v>
      </c>
      <c r="W42" s="18">
        <v>0</v>
      </c>
      <c r="X42" s="18">
        <v>0</v>
      </c>
      <c r="Y42" s="18">
        <v>0</v>
      </c>
      <c r="Z42" s="18">
        <v>1.6312056737588652E-6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2.7872340425531914E-5</v>
      </c>
      <c r="AH42" s="18">
        <v>0</v>
      </c>
      <c r="AI42" s="18">
        <v>1.9148936170212769E-5</v>
      </c>
      <c r="AJ42" s="18">
        <v>8.5106382978723414E-4</v>
      </c>
      <c r="AK42" s="18">
        <v>4.2553191489361694E-3</v>
      </c>
      <c r="AL42" s="18">
        <v>0</v>
      </c>
      <c r="AM42" s="18">
        <v>4.9645390070921993E-7</v>
      </c>
      <c r="AN42" s="18">
        <v>0</v>
      </c>
      <c r="AO42" s="18">
        <v>0</v>
      </c>
      <c r="AP42" s="18">
        <v>0.10638297872340426</v>
      </c>
      <c r="AQ42" s="18">
        <v>4.2553191489361694E-3</v>
      </c>
      <c r="AR42" s="18">
        <v>0</v>
      </c>
      <c r="AS42" s="18">
        <v>2.4113475177304962E-5</v>
      </c>
      <c r="AT42" s="18">
        <v>1.078014184397163E-5</v>
      </c>
      <c r="AU42" s="18">
        <v>0</v>
      </c>
      <c r="AV42" s="18">
        <v>0</v>
      </c>
      <c r="AW42" s="18">
        <v>0</v>
      </c>
      <c r="AX42" s="18">
        <v>1.4184397163120566E-6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5.1773049645390066E-3</v>
      </c>
      <c r="BF42" s="18">
        <v>0</v>
      </c>
      <c r="BG42" s="18">
        <v>0</v>
      </c>
      <c r="BH42" s="18">
        <v>0</v>
      </c>
      <c r="BI42" s="18">
        <v>59.078014184397162</v>
      </c>
      <c r="BJ42" s="18">
        <v>0</v>
      </c>
      <c r="BK42" s="18">
        <f>'Composition of waste'!$BK42*$E42/100</f>
        <v>0</v>
      </c>
      <c r="BL42" s="18">
        <f>'Composition of waste'!$BL42*$E42/100</f>
        <v>0</v>
      </c>
      <c r="BM42" s="18">
        <v>0</v>
      </c>
      <c r="BN42" s="18">
        <f>'Composition of waste'!$BN42*$E42/100</f>
        <v>0</v>
      </c>
      <c r="BO42" s="18">
        <f>'Composition of waste'!$BO42*$E42/100</f>
        <v>0</v>
      </c>
      <c r="BP42" s="18">
        <f>'Composition of waste'!$BP42*$E42/100</f>
        <v>0</v>
      </c>
      <c r="BQ42" s="18">
        <v>0</v>
      </c>
      <c r="BR42" s="18">
        <f>'Composition of waste'!$BR42*$E42/100</f>
        <v>0</v>
      </c>
      <c r="BS42" s="18">
        <v>17.004509660742912</v>
      </c>
      <c r="BT42" s="18">
        <v>1.3125614309793889</v>
      </c>
      <c r="BU42" s="18">
        <v>2.0567375886524819</v>
      </c>
      <c r="BV42" s="18">
        <v>2.4822695035460991</v>
      </c>
      <c r="BW42" s="18">
        <v>0</v>
      </c>
      <c r="BX42" s="18">
        <v>0</v>
      </c>
      <c r="BY42" s="18">
        <v>63.61702127659575</v>
      </c>
      <c r="BZ42" s="18">
        <v>14.822695035460994</v>
      </c>
      <c r="CA42" s="18">
        <v>0</v>
      </c>
      <c r="CB42" s="19">
        <v>10.921985815602852</v>
      </c>
    </row>
    <row r="43" spans="1:80" x14ac:dyDescent="0.35">
      <c r="A43" s="17" t="s">
        <v>117</v>
      </c>
      <c r="B43" s="17" t="s">
        <v>159</v>
      </c>
      <c r="C43" s="17"/>
      <c r="D43" s="18">
        <f>'Composition of waste'!$D43*$C43/100</f>
        <v>0</v>
      </c>
      <c r="E43" s="18">
        <f>'Composition of waste'!$E43*$C43/100</f>
        <v>0</v>
      </c>
      <c r="F43" s="18">
        <f>'Composition of waste'!$F43*$E43/100</f>
        <v>0</v>
      </c>
      <c r="G43" s="18">
        <f>'Composition of waste'!$G43*$E43/100</f>
        <v>0</v>
      </c>
      <c r="H43" s="18">
        <v>16.487287992350492</v>
      </c>
      <c r="I43" s="18">
        <v>488.23820816864298</v>
      </c>
      <c r="J43" s="18">
        <f>'Composition of waste'!$J43*'Composition (mass)'!$E43/100</f>
        <v>0</v>
      </c>
      <c r="K43" s="18">
        <v>41.852776681524524</v>
      </c>
      <c r="L43" s="18">
        <v>0</v>
      </c>
      <c r="M43" s="18">
        <v>6.7539473684210538E-2</v>
      </c>
      <c r="N43" s="18">
        <v>0</v>
      </c>
      <c r="O43" s="18">
        <v>0</v>
      </c>
      <c r="P43" s="18">
        <v>6.3035453034443023</v>
      </c>
      <c r="Q43" s="18">
        <v>3.9561578947368421</v>
      </c>
      <c r="R43" s="18">
        <f>'Composition of waste'!$R43*'Composition (mass)'!$E43/100</f>
        <v>0</v>
      </c>
      <c r="S43" s="18">
        <v>6.8631578947368418E-2</v>
      </c>
      <c r="T43" s="18">
        <f>'Composition of waste'!$T43*'Composition (mass)'!$E43/100</f>
        <v>0</v>
      </c>
      <c r="U43" s="18">
        <v>0.75986842105263164</v>
      </c>
      <c r="V43" s="18">
        <v>0.98995686254697546</v>
      </c>
      <c r="W43" s="18">
        <v>0</v>
      </c>
      <c r="X43" s="18">
        <v>0</v>
      </c>
      <c r="Y43" s="18">
        <v>0</v>
      </c>
      <c r="Z43" s="18">
        <v>1.6447368421052631E-5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1.4528947368421054E-5</v>
      </c>
      <c r="AH43" s="18">
        <v>0</v>
      </c>
      <c r="AI43" s="18">
        <v>2.9815789473684212E-5</v>
      </c>
      <c r="AJ43" s="18">
        <v>4.4431578947368424E-3</v>
      </c>
      <c r="AK43" s="18">
        <v>4.4394736842105261E-3</v>
      </c>
      <c r="AL43" s="18">
        <v>0</v>
      </c>
      <c r="AM43" s="18">
        <v>1.2610526315789473E-5</v>
      </c>
      <c r="AN43" s="18">
        <v>0</v>
      </c>
      <c r="AO43" s="18">
        <v>0</v>
      </c>
      <c r="AP43" s="18">
        <v>9.707894736842107E-2</v>
      </c>
      <c r="AQ43" s="18">
        <v>1.6660526315789475E-3</v>
      </c>
      <c r="AR43" s="18">
        <v>0</v>
      </c>
      <c r="AS43" s="18">
        <v>1.9736842105263157E-6</v>
      </c>
      <c r="AT43" s="18">
        <v>1.4235526315789474E-4</v>
      </c>
      <c r="AU43" s="18">
        <v>0</v>
      </c>
      <c r="AV43" s="18">
        <v>0</v>
      </c>
      <c r="AW43" s="18">
        <v>0</v>
      </c>
      <c r="AX43" s="18">
        <v>4.6165789473684203E-5</v>
      </c>
      <c r="AY43" s="18">
        <v>0</v>
      </c>
      <c r="AZ43" s="18">
        <v>5.9999999999999995E-4</v>
      </c>
      <c r="BA43" s="18">
        <v>0</v>
      </c>
      <c r="BB43" s="18">
        <v>0</v>
      </c>
      <c r="BC43" s="18">
        <v>0</v>
      </c>
      <c r="BD43" s="18">
        <v>0</v>
      </c>
      <c r="BE43" s="18">
        <v>7.0181578947368416E-3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f>'Composition of waste'!$BK43*$E43/100</f>
        <v>0</v>
      </c>
      <c r="BL43" s="18">
        <f>'Composition of waste'!$BL43*$E43/100</f>
        <v>0</v>
      </c>
      <c r="BM43" s="18">
        <v>0</v>
      </c>
      <c r="BN43" s="18">
        <f>'Composition of waste'!$BN43*$E43/100</f>
        <v>0</v>
      </c>
      <c r="BO43" s="18">
        <f>'Composition of waste'!$BO43*$E43/100</f>
        <v>0</v>
      </c>
      <c r="BP43" s="18">
        <f>'Composition of waste'!$BP43*$E43/100</f>
        <v>0</v>
      </c>
      <c r="BQ43" s="18">
        <v>0</v>
      </c>
      <c r="BR43" s="18">
        <f>'Composition of waste'!$BR43*$E43/100</f>
        <v>0</v>
      </c>
      <c r="BS43" s="18">
        <v>18.028441891752497</v>
      </c>
      <c r="BT43" s="18">
        <v>1.413955830725901</v>
      </c>
      <c r="BU43" s="18">
        <v>0</v>
      </c>
      <c r="BV43" s="18">
        <v>0</v>
      </c>
      <c r="BW43" s="18">
        <v>0</v>
      </c>
      <c r="BX43" s="18">
        <v>0</v>
      </c>
      <c r="BY43" s="18">
        <v>6.4</v>
      </c>
      <c r="BZ43" s="18">
        <v>13.916842105263157</v>
      </c>
      <c r="CA43" s="18">
        <v>0</v>
      </c>
      <c r="CB43" s="19">
        <v>49.078947368421048</v>
      </c>
    </row>
    <row r="44" spans="1:80" x14ac:dyDescent="0.35">
      <c r="A44" s="17" t="s">
        <v>117</v>
      </c>
      <c r="B44" s="17" t="s">
        <v>160</v>
      </c>
      <c r="C44" s="17"/>
      <c r="D44" s="18">
        <f>'Composition of waste'!$D44*$C44/100</f>
        <v>0</v>
      </c>
      <c r="E44" s="18">
        <f>'Composition of waste'!$E44*$C44/100</f>
        <v>0</v>
      </c>
      <c r="F44" s="18">
        <f>'Composition of waste'!$F44*$E44/100</f>
        <v>0</v>
      </c>
      <c r="G44" s="18">
        <f>'Composition of waste'!$G44*$E44/100</f>
        <v>0</v>
      </c>
      <c r="H44" s="18">
        <v>15.462219946097981</v>
      </c>
      <c r="I44" s="18">
        <v>435.15107913669067</v>
      </c>
      <c r="J44" s="18">
        <f>'Composition of waste'!$J44*'Composition (mass)'!$E44/100</f>
        <v>0</v>
      </c>
      <c r="K44" s="18">
        <v>41.607492513890953</v>
      </c>
      <c r="L44" s="18">
        <v>0</v>
      </c>
      <c r="M44" s="18">
        <v>0.13216783216783215</v>
      </c>
      <c r="N44" s="18">
        <v>0</v>
      </c>
      <c r="O44" s="18">
        <v>0</v>
      </c>
      <c r="P44" s="18">
        <v>6.4737831506382451</v>
      </c>
      <c r="Q44" s="18">
        <v>1.2167832167832169</v>
      </c>
      <c r="R44" s="18">
        <f>'Composition of waste'!$R44*'Composition (mass)'!$E44/100</f>
        <v>0</v>
      </c>
      <c r="S44" s="18">
        <v>2.7972027972027972E-2</v>
      </c>
      <c r="T44" s="18">
        <f>'Composition of waste'!$T44*'Composition (mass)'!$E44/100</f>
        <v>0</v>
      </c>
      <c r="U44" s="18">
        <v>9.7202797202797203E-2</v>
      </c>
      <c r="V44" s="18">
        <v>0.1241577590983188</v>
      </c>
      <c r="W44" s="18">
        <v>0</v>
      </c>
      <c r="X44" s="18">
        <v>0</v>
      </c>
      <c r="Y44" s="18">
        <v>0</v>
      </c>
      <c r="Z44" s="18">
        <v>1.3986013986013985E-5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2.0979020979020979E-6</v>
      </c>
      <c r="AH44" s="18">
        <v>0</v>
      </c>
      <c r="AI44" s="18">
        <v>7.6923076923076912E-5</v>
      </c>
      <c r="AJ44" s="18">
        <v>6.2937062937062926E-4</v>
      </c>
      <c r="AK44" s="18">
        <v>1.3986013986013986E-3</v>
      </c>
      <c r="AL44" s="18">
        <v>0</v>
      </c>
      <c r="AM44" s="18">
        <v>3.4965034965034963E-7</v>
      </c>
      <c r="AN44" s="18">
        <v>0</v>
      </c>
      <c r="AO44" s="18">
        <v>0</v>
      </c>
      <c r="AP44" s="18">
        <v>9.7902097902097904E-2</v>
      </c>
      <c r="AQ44" s="18">
        <v>1.048951048951049E-2</v>
      </c>
      <c r="AR44" s="18">
        <v>2.097902097902098E-5</v>
      </c>
      <c r="AS44" s="18">
        <v>3.496503496503496E-4</v>
      </c>
      <c r="AT44" s="18">
        <v>1.5384615384615382E-4</v>
      </c>
      <c r="AU44" s="18">
        <v>0</v>
      </c>
      <c r="AV44" s="18">
        <v>0</v>
      </c>
      <c r="AW44" s="18">
        <v>0</v>
      </c>
      <c r="AX44" s="18">
        <v>4.1958041958041957E-6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5.734265734265734E-4</v>
      </c>
      <c r="BF44" s="18">
        <v>0</v>
      </c>
      <c r="BG44" s="18">
        <v>0</v>
      </c>
      <c r="BH44" s="18">
        <v>0</v>
      </c>
      <c r="BI44" s="18">
        <v>52.447552447552447</v>
      </c>
      <c r="BJ44" s="18">
        <v>0</v>
      </c>
      <c r="BK44" s="18">
        <f>'Composition of waste'!$BK44*$E44/100</f>
        <v>0</v>
      </c>
      <c r="BL44" s="18">
        <f>'Composition of waste'!$BL44*$E44/100</f>
        <v>0</v>
      </c>
      <c r="BM44" s="18">
        <v>0</v>
      </c>
      <c r="BN44" s="18">
        <f>'Composition of waste'!$BN44*$E44/100</f>
        <v>0</v>
      </c>
      <c r="BO44" s="18">
        <f>'Composition of waste'!$BO44*$E44/100</f>
        <v>0</v>
      </c>
      <c r="BP44" s="18">
        <f>'Composition of waste'!$BP44*$E44/100</f>
        <v>0</v>
      </c>
      <c r="BQ44" s="18">
        <v>0</v>
      </c>
      <c r="BR44" s="18">
        <f>'Composition of waste'!$BR44*$E44/100</f>
        <v>0</v>
      </c>
      <c r="BS44" s="18">
        <v>17.116950209790208</v>
      </c>
      <c r="BT44" s="18">
        <v>1.3238663757482516</v>
      </c>
      <c r="BU44" s="18">
        <v>9.7902097902097882</v>
      </c>
      <c r="BV44" s="18">
        <v>16.08391608391608</v>
      </c>
      <c r="BW44" s="18">
        <v>0</v>
      </c>
      <c r="BX44" s="18">
        <v>0</v>
      </c>
      <c r="BY44" s="18">
        <v>78.321678321678306</v>
      </c>
      <c r="BZ44" s="18">
        <v>16.223776223776223</v>
      </c>
      <c r="CA44" s="18">
        <v>0</v>
      </c>
      <c r="CB44" s="19">
        <v>12.587412587412587</v>
      </c>
    </row>
    <row r="45" spans="1:80" x14ac:dyDescent="0.35">
      <c r="A45" s="17" t="s">
        <v>117</v>
      </c>
      <c r="B45" s="17" t="s">
        <v>161</v>
      </c>
      <c r="C45" s="17"/>
      <c r="D45" s="18">
        <f>'Composition of waste'!$D45*$C45/100</f>
        <v>0</v>
      </c>
      <c r="E45" s="18">
        <f>'Composition of waste'!$E45*$C45/100</f>
        <v>0</v>
      </c>
      <c r="F45" s="18">
        <f>'Composition of waste'!$F45*$E45/100</f>
        <v>0</v>
      </c>
      <c r="G45" s="18">
        <f>'Composition of waste'!$G45*$E45/100</f>
        <v>0</v>
      </c>
      <c r="H45" s="18">
        <v>16.223872997092172</v>
      </c>
      <c r="I45" s="18">
        <v>472.26846446834185</v>
      </c>
      <c r="J45" s="18">
        <f>'Composition of waste'!$J45*'Composition (mass)'!$E45/100</f>
        <v>0</v>
      </c>
      <c r="K45" s="18">
        <v>41.557641072799562</v>
      </c>
      <c r="L45" s="18">
        <v>0</v>
      </c>
      <c r="M45" s="18">
        <v>0.29471884693825084</v>
      </c>
      <c r="N45" s="18">
        <v>0</v>
      </c>
      <c r="O45" s="18">
        <v>0</v>
      </c>
      <c r="P45" s="18">
        <v>6.3556871157684638</v>
      </c>
      <c r="Q45" s="18">
        <v>3.4403914377281528</v>
      </c>
      <c r="R45" s="18">
        <f>'Composition of waste'!$R45*'Composition (mass)'!$E45/100</f>
        <v>0</v>
      </c>
      <c r="S45" s="18">
        <v>0.20449879175307203</v>
      </c>
      <c r="T45" s="18">
        <f>'Composition of waste'!$T45*'Composition (mass)'!$E45/100</f>
        <v>0</v>
      </c>
      <c r="U45" s="18">
        <v>0.57861128725428024</v>
      </c>
      <c r="V45" s="18">
        <v>1.0483980846627157</v>
      </c>
      <c r="W45" s="18">
        <v>0</v>
      </c>
      <c r="X45" s="18">
        <v>0</v>
      </c>
      <c r="Y45" s="18">
        <v>0</v>
      </c>
      <c r="Z45" s="18">
        <v>2.7172016658383178E-6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7.6352825241220923E-6</v>
      </c>
      <c r="AH45" s="18">
        <v>0</v>
      </c>
      <c r="AI45" s="18">
        <v>1.1928339246031066E-5</v>
      </c>
      <c r="AJ45" s="18">
        <v>5.052323090370016E-4</v>
      </c>
      <c r="AK45" s="18">
        <v>4.8357949579255861E-3</v>
      </c>
      <c r="AL45" s="18">
        <v>0</v>
      </c>
      <c r="AM45" s="18">
        <v>9.4210126423189208E-7</v>
      </c>
      <c r="AN45" s="18">
        <v>0</v>
      </c>
      <c r="AO45" s="18">
        <v>0</v>
      </c>
      <c r="AP45" s="18">
        <v>0.15878729712591474</v>
      </c>
      <c r="AQ45" s="18">
        <v>2.766748359012151E-3</v>
      </c>
      <c r="AR45" s="18">
        <v>0</v>
      </c>
      <c r="AS45" s="18">
        <v>7.4928133586979503E-5</v>
      </c>
      <c r="AT45" s="18">
        <v>8.9497106491399443E-6</v>
      </c>
      <c r="AU45" s="18">
        <v>0</v>
      </c>
      <c r="AV45" s="18">
        <v>0</v>
      </c>
      <c r="AW45" s="18">
        <v>0</v>
      </c>
      <c r="AX45" s="18">
        <v>6.4881174770204571E-6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3.1396579204442236E-3</v>
      </c>
      <c r="BF45" s="18">
        <v>0</v>
      </c>
      <c r="BG45" s="18">
        <v>0</v>
      </c>
      <c r="BH45" s="18">
        <v>0</v>
      </c>
      <c r="BI45" s="18">
        <v>0.7217604414814307</v>
      </c>
      <c r="BJ45" s="18">
        <v>0.12029340691357177</v>
      </c>
      <c r="BK45" s="18">
        <f>'Composition of waste'!$BK45*$E45/100</f>
        <v>0</v>
      </c>
      <c r="BL45" s="18">
        <f>'Composition of waste'!$BL45*$E45/100</f>
        <v>0</v>
      </c>
      <c r="BM45" s="18">
        <v>0</v>
      </c>
      <c r="BN45" s="18">
        <f>'Composition of waste'!$BN45*$E45/100</f>
        <v>0</v>
      </c>
      <c r="BO45" s="18">
        <f>'Composition of waste'!$BO45*$E45/100</f>
        <v>0</v>
      </c>
      <c r="BP45" s="18">
        <f>'Composition of waste'!$BP45*$E45/100</f>
        <v>0</v>
      </c>
      <c r="BQ45" s="18">
        <v>0</v>
      </c>
      <c r="BR45" s="18">
        <f>'Composition of waste'!$BR45*$E45/100</f>
        <v>0</v>
      </c>
      <c r="BS45" s="18">
        <v>18.05588935107523</v>
      </c>
      <c r="BT45" s="18">
        <v>1.4166231022908427</v>
      </c>
      <c r="BU45" s="18">
        <v>15.758436305677904</v>
      </c>
      <c r="BV45" s="18">
        <v>6.134963752592161</v>
      </c>
      <c r="BW45" s="18">
        <v>0</v>
      </c>
      <c r="BX45" s="18">
        <v>0</v>
      </c>
      <c r="BY45" s="18">
        <v>22.615160499751493</v>
      </c>
      <c r="BZ45" s="18">
        <v>13.749672944980491</v>
      </c>
      <c r="CA45" s="18">
        <v>0</v>
      </c>
      <c r="CB45" s="19">
        <v>20.563482950293352</v>
      </c>
    </row>
    <row r="46" spans="1:80" x14ac:dyDescent="0.35">
      <c r="A46" s="17" t="s">
        <v>117</v>
      </c>
      <c r="B46" s="17" t="s">
        <v>162</v>
      </c>
      <c r="C46" s="17"/>
      <c r="D46" s="18">
        <f>'Composition of waste'!$D46*$C46/100</f>
        <v>0</v>
      </c>
      <c r="E46" s="18">
        <f>'Composition of waste'!$E46*$C46/100</f>
        <v>0</v>
      </c>
      <c r="F46" s="18">
        <f>'Composition of waste'!$F46*$E46/100</f>
        <v>0</v>
      </c>
      <c r="G46" s="18">
        <f>'Composition of waste'!$G46*$E46/100</f>
        <v>0</v>
      </c>
      <c r="H46" s="18">
        <v>15.378573818871752</v>
      </c>
      <c r="I46" s="18">
        <v>442.65</v>
      </c>
      <c r="J46" s="18">
        <f>'Composition of waste'!$J46*'Composition (mass)'!$E46/100</f>
        <v>0</v>
      </c>
      <c r="K46" s="18">
        <v>40.691910848608607</v>
      </c>
      <c r="L46" s="18">
        <v>0</v>
      </c>
      <c r="M46" s="18">
        <v>0.39735099337748342</v>
      </c>
      <c r="N46" s="18">
        <v>0</v>
      </c>
      <c r="O46" s="18">
        <v>0</v>
      </c>
      <c r="P46" s="18">
        <v>6.2103865476809093</v>
      </c>
      <c r="Q46" s="18">
        <v>2.6754966887417222</v>
      </c>
      <c r="R46" s="18">
        <f>'Composition of waste'!$R46*'Composition (mass)'!$E46/100</f>
        <v>0</v>
      </c>
      <c r="S46" s="18">
        <v>0.17880794701986755</v>
      </c>
      <c r="T46" s="18">
        <f>'Composition of waste'!$T46*'Composition (mass)'!$E46/100</f>
        <v>0</v>
      </c>
      <c r="U46" s="18">
        <v>0.47880794701986756</v>
      </c>
      <c r="V46" s="18">
        <v>0.77602710620525361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7.2847682119205302E-3</v>
      </c>
      <c r="AL46" s="18">
        <v>0</v>
      </c>
      <c r="AM46" s="18">
        <v>0</v>
      </c>
      <c r="AN46" s="18">
        <v>0</v>
      </c>
      <c r="AO46" s="18">
        <v>0</v>
      </c>
      <c r="AP46" s="18">
        <v>0.23576158940397351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f>'Composition of waste'!$BK46*$E46/100</f>
        <v>0</v>
      </c>
      <c r="BL46" s="18">
        <f>'Composition of waste'!$BL46*$E46/100</f>
        <v>0</v>
      </c>
      <c r="BM46" s="18">
        <v>0</v>
      </c>
      <c r="BN46" s="18">
        <f>'Composition of waste'!$BN46*$E46/100</f>
        <v>0</v>
      </c>
      <c r="BO46" s="18">
        <f>'Composition of waste'!$BO46*$E46/100</f>
        <v>0</v>
      </c>
      <c r="BP46" s="18">
        <f>'Composition of waste'!$BP46*$E46/100</f>
        <v>0</v>
      </c>
      <c r="BQ46" s="18">
        <v>0</v>
      </c>
      <c r="BR46" s="18">
        <f>'Composition of waste'!$BR46*$E46/100</f>
        <v>0</v>
      </c>
      <c r="BS46" s="18">
        <v>17.287195231788079</v>
      </c>
      <c r="BT46" s="18">
        <v>1.3407036084238411</v>
      </c>
      <c r="BU46" s="18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14.437086092715232</v>
      </c>
      <c r="CA46" s="18">
        <v>0</v>
      </c>
      <c r="CB46" s="19">
        <v>69.536423841059587</v>
      </c>
    </row>
    <row r="47" spans="1:80" x14ac:dyDescent="0.35">
      <c r="A47" s="17" t="s">
        <v>117</v>
      </c>
      <c r="B47" s="17" t="s">
        <v>163</v>
      </c>
      <c r="C47" s="17"/>
      <c r="D47" s="18">
        <f>'Composition of waste'!$D47*$C47/100</f>
        <v>0</v>
      </c>
      <c r="E47" s="18">
        <f>'Composition of waste'!$E47*$C47/100</f>
        <v>0</v>
      </c>
      <c r="F47" s="18">
        <f>'Composition of waste'!$F47*$E47/100</f>
        <v>0</v>
      </c>
      <c r="G47" s="18">
        <f>'Composition of waste'!$G47*$E47/100</f>
        <v>0</v>
      </c>
      <c r="H47" s="18">
        <v>15.692780651375276</v>
      </c>
      <c r="I47" s="18">
        <v>469.98330443828013</v>
      </c>
      <c r="J47" s="18">
        <f>'Composition of waste'!$J47*'Composition (mass)'!$E47/100</f>
        <v>0</v>
      </c>
      <c r="K47" s="18">
        <v>40.53031885105041</v>
      </c>
      <c r="L47" s="18">
        <v>0</v>
      </c>
      <c r="M47" s="18">
        <v>0.37498634327542885</v>
      </c>
      <c r="N47" s="18">
        <v>0</v>
      </c>
      <c r="O47" s="18">
        <v>0</v>
      </c>
      <c r="P47" s="18">
        <v>6.1068596352504798</v>
      </c>
      <c r="Q47" s="18">
        <v>2.1563694963399982</v>
      </c>
      <c r="R47" s="18">
        <f>'Composition of waste'!$R47*'Composition (mass)'!$E47/100</f>
        <v>0</v>
      </c>
      <c r="S47" s="18">
        <v>2.1054708838632141</v>
      </c>
      <c r="T47" s="18">
        <f>'Composition of waste'!$T47*'Composition (mass)'!$E47/100</f>
        <v>0</v>
      </c>
      <c r="U47" s="18">
        <v>0.53422375177537418</v>
      </c>
      <c r="V47" s="18">
        <v>0.55680610937743424</v>
      </c>
      <c r="W47" s="18">
        <v>0</v>
      </c>
      <c r="X47" s="18">
        <v>0</v>
      </c>
      <c r="Y47" s="18">
        <v>0</v>
      </c>
      <c r="Z47" s="18">
        <v>2.212389380530973E-6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3.7422702938927127E-5</v>
      </c>
      <c r="AH47" s="18">
        <v>3.08641975308642E-6</v>
      </c>
      <c r="AI47" s="18">
        <v>3.6854036927783236E-5</v>
      </c>
      <c r="AJ47" s="18">
        <v>4.9287118977384462E-4</v>
      </c>
      <c r="AK47" s="18">
        <v>6.3176007866273358E-3</v>
      </c>
      <c r="AL47" s="18">
        <v>0</v>
      </c>
      <c r="AM47" s="18">
        <v>2.5210313558396151E-6</v>
      </c>
      <c r="AN47" s="18">
        <v>0</v>
      </c>
      <c r="AO47" s="18">
        <v>0</v>
      </c>
      <c r="AP47" s="18">
        <v>0.13602097672894134</v>
      </c>
      <c r="AQ47" s="18">
        <v>1.2192723697148473E-3</v>
      </c>
      <c r="AR47" s="18">
        <v>0</v>
      </c>
      <c r="AS47" s="18">
        <v>5.3873047088386322E-5</v>
      </c>
      <c r="AT47" s="18">
        <v>1.4701737135365455E-5</v>
      </c>
      <c r="AU47" s="18">
        <v>0</v>
      </c>
      <c r="AV47" s="18">
        <v>0</v>
      </c>
      <c r="AW47" s="18">
        <v>0</v>
      </c>
      <c r="AX47" s="18">
        <v>1.014421501147165E-5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2.7174150551731672E-3</v>
      </c>
      <c r="BF47" s="18">
        <v>0</v>
      </c>
      <c r="BG47" s="18">
        <v>0</v>
      </c>
      <c r="BH47" s="18">
        <v>0</v>
      </c>
      <c r="BI47" s="18">
        <v>7.5663716814159283</v>
      </c>
      <c r="BJ47" s="18">
        <v>1.6371681415929202</v>
      </c>
      <c r="BK47" s="18">
        <f>'Composition of waste'!$BK47*$E47/100</f>
        <v>0</v>
      </c>
      <c r="BL47" s="18">
        <f>'Composition of waste'!$BL47*$E47/100</f>
        <v>0</v>
      </c>
      <c r="BM47" s="18">
        <v>0</v>
      </c>
      <c r="BN47" s="18">
        <f>'Composition of waste'!$BN47*$E47/100</f>
        <v>0</v>
      </c>
      <c r="BO47" s="18">
        <f>'Composition of waste'!$BO47*$E47/100</f>
        <v>0</v>
      </c>
      <c r="BP47" s="18">
        <f>'Composition of waste'!$BP47*$E47/100</f>
        <v>0</v>
      </c>
      <c r="BQ47" s="18">
        <v>0</v>
      </c>
      <c r="BR47" s="18">
        <f>'Composition of waste'!$BR47*$E47/100</f>
        <v>0</v>
      </c>
      <c r="BS47" s="18">
        <v>16.909730098590071</v>
      </c>
      <c r="BT47" s="18">
        <v>1.3031419970160447</v>
      </c>
      <c r="BU47" s="18">
        <v>0.35398230088495575</v>
      </c>
      <c r="BV47" s="18">
        <v>0</v>
      </c>
      <c r="BW47" s="18">
        <v>0</v>
      </c>
      <c r="BX47" s="18">
        <v>0</v>
      </c>
      <c r="BY47" s="18">
        <v>7.9203539823008846</v>
      </c>
      <c r="BZ47" s="18">
        <v>14.315115262755381</v>
      </c>
      <c r="CA47" s="18">
        <v>0</v>
      </c>
      <c r="CB47" s="19">
        <v>51.019611056484216</v>
      </c>
    </row>
    <row r="48" spans="1:80" x14ac:dyDescent="0.35">
      <c r="A48" s="17" t="s">
        <v>117</v>
      </c>
      <c r="B48" s="17" t="s">
        <v>164</v>
      </c>
      <c r="C48" s="17"/>
      <c r="D48" s="18">
        <f>'Composition of waste'!$D48*$C48/100</f>
        <v>0</v>
      </c>
      <c r="E48" s="18">
        <f>'Composition of waste'!$E48*$C48/100</f>
        <v>0</v>
      </c>
      <c r="F48" s="18">
        <f>'Composition of waste'!$F48*$E48/100</f>
        <v>0</v>
      </c>
      <c r="G48" s="18">
        <f>'Composition of waste'!$G48*$E48/100</f>
        <v>0</v>
      </c>
      <c r="H48" s="18">
        <v>15.100079286748491</v>
      </c>
      <c r="I48" s="18">
        <v>442.0609756097561</v>
      </c>
      <c r="J48" s="18">
        <f>'Composition of waste'!$J48*'Composition (mass)'!$E48/100</f>
        <v>0</v>
      </c>
      <c r="K48" s="18">
        <v>39.957390296013081</v>
      </c>
      <c r="L48" s="18">
        <v>0</v>
      </c>
      <c r="M48" s="18">
        <v>0.3888888888888889</v>
      </c>
      <c r="N48" s="18">
        <v>0</v>
      </c>
      <c r="O48" s="18">
        <v>0</v>
      </c>
      <c r="P48" s="18">
        <v>6.1004010477238149</v>
      </c>
      <c r="Q48" s="18">
        <v>2.5555555555555558</v>
      </c>
      <c r="R48" s="18">
        <f>'Composition of waste'!$R48*'Composition (mass)'!$E48/100</f>
        <v>0</v>
      </c>
      <c r="S48" s="18">
        <v>0.31111111111111112</v>
      </c>
      <c r="T48" s="18">
        <f>'Composition of waste'!$T48*'Composition (mass)'!$E48/100</f>
        <v>0</v>
      </c>
      <c r="U48" s="18">
        <v>0.46666666666666673</v>
      </c>
      <c r="V48" s="18">
        <v>0.78909153560264844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6.8888888888888884E-4</v>
      </c>
      <c r="AK48" s="18">
        <v>4.4444444444444444E-3</v>
      </c>
      <c r="AL48" s="18">
        <v>0</v>
      </c>
      <c r="AM48" s="18">
        <v>0</v>
      </c>
      <c r="AN48" s="18">
        <v>0</v>
      </c>
      <c r="AO48" s="18">
        <v>0</v>
      </c>
      <c r="AP48" s="18">
        <v>0.31111111111111112</v>
      </c>
      <c r="AQ48" s="18">
        <v>2E-3</v>
      </c>
      <c r="AR48" s="18">
        <v>0</v>
      </c>
      <c r="AS48" s="18">
        <v>2.3333333333333329E-5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3.0000000000000001E-3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f>'Composition of waste'!$BK48*$E48/100</f>
        <v>0</v>
      </c>
      <c r="BL48" s="18">
        <f>'Composition of waste'!$BL48*$E48/100</f>
        <v>0</v>
      </c>
      <c r="BM48" s="18">
        <v>0</v>
      </c>
      <c r="BN48" s="18">
        <f>'Composition of waste'!$BN48*$E48/100</f>
        <v>0</v>
      </c>
      <c r="BO48" s="18">
        <f>'Composition of waste'!$BO48*$E48/100</f>
        <v>0</v>
      </c>
      <c r="BP48" s="18">
        <f>'Composition of waste'!$BP48*$E48/100</f>
        <v>0</v>
      </c>
      <c r="BQ48" s="18">
        <v>0</v>
      </c>
      <c r="BR48" s="18">
        <f>'Composition of waste'!$BR48*$E48/100</f>
        <v>0</v>
      </c>
      <c r="BS48" s="18">
        <v>16.998969555555554</v>
      </c>
      <c r="BT48" s="18">
        <v>1.3121980890444442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12.555555555555555</v>
      </c>
      <c r="CA48" s="18">
        <v>0</v>
      </c>
      <c r="CB48" s="19">
        <v>67.777777777777786</v>
      </c>
    </row>
    <row r="49" spans="1:80" x14ac:dyDescent="0.35">
      <c r="A49" s="17" t="s">
        <v>117</v>
      </c>
      <c r="B49" s="17" t="s">
        <v>165</v>
      </c>
      <c r="C49" s="17"/>
      <c r="D49" s="18">
        <f>'Composition of waste'!$D49*$C49/100</f>
        <v>0</v>
      </c>
      <c r="E49" s="18">
        <f>'Composition of waste'!$E49*$C49/100</f>
        <v>0</v>
      </c>
      <c r="F49" s="18">
        <f>'Composition of waste'!$F49*$E49/100</f>
        <v>0</v>
      </c>
      <c r="G49" s="18">
        <f>'Composition of waste'!$G49*$E49/100</f>
        <v>0</v>
      </c>
      <c r="H49" s="18">
        <v>14.317388146669311</v>
      </c>
      <c r="I49" s="18">
        <v>441.21875767850997</v>
      </c>
      <c r="J49" s="18">
        <f>'Composition of waste'!$J49*'Composition (mass)'!$E49/100</f>
        <v>0</v>
      </c>
      <c r="K49" s="18">
        <v>37.758953308136249</v>
      </c>
      <c r="L49" s="18">
        <v>0</v>
      </c>
      <c r="M49" s="18">
        <v>0.70459946557507536</v>
      </c>
      <c r="N49" s="18">
        <v>0</v>
      </c>
      <c r="O49" s="18">
        <v>0</v>
      </c>
      <c r="P49" s="18">
        <v>5.7965177291417946</v>
      </c>
      <c r="Q49" s="18">
        <v>5.1950196145318097</v>
      </c>
      <c r="R49" s="18">
        <f>'Composition of waste'!$R49*'Composition (mass)'!$E49/100</f>
        <v>0</v>
      </c>
      <c r="S49" s="18">
        <v>0.37667860594689867</v>
      </c>
      <c r="T49" s="18">
        <f>'Composition of waste'!$T49*'Composition (mass)'!$E49/100</f>
        <v>0</v>
      </c>
      <c r="U49" s="18">
        <v>0.48485985559156292</v>
      </c>
      <c r="V49" s="18">
        <v>0.54217573631617066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2.6516572858036274E-5</v>
      </c>
      <c r="AH49" s="18">
        <v>0</v>
      </c>
      <c r="AI49" s="18">
        <v>1.3258286429018137E-5</v>
      </c>
      <c r="AJ49" s="18">
        <v>1.2273011541304227E-3</v>
      </c>
      <c r="AK49" s="18">
        <v>1.0379214281653304E-2</v>
      </c>
      <c r="AL49" s="18">
        <v>0</v>
      </c>
      <c r="AM49" s="18">
        <v>1.3258286429018137E-6</v>
      </c>
      <c r="AN49" s="18">
        <v>0</v>
      </c>
      <c r="AO49" s="18">
        <v>0</v>
      </c>
      <c r="AP49" s="18">
        <v>0.21629427483086019</v>
      </c>
      <c r="AQ49" s="18">
        <v>1.2909659446244813E-3</v>
      </c>
      <c r="AR49" s="18">
        <v>0</v>
      </c>
      <c r="AS49" s="18">
        <v>5.3033145716072548E-5</v>
      </c>
      <c r="AT49" s="18">
        <v>1.3258286429018137E-5</v>
      </c>
      <c r="AU49" s="18">
        <v>0</v>
      </c>
      <c r="AV49" s="18">
        <v>0</v>
      </c>
      <c r="AW49" s="18">
        <v>0</v>
      </c>
      <c r="AX49" s="18">
        <v>1.3258286429018137E-6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5.1517425663767128E-3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f>'Composition of waste'!$BK49*$E49/100</f>
        <v>0</v>
      </c>
      <c r="BL49" s="18">
        <f>'Composition of waste'!$BL49*$E49/100</f>
        <v>0</v>
      </c>
      <c r="BM49" s="18">
        <v>0</v>
      </c>
      <c r="BN49" s="18">
        <f>'Composition of waste'!$BN49*$E49/100</f>
        <v>0</v>
      </c>
      <c r="BO49" s="18">
        <f>'Composition of waste'!$BO49*$E49/100</f>
        <v>0</v>
      </c>
      <c r="BP49" s="18">
        <f>'Composition of waste'!$BP49*$E49/100</f>
        <v>0</v>
      </c>
      <c r="BQ49" s="18">
        <v>0</v>
      </c>
      <c r="BR49" s="18">
        <f>'Composition of waste'!$BR49*$E49/100</f>
        <v>0</v>
      </c>
      <c r="BS49" s="18">
        <v>15.808659127301651</v>
      </c>
      <c r="BT49" s="18">
        <v>1.1941942738689948</v>
      </c>
      <c r="BU49" s="18">
        <v>3.0894308943089435</v>
      </c>
      <c r="BV49" s="18">
        <v>7.1544715447154479</v>
      </c>
      <c r="BW49" s="18">
        <v>0</v>
      </c>
      <c r="BX49" s="18">
        <v>0</v>
      </c>
      <c r="BY49" s="18">
        <v>10.243902439024392</v>
      </c>
      <c r="BZ49" s="18">
        <v>12.853487975439196</v>
      </c>
      <c r="CA49" s="18">
        <v>0</v>
      </c>
      <c r="CB49" s="19">
        <v>53.109329694695553</v>
      </c>
    </row>
    <row r="50" spans="1:80" x14ac:dyDescent="0.35">
      <c r="A50" s="17" t="s">
        <v>117</v>
      </c>
      <c r="B50" s="17" t="s">
        <v>166</v>
      </c>
      <c r="C50" s="17"/>
      <c r="D50" s="18">
        <f>'Composition of waste'!$D50*$C50/100</f>
        <v>0</v>
      </c>
      <c r="E50" s="18">
        <f>'Composition of waste'!$E50*$C50/100</f>
        <v>0</v>
      </c>
      <c r="F50" s="18">
        <f>'Composition of waste'!$F50*$E50/100</f>
        <v>0</v>
      </c>
      <c r="G50" s="18">
        <f>'Composition of waste'!$G50*$E50/100</f>
        <v>0</v>
      </c>
      <c r="H50" s="18">
        <v>30.56688399441564</v>
      </c>
      <c r="I50" s="18">
        <v>830.43455497382206</v>
      </c>
      <c r="J50" s="18">
        <f>'Composition of waste'!$J50*'Composition (mass)'!$E50/100</f>
        <v>0</v>
      </c>
      <c r="K50" s="18">
        <v>66.457171251091424</v>
      </c>
      <c r="L50" s="18">
        <v>0</v>
      </c>
      <c r="M50" s="18">
        <v>8.5493827160493821E-2</v>
      </c>
      <c r="N50" s="18">
        <v>0</v>
      </c>
      <c r="O50" s="18">
        <v>0</v>
      </c>
      <c r="P50" s="18">
        <v>9.4967726095892253</v>
      </c>
      <c r="Q50" s="18">
        <v>0.48456790123456794</v>
      </c>
      <c r="R50" s="18">
        <f>'Composition of waste'!$R50*'Composition (mass)'!$E50/100</f>
        <v>0</v>
      </c>
      <c r="S50" s="18">
        <v>4.1152263374485592E-3</v>
      </c>
      <c r="T50" s="18">
        <f>'Composition of waste'!$T50*'Composition (mass)'!$E50/100</f>
        <v>0</v>
      </c>
      <c r="U50" s="18">
        <v>0.38991769547325106</v>
      </c>
      <c r="V50" s="18">
        <v>0.52240782218138304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7.2016460905349791E-7</v>
      </c>
      <c r="AH50" s="18">
        <v>0</v>
      </c>
      <c r="AI50" s="18">
        <v>1.2345679012345677E-6</v>
      </c>
      <c r="AJ50" s="18">
        <v>1.3786008230452674E-3</v>
      </c>
      <c r="AK50" s="18">
        <v>2.1604938271604941E-3</v>
      </c>
      <c r="AL50" s="18">
        <v>0</v>
      </c>
      <c r="AM50" s="18">
        <v>8.2304526748971187E-7</v>
      </c>
      <c r="AN50" s="18">
        <v>0</v>
      </c>
      <c r="AO50" s="18">
        <v>0</v>
      </c>
      <c r="AP50" s="18">
        <v>0.14814814814814817</v>
      </c>
      <c r="AQ50" s="18">
        <v>2.1604938271604941E-3</v>
      </c>
      <c r="AR50" s="18">
        <v>0</v>
      </c>
      <c r="AS50" s="18">
        <v>3.2921810699588475E-4</v>
      </c>
      <c r="AT50" s="18">
        <v>7.0987654320987654E-6</v>
      </c>
      <c r="AU50" s="18">
        <v>0</v>
      </c>
      <c r="AV50" s="18">
        <v>0</v>
      </c>
      <c r="AW50" s="18">
        <v>0</v>
      </c>
      <c r="AX50" s="18">
        <v>1.7489711934156377E-6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2.7777777777777779E-3</v>
      </c>
      <c r="BF50" s="18">
        <v>0</v>
      </c>
      <c r="BG50" s="18">
        <v>0</v>
      </c>
      <c r="BH50" s="18">
        <v>0</v>
      </c>
      <c r="BI50" s="18">
        <v>0</v>
      </c>
      <c r="BJ50" s="18">
        <v>0.61728395061728392</v>
      </c>
      <c r="BK50" s="18">
        <f>'Composition of waste'!$BK50*$E50/100</f>
        <v>0</v>
      </c>
      <c r="BL50" s="18">
        <f>'Composition of waste'!$BL50*$E50/100</f>
        <v>0</v>
      </c>
      <c r="BM50" s="18">
        <v>0</v>
      </c>
      <c r="BN50" s="18">
        <f>'Composition of waste'!$BN50*$E50/100</f>
        <v>0</v>
      </c>
      <c r="BO50" s="18">
        <f>'Composition of waste'!$BO50*$E50/100</f>
        <v>0</v>
      </c>
      <c r="BP50" s="18">
        <f>'Composition of waste'!$BP50*$E50/100</f>
        <v>0</v>
      </c>
      <c r="BQ50" s="18">
        <v>0</v>
      </c>
      <c r="BR50" s="18">
        <f>'Composition of waste'!$BR50*$E50/100</f>
        <v>0</v>
      </c>
      <c r="BS50" s="18">
        <v>28.249483199588472</v>
      </c>
      <c r="BT50" s="18">
        <v>2.4248738884392997</v>
      </c>
      <c r="BU50" s="18">
        <v>0</v>
      </c>
      <c r="BV50" s="18">
        <v>0</v>
      </c>
      <c r="BW50" s="18">
        <v>0</v>
      </c>
      <c r="BX50" s="18">
        <v>0</v>
      </c>
      <c r="BY50" s="18">
        <v>2.57201646090535</v>
      </c>
      <c r="BZ50" s="18">
        <v>29.413580246913579</v>
      </c>
      <c r="CA50" s="18">
        <v>0</v>
      </c>
      <c r="CB50" s="19">
        <v>16.769547325102891</v>
      </c>
    </row>
    <row r="51" spans="1:80" x14ac:dyDescent="0.35">
      <c r="A51" s="17" t="s">
        <v>117</v>
      </c>
      <c r="B51" s="17" t="s">
        <v>167</v>
      </c>
      <c r="C51" s="17"/>
      <c r="D51" s="18">
        <f>'Composition of waste'!$D51*$C51/100</f>
        <v>0</v>
      </c>
      <c r="E51" s="18">
        <f>'Composition of waste'!$E51*$C51/100</f>
        <v>0</v>
      </c>
      <c r="F51" s="18">
        <f>'Composition of waste'!$F51*$E51/100</f>
        <v>0</v>
      </c>
      <c r="G51" s="18">
        <f>'Composition of waste'!$G51*$E51/100</f>
        <v>0</v>
      </c>
      <c r="H51" s="18">
        <v>16.845553168119483</v>
      </c>
      <c r="I51" s="18">
        <v>488.23113207547169</v>
      </c>
      <c r="J51" s="18">
        <f>'Composition of waste'!$J51*'Composition (mass)'!$E51/100</f>
        <v>0</v>
      </c>
      <c r="K51" s="18">
        <v>42.115817764974366</v>
      </c>
      <c r="L51" s="18">
        <v>0</v>
      </c>
      <c r="M51" s="18">
        <v>0.37777777777777782</v>
      </c>
      <c r="N51" s="18">
        <v>0</v>
      </c>
      <c r="O51" s="18">
        <v>0</v>
      </c>
      <c r="P51" s="18">
        <v>6.4694594263403795</v>
      </c>
      <c r="Q51" s="18">
        <v>3.3589743589743595</v>
      </c>
      <c r="R51" s="18">
        <f>'Composition of waste'!$R51*'Composition (mass)'!$E51/100</f>
        <v>0</v>
      </c>
      <c r="S51" s="18">
        <v>6.8376068376068383E-2</v>
      </c>
      <c r="T51" s="18">
        <f>'Composition of waste'!$T51*'Composition (mass)'!$E51/100</f>
        <v>0</v>
      </c>
      <c r="U51" s="18">
        <v>0.74273504273504287</v>
      </c>
      <c r="V51" s="18">
        <v>1.6085327456515526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8.5470085470085477E-6</v>
      </c>
      <c r="AJ51" s="18">
        <v>5.982905982905984E-4</v>
      </c>
      <c r="AK51" s="18">
        <v>6.068376068376069E-3</v>
      </c>
      <c r="AL51" s="18">
        <v>0</v>
      </c>
      <c r="AM51" s="18">
        <v>0</v>
      </c>
      <c r="AN51" s="18">
        <v>0</v>
      </c>
      <c r="AO51" s="18">
        <v>0</v>
      </c>
      <c r="AP51" s="18">
        <v>0.17692307692307693</v>
      </c>
      <c r="AQ51" s="18">
        <v>4.9572649572649577E-3</v>
      </c>
      <c r="AR51" s="18">
        <v>0</v>
      </c>
      <c r="AS51" s="18">
        <v>7.3504273504273503E-5</v>
      </c>
      <c r="AT51" s="18">
        <v>0</v>
      </c>
      <c r="AU51" s="18">
        <v>0</v>
      </c>
      <c r="AV51" s="18">
        <v>0</v>
      </c>
      <c r="AW51" s="18">
        <v>0</v>
      </c>
      <c r="AX51" s="18">
        <v>5.1282051282051279E-6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3.333333333333334E-3</v>
      </c>
      <c r="BF51" s="18">
        <v>0</v>
      </c>
      <c r="BG51" s="18">
        <v>0</v>
      </c>
      <c r="BH51" s="18">
        <v>0</v>
      </c>
      <c r="BI51" s="18">
        <v>3.4188034188034191</v>
      </c>
      <c r="BJ51" s="18">
        <v>0</v>
      </c>
      <c r="BK51" s="18">
        <f>'Composition of waste'!$BK51*$E51/100</f>
        <v>0</v>
      </c>
      <c r="BL51" s="18">
        <f>'Composition of waste'!$BL51*$E51/100</f>
        <v>0</v>
      </c>
      <c r="BM51" s="18">
        <v>0</v>
      </c>
      <c r="BN51" s="18">
        <f>'Composition of waste'!$BN51*$E51/100</f>
        <v>0</v>
      </c>
      <c r="BO51" s="18">
        <f>'Composition of waste'!$BO51*$E51/100</f>
        <v>0</v>
      </c>
      <c r="BP51" s="18">
        <f>'Composition of waste'!$BP51*$E51/100</f>
        <v>0</v>
      </c>
      <c r="BQ51" s="18">
        <v>0</v>
      </c>
      <c r="BR51" s="18">
        <f>'Composition of waste'!$BR51*$E51/100</f>
        <v>0</v>
      </c>
      <c r="BS51" s="18">
        <v>18.980987530552216</v>
      </c>
      <c r="BT51" s="18">
        <v>1.5079972308741783</v>
      </c>
      <c r="BU51" s="18">
        <v>11.111111111111112</v>
      </c>
      <c r="BV51" s="18">
        <v>6.8376068376068382</v>
      </c>
      <c r="BW51" s="18">
        <v>0</v>
      </c>
      <c r="BX51" s="18">
        <v>0</v>
      </c>
      <c r="BY51" s="18">
        <v>21.36752136752137</v>
      </c>
      <c r="BZ51" s="18">
        <v>13.931623931623932</v>
      </c>
      <c r="CA51" s="18">
        <v>0</v>
      </c>
      <c r="CB51" s="19">
        <v>11.452991452991441</v>
      </c>
    </row>
    <row r="52" spans="1:80" x14ac:dyDescent="0.35">
      <c r="A52" s="17" t="s">
        <v>117</v>
      </c>
      <c r="B52" s="17" t="s">
        <v>168</v>
      </c>
      <c r="C52" s="17"/>
      <c r="D52" s="18">
        <f>'Composition of waste'!$D52*$C52/100</f>
        <v>0</v>
      </c>
      <c r="E52" s="18">
        <f>'Composition of waste'!$E52*$C52/100</f>
        <v>0</v>
      </c>
      <c r="F52" s="18">
        <f>'Composition of waste'!$F52*$E52/100</f>
        <v>0</v>
      </c>
      <c r="G52" s="18">
        <f>'Composition of waste'!$G52*$E52/100</f>
        <v>0</v>
      </c>
      <c r="H52" s="18">
        <v>14.582488554615516</v>
      </c>
      <c r="I52" s="18">
        <v>437.14285714285705</v>
      </c>
      <c r="J52" s="18">
        <f>'Composition of waste'!$J52*'Composition (mass)'!$E52/100</f>
        <v>0</v>
      </c>
      <c r="K52" s="18">
        <v>38.966121054918602</v>
      </c>
      <c r="L52" s="18">
        <v>0</v>
      </c>
      <c r="M52" s="18">
        <v>0.37222222222222229</v>
      </c>
      <c r="N52" s="18">
        <v>0</v>
      </c>
      <c r="O52" s="18">
        <v>0</v>
      </c>
      <c r="P52" s="18">
        <v>6.075402194111823</v>
      </c>
      <c r="Q52" s="18">
        <v>4.5</v>
      </c>
      <c r="R52" s="18">
        <f>'Composition of waste'!$R52*'Composition (mass)'!$E52/100</f>
        <v>0</v>
      </c>
      <c r="S52" s="18">
        <v>3.7037037037037035E-2</v>
      </c>
      <c r="T52" s="18">
        <f>'Composition of waste'!$T52*'Composition (mass)'!$E52/100</f>
        <v>0</v>
      </c>
      <c r="U52" s="18">
        <v>0.61111111111111105</v>
      </c>
      <c r="V52" s="18">
        <v>0.39454576780132422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3.703703703703703E-5</v>
      </c>
      <c r="AJ52" s="18">
        <v>1.4814814814814814E-3</v>
      </c>
      <c r="AK52" s="18">
        <v>4.9999999999999992E-3</v>
      </c>
      <c r="AL52" s="18">
        <v>0</v>
      </c>
      <c r="AM52" s="18">
        <v>0</v>
      </c>
      <c r="AN52" s="18">
        <v>0</v>
      </c>
      <c r="AO52" s="18">
        <v>0</v>
      </c>
      <c r="AP52" s="18">
        <v>0.2074074074074074</v>
      </c>
      <c r="AQ52" s="18">
        <v>7.407407407407407E-4</v>
      </c>
      <c r="AR52" s="18">
        <v>3.703703703703703E-5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3.7037037037037038E-3</v>
      </c>
      <c r="BF52" s="18">
        <v>0</v>
      </c>
      <c r="BG52" s="18">
        <v>0</v>
      </c>
      <c r="BH52" s="18">
        <v>0</v>
      </c>
      <c r="BI52" s="18">
        <v>12.962962962962962</v>
      </c>
      <c r="BJ52" s="18">
        <v>11.111111111111111</v>
      </c>
      <c r="BK52" s="18">
        <f>'Composition of waste'!$BK52*$E52/100</f>
        <v>0</v>
      </c>
      <c r="BL52" s="18">
        <f>'Composition of waste'!$BL52*$E52/100</f>
        <v>0</v>
      </c>
      <c r="BM52" s="18">
        <v>0</v>
      </c>
      <c r="BN52" s="18">
        <f>'Composition of waste'!$BN52*$E52/100</f>
        <v>0</v>
      </c>
      <c r="BO52" s="18">
        <f>'Composition of waste'!$BO52*$E52/100</f>
        <v>0</v>
      </c>
      <c r="BP52" s="18">
        <f>'Composition of waste'!$BP52*$E52/100</f>
        <v>0</v>
      </c>
      <c r="BQ52" s="18">
        <v>0</v>
      </c>
      <c r="BR52" s="18">
        <f>'Composition of waste'!$BR52*$E52/100</f>
        <v>0</v>
      </c>
      <c r="BS52" s="18">
        <v>16.33765259259259</v>
      </c>
      <c r="BT52" s="18">
        <v>1.2467938414074071</v>
      </c>
      <c r="BU52" s="18">
        <v>16.666666666666664</v>
      </c>
      <c r="BV52" s="18">
        <v>20.370370370370374</v>
      </c>
      <c r="BW52" s="18">
        <v>0</v>
      </c>
      <c r="BX52" s="18">
        <v>0</v>
      </c>
      <c r="BY52" s="18">
        <v>50</v>
      </c>
      <c r="BZ52" s="18">
        <v>13.888888888888888</v>
      </c>
      <c r="CA52" s="18">
        <v>0</v>
      </c>
      <c r="CB52" s="19">
        <v>16.666666666666657</v>
      </c>
    </row>
    <row r="53" spans="1:80" x14ac:dyDescent="0.35">
      <c r="A53" s="17" t="s">
        <v>117</v>
      </c>
      <c r="B53" s="17" t="s">
        <v>169</v>
      </c>
      <c r="C53" s="17"/>
      <c r="D53" s="18">
        <f>'Composition of waste'!$D53*$C53/100</f>
        <v>0</v>
      </c>
      <c r="E53" s="18">
        <f>'Composition of waste'!$E53*$C53/100</f>
        <v>0</v>
      </c>
      <c r="F53" s="18">
        <f>'Composition of waste'!$F53*$E53/100</f>
        <v>0</v>
      </c>
      <c r="G53" s="18">
        <f>'Composition of waste'!$G53*$E53/100</f>
        <v>0</v>
      </c>
      <c r="H53" s="18">
        <v>15.659455081333208</v>
      </c>
      <c r="I53" s="18">
        <v>438.95299145299145</v>
      </c>
      <c r="J53" s="18">
        <f>'Composition of waste'!$J53*'Composition (mass)'!$E53/100</f>
        <v>0</v>
      </c>
      <c r="K53" s="18">
        <v>41.20933036004098</v>
      </c>
      <c r="L53" s="18">
        <v>0</v>
      </c>
      <c r="M53" s="18">
        <v>0.18770491803278688</v>
      </c>
      <c r="N53" s="18">
        <v>0</v>
      </c>
      <c r="O53" s="18">
        <v>0</v>
      </c>
      <c r="P53" s="18">
        <v>6.453506524358553</v>
      </c>
      <c r="Q53" s="18">
        <v>1.581967213114754</v>
      </c>
      <c r="R53" s="18">
        <f>'Composition of waste'!$R53*'Composition (mass)'!$E53/100</f>
        <v>0</v>
      </c>
      <c r="S53" s="18">
        <v>2.3770491803278688E-2</v>
      </c>
      <c r="T53" s="18">
        <f>'Composition of waste'!$T53*'Composition (mass)'!$E53/100</f>
        <v>0</v>
      </c>
      <c r="U53" s="18">
        <v>0.32868852459016401</v>
      </c>
      <c r="V53" s="18">
        <v>0.46569336527369415</v>
      </c>
      <c r="W53" s="18">
        <v>0</v>
      </c>
      <c r="X53" s="18">
        <v>0</v>
      </c>
      <c r="Y53" s="18">
        <v>0</v>
      </c>
      <c r="Z53" s="18">
        <v>2.7868852459016396E-6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1.1803278688524591E-5</v>
      </c>
      <c r="AH53" s="18">
        <v>0</v>
      </c>
      <c r="AI53" s="18">
        <v>5.7377049180327874E-6</v>
      </c>
      <c r="AJ53" s="18">
        <v>5.0000000000000001E-4</v>
      </c>
      <c r="AK53" s="18">
        <v>2.7049180327868854E-3</v>
      </c>
      <c r="AL53" s="18">
        <v>0</v>
      </c>
      <c r="AM53" s="18">
        <v>7.3770491803278695E-7</v>
      </c>
      <c r="AN53" s="18">
        <v>0</v>
      </c>
      <c r="AO53" s="18">
        <v>0</v>
      </c>
      <c r="AP53" s="18">
        <v>7.8688524590163927E-2</v>
      </c>
      <c r="AQ53" s="18">
        <v>1.8852459016393446E-3</v>
      </c>
      <c r="AR53" s="18">
        <v>0</v>
      </c>
      <c r="AS53" s="18">
        <v>2.9098360655737705E-5</v>
      </c>
      <c r="AT53" s="18">
        <v>2.4590163934426232E-6</v>
      </c>
      <c r="AU53" s="18">
        <v>0</v>
      </c>
      <c r="AV53" s="18">
        <v>0</v>
      </c>
      <c r="AW53" s="18">
        <v>0</v>
      </c>
      <c r="AX53" s="18">
        <v>4.0983606557377053E-6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1.3114754098360656E-3</v>
      </c>
      <c r="BF53" s="18">
        <v>0</v>
      </c>
      <c r="BG53" s="18">
        <v>0</v>
      </c>
      <c r="BH53" s="18">
        <v>0</v>
      </c>
      <c r="BI53" s="18">
        <v>15.655737704918032</v>
      </c>
      <c r="BJ53" s="18">
        <v>0</v>
      </c>
      <c r="BK53" s="18">
        <f>'Composition of waste'!$BK53*$E53/100</f>
        <v>0</v>
      </c>
      <c r="BL53" s="18">
        <f>'Composition of waste'!$BL53*$E53/100</f>
        <v>0</v>
      </c>
      <c r="BM53" s="18">
        <v>0</v>
      </c>
      <c r="BN53" s="18">
        <f>'Composition of waste'!$BN53*$E53/100</f>
        <v>0</v>
      </c>
      <c r="BO53" s="18">
        <f>'Composition of waste'!$BO53*$E53/100</f>
        <v>0</v>
      </c>
      <c r="BP53" s="18">
        <f>'Composition of waste'!$BP53*$E53/100</f>
        <v>0</v>
      </c>
      <c r="BQ53" s="18">
        <v>0</v>
      </c>
      <c r="BR53" s="18">
        <f>'Composition of waste'!$BR53*$E53/100</f>
        <v>0</v>
      </c>
      <c r="BS53" s="18">
        <v>17.297551573503675</v>
      </c>
      <c r="BT53" s="18">
        <v>1.3412301047178743</v>
      </c>
      <c r="BU53" s="18">
        <v>15.000000000000002</v>
      </c>
      <c r="BV53" s="18">
        <v>18.360655737704921</v>
      </c>
      <c r="BW53" s="18">
        <v>0</v>
      </c>
      <c r="BX53" s="18">
        <v>0</v>
      </c>
      <c r="BY53" s="18">
        <v>49.016393442622956</v>
      </c>
      <c r="BZ53" s="18">
        <v>15.409836065573771</v>
      </c>
      <c r="CA53" s="18">
        <v>0</v>
      </c>
      <c r="CB53" s="19">
        <v>23.688524590163922</v>
      </c>
    </row>
    <row r="54" spans="1:80" x14ac:dyDescent="0.35">
      <c r="A54" s="17" t="s">
        <v>117</v>
      </c>
      <c r="B54" s="17" t="s">
        <v>170</v>
      </c>
      <c r="C54" s="17"/>
      <c r="D54" s="18">
        <f>'Composition of waste'!$D54*$C54/100</f>
        <v>0</v>
      </c>
      <c r="E54" s="18">
        <f>'Composition of waste'!$E54*$C54/100</f>
        <v>0</v>
      </c>
      <c r="F54" s="18">
        <f>'Composition of waste'!$F54*$E54/100</f>
        <v>0</v>
      </c>
      <c r="G54" s="18">
        <f>'Composition of waste'!$G54*$E54/100</f>
        <v>0</v>
      </c>
      <c r="H54" s="18">
        <v>13.887309108410207</v>
      </c>
      <c r="I54" s="18">
        <v>444.41666666666663</v>
      </c>
      <c r="J54" s="18">
        <f>'Composition of waste'!$J54*'Composition (mass)'!$E54/100</f>
        <v>0</v>
      </c>
      <c r="K54" s="18">
        <v>36.914566911894752</v>
      </c>
      <c r="L54" s="18">
        <v>0</v>
      </c>
      <c r="M54" s="18">
        <v>0.79859154929577469</v>
      </c>
      <c r="N54" s="18">
        <v>0</v>
      </c>
      <c r="O54" s="18">
        <v>0</v>
      </c>
      <c r="P54" s="18">
        <v>5.6765263947137532</v>
      </c>
      <c r="Q54" s="18">
        <v>4.47887323943662</v>
      </c>
      <c r="R54" s="18">
        <f>'Composition of waste'!$R54*'Composition (mass)'!$E54/100</f>
        <v>0</v>
      </c>
      <c r="S54" s="18">
        <v>0.87323943661971826</v>
      </c>
      <c r="T54" s="18">
        <f>'Composition of waste'!$T54*'Composition (mass)'!$E54/100</f>
        <v>0</v>
      </c>
      <c r="U54" s="18">
        <v>0.42394366197183109</v>
      </c>
      <c r="V54" s="18">
        <v>0.35008990664061157</v>
      </c>
      <c r="W54" s="18">
        <v>0</v>
      </c>
      <c r="X54" s="18">
        <v>0</v>
      </c>
      <c r="Y54" s="18">
        <v>0</v>
      </c>
      <c r="Z54" s="18">
        <v>9.8591549295774646E-6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2.2253521126760565E-5</v>
      </c>
      <c r="AH54" s="18">
        <v>0</v>
      </c>
      <c r="AI54" s="18">
        <v>2.2535211267605634E-5</v>
      </c>
      <c r="AJ54" s="18">
        <v>1.5492957746478875E-3</v>
      </c>
      <c r="AK54" s="18">
        <v>5.6338028169014096E-3</v>
      </c>
      <c r="AL54" s="18">
        <v>0</v>
      </c>
      <c r="AM54" s="18">
        <v>9.8591549295774654E-7</v>
      </c>
      <c r="AN54" s="18">
        <v>0</v>
      </c>
      <c r="AO54" s="18">
        <v>0</v>
      </c>
      <c r="AP54" s="18">
        <v>0.11267605633802817</v>
      </c>
      <c r="AQ54" s="18">
        <v>0</v>
      </c>
      <c r="AR54" s="18">
        <v>0</v>
      </c>
      <c r="AS54" s="18">
        <v>2.4647887323943664E-5</v>
      </c>
      <c r="AT54" s="18">
        <v>1.2676056338028169E-5</v>
      </c>
      <c r="AU54" s="18">
        <v>0</v>
      </c>
      <c r="AV54" s="18">
        <v>0</v>
      </c>
      <c r="AW54" s="18">
        <v>0</v>
      </c>
      <c r="AX54" s="18">
        <v>6.4788732394366198E-7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1.4084507042253524E-3</v>
      </c>
      <c r="BF54" s="18">
        <v>0</v>
      </c>
      <c r="BG54" s="18">
        <v>0</v>
      </c>
      <c r="BH54" s="18">
        <v>0</v>
      </c>
      <c r="BI54" s="18">
        <v>4.225352112676056</v>
      </c>
      <c r="BJ54" s="18">
        <v>1.4084507042253522</v>
      </c>
      <c r="BK54" s="18">
        <f>'Composition of waste'!$BK54*$E54/100</f>
        <v>0</v>
      </c>
      <c r="BL54" s="18">
        <f>'Composition of waste'!$BL54*$E54/100</f>
        <v>0</v>
      </c>
      <c r="BM54" s="18">
        <v>0</v>
      </c>
      <c r="BN54" s="18">
        <f>'Composition of waste'!$BN54*$E54/100</f>
        <v>0</v>
      </c>
      <c r="BO54" s="18">
        <f>'Composition of waste'!$BO54*$E54/100</f>
        <v>0</v>
      </c>
      <c r="BP54" s="18">
        <f>'Composition of waste'!$BP54*$E54/100</f>
        <v>0</v>
      </c>
      <c r="BQ54" s="18">
        <v>0</v>
      </c>
      <c r="BR54" s="18">
        <f>'Composition of waste'!$BR54*$E54/100</f>
        <v>0</v>
      </c>
      <c r="BS54" s="18">
        <v>15.334245352112678</v>
      </c>
      <c r="BT54" s="18">
        <v>1.1475568653239439</v>
      </c>
      <c r="BU54" s="18">
        <v>5.6338028169014089</v>
      </c>
      <c r="BV54" s="18">
        <v>7.042253521126761</v>
      </c>
      <c r="BW54" s="18">
        <v>0</v>
      </c>
      <c r="BX54" s="18">
        <v>0</v>
      </c>
      <c r="BY54" s="18">
        <v>16.901408450704224</v>
      </c>
      <c r="BZ54" s="18">
        <v>12.816901408450704</v>
      </c>
      <c r="CA54" s="18">
        <v>0</v>
      </c>
      <c r="CB54" s="19">
        <v>53.521126760563376</v>
      </c>
    </row>
    <row r="55" spans="1:80" x14ac:dyDescent="0.35">
      <c r="A55" s="17" t="s">
        <v>117</v>
      </c>
      <c r="B55" s="17" t="s">
        <v>171</v>
      </c>
      <c r="C55" s="17"/>
      <c r="D55" s="18">
        <f>'Composition of waste'!$D55*$C55/100</f>
        <v>0</v>
      </c>
      <c r="E55" s="18">
        <f>'Composition of waste'!$E55*$C55/100</f>
        <v>0</v>
      </c>
      <c r="F55" s="18">
        <f>'Composition of waste'!$F55*$E55/100</f>
        <v>0</v>
      </c>
      <c r="G55" s="18">
        <f>'Composition of waste'!$G55*$E55/100</f>
        <v>0</v>
      </c>
      <c r="H55" s="18">
        <v>14.762229032238551</v>
      </c>
      <c r="I55" s="18">
        <v>437.13333333333333</v>
      </c>
      <c r="J55" s="18">
        <f>'Composition of waste'!$J55*'Composition (mass)'!$E55/100</f>
        <v>0</v>
      </c>
      <c r="K55" s="18">
        <v>39.340515463085445</v>
      </c>
      <c r="L55" s="18">
        <v>0</v>
      </c>
      <c r="M55" s="18">
        <v>0.12923076923076923</v>
      </c>
      <c r="N55" s="18">
        <v>0</v>
      </c>
      <c r="O55" s="18">
        <v>0</v>
      </c>
      <c r="P55" s="18">
        <v>6.21973103554443</v>
      </c>
      <c r="Q55" s="18">
        <v>3.6923076923076921</v>
      </c>
      <c r="R55" s="18">
        <f>'Composition of waste'!$R55*'Composition (mass)'!$E55/100</f>
        <v>0</v>
      </c>
      <c r="S55" s="18">
        <v>4.6153846153846149E-2</v>
      </c>
      <c r="T55" s="18">
        <f>'Composition of waste'!$T55*'Composition (mass)'!$E55/100</f>
        <v>0</v>
      </c>
      <c r="U55" s="18">
        <v>0.4661538461538462</v>
      </c>
      <c r="V55" s="18">
        <v>0.49166472602934247</v>
      </c>
      <c r="W55" s="18">
        <v>0</v>
      </c>
      <c r="X55" s="18">
        <v>0</v>
      </c>
      <c r="Y55" s="18">
        <v>0</v>
      </c>
      <c r="Z55" s="18">
        <v>2.4615384615384615E-6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1.0615384615384615E-5</v>
      </c>
      <c r="AH55" s="18">
        <v>0</v>
      </c>
      <c r="AI55" s="18">
        <v>1.0769230769230769E-5</v>
      </c>
      <c r="AJ55" s="18">
        <v>1.2307692307692308E-3</v>
      </c>
      <c r="AK55" s="18">
        <v>6.1538461538461538E-3</v>
      </c>
      <c r="AL55" s="18">
        <v>0</v>
      </c>
      <c r="AM55" s="18">
        <v>1.5384615384615384E-5</v>
      </c>
      <c r="AN55" s="18">
        <v>0</v>
      </c>
      <c r="AO55" s="18">
        <v>0</v>
      </c>
      <c r="AP55" s="18">
        <v>0.15384615384615385</v>
      </c>
      <c r="AQ55" s="18">
        <v>3.8461538461538464E-3</v>
      </c>
      <c r="AR55" s="18">
        <v>0</v>
      </c>
      <c r="AS55" s="18">
        <v>6.0769230769230767E-6</v>
      </c>
      <c r="AT55" s="18">
        <v>5.3846153846153847E-6</v>
      </c>
      <c r="AU55" s="18">
        <v>0</v>
      </c>
      <c r="AV55" s="18">
        <v>0</v>
      </c>
      <c r="AW55" s="18">
        <v>0</v>
      </c>
      <c r="AX55" s="18">
        <v>3.076923076923077E-6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2.4615384615384616E-3</v>
      </c>
      <c r="BF55" s="18">
        <v>0</v>
      </c>
      <c r="BG55" s="18">
        <v>0</v>
      </c>
      <c r="BH55" s="18">
        <v>0</v>
      </c>
      <c r="BI55" s="18">
        <v>1.5384615384615385</v>
      </c>
      <c r="BJ55" s="18">
        <v>3.0769230769230771</v>
      </c>
      <c r="BK55" s="18">
        <f>'Composition of waste'!$BK55*$E55/100</f>
        <v>0</v>
      </c>
      <c r="BL55" s="18">
        <f>'Composition of waste'!$BL55*$E55/100</f>
        <v>0</v>
      </c>
      <c r="BM55" s="18">
        <v>0</v>
      </c>
      <c r="BN55" s="18">
        <f>'Composition of waste'!$BN55*$E55/100</f>
        <v>0</v>
      </c>
      <c r="BO55" s="18">
        <f>'Composition of waste'!$BO55*$E55/100</f>
        <v>0</v>
      </c>
      <c r="BP55" s="18">
        <f>'Composition of waste'!$BP55*$E55/100</f>
        <v>0</v>
      </c>
      <c r="BQ55" s="18">
        <v>0</v>
      </c>
      <c r="BR55" s="18">
        <f>'Composition of waste'!$BR55*$E55/100</f>
        <v>0</v>
      </c>
      <c r="BS55" s="18">
        <v>16.734592307692306</v>
      </c>
      <c r="BT55" s="18">
        <v>1.2860511792307692</v>
      </c>
      <c r="BU55" s="18">
        <v>21.538461538461537</v>
      </c>
      <c r="BV55" s="18">
        <v>21.538461538461537</v>
      </c>
      <c r="BW55" s="18">
        <v>0</v>
      </c>
      <c r="BX55" s="18">
        <v>0</v>
      </c>
      <c r="BY55" s="18">
        <v>44.615384615384613</v>
      </c>
      <c r="BZ55" s="18">
        <v>12.76923076923077</v>
      </c>
      <c r="CA55" s="18">
        <v>0</v>
      </c>
      <c r="CB55" s="19">
        <v>29.230769230769226</v>
      </c>
    </row>
    <row r="56" spans="1:80" x14ac:dyDescent="0.35">
      <c r="A56" s="17" t="s">
        <v>117</v>
      </c>
      <c r="B56" s="17" t="s">
        <v>172</v>
      </c>
      <c r="C56" s="17"/>
      <c r="D56" s="18">
        <f>'Composition of waste'!$D56*$C56/100</f>
        <v>0</v>
      </c>
      <c r="E56" s="18">
        <f>'Composition of waste'!$E56*$C56/100</f>
        <v>0</v>
      </c>
      <c r="F56" s="18">
        <f>'Composition of waste'!$F56*$E56/100</f>
        <v>0</v>
      </c>
      <c r="G56" s="18">
        <f>'Composition of waste'!$G56*$E56/100</f>
        <v>0</v>
      </c>
      <c r="H56" s="18">
        <v>15.543519724145114</v>
      </c>
      <c r="I56" s="18">
        <v>463.22916666666657</v>
      </c>
      <c r="J56" s="18">
        <f>'Composition of waste'!$J56*'Composition (mass)'!$E56/100</f>
        <v>0</v>
      </c>
      <c r="K56" s="18">
        <v>40.354210049868691</v>
      </c>
      <c r="L56" s="18">
        <v>0</v>
      </c>
      <c r="M56" s="18">
        <v>0.56349527990865378</v>
      </c>
      <c r="N56" s="18">
        <v>0</v>
      </c>
      <c r="O56" s="18">
        <v>0</v>
      </c>
      <c r="P56" s="18">
        <v>6.1336624009149219</v>
      </c>
      <c r="Q56" s="18">
        <v>4.1706603839329262</v>
      </c>
      <c r="R56" s="18">
        <f>'Composition of waste'!$R56*'Composition (mass)'!$E56/100</f>
        <v>0</v>
      </c>
      <c r="S56" s="18">
        <v>0.32354684978798454</v>
      </c>
      <c r="T56" s="18">
        <f>'Composition of waste'!$T56*'Composition (mass)'!$E56/100</f>
        <v>0</v>
      </c>
      <c r="U56" s="18">
        <v>0.54203856483491741</v>
      </c>
      <c r="V56" s="18">
        <v>0.85305032268290359</v>
      </c>
      <c r="W56" s="18">
        <v>0</v>
      </c>
      <c r="X56" s="18">
        <v>0</v>
      </c>
      <c r="Y56" s="18">
        <v>0</v>
      </c>
      <c r="Z56" s="18">
        <v>5.6737588652482272E-7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1.1773049645390069E-5</v>
      </c>
      <c r="AH56" s="18">
        <v>0</v>
      </c>
      <c r="AI56" s="18">
        <v>2.8368794326241132E-6</v>
      </c>
      <c r="AJ56" s="18">
        <v>6.7088017239992929E-4</v>
      </c>
      <c r="AK56" s="18">
        <v>1.3752888074063351E-2</v>
      </c>
      <c r="AL56" s="18">
        <v>0</v>
      </c>
      <c r="AM56" s="18">
        <v>1.4184397163120568E-7</v>
      </c>
      <c r="AN56" s="18">
        <v>0</v>
      </c>
      <c r="AO56" s="18">
        <v>0</v>
      </c>
      <c r="AP56" s="18">
        <v>0.22733739673962572</v>
      </c>
      <c r="AQ56" s="18">
        <v>3.543995218260669E-3</v>
      </c>
      <c r="AR56" s="18">
        <v>0</v>
      </c>
      <c r="AS56" s="18">
        <v>2.9078014184397158E-5</v>
      </c>
      <c r="AT56" s="18">
        <v>1.4184397163120566E-6</v>
      </c>
      <c r="AU56" s="18">
        <v>0</v>
      </c>
      <c r="AV56" s="18">
        <v>0</v>
      </c>
      <c r="AW56" s="18">
        <v>0</v>
      </c>
      <c r="AX56" s="18">
        <v>1.4184397163120566E-6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3.7789946553877657E-3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f>'Composition of waste'!$BK56*$E56/100</f>
        <v>0</v>
      </c>
      <c r="BL56" s="18">
        <f>'Composition of waste'!$BL56*$E56/100</f>
        <v>0</v>
      </c>
      <c r="BM56" s="18">
        <v>0</v>
      </c>
      <c r="BN56" s="18">
        <f>'Composition of waste'!$BN56*$E56/100</f>
        <v>0</v>
      </c>
      <c r="BO56" s="18">
        <f>'Composition of waste'!$BO56*$E56/100</f>
        <v>0</v>
      </c>
      <c r="BP56" s="18">
        <f>'Composition of waste'!$BP56*$E56/100</f>
        <v>0</v>
      </c>
      <c r="BQ56" s="18">
        <v>0</v>
      </c>
      <c r="BR56" s="18">
        <f>'Composition of waste'!$BR56*$E56/100</f>
        <v>0</v>
      </c>
      <c r="BS56" s="18">
        <v>17.269016276193693</v>
      </c>
      <c r="BT56" s="18">
        <v>1.3389057097155561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13.093174227925999</v>
      </c>
      <c r="CA56" s="18">
        <v>0</v>
      </c>
      <c r="CB56" s="19">
        <v>61.432752770138791</v>
      </c>
    </row>
    <row r="57" spans="1:80" x14ac:dyDescent="0.35">
      <c r="A57" s="17" t="s">
        <v>117</v>
      </c>
      <c r="B57" s="17" t="s">
        <v>173</v>
      </c>
      <c r="C57" s="17"/>
      <c r="D57" s="18">
        <f>'Composition of waste'!$D57*$C57/100</f>
        <v>0</v>
      </c>
      <c r="E57" s="18">
        <f>'Composition of waste'!$E57*$C57/100</f>
        <v>0</v>
      </c>
      <c r="F57" s="18">
        <f>'Composition of waste'!$F57*$E57/100</f>
        <v>0</v>
      </c>
      <c r="G57" s="18">
        <f>'Composition of waste'!$G57*$E57/100</f>
        <v>0</v>
      </c>
      <c r="H57" s="18">
        <v>16.31670898140338</v>
      </c>
      <c r="I57" s="18">
        <v>464.01858678955449</v>
      </c>
      <c r="J57" s="18">
        <f>'Composition of waste'!$J57*'Composition (mass)'!$E57/100</f>
        <v>0</v>
      </c>
      <c r="K57" s="18">
        <v>41.799964966710917</v>
      </c>
      <c r="L57" s="18">
        <v>0</v>
      </c>
      <c r="M57" s="18">
        <v>0.27364283843938203</v>
      </c>
      <c r="N57" s="18">
        <v>0</v>
      </c>
      <c r="O57" s="18">
        <v>0</v>
      </c>
      <c r="P57" s="18">
        <v>6.389255968774866</v>
      </c>
      <c r="Q57" s="18">
        <v>2.9328698612202153</v>
      </c>
      <c r="R57" s="18">
        <f>'Composition of waste'!$R57*'Composition (mass)'!$E57/100</f>
        <v>0</v>
      </c>
      <c r="S57" s="18">
        <v>8.2057170288906342E-2</v>
      </c>
      <c r="T57" s="18">
        <f>'Composition of waste'!$T57*'Composition (mass)'!$E57/100</f>
        <v>0</v>
      </c>
      <c r="U57" s="18">
        <v>0.82510997643362138</v>
      </c>
      <c r="V57" s="18">
        <v>0.99351149366316793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2.7363184079601987E-4</v>
      </c>
      <c r="AK57" s="18">
        <v>2.4875621890547263E-3</v>
      </c>
      <c r="AL57" s="18">
        <v>0</v>
      </c>
      <c r="AM57" s="18">
        <v>0</v>
      </c>
      <c r="AN57" s="18">
        <v>0</v>
      </c>
      <c r="AO57" s="18">
        <v>0</v>
      </c>
      <c r="AP57" s="18">
        <v>0.13051837304704547</v>
      </c>
      <c r="AQ57" s="18">
        <v>0</v>
      </c>
      <c r="AR57" s="18">
        <v>0</v>
      </c>
      <c r="AS57" s="18">
        <v>8.9552238805970142E-5</v>
      </c>
      <c r="AT57" s="18">
        <v>0</v>
      </c>
      <c r="AU57" s="18">
        <v>0</v>
      </c>
      <c r="AV57" s="18">
        <v>0</v>
      </c>
      <c r="AW57" s="18">
        <v>0</v>
      </c>
      <c r="AX57" s="18">
        <v>4.9751243781094521E-6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2.1890547263681589E-3</v>
      </c>
      <c r="BF57" s="18">
        <v>0</v>
      </c>
      <c r="BG57" s="18">
        <v>0</v>
      </c>
      <c r="BH57" s="18">
        <v>0</v>
      </c>
      <c r="BI57" s="18">
        <v>0.89552238805970141</v>
      </c>
      <c r="BJ57" s="18">
        <v>0</v>
      </c>
      <c r="BK57" s="18">
        <f>'Composition of waste'!$BK57*$E57/100</f>
        <v>0</v>
      </c>
      <c r="BL57" s="18">
        <f>'Composition of waste'!$BL57*$E57/100</f>
        <v>0</v>
      </c>
      <c r="BM57" s="18">
        <v>0</v>
      </c>
      <c r="BN57" s="18">
        <f>'Composition of waste'!$BN57*$E57/100</f>
        <v>0</v>
      </c>
      <c r="BO57" s="18">
        <f>'Composition of waste'!$BO57*$E57/100</f>
        <v>0</v>
      </c>
      <c r="BP57" s="18">
        <f>'Composition of waste'!$BP57*$E57/100</f>
        <v>0</v>
      </c>
      <c r="BQ57" s="18">
        <v>0</v>
      </c>
      <c r="BR57" s="18">
        <f>'Composition of waste'!$BR57*$E57/100</f>
        <v>0</v>
      </c>
      <c r="BS57" s="18">
        <v>17.996030514006353</v>
      </c>
      <c r="BT57" s="18">
        <v>1.4103758257954275</v>
      </c>
      <c r="BU57" s="18">
        <v>3.3333333333333335</v>
      </c>
      <c r="BV57" s="18">
        <v>1.592039800995025</v>
      </c>
      <c r="BW57" s="18">
        <v>0</v>
      </c>
      <c r="BX57" s="18">
        <v>0</v>
      </c>
      <c r="BY57" s="18">
        <v>5.8208955223880592</v>
      </c>
      <c r="BZ57" s="18">
        <v>14.351514358034391</v>
      </c>
      <c r="CA57" s="18">
        <v>0</v>
      </c>
      <c r="CB57" s="19">
        <v>50.488173169241499</v>
      </c>
    </row>
    <row r="58" spans="1:80" x14ac:dyDescent="0.35">
      <c r="A58" s="17" t="s">
        <v>117</v>
      </c>
      <c r="B58" s="17" t="s">
        <v>174</v>
      </c>
      <c r="C58" s="17"/>
      <c r="D58" s="18">
        <f>'Composition of waste'!$D58*$C58/100</f>
        <v>0</v>
      </c>
      <c r="E58" s="18">
        <f>'Composition of waste'!$E58*$C58/100</f>
        <v>0</v>
      </c>
      <c r="F58" s="18">
        <f>'Composition of waste'!$F58*$E58/100</f>
        <v>0</v>
      </c>
      <c r="G58" s="18">
        <f>'Composition of waste'!$G58*$E58/100</f>
        <v>0</v>
      </c>
      <c r="H58" s="18">
        <v>16.830822472014166</v>
      </c>
      <c r="I58" s="18">
        <v>452.61733615221988</v>
      </c>
      <c r="J58" s="18">
        <f>'Composition of waste'!$J58*'Composition (mass)'!$E58/100</f>
        <v>0</v>
      </c>
      <c r="K58" s="18">
        <v>44.820507453499388</v>
      </c>
      <c r="L58" s="18">
        <v>0</v>
      </c>
      <c r="M58" s="18">
        <v>6.4182194616977231E-2</v>
      </c>
      <c r="N58" s="18">
        <v>0</v>
      </c>
      <c r="O58" s="18">
        <v>0</v>
      </c>
      <c r="P58" s="18">
        <v>6.4494291331154212</v>
      </c>
      <c r="Q58" s="18">
        <v>1.2401656314699794</v>
      </c>
      <c r="R58" s="18">
        <f>'Composition of waste'!$R58*'Composition (mass)'!$E58/100</f>
        <v>0</v>
      </c>
      <c r="S58" s="18">
        <v>8.2815734989648039E-3</v>
      </c>
      <c r="T58" s="18">
        <f>'Composition of waste'!$T58*'Composition (mass)'!$E58/100</f>
        <v>0</v>
      </c>
      <c r="U58" s="18">
        <v>0.15320910973084886</v>
      </c>
      <c r="V58" s="18">
        <v>0.14703568986384755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4.7619047619047624E-4</v>
      </c>
      <c r="AK58" s="18">
        <v>1.8633540372670809E-3</v>
      </c>
      <c r="AL58" s="18">
        <v>0</v>
      </c>
      <c r="AM58" s="18">
        <v>0</v>
      </c>
      <c r="AN58" s="18">
        <v>0</v>
      </c>
      <c r="AO58" s="18">
        <v>0</v>
      </c>
      <c r="AP58" s="18">
        <v>7.8674948240165632E-2</v>
      </c>
      <c r="AQ58" s="18">
        <v>7.5983436853002077E-3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8">
        <v>55.693581780538302</v>
      </c>
      <c r="BK58" s="18">
        <f>'Composition of waste'!$BK58*$E58/100</f>
        <v>0</v>
      </c>
      <c r="BL58" s="18">
        <f>'Composition of waste'!$BL58*$E58/100</f>
        <v>0</v>
      </c>
      <c r="BM58" s="18">
        <v>0</v>
      </c>
      <c r="BN58" s="18">
        <f>'Composition of waste'!$BN58*$E58/100</f>
        <v>0</v>
      </c>
      <c r="BO58" s="18">
        <f>'Composition of waste'!$BO58*$E58/100</f>
        <v>0</v>
      </c>
      <c r="BP58" s="18">
        <f>'Composition of waste'!$BP58*$E58/100</f>
        <v>0</v>
      </c>
      <c r="BQ58" s="18">
        <v>0</v>
      </c>
      <c r="BR58" s="18">
        <f>'Composition of waste'!$BR58*$E58/100</f>
        <v>0</v>
      </c>
      <c r="BS58" s="18">
        <v>17.735114927536234</v>
      </c>
      <c r="BT58" s="18">
        <v>1.3850028663333336</v>
      </c>
      <c r="BU58" s="18">
        <v>0</v>
      </c>
      <c r="BV58" s="18">
        <v>0</v>
      </c>
      <c r="BW58" s="18">
        <v>0</v>
      </c>
      <c r="BX58" s="18">
        <v>0</v>
      </c>
      <c r="BY58" s="18">
        <v>14.492753623188406</v>
      </c>
      <c r="BZ58" s="18">
        <v>16.501035196687372</v>
      </c>
      <c r="CA58" s="18">
        <v>0</v>
      </c>
      <c r="CB58" s="19">
        <v>32.505175983436857</v>
      </c>
    </row>
    <row r="59" spans="1:80" x14ac:dyDescent="0.35">
      <c r="A59" s="17" t="s">
        <v>117</v>
      </c>
      <c r="B59" s="17" t="s">
        <v>175</v>
      </c>
      <c r="C59" s="17"/>
      <c r="D59" s="18">
        <f>'Composition of waste'!$D59*$C59/100</f>
        <v>0</v>
      </c>
      <c r="E59" s="18">
        <f>'Composition of waste'!$E59*$C59/100</f>
        <v>0</v>
      </c>
      <c r="F59" s="18">
        <f>'Composition of waste'!$F59*$E59/100</f>
        <v>0</v>
      </c>
      <c r="G59" s="18">
        <f>'Composition of waste'!$G59*$E59/100</f>
        <v>0</v>
      </c>
      <c r="H59" s="18">
        <v>14.972221502046677</v>
      </c>
      <c r="I59" s="18">
        <v>495.6328125</v>
      </c>
      <c r="J59" s="18">
        <f>'Composition of waste'!$J59*'Composition (mass)'!$E59/100</f>
        <v>0</v>
      </c>
      <c r="K59" s="18">
        <v>36.310005826094027</v>
      </c>
      <c r="L59" s="18">
        <v>0</v>
      </c>
      <c r="M59" s="18">
        <v>1.5542168674698793</v>
      </c>
      <c r="N59" s="18">
        <v>0</v>
      </c>
      <c r="O59" s="18">
        <v>0</v>
      </c>
      <c r="P59" s="18">
        <v>5.5355341102832663</v>
      </c>
      <c r="Q59" s="18">
        <v>5.4096385542168672</v>
      </c>
      <c r="R59" s="18">
        <f>'Composition of waste'!$R59*'Composition (mass)'!$E59/100</f>
        <v>0</v>
      </c>
      <c r="S59" s="18">
        <v>0.49397590361445781</v>
      </c>
      <c r="T59" s="18">
        <f>'Composition of waste'!$T59*'Composition (mass)'!$E59/100</f>
        <v>0</v>
      </c>
      <c r="U59" s="18">
        <v>0.49759036144578306</v>
      </c>
      <c r="V59" s="18">
        <v>1.1123338513916852</v>
      </c>
      <c r="W59" s="18">
        <v>0</v>
      </c>
      <c r="X59" s="18">
        <v>0</v>
      </c>
      <c r="Y59" s="18">
        <v>0</v>
      </c>
      <c r="Z59" s="18">
        <v>1.3493975903614458E-5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8.2048192771084317E-5</v>
      </c>
      <c r="AH59" s="18">
        <v>0</v>
      </c>
      <c r="AI59" s="18">
        <v>1.1204819277108433E-4</v>
      </c>
      <c r="AJ59" s="18">
        <v>8.7951807228915646E-4</v>
      </c>
      <c r="AK59" s="18">
        <v>5.4216867469879519E-2</v>
      </c>
      <c r="AL59" s="18">
        <v>0</v>
      </c>
      <c r="AM59" s="18">
        <v>5.9036144578313247E-6</v>
      </c>
      <c r="AN59" s="18">
        <v>0</v>
      </c>
      <c r="AO59" s="18">
        <v>0</v>
      </c>
      <c r="AP59" s="18">
        <v>0.31325301204819272</v>
      </c>
      <c r="AQ59" s="18">
        <v>2.0481927710843371E-2</v>
      </c>
      <c r="AR59" s="18">
        <v>0</v>
      </c>
      <c r="AS59" s="18">
        <v>5.0602409638554205E-5</v>
      </c>
      <c r="AT59" s="18">
        <v>3.6385542168674693E-5</v>
      </c>
      <c r="AU59" s="18">
        <v>0</v>
      </c>
      <c r="AV59" s="18">
        <v>0</v>
      </c>
      <c r="AW59" s="18">
        <v>0</v>
      </c>
      <c r="AX59" s="18">
        <v>1.2048192771084336E-6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1.3253012048192772E-2</v>
      </c>
      <c r="BF59" s="18">
        <v>0</v>
      </c>
      <c r="BG59" s="18">
        <v>0</v>
      </c>
      <c r="BH59" s="18">
        <v>0</v>
      </c>
      <c r="BI59" s="18">
        <v>1.9277108433734937</v>
      </c>
      <c r="BJ59" s="18">
        <v>1.0843373493975901</v>
      </c>
      <c r="BK59" s="18">
        <f>'Composition of waste'!$BK59*$E59/100</f>
        <v>0</v>
      </c>
      <c r="BL59" s="18">
        <f>'Composition of waste'!$BL59*$E59/100</f>
        <v>0</v>
      </c>
      <c r="BM59" s="18">
        <v>0</v>
      </c>
      <c r="BN59" s="18">
        <f>'Composition of waste'!$BN59*$E59/100</f>
        <v>0</v>
      </c>
      <c r="BO59" s="18">
        <f>'Composition of waste'!$BO59*$E59/100</f>
        <v>0</v>
      </c>
      <c r="BP59" s="18">
        <f>'Composition of waste'!$BP59*$E59/100</f>
        <v>0</v>
      </c>
      <c r="BQ59" s="18">
        <v>0</v>
      </c>
      <c r="BR59" s="18">
        <f>'Composition of waste'!$BR59*$E59/100</f>
        <v>0</v>
      </c>
      <c r="BS59" s="18">
        <v>15.760230357008947</v>
      </c>
      <c r="BT59" s="18">
        <v>1.1883280473684259</v>
      </c>
      <c r="BU59" s="18">
        <v>1.0843373493975901</v>
      </c>
      <c r="BV59" s="18">
        <v>1.3253012048192772</v>
      </c>
      <c r="BW59" s="18">
        <v>0</v>
      </c>
      <c r="BX59" s="18">
        <v>0</v>
      </c>
      <c r="BY59" s="18">
        <v>4.3373493975903603</v>
      </c>
      <c r="BZ59" s="18">
        <v>12.53012048192771</v>
      </c>
      <c r="CA59" s="18">
        <v>0</v>
      </c>
      <c r="CB59" s="19">
        <v>22.650602409638559</v>
      </c>
    </row>
    <row r="60" spans="1:80" x14ac:dyDescent="0.35">
      <c r="A60" s="17" t="s">
        <v>117</v>
      </c>
      <c r="B60" s="17" t="s">
        <v>176</v>
      </c>
      <c r="C60" s="17"/>
      <c r="D60" s="18">
        <f>'Composition of waste'!$D60*$C60/100</f>
        <v>0</v>
      </c>
      <c r="E60" s="18">
        <f>'Composition of waste'!$E60*$C60/100</f>
        <v>0</v>
      </c>
      <c r="F60" s="18">
        <f>'Composition of waste'!$F60*$E60/100</f>
        <v>0</v>
      </c>
      <c r="G60" s="18">
        <f>'Composition of waste'!$G60*$E60/100</f>
        <v>0</v>
      </c>
      <c r="H60" s="18">
        <v>14.985760453332183</v>
      </c>
      <c r="I60" s="18">
        <v>435.78723404255317</v>
      </c>
      <c r="J60" s="18">
        <f>'Composition of waste'!$J60*'Composition (mass)'!$E60/100</f>
        <v>0</v>
      </c>
      <c r="K60" s="18">
        <v>40.005077213411504</v>
      </c>
      <c r="L60" s="18">
        <v>0</v>
      </c>
      <c r="M60" s="18">
        <v>0.1414965986394558</v>
      </c>
      <c r="N60" s="18">
        <v>0</v>
      </c>
      <c r="O60" s="18">
        <v>0</v>
      </c>
      <c r="P60" s="18">
        <v>6.5293077501876402</v>
      </c>
      <c r="Q60" s="18">
        <v>1.1972789115646258</v>
      </c>
      <c r="R60" s="18">
        <f>'Composition of waste'!$R60*'Composition (mass)'!$E60/100</f>
        <v>0</v>
      </c>
      <c r="S60" s="18">
        <v>1.3605442176870748E-2</v>
      </c>
      <c r="T60" s="18">
        <f>'Composition of waste'!$T60*'Composition (mass)'!$E60/100</f>
        <v>0</v>
      </c>
      <c r="U60" s="18">
        <v>0.18979591836734694</v>
      </c>
      <c r="V60" s="18">
        <v>0.33818208668684929</v>
      </c>
      <c r="W60" s="18">
        <v>0</v>
      </c>
      <c r="X60" s="18">
        <v>0</v>
      </c>
      <c r="Y60" s="18">
        <v>0</v>
      </c>
      <c r="Z60" s="18">
        <v>6.8027210884353747E-7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3.1292517006802721E-7</v>
      </c>
      <c r="AH60" s="18">
        <v>0</v>
      </c>
      <c r="AI60" s="18">
        <v>2.0408163265306125E-6</v>
      </c>
      <c r="AJ60" s="18">
        <v>4.7619047619047624E-4</v>
      </c>
      <c r="AK60" s="18">
        <v>2.0408163265306124E-3</v>
      </c>
      <c r="AL60" s="18">
        <v>0</v>
      </c>
      <c r="AM60" s="18">
        <v>6.8027210884353747E-8</v>
      </c>
      <c r="AN60" s="18">
        <v>0</v>
      </c>
      <c r="AO60" s="18">
        <v>0</v>
      </c>
      <c r="AP60" s="18">
        <v>5.4421768707482991E-2</v>
      </c>
      <c r="AQ60" s="18">
        <v>5.4421768707483002E-4</v>
      </c>
      <c r="AR60" s="18">
        <v>0</v>
      </c>
      <c r="AS60" s="18">
        <v>1.0204081632653061E-5</v>
      </c>
      <c r="AT60" s="18">
        <v>3.3129251700680266E-6</v>
      </c>
      <c r="AU60" s="18">
        <v>0</v>
      </c>
      <c r="AV60" s="18">
        <v>0</v>
      </c>
      <c r="AW60" s="18">
        <v>0</v>
      </c>
      <c r="AX60" s="18">
        <v>6.8027210884353747E-7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6.8027210884353748E-4</v>
      </c>
      <c r="BF60" s="18">
        <v>0</v>
      </c>
      <c r="BG60" s="18">
        <v>0</v>
      </c>
      <c r="BH60" s="18">
        <v>0</v>
      </c>
      <c r="BI60" s="18">
        <v>1.360544217687075</v>
      </c>
      <c r="BJ60" s="18">
        <v>0</v>
      </c>
      <c r="BK60" s="18">
        <f>'Composition of waste'!$BK60*$E60/100</f>
        <v>0</v>
      </c>
      <c r="BL60" s="18">
        <f>'Composition of waste'!$BL60*$E60/100</f>
        <v>0</v>
      </c>
      <c r="BM60" s="18">
        <v>0</v>
      </c>
      <c r="BN60" s="18">
        <f>'Composition of waste'!$BN60*$E60/100</f>
        <v>0</v>
      </c>
      <c r="BO60" s="18">
        <f>'Composition of waste'!$BO60*$E60/100</f>
        <v>0</v>
      </c>
      <c r="BP60" s="18">
        <f>'Composition of waste'!$BP60*$E60/100</f>
        <v>0</v>
      </c>
      <c r="BQ60" s="18">
        <v>0</v>
      </c>
      <c r="BR60" s="18">
        <f>'Composition of waste'!$BR60*$E60/100</f>
        <v>0</v>
      </c>
      <c r="BS60" s="18">
        <v>17.161483877551021</v>
      </c>
      <c r="BT60" s="18">
        <v>1.3282707554897959</v>
      </c>
      <c r="BU60" s="18">
        <v>36.734693877551024</v>
      </c>
      <c r="BV60" s="18">
        <v>41.496598639455783</v>
      </c>
      <c r="BW60" s="18">
        <v>0</v>
      </c>
      <c r="BX60" s="18">
        <v>0</v>
      </c>
      <c r="BY60" s="18">
        <v>79.591836734693871</v>
      </c>
      <c r="BZ60" s="18">
        <v>15.918367346938776</v>
      </c>
      <c r="CA60" s="18">
        <v>0</v>
      </c>
      <c r="CB60" s="19">
        <v>4.7619047619047592</v>
      </c>
    </row>
    <row r="61" spans="1:80" x14ac:dyDescent="0.35">
      <c r="A61" s="17" t="s">
        <v>117</v>
      </c>
      <c r="B61" s="17" t="s">
        <v>177</v>
      </c>
      <c r="C61" s="17"/>
      <c r="D61" s="18">
        <f>'Composition of waste'!$D61*$C61/100</f>
        <v>0</v>
      </c>
      <c r="E61" s="18">
        <f>'Composition of waste'!$E61*$C61/100</f>
        <v>0</v>
      </c>
      <c r="F61" s="18">
        <f>'Composition of waste'!$F61*$E61/100</f>
        <v>0</v>
      </c>
      <c r="G61" s="18">
        <f>'Composition of waste'!$G61*$E61/100</f>
        <v>0</v>
      </c>
      <c r="H61" s="18">
        <v>15.847759511828567</v>
      </c>
      <c r="I61" s="18">
        <v>442.02247191011236</v>
      </c>
      <c r="J61" s="18">
        <f>'Composition of waste'!$J61*'Composition (mass)'!$E61/100</f>
        <v>0</v>
      </c>
      <c r="K61" s="18">
        <v>41.364077012127908</v>
      </c>
      <c r="L61" s="18">
        <v>0</v>
      </c>
      <c r="M61" s="18">
        <v>0.625</v>
      </c>
      <c r="N61" s="18">
        <v>0</v>
      </c>
      <c r="O61" s="18">
        <v>0</v>
      </c>
      <c r="P61" s="18">
        <v>6.131334925075266</v>
      </c>
      <c r="Q61" s="18">
        <v>2.46875</v>
      </c>
      <c r="R61" s="18">
        <f>'Composition of waste'!$R61*'Composition (mass)'!$E61/100</f>
        <v>0</v>
      </c>
      <c r="S61" s="18">
        <v>1.7708333333333333E-2</v>
      </c>
      <c r="T61" s="18">
        <f>'Composition of waste'!$T61*'Composition (mass)'!$E61/100</f>
        <v>0</v>
      </c>
      <c r="U61" s="18">
        <v>0.40625</v>
      </c>
      <c r="V61" s="18">
        <v>0.7027846488961087</v>
      </c>
      <c r="W61" s="18">
        <v>0</v>
      </c>
      <c r="X61" s="18">
        <v>0</v>
      </c>
      <c r="Y61" s="18">
        <v>0</v>
      </c>
      <c r="Z61" s="18">
        <v>9.3749999999999992E-7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1.7708333333333335E-6</v>
      </c>
      <c r="AH61" s="18">
        <v>0</v>
      </c>
      <c r="AI61" s="18">
        <v>1.2499999999999999E-5</v>
      </c>
      <c r="AJ61" s="18">
        <v>5.9374999999999999E-4</v>
      </c>
      <c r="AK61" s="18">
        <v>1.0416666666666668E-2</v>
      </c>
      <c r="AL61" s="18">
        <v>0</v>
      </c>
      <c r="AM61" s="18">
        <v>2.0833333333333333E-7</v>
      </c>
      <c r="AN61" s="18">
        <v>0</v>
      </c>
      <c r="AO61" s="18">
        <v>0</v>
      </c>
      <c r="AP61" s="18">
        <v>0.17708333333333334</v>
      </c>
      <c r="AQ61" s="18">
        <v>2.604166666666667E-3</v>
      </c>
      <c r="AR61" s="18">
        <v>2.0833333333333335E-4</v>
      </c>
      <c r="AS61" s="18">
        <v>1.4062500000000002E-4</v>
      </c>
      <c r="AT61" s="18">
        <v>1.2499999999999999E-5</v>
      </c>
      <c r="AU61" s="18">
        <v>0</v>
      </c>
      <c r="AV61" s="18">
        <v>0</v>
      </c>
      <c r="AW61" s="18">
        <v>0</v>
      </c>
      <c r="AX61" s="18">
        <v>3.1249999999999997E-6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4.0625000000000001E-3</v>
      </c>
      <c r="BF61" s="18">
        <v>0</v>
      </c>
      <c r="BG61" s="18">
        <v>0</v>
      </c>
      <c r="BH61" s="18">
        <v>0</v>
      </c>
      <c r="BI61" s="18">
        <v>5.5208333333333339</v>
      </c>
      <c r="BJ61" s="18">
        <v>32.291666666666671</v>
      </c>
      <c r="BK61" s="18">
        <f>'Composition of waste'!$BK61*$E61/100</f>
        <v>0</v>
      </c>
      <c r="BL61" s="18">
        <f>'Composition of waste'!$BL61*$E61/100</f>
        <v>0</v>
      </c>
      <c r="BM61" s="18">
        <v>0</v>
      </c>
      <c r="BN61" s="18">
        <f>'Composition of waste'!$BN61*$E61/100</f>
        <v>0</v>
      </c>
      <c r="BO61" s="18">
        <f>'Composition of waste'!$BO61*$E61/100</f>
        <v>0</v>
      </c>
      <c r="BP61" s="18">
        <f>'Composition of waste'!$BP61*$E61/100</f>
        <v>0</v>
      </c>
      <c r="BQ61" s="18">
        <v>0</v>
      </c>
      <c r="BR61" s="18">
        <f>'Composition of waste'!$BR61*$E61/100</f>
        <v>0</v>
      </c>
      <c r="BS61" s="18">
        <v>17.052290771742264</v>
      </c>
      <c r="BT61" s="18">
        <v>1.3167486406586433</v>
      </c>
      <c r="BU61" s="18">
        <v>7.1874999999999991</v>
      </c>
      <c r="BV61" s="18">
        <v>4.791666666666667</v>
      </c>
      <c r="BW61" s="18">
        <v>0</v>
      </c>
      <c r="BX61" s="18">
        <v>0</v>
      </c>
      <c r="BY61" s="18">
        <v>17.5</v>
      </c>
      <c r="BZ61" s="18">
        <v>13.4375</v>
      </c>
      <c r="CA61" s="18">
        <v>0</v>
      </c>
      <c r="CB61" s="19">
        <v>5.1041666666666572</v>
      </c>
    </row>
    <row r="62" spans="1:80" x14ac:dyDescent="0.35">
      <c r="A62" s="17" t="s">
        <v>117</v>
      </c>
      <c r="B62" s="17" t="s">
        <v>178</v>
      </c>
      <c r="C62" s="17"/>
      <c r="D62" s="18">
        <f>'Composition of waste'!$D62*$C62/100</f>
        <v>0</v>
      </c>
      <c r="E62" s="18">
        <f>'Composition of waste'!$E62*$C62/100</f>
        <v>0</v>
      </c>
      <c r="F62" s="18">
        <f>'Composition of waste'!$F62*$E62/100</f>
        <v>0</v>
      </c>
      <c r="G62" s="18">
        <f>'Composition of waste'!$G62*$E62/100</f>
        <v>0</v>
      </c>
      <c r="H62" s="18">
        <v>14.41799015328958</v>
      </c>
      <c r="I62" s="18">
        <v>451.4375</v>
      </c>
      <c r="J62" s="18">
        <f>'Composition of waste'!$J62*'Composition (mass)'!$E62/100</f>
        <v>0</v>
      </c>
      <c r="K62" s="18">
        <v>37.813149959136865</v>
      </c>
      <c r="L62" s="18">
        <v>0</v>
      </c>
      <c r="M62" s="18">
        <v>0.40675675675675677</v>
      </c>
      <c r="N62" s="18">
        <v>0</v>
      </c>
      <c r="O62" s="18">
        <v>0</v>
      </c>
      <c r="P62" s="18">
        <v>5.9159456878109289</v>
      </c>
      <c r="Q62" s="18">
        <v>5.3378378378378377</v>
      </c>
      <c r="R62" s="18">
        <f>'Composition of waste'!$R62*'Composition (mass)'!$E62/100</f>
        <v>0</v>
      </c>
      <c r="S62" s="18">
        <v>0.3648648648648648</v>
      </c>
      <c r="T62" s="18">
        <f>'Composition of waste'!$T62*'Composition (mass)'!$E62/100</f>
        <v>0</v>
      </c>
      <c r="U62" s="18">
        <v>0.5243243243243243</v>
      </c>
      <c r="V62" s="18">
        <v>0.67179414517522762</v>
      </c>
      <c r="W62" s="18">
        <v>0</v>
      </c>
      <c r="X62" s="18">
        <v>0</v>
      </c>
      <c r="Y62" s="18">
        <v>0</v>
      </c>
      <c r="Z62" s="18">
        <v>2.2972972972972969E-5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1.4864864864864863E-5</v>
      </c>
      <c r="AH62" s="18">
        <v>0</v>
      </c>
      <c r="AI62" s="18">
        <v>1.3513513513513512E-5</v>
      </c>
      <c r="AJ62" s="18">
        <v>0</v>
      </c>
      <c r="AK62" s="18">
        <v>4.2972972972972982E-3</v>
      </c>
      <c r="AL62" s="18">
        <v>0</v>
      </c>
      <c r="AM62" s="18">
        <v>6.7567567567567558E-6</v>
      </c>
      <c r="AN62" s="18">
        <v>0</v>
      </c>
      <c r="AO62" s="18">
        <v>0</v>
      </c>
      <c r="AP62" s="18">
        <v>0.15135135135135133</v>
      </c>
      <c r="AQ62" s="18">
        <v>0</v>
      </c>
      <c r="AR62" s="18">
        <v>0</v>
      </c>
      <c r="AS62" s="18">
        <v>4.5945945945945942E-4</v>
      </c>
      <c r="AT62" s="18">
        <v>2.7027027027027023E-5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3.0135135135135132E-3</v>
      </c>
      <c r="BF62" s="18">
        <v>0</v>
      </c>
      <c r="BG62" s="18">
        <v>0</v>
      </c>
      <c r="BH62" s="18">
        <v>0</v>
      </c>
      <c r="BI62" s="18">
        <v>0</v>
      </c>
      <c r="BJ62" s="18">
        <v>0</v>
      </c>
      <c r="BK62" s="18">
        <f>'Composition of waste'!$BK62*$E62/100</f>
        <v>0</v>
      </c>
      <c r="BL62" s="18">
        <f>'Composition of waste'!$BL62*$E62/100</f>
        <v>0</v>
      </c>
      <c r="BM62" s="18">
        <v>0</v>
      </c>
      <c r="BN62" s="18">
        <f>'Composition of waste'!$BN62*$E62/100</f>
        <v>0</v>
      </c>
      <c r="BO62" s="18">
        <f>'Composition of waste'!$BO62*$E62/100</f>
        <v>0</v>
      </c>
      <c r="BP62" s="18">
        <f>'Composition of waste'!$BP62*$E62/100</f>
        <v>0</v>
      </c>
      <c r="BQ62" s="18">
        <v>0</v>
      </c>
      <c r="BR62" s="18">
        <f>'Composition of waste'!$BR62*$E62/100</f>
        <v>0</v>
      </c>
      <c r="BS62" s="18">
        <v>16.242736216216215</v>
      </c>
      <c r="BT62" s="18">
        <v>1.2374066117837836</v>
      </c>
      <c r="BU62" s="18">
        <v>13.918918918918918</v>
      </c>
      <c r="BV62" s="18">
        <v>14.864864864864865</v>
      </c>
      <c r="BW62" s="18">
        <v>0</v>
      </c>
      <c r="BX62" s="18">
        <v>0</v>
      </c>
      <c r="BY62" s="18">
        <v>28.783783783783779</v>
      </c>
      <c r="BZ62" s="18">
        <v>12.837837837837839</v>
      </c>
      <c r="CA62" s="18">
        <v>0</v>
      </c>
      <c r="CB62" s="19">
        <v>36.081081081081088</v>
      </c>
    </row>
    <row r="63" spans="1:80" x14ac:dyDescent="0.35">
      <c r="A63" s="17" t="s">
        <v>117</v>
      </c>
      <c r="B63" s="17" t="s">
        <v>179</v>
      </c>
      <c r="C63" s="17"/>
      <c r="D63" s="18">
        <f>'Composition of waste'!$D63*$C63/100</f>
        <v>0</v>
      </c>
      <c r="E63" s="18">
        <f>'Composition of waste'!$E63*$C63/100</f>
        <v>0</v>
      </c>
      <c r="F63" s="18">
        <f>'Composition of waste'!$F63*$E63/100</f>
        <v>0</v>
      </c>
      <c r="G63" s="18">
        <f>'Composition of waste'!$G63*$E63/100</f>
        <v>0</v>
      </c>
      <c r="H63" s="18">
        <v>14.735644496129909</v>
      </c>
      <c r="I63" s="18">
        <v>429.66216216216213</v>
      </c>
      <c r="J63" s="18">
        <f>'Composition of waste'!$J63*'Composition (mass)'!$E63/100</f>
        <v>0</v>
      </c>
      <c r="K63" s="18">
        <v>39.815176276260061</v>
      </c>
      <c r="L63" s="18">
        <v>0</v>
      </c>
      <c r="M63" s="18">
        <v>0.625</v>
      </c>
      <c r="N63" s="18">
        <v>0</v>
      </c>
      <c r="O63" s="18">
        <v>0</v>
      </c>
      <c r="P63" s="18">
        <v>6.0727647896202566</v>
      </c>
      <c r="Q63" s="18">
        <v>3.5375000000000005</v>
      </c>
      <c r="R63" s="18">
        <f>'Composition of waste'!$R63*'Composition (mass)'!$E63/100</f>
        <v>0</v>
      </c>
      <c r="S63" s="18">
        <v>0.21250000000000002</v>
      </c>
      <c r="T63" s="18">
        <f>'Composition of waste'!$T63*'Composition (mass)'!$E63/100</f>
        <v>0</v>
      </c>
      <c r="U63" s="18">
        <v>0.625</v>
      </c>
      <c r="V63" s="18">
        <v>0.26631839326589385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6.2499999999999995E-6</v>
      </c>
      <c r="AJ63" s="18">
        <v>5.0000000000000001E-4</v>
      </c>
      <c r="AK63" s="18">
        <v>6.2500000000000003E-3</v>
      </c>
      <c r="AL63" s="18">
        <v>0</v>
      </c>
      <c r="AM63" s="18">
        <v>0</v>
      </c>
      <c r="AN63" s="18">
        <v>0</v>
      </c>
      <c r="AO63" s="18">
        <v>0</v>
      </c>
      <c r="AP63" s="18">
        <v>0.1</v>
      </c>
      <c r="AQ63" s="18">
        <v>8.5000000000000017E-4</v>
      </c>
      <c r="AR63" s="18">
        <v>1.25E-4</v>
      </c>
      <c r="AS63" s="18">
        <v>0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2.875E-3</v>
      </c>
      <c r="BF63" s="18">
        <v>0</v>
      </c>
      <c r="BG63" s="18">
        <v>0</v>
      </c>
      <c r="BH63" s="18">
        <v>0</v>
      </c>
      <c r="BI63" s="18">
        <v>0</v>
      </c>
      <c r="BJ63" s="18">
        <v>0</v>
      </c>
      <c r="BK63" s="18">
        <f>'Composition of waste'!$BK63*$E63/100</f>
        <v>0</v>
      </c>
      <c r="BL63" s="18">
        <f>'Composition of waste'!$BL63*$E63/100</f>
        <v>0</v>
      </c>
      <c r="BM63" s="18">
        <v>0</v>
      </c>
      <c r="BN63" s="18">
        <f>'Composition of waste'!$BN63*$E63/100</f>
        <v>0</v>
      </c>
      <c r="BO63" s="18">
        <f>'Composition of waste'!$BO63*$E63/100</f>
        <v>0</v>
      </c>
      <c r="BP63" s="18">
        <f>'Composition of waste'!$BP63*$E63/100</f>
        <v>0</v>
      </c>
      <c r="BQ63" s="18">
        <v>0</v>
      </c>
      <c r="BR63" s="18">
        <f>'Composition of waste'!$BR63*$E63/100</f>
        <v>0</v>
      </c>
      <c r="BS63" s="18">
        <v>16.311877750000001</v>
      </c>
      <c r="BT63" s="18">
        <v>1.2442447094750002</v>
      </c>
      <c r="BU63" s="18">
        <v>0</v>
      </c>
      <c r="BV63" s="18">
        <v>0</v>
      </c>
      <c r="BW63" s="18">
        <v>0</v>
      </c>
      <c r="BX63" s="18">
        <v>0</v>
      </c>
      <c r="BY63" s="18">
        <v>47.5</v>
      </c>
      <c r="BZ63" s="18">
        <v>13.75</v>
      </c>
      <c r="CA63" s="18">
        <v>0</v>
      </c>
      <c r="CB63" s="19">
        <v>83.75</v>
      </c>
    </row>
    <row r="64" spans="1:80" x14ac:dyDescent="0.35">
      <c r="A64" s="17" t="s">
        <v>117</v>
      </c>
      <c r="B64" s="17" t="s">
        <v>180</v>
      </c>
      <c r="C64" s="17"/>
      <c r="D64" s="18">
        <f>'Composition of waste'!$D64*$C64/100</f>
        <v>0</v>
      </c>
      <c r="E64" s="18">
        <f>'Composition of waste'!$E64*$C64/100</f>
        <v>0</v>
      </c>
      <c r="F64" s="18">
        <f>'Composition of waste'!$F64*$E64/100</f>
        <v>0</v>
      </c>
      <c r="G64" s="18">
        <f>'Composition of waste'!$G64*$E64/100</f>
        <v>0</v>
      </c>
      <c r="H64" s="18">
        <v>16.100836974359321</v>
      </c>
      <c r="I64" s="18">
        <v>459.4233531511714</v>
      </c>
      <c r="J64" s="18">
        <f>'Composition of waste'!$J64*'Composition (mass)'!$E64/100</f>
        <v>0</v>
      </c>
      <c r="K64" s="18">
        <v>41.689632526571003</v>
      </c>
      <c r="L64" s="18">
        <v>0</v>
      </c>
      <c r="M64" s="18">
        <v>4.7468354430379743E-2</v>
      </c>
      <c r="N64" s="18">
        <v>0</v>
      </c>
      <c r="O64" s="18">
        <v>0</v>
      </c>
      <c r="P64" s="18">
        <v>6.3419012220152693</v>
      </c>
      <c r="Q64" s="18">
        <v>1.0189873417721518</v>
      </c>
      <c r="R64" s="18">
        <f>'Composition of waste'!$R64*'Composition (mass)'!$E64/100</f>
        <v>0</v>
      </c>
      <c r="S64" s="18">
        <v>1.687763713080169E-2</v>
      </c>
      <c r="T64" s="18">
        <f>'Composition of waste'!$T64*'Composition (mass)'!$E64/100</f>
        <v>0</v>
      </c>
      <c r="U64" s="18">
        <v>0.17658227848101268</v>
      </c>
      <c r="V64" s="18">
        <v>1.0136853265835357</v>
      </c>
      <c r="W64" s="18">
        <v>0</v>
      </c>
      <c r="X64" s="18">
        <v>0</v>
      </c>
      <c r="Y64" s="18">
        <v>0</v>
      </c>
      <c r="Z64" s="18">
        <v>2.1097046413502107E-8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2.2995780590717298E-6</v>
      </c>
      <c r="AH64" s="18">
        <v>0</v>
      </c>
      <c r="AI64" s="18">
        <v>8.4388185654008432E-7</v>
      </c>
      <c r="AJ64" s="18">
        <v>1.1181434599156119E-4</v>
      </c>
      <c r="AK64" s="18">
        <v>1.8987341772151898E-3</v>
      </c>
      <c r="AL64" s="18">
        <v>0</v>
      </c>
      <c r="AM64" s="18">
        <v>1.0548523206751054E-7</v>
      </c>
      <c r="AN64" s="18">
        <v>0</v>
      </c>
      <c r="AO64" s="18">
        <v>0</v>
      </c>
      <c r="AP64" s="18">
        <v>5.0632911392405063E-2</v>
      </c>
      <c r="AQ64" s="18">
        <v>5.6962025316455698E-4</v>
      </c>
      <c r="AR64" s="18">
        <v>1.4767932489451475E-5</v>
      </c>
      <c r="AS64" s="18">
        <v>1.1814345991561179E-5</v>
      </c>
      <c r="AT64" s="18">
        <v>2.1940928270042189E-6</v>
      </c>
      <c r="AU64" s="18">
        <v>0</v>
      </c>
      <c r="AV64" s="18">
        <v>0</v>
      </c>
      <c r="AW64" s="18">
        <v>0</v>
      </c>
      <c r="AX64" s="18">
        <v>2.320675105485232E-6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9.0717299578059061E-4</v>
      </c>
      <c r="BF64" s="18">
        <v>0</v>
      </c>
      <c r="BG64" s="18">
        <v>0</v>
      </c>
      <c r="BH64" s="18">
        <v>0</v>
      </c>
      <c r="BI64" s="18">
        <v>3.1434599156118139</v>
      </c>
      <c r="BJ64" s="18">
        <v>1.0337552742616032</v>
      </c>
      <c r="BK64" s="18">
        <f>'Composition of waste'!$BK64*$E64/100</f>
        <v>0</v>
      </c>
      <c r="BL64" s="18">
        <f>'Composition of waste'!$BL64*$E64/100</f>
        <v>0</v>
      </c>
      <c r="BM64" s="18">
        <v>0</v>
      </c>
      <c r="BN64" s="18">
        <f>'Composition of waste'!$BN64*$E64/100</f>
        <v>0</v>
      </c>
      <c r="BO64" s="18">
        <f>'Composition of waste'!$BO64*$E64/100</f>
        <v>0</v>
      </c>
      <c r="BP64" s="18">
        <f>'Composition of waste'!$BP64*$E64/100</f>
        <v>0</v>
      </c>
      <c r="BQ64" s="18">
        <v>0</v>
      </c>
      <c r="BR64" s="18">
        <f>'Composition of waste'!$BR64*$E64/100</f>
        <v>0</v>
      </c>
      <c r="BS64" s="18">
        <v>17.962429150484141</v>
      </c>
      <c r="BT64" s="18">
        <v>1.4073378294807715</v>
      </c>
      <c r="BU64" s="18">
        <v>0.84388185654008441</v>
      </c>
      <c r="BV64" s="18">
        <v>0.48523206751054854</v>
      </c>
      <c r="BW64" s="18">
        <v>0</v>
      </c>
      <c r="BX64" s="18">
        <v>0</v>
      </c>
      <c r="BY64" s="18">
        <v>4.4725738396624468</v>
      </c>
      <c r="BZ64" s="18">
        <v>14.078892036678852</v>
      </c>
      <c r="CA64" s="18">
        <v>0</v>
      </c>
      <c r="CB64" s="19">
        <v>52.645001092506675</v>
      </c>
    </row>
    <row r="65" spans="1:80" x14ac:dyDescent="0.35">
      <c r="A65" s="17" t="s">
        <v>117</v>
      </c>
      <c r="B65" s="17" t="s">
        <v>181</v>
      </c>
      <c r="C65" s="17"/>
      <c r="D65" s="18">
        <f>'Composition of waste'!$D65*$C65/100</f>
        <v>0</v>
      </c>
      <c r="E65" s="18">
        <f>'Composition of waste'!$E65*$C65/100</f>
        <v>0</v>
      </c>
      <c r="F65" s="18">
        <f>'Composition of waste'!$F65*$E65/100</f>
        <v>0</v>
      </c>
      <c r="G65" s="18">
        <f>'Composition of waste'!$G65*$E65/100</f>
        <v>0</v>
      </c>
      <c r="H65" s="18">
        <v>16.790002275892693</v>
      </c>
      <c r="I65" s="18">
        <v>460.77551020408163</v>
      </c>
      <c r="J65" s="18">
        <f>'Composition of waste'!$J65*'Composition (mass)'!$E65/100</f>
        <v>0</v>
      </c>
      <c r="K65" s="18">
        <v>43.652621395554689</v>
      </c>
      <c r="L65" s="18">
        <v>0</v>
      </c>
      <c r="M65" s="18">
        <v>0.14705882352941177</v>
      </c>
      <c r="N65" s="18">
        <v>0</v>
      </c>
      <c r="O65" s="18">
        <v>0</v>
      </c>
      <c r="P65" s="18">
        <v>6.5391137788957003</v>
      </c>
      <c r="Q65" s="18">
        <v>1.4705882352941175</v>
      </c>
      <c r="R65" s="18">
        <f>'Composition of waste'!$R65*'Composition (mass)'!$E65/100</f>
        <v>0</v>
      </c>
      <c r="S65" s="18">
        <v>9.8039215686274526E-3</v>
      </c>
      <c r="T65" s="18">
        <f>'Composition of waste'!$T65*'Composition (mass)'!$E65/100</f>
        <v>0</v>
      </c>
      <c r="U65" s="18">
        <v>0.63725490196078438</v>
      </c>
      <c r="V65" s="18">
        <v>1.0269794250122706</v>
      </c>
      <c r="W65" s="18">
        <v>0</v>
      </c>
      <c r="X65" s="18">
        <v>0</v>
      </c>
      <c r="Y65" s="18">
        <v>0</v>
      </c>
      <c r="Z65" s="18">
        <v>4.9019607843137254E-7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1.0735294117647058E-6</v>
      </c>
      <c r="AH65" s="18">
        <v>0</v>
      </c>
      <c r="AI65" s="18">
        <v>6.8627450980392162E-6</v>
      </c>
      <c r="AJ65" s="18">
        <v>5.3921568627450988E-4</v>
      </c>
      <c r="AK65" s="18">
        <v>8.8235294117647075E-3</v>
      </c>
      <c r="AL65" s="18">
        <v>0</v>
      </c>
      <c r="AM65" s="18">
        <v>9.8039215686274508E-7</v>
      </c>
      <c r="AN65" s="18">
        <v>0</v>
      </c>
      <c r="AO65" s="18">
        <v>0</v>
      </c>
      <c r="AP65" s="18">
        <v>0.13725490196078433</v>
      </c>
      <c r="AQ65" s="18">
        <v>1.8627450980392159E-3</v>
      </c>
      <c r="AR65" s="18">
        <v>9.8039215686274506E-5</v>
      </c>
      <c r="AS65" s="18">
        <v>1.2549019607843137E-4</v>
      </c>
      <c r="AT65" s="18">
        <v>1.647058823529412E-6</v>
      </c>
      <c r="AU65" s="18">
        <v>0</v>
      </c>
      <c r="AV65" s="18">
        <v>0</v>
      </c>
      <c r="AW65" s="18">
        <v>0</v>
      </c>
      <c r="AX65" s="18">
        <v>5.0000000000000004E-6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3.6764705882352945E-3</v>
      </c>
      <c r="BF65" s="18">
        <v>0</v>
      </c>
      <c r="BG65" s="18">
        <v>0</v>
      </c>
      <c r="BH65" s="18">
        <v>0</v>
      </c>
      <c r="BI65" s="18">
        <v>21.372549019607845</v>
      </c>
      <c r="BJ65" s="18">
        <v>8.8235294117647065</v>
      </c>
      <c r="BK65" s="18">
        <f>'Composition of waste'!$BK65*$E65/100</f>
        <v>0</v>
      </c>
      <c r="BL65" s="18">
        <f>'Composition of waste'!$BL65*$E65/100</f>
        <v>0</v>
      </c>
      <c r="BM65" s="18">
        <v>0</v>
      </c>
      <c r="BN65" s="18">
        <f>'Composition of waste'!$BN65*$E65/100</f>
        <v>0</v>
      </c>
      <c r="BO65" s="18">
        <f>'Composition of waste'!$BO65*$E65/100</f>
        <v>0</v>
      </c>
      <c r="BP65" s="18">
        <f>'Composition of waste'!$BP65*$E65/100</f>
        <v>0</v>
      </c>
      <c r="BQ65" s="18">
        <v>0</v>
      </c>
      <c r="BR65" s="18">
        <f>'Composition of waste'!$BR65*$E65/100</f>
        <v>0</v>
      </c>
      <c r="BS65" s="18">
        <v>18.665086421568631</v>
      </c>
      <c r="BT65" s="18">
        <v>1.4769770470931376</v>
      </c>
      <c r="BU65" s="18">
        <v>0.78431372549019607</v>
      </c>
      <c r="BV65" s="18">
        <v>0.88235294117647056</v>
      </c>
      <c r="BW65" s="18">
        <v>0</v>
      </c>
      <c r="BX65" s="18">
        <v>0</v>
      </c>
      <c r="BY65" s="18">
        <v>23.03921568627451</v>
      </c>
      <c r="BZ65" s="18">
        <v>14.411764705882353</v>
      </c>
      <c r="CA65" s="18">
        <v>0</v>
      </c>
      <c r="CB65" s="19">
        <v>22.205882352941174</v>
      </c>
    </row>
    <row r="66" spans="1:80" x14ac:dyDescent="0.35">
      <c r="A66" s="17" t="s">
        <v>117</v>
      </c>
      <c r="B66" s="17" t="s">
        <v>182</v>
      </c>
      <c r="C66" s="17"/>
      <c r="D66" s="18">
        <f>'Composition of waste'!$D66*$C66/100</f>
        <v>0</v>
      </c>
      <c r="E66" s="18">
        <f>'Composition of waste'!$E66*$C66/100</f>
        <v>0</v>
      </c>
      <c r="F66" s="18">
        <f>'Composition of waste'!$F66*$E66/100</f>
        <v>0</v>
      </c>
      <c r="G66" s="18">
        <f>'Composition of waste'!$G66*$E66/100</f>
        <v>0</v>
      </c>
      <c r="H66" s="18">
        <v>23.607503025261042</v>
      </c>
      <c r="I66" s="18">
        <v>649.09785346584226</v>
      </c>
      <c r="J66" s="18">
        <f>'Composition of waste'!$J66*'Composition (mass)'!$E66/100</f>
        <v>0</v>
      </c>
      <c r="K66" s="18">
        <v>53.934080073271893</v>
      </c>
      <c r="L66" s="18">
        <v>0</v>
      </c>
      <c r="M66" s="18">
        <v>4.7874741222504243E-2</v>
      </c>
      <c r="N66" s="18">
        <v>0.67398007124361681</v>
      </c>
      <c r="O66" s="18">
        <v>0</v>
      </c>
      <c r="P66" s="18">
        <v>7.9685559739159304</v>
      </c>
      <c r="Q66" s="18">
        <v>0.71952263505951763</v>
      </c>
      <c r="R66" s="18">
        <f>'Composition of waste'!$R66*'Composition (mass)'!$E66/100</f>
        <v>0</v>
      </c>
      <c r="S66" s="18">
        <v>0.84756323398500055</v>
      </c>
      <c r="T66" s="18">
        <f>'Composition of waste'!$T66*'Composition (mass)'!$E66/100</f>
        <v>0</v>
      </c>
      <c r="U66" s="18">
        <v>0.58218677640144212</v>
      </c>
      <c r="V66" s="18">
        <v>2.1629392558937841</v>
      </c>
      <c r="W66" s="18">
        <v>0</v>
      </c>
      <c r="X66" s="18">
        <v>0</v>
      </c>
      <c r="Y66" s="18">
        <v>0</v>
      </c>
      <c r="Z66" s="18">
        <v>2.1954443404046129E-6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5.8907240261042036E-6</v>
      </c>
      <c r="AH66" s="18">
        <v>0</v>
      </c>
      <c r="AI66" s="18">
        <v>4.6984856909096206E-6</v>
      </c>
      <c r="AJ66" s="18">
        <v>2.9459888325196536E-4</v>
      </c>
      <c r="AK66" s="18">
        <v>5.6014199220872137E-3</v>
      </c>
      <c r="AL66" s="18">
        <v>0</v>
      </c>
      <c r="AM66" s="18">
        <v>1.3076388171526118E-7</v>
      </c>
      <c r="AN66" s="18">
        <v>0</v>
      </c>
      <c r="AO66" s="18">
        <v>0</v>
      </c>
      <c r="AP66" s="18">
        <v>6.3999436360537149E-2</v>
      </c>
      <c r="AQ66" s="18">
        <v>1.1439971377436324E-4</v>
      </c>
      <c r="AR66" s="18">
        <v>1.8845615510545162E-6</v>
      </c>
      <c r="AS66" s="18">
        <v>3.6977286942701792E-6</v>
      </c>
      <c r="AT66" s="18">
        <v>1.4446409496986354E-6</v>
      </c>
      <c r="AU66" s="18">
        <v>0</v>
      </c>
      <c r="AV66" s="18">
        <v>0</v>
      </c>
      <c r="AW66" s="18">
        <v>0</v>
      </c>
      <c r="AX66" s="18">
        <v>2.3186321306675769E-5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5.6826470692919765E-3</v>
      </c>
      <c r="BF66" s="18">
        <v>0</v>
      </c>
      <c r="BG66" s="18">
        <v>0</v>
      </c>
      <c r="BH66" s="18">
        <v>0</v>
      </c>
      <c r="BI66" s="18">
        <v>0</v>
      </c>
      <c r="BJ66" s="18">
        <v>0.3522062732589048</v>
      </c>
      <c r="BK66" s="18">
        <f>'Composition of waste'!$BK66*$E66/100</f>
        <v>0</v>
      </c>
      <c r="BL66" s="18">
        <f>'Composition of waste'!$BL66*$E66/100</f>
        <v>0</v>
      </c>
      <c r="BM66" s="18">
        <v>0</v>
      </c>
      <c r="BN66" s="18">
        <f>'Composition of waste'!$BN66*$E66/100</f>
        <v>0</v>
      </c>
      <c r="BO66" s="18">
        <f>'Composition of waste'!$BO66*$E66/100</f>
        <v>0</v>
      </c>
      <c r="BP66" s="18">
        <f>'Composition of waste'!$BP66*$E66/100</f>
        <v>0</v>
      </c>
      <c r="BQ66" s="18">
        <v>0</v>
      </c>
      <c r="BR66" s="18">
        <f>'Composition of waste'!$BR66*$E66/100</f>
        <v>0</v>
      </c>
      <c r="BS66" s="18">
        <v>24.689611673474797</v>
      </c>
      <c r="BT66" s="18">
        <v>2.0728025945066579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21.965470497358194</v>
      </c>
      <c r="CA66" s="18">
        <v>0</v>
      </c>
      <c r="CB66" s="19">
        <v>4.8745992294834961</v>
      </c>
    </row>
    <row r="67" spans="1:80" x14ac:dyDescent="0.35">
      <c r="A67" s="17" t="s">
        <v>117</v>
      </c>
      <c r="B67" s="17" t="s">
        <v>183</v>
      </c>
      <c r="C67" s="17"/>
      <c r="D67" s="18">
        <f>'Composition of waste'!$D67*$C67/100</f>
        <v>0</v>
      </c>
      <c r="E67" s="18">
        <f>'Composition of waste'!$E67*$C67/100</f>
        <v>0</v>
      </c>
      <c r="F67" s="18">
        <f>'Composition of waste'!$F67*$E67/100</f>
        <v>0</v>
      </c>
      <c r="G67" s="18">
        <f>'Composition of waste'!$G67*$E67/100</f>
        <v>0</v>
      </c>
      <c r="H67" s="18">
        <v>21.226610993076797</v>
      </c>
      <c r="I67" s="18">
        <v>582.00312985190806</v>
      </c>
      <c r="J67" s="18">
        <f>'Composition of waste'!$J67*'Composition (mass)'!$E67/100</f>
        <v>0</v>
      </c>
      <c r="K67" s="18">
        <v>49.688149559376278</v>
      </c>
      <c r="L67" s="18">
        <v>0</v>
      </c>
      <c r="M67" s="18">
        <v>3.3430026621270863E-2</v>
      </c>
      <c r="N67" s="18">
        <v>1.0071428571428571</v>
      </c>
      <c r="O67" s="18">
        <v>0</v>
      </c>
      <c r="P67" s="18">
        <v>7.4556801990660846</v>
      </c>
      <c r="Q67" s="18">
        <v>1.1493095869823979</v>
      </c>
      <c r="R67" s="18">
        <f>'Composition of waste'!$R67*'Composition (mass)'!$E67/100</f>
        <v>0</v>
      </c>
      <c r="S67" s="18">
        <v>0.94498499367162947</v>
      </c>
      <c r="T67" s="18">
        <f>'Composition of waste'!$T67*'Composition (mass)'!$E67/100</f>
        <v>0</v>
      </c>
      <c r="U67" s="18">
        <v>0.71220537612242685</v>
      </c>
      <c r="V67" s="18">
        <v>2.7366321609861304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1.4226963512677798E-5</v>
      </c>
      <c r="AJ67" s="18">
        <v>2.5301057536080584E-4</v>
      </c>
      <c r="AK67" s="18">
        <v>2.5551715309779827E-3</v>
      </c>
      <c r="AL67" s="18">
        <v>0</v>
      </c>
      <c r="AM67" s="18">
        <v>8.163265306122448E-8</v>
      </c>
      <c r="AN67" s="18">
        <v>0</v>
      </c>
      <c r="AO67" s="18">
        <v>0</v>
      </c>
      <c r="AP67" s="18">
        <v>8.6213556455491946E-2</v>
      </c>
      <c r="AQ67" s="18">
        <v>3.323559270563879E-5</v>
      </c>
      <c r="AR67" s="18">
        <v>0</v>
      </c>
      <c r="AS67" s="18">
        <v>4.1236858379715512E-6</v>
      </c>
      <c r="AT67" s="18">
        <v>1.6326530612244896E-7</v>
      </c>
      <c r="AU67" s="18">
        <v>0</v>
      </c>
      <c r="AV67" s="18">
        <v>0</v>
      </c>
      <c r="AW67" s="18">
        <v>0</v>
      </c>
      <c r="AX67" s="18">
        <v>3.1906307977736557E-5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6.2133867753683429E-3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f>'Composition of waste'!$BK67*$E67/100</f>
        <v>0</v>
      </c>
      <c r="BL67" s="18">
        <f>'Composition of waste'!$BL67*$E67/100</f>
        <v>0</v>
      </c>
      <c r="BM67" s="18">
        <v>0</v>
      </c>
      <c r="BN67" s="18">
        <f>'Composition of waste'!$BN67*$E67/100</f>
        <v>0</v>
      </c>
      <c r="BO67" s="18">
        <f>'Composition of waste'!$BO67*$E67/100</f>
        <v>0</v>
      </c>
      <c r="BP67" s="18">
        <f>'Composition of waste'!$BP67*$E67/100</f>
        <v>0</v>
      </c>
      <c r="BQ67" s="18">
        <v>0</v>
      </c>
      <c r="BR67" s="18">
        <f>'Composition of waste'!$BR67*$E67/100</f>
        <v>0</v>
      </c>
      <c r="BS67" s="18">
        <v>23.502480568559413</v>
      </c>
      <c r="BT67" s="18">
        <v>1.9553953282305261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19.242430559711668</v>
      </c>
      <c r="CA67" s="18">
        <v>0</v>
      </c>
      <c r="CB67" s="19">
        <v>1.2226011264720937</v>
      </c>
    </row>
    <row r="68" spans="1:80" x14ac:dyDescent="0.35">
      <c r="A68" s="17" t="s">
        <v>117</v>
      </c>
      <c r="B68" s="17" t="s">
        <v>184</v>
      </c>
      <c r="C68" s="17"/>
      <c r="D68" s="18">
        <f>'Composition of waste'!$D68*$C68/100</f>
        <v>0</v>
      </c>
      <c r="E68" s="18">
        <f>'Composition of waste'!$E68*$C68/100</f>
        <v>0</v>
      </c>
      <c r="F68" s="18">
        <f>'Composition of waste'!$F68*$E68/100</f>
        <v>0</v>
      </c>
      <c r="G68" s="18">
        <f>'Composition of waste'!$G68*$E68/100</f>
        <v>0</v>
      </c>
      <c r="H68" s="18">
        <v>24.437531744303982</v>
      </c>
      <c r="I68" s="18">
        <v>664.05601500650664</v>
      </c>
      <c r="J68" s="18">
        <f>'Composition of waste'!$J68*'Composition (mass)'!$E68/100</f>
        <v>0</v>
      </c>
      <c r="K68" s="18">
        <v>55.48509810194836</v>
      </c>
      <c r="L68" s="18">
        <v>0</v>
      </c>
      <c r="M68" s="18">
        <v>2.8587762080994977E-2</v>
      </c>
      <c r="N68" s="18">
        <v>0</v>
      </c>
      <c r="O68" s="18">
        <v>0</v>
      </c>
      <c r="P68" s="18">
        <v>8.1739785800317506</v>
      </c>
      <c r="Q68" s="18">
        <v>0.91033766129324734</v>
      </c>
      <c r="R68" s="18">
        <f>'Composition of waste'!$R68*'Composition (mass)'!$E68/100</f>
        <v>0</v>
      </c>
      <c r="S68" s="18">
        <v>0.24907105286534179</v>
      </c>
      <c r="T68" s="18">
        <f>'Composition of waste'!$T68*'Composition (mass)'!$E68/100</f>
        <v>0</v>
      </c>
      <c r="U68" s="18">
        <v>0.68565319553664028</v>
      </c>
      <c r="V68" s="18">
        <v>2.0958323843885869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1.2145390070921984E-5</v>
      </c>
      <c r="AH68" s="18">
        <v>0</v>
      </c>
      <c r="AI68" s="18">
        <v>7.4911347517730498E-7</v>
      </c>
      <c r="AJ68" s="18">
        <v>5.4852368945704968E-3</v>
      </c>
      <c r="AK68" s="18">
        <v>3.3266569531982169E-2</v>
      </c>
      <c r="AL68" s="18">
        <v>0</v>
      </c>
      <c r="AM68" s="18">
        <v>1.7730496453900707E-7</v>
      </c>
      <c r="AN68" s="18">
        <v>0</v>
      </c>
      <c r="AO68" s="18">
        <v>0</v>
      </c>
      <c r="AP68" s="18">
        <v>7.1402474516599881E-2</v>
      </c>
      <c r="AQ68" s="18">
        <v>2.5510560243215163E-4</v>
      </c>
      <c r="AR68" s="18">
        <v>0</v>
      </c>
      <c r="AS68" s="18">
        <v>1.2411347517730497E-6</v>
      </c>
      <c r="AT68" s="18">
        <v>7.2517730496453897E-7</v>
      </c>
      <c r="AU68" s="18">
        <v>0</v>
      </c>
      <c r="AV68" s="18">
        <v>0</v>
      </c>
      <c r="AW68" s="18">
        <v>0</v>
      </c>
      <c r="AX68" s="18">
        <v>1.4448032680985622E-4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5.405138950430299E-3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f>'Composition of waste'!$BK68*$E68/100</f>
        <v>0</v>
      </c>
      <c r="BL68" s="18">
        <f>'Composition of waste'!$BL68*$E68/100</f>
        <v>0</v>
      </c>
      <c r="BM68" s="18">
        <v>0</v>
      </c>
      <c r="BN68" s="18">
        <f>'Composition of waste'!$BN68*$E68/100</f>
        <v>0</v>
      </c>
      <c r="BO68" s="18">
        <f>'Composition of waste'!$BO68*$E68/100</f>
        <v>0</v>
      </c>
      <c r="BP68" s="18">
        <f>'Composition of waste'!$BP68*$E68/100</f>
        <v>0</v>
      </c>
      <c r="BQ68" s="18">
        <v>0</v>
      </c>
      <c r="BR68" s="18">
        <f>'Composition of waste'!$BR68*$E68/100</f>
        <v>0</v>
      </c>
      <c r="BS68" s="18">
        <v>25.284727669359292</v>
      </c>
      <c r="BT68" s="18">
        <v>2.1316595664996338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22.837701540015757</v>
      </c>
      <c r="CA68" s="18">
        <v>0</v>
      </c>
      <c r="CB68" s="19">
        <v>4.8136267662822831</v>
      </c>
    </row>
    <row r="69" spans="1:80" x14ac:dyDescent="0.35">
      <c r="A69" s="17" t="s">
        <v>117</v>
      </c>
      <c r="B69" s="17" t="s">
        <v>185</v>
      </c>
      <c r="C69" s="17"/>
      <c r="D69" s="18">
        <f>'Composition of waste'!$D69*$C69/100</f>
        <v>0</v>
      </c>
      <c r="E69" s="18">
        <f>'Composition of waste'!$E69*$C69/100</f>
        <v>0</v>
      </c>
      <c r="F69" s="18">
        <f>'Composition of waste'!$F69*$E69/100</f>
        <v>0</v>
      </c>
      <c r="G69" s="18">
        <f>'Composition of waste'!$G69*$E69/100</f>
        <v>0</v>
      </c>
      <c r="H69" s="18">
        <v>21.562143647643992</v>
      </c>
      <c r="I69" s="18">
        <v>580.91803278688531</v>
      </c>
      <c r="J69" s="18">
        <f>'Composition of waste'!$J69*'Composition (mass)'!$E69/100</f>
        <v>0</v>
      </c>
      <c r="K69" s="18">
        <v>50.486569379527729</v>
      </c>
      <c r="L69" s="18">
        <v>0</v>
      </c>
      <c r="M69" s="18">
        <v>5.1181102362204731E-2</v>
      </c>
      <c r="N69" s="18">
        <v>0</v>
      </c>
      <c r="O69" s="18">
        <v>0</v>
      </c>
      <c r="P69" s="18">
        <v>7.5815032511106981</v>
      </c>
      <c r="Q69" s="18">
        <v>1.5078740157480315</v>
      </c>
      <c r="R69" s="18">
        <f>'Composition of waste'!$R69*'Composition (mass)'!$E69/100</f>
        <v>0</v>
      </c>
      <c r="S69" s="18">
        <v>0.2283464566929134</v>
      </c>
      <c r="T69" s="18">
        <f>'Composition of waste'!$T69*'Composition (mass)'!$E69/100</f>
        <v>0</v>
      </c>
      <c r="U69" s="18">
        <v>0.82677165354330706</v>
      </c>
      <c r="V69" s="18">
        <v>2.8519135026898867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7.8740157480314964E-6</v>
      </c>
      <c r="AJ69" s="18">
        <v>5.905511811023622E-4</v>
      </c>
      <c r="AK69" s="18">
        <v>3.1496062992125984E-3</v>
      </c>
      <c r="AL69" s="18">
        <v>0</v>
      </c>
      <c r="AM69" s="18">
        <v>0</v>
      </c>
      <c r="AN69" s="18">
        <v>0</v>
      </c>
      <c r="AO69" s="18">
        <v>0</v>
      </c>
      <c r="AP69" s="18">
        <v>0.11023622047244094</v>
      </c>
      <c r="AQ69" s="18">
        <v>1.4960629921259845E-4</v>
      </c>
      <c r="AR69" s="18">
        <v>3.9370078740157478E-5</v>
      </c>
      <c r="AS69" s="18">
        <v>1.9685039370078741E-6</v>
      </c>
      <c r="AT69" s="18">
        <v>0</v>
      </c>
      <c r="AU69" s="18">
        <v>0</v>
      </c>
      <c r="AV69" s="18">
        <v>0</v>
      </c>
      <c r="AW69" s="18">
        <v>0</v>
      </c>
      <c r="AX69" s="18">
        <v>3.9370078740157478E-5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6.6929133858267716E-3</v>
      </c>
      <c r="BF69" s="18">
        <v>0</v>
      </c>
      <c r="BG69" s="18">
        <v>0</v>
      </c>
      <c r="BH69" s="18">
        <v>0</v>
      </c>
      <c r="BI69" s="18">
        <v>0</v>
      </c>
      <c r="BJ69" s="18">
        <v>0</v>
      </c>
      <c r="BK69" s="18">
        <f>'Composition of waste'!$BK69*$E69/100</f>
        <v>0</v>
      </c>
      <c r="BL69" s="18">
        <f>'Composition of waste'!$BL69*$E69/100</f>
        <v>0</v>
      </c>
      <c r="BM69" s="18">
        <v>0</v>
      </c>
      <c r="BN69" s="18">
        <f>'Composition of waste'!$BN69*$E69/100</f>
        <v>0</v>
      </c>
      <c r="BO69" s="18">
        <f>'Composition of waste'!$BO69*$E69/100</f>
        <v>0</v>
      </c>
      <c r="BP69" s="18">
        <f>'Composition of waste'!$BP69*$E69/100</f>
        <v>0</v>
      </c>
      <c r="BQ69" s="18">
        <v>0</v>
      </c>
      <c r="BR69" s="18">
        <f>'Composition of waste'!$BR69*$E69/100</f>
        <v>0</v>
      </c>
      <c r="BS69" s="18">
        <v>23.966336456692915</v>
      </c>
      <c r="BT69" s="18">
        <v>2.0012706755669294</v>
      </c>
      <c r="BU69" s="18">
        <v>0</v>
      </c>
      <c r="BV69" s="18">
        <v>0</v>
      </c>
      <c r="BW69" s="18">
        <v>0</v>
      </c>
      <c r="BX69" s="18">
        <v>0</v>
      </c>
      <c r="BY69" s="18">
        <v>0</v>
      </c>
      <c r="BZ69" s="18">
        <v>19.488188976377955</v>
      </c>
      <c r="CA69" s="18">
        <v>0</v>
      </c>
      <c r="CB69" s="19">
        <v>0</v>
      </c>
    </row>
    <row r="70" spans="1:80" x14ac:dyDescent="0.35">
      <c r="A70" s="17" t="s">
        <v>117</v>
      </c>
      <c r="B70" s="17" t="s">
        <v>186</v>
      </c>
      <c r="C70" s="17"/>
      <c r="D70" s="18">
        <f>'Composition of waste'!$D70*$C70/100</f>
        <v>0</v>
      </c>
      <c r="E70" s="18">
        <f>'Composition of waste'!$E70*$C70/100</f>
        <v>0</v>
      </c>
      <c r="F70" s="18">
        <f>'Composition of waste'!$F70*$E70/100</f>
        <v>0</v>
      </c>
      <c r="G70" s="18">
        <f>'Composition of waste'!$G70*$E70/100</f>
        <v>0</v>
      </c>
      <c r="H70" s="18">
        <v>22.708447352571451</v>
      </c>
      <c r="I70" s="18">
        <v>619.01875777778559</v>
      </c>
      <c r="J70" s="18">
        <f>'Composition of waste'!$J70*'Composition (mass)'!$E70/100</f>
        <v>0</v>
      </c>
      <c r="K70" s="18">
        <v>52.398474278531069</v>
      </c>
      <c r="L70" s="18">
        <v>0</v>
      </c>
      <c r="M70" s="18">
        <v>4.02684080717437E-2</v>
      </c>
      <c r="N70" s="18">
        <v>0.42028073209661848</v>
      </c>
      <c r="O70" s="18">
        <v>0</v>
      </c>
      <c r="P70" s="18">
        <v>7.7949295010311159</v>
      </c>
      <c r="Q70" s="18">
        <v>1.0717609747707986</v>
      </c>
      <c r="R70" s="18">
        <f>'Composition of waste'!$R70*'Composition (mass)'!$E70/100</f>
        <v>0</v>
      </c>
      <c r="S70" s="18">
        <v>0.56749143430372129</v>
      </c>
      <c r="T70" s="18">
        <f>'Composition of waste'!$T70*'Composition (mass)'!$E70/100</f>
        <v>0</v>
      </c>
      <c r="U70" s="18">
        <v>0.70170425040095408</v>
      </c>
      <c r="V70" s="18">
        <v>2.4618293259895969</v>
      </c>
      <c r="W70" s="18">
        <v>0</v>
      </c>
      <c r="X70" s="18">
        <v>0</v>
      </c>
      <c r="Y70" s="18">
        <v>0</v>
      </c>
      <c r="Z70" s="18">
        <v>5.4886108510115323E-7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4.5090285242565469E-6</v>
      </c>
      <c r="AH70" s="18">
        <v>0</v>
      </c>
      <c r="AI70" s="18">
        <v>6.8871446066990545E-6</v>
      </c>
      <c r="AJ70" s="18">
        <v>1.6558493835714075E-3</v>
      </c>
      <c r="AK70" s="18">
        <v>1.1143191821064992E-2</v>
      </c>
      <c r="AL70" s="18">
        <v>0</v>
      </c>
      <c r="AM70" s="18">
        <v>9.7425374828873177E-8</v>
      </c>
      <c r="AN70" s="18">
        <v>0</v>
      </c>
      <c r="AO70" s="18">
        <v>0</v>
      </c>
      <c r="AP70" s="18">
        <v>8.2962921951267476E-2</v>
      </c>
      <c r="AQ70" s="18">
        <v>1.3808680203118804E-4</v>
      </c>
      <c r="AR70" s="18">
        <v>1.0313660072802998E-5</v>
      </c>
      <c r="AS70" s="18">
        <v>2.7577633052556636E-6</v>
      </c>
      <c r="AT70" s="18">
        <v>5.8327089019640582E-7</v>
      </c>
      <c r="AU70" s="18">
        <v>0</v>
      </c>
      <c r="AV70" s="18">
        <v>0</v>
      </c>
      <c r="AW70" s="18">
        <v>0</v>
      </c>
      <c r="AX70" s="18">
        <v>5.9735758708606503E-5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5.9985215452293475E-3</v>
      </c>
      <c r="BF70" s="18">
        <v>0</v>
      </c>
      <c r="BG70" s="18">
        <v>0</v>
      </c>
      <c r="BH70" s="18">
        <v>0</v>
      </c>
      <c r="BI70" s="18">
        <v>0</v>
      </c>
      <c r="BJ70" s="18">
        <v>8.80515683147262E-2</v>
      </c>
      <c r="BK70" s="18">
        <f>'Composition of waste'!$BK70*$E70/100</f>
        <v>0</v>
      </c>
      <c r="BL70" s="18">
        <f>'Composition of waste'!$BL70*$E70/100</f>
        <v>0</v>
      </c>
      <c r="BM70" s="18">
        <v>0</v>
      </c>
      <c r="BN70" s="18">
        <f>'Composition of waste'!$BN70*$E70/100</f>
        <v>0</v>
      </c>
      <c r="BO70" s="18">
        <f>'Composition of waste'!$BO70*$E70/100</f>
        <v>0</v>
      </c>
      <c r="BP70" s="18">
        <f>'Composition of waste'!$BP70*$E70/100</f>
        <v>0</v>
      </c>
      <c r="BQ70" s="18">
        <v>0</v>
      </c>
      <c r="BR70" s="18">
        <f>'Composition of waste'!$BR70*$E70/100</f>
        <v>0</v>
      </c>
      <c r="BS70" s="18">
        <v>24.360789092021605</v>
      </c>
      <c r="BT70" s="18">
        <v>2.0402820412009368</v>
      </c>
      <c r="BU70" s="18">
        <v>0</v>
      </c>
      <c r="BV70" s="18">
        <v>0</v>
      </c>
      <c r="BW70" s="18">
        <v>0</v>
      </c>
      <c r="BX70" s="18">
        <v>0</v>
      </c>
      <c r="BY70" s="18">
        <v>0</v>
      </c>
      <c r="BZ70" s="18">
        <v>20.883447893365894</v>
      </c>
      <c r="CA70" s="18">
        <v>0</v>
      </c>
      <c r="CB70" s="19">
        <v>2.7277067805594681</v>
      </c>
    </row>
    <row r="71" spans="1:80" x14ac:dyDescent="0.35">
      <c r="A71" s="17" t="s">
        <v>117</v>
      </c>
      <c r="B71" s="17" t="s">
        <v>187</v>
      </c>
      <c r="C71" s="17"/>
      <c r="D71" s="18">
        <f>'Composition of waste'!$D71*$C71/100</f>
        <v>0</v>
      </c>
      <c r="E71" s="18">
        <f>'Composition of waste'!$E71*$C71/100</f>
        <v>0</v>
      </c>
      <c r="F71" s="18">
        <f>'Composition of waste'!$F71*$E71/100</f>
        <v>0</v>
      </c>
      <c r="G71" s="18">
        <f>'Composition of waste'!$G71*$E71/100</f>
        <v>0</v>
      </c>
      <c r="H71" s="18">
        <v>22.708447352571454</v>
      </c>
      <c r="I71" s="18">
        <v>619.01875777778559</v>
      </c>
      <c r="J71" s="18">
        <f>'Composition of waste'!$J71*'Composition (mass)'!$E71/100</f>
        <v>0</v>
      </c>
      <c r="K71" s="18">
        <v>52.398474278531069</v>
      </c>
      <c r="L71" s="18">
        <v>0</v>
      </c>
      <c r="M71" s="18">
        <v>4.02684080717437E-2</v>
      </c>
      <c r="N71" s="18">
        <v>0.42028073209661848</v>
      </c>
      <c r="O71" s="18">
        <v>0</v>
      </c>
      <c r="P71" s="18">
        <v>7.794929501031115</v>
      </c>
      <c r="Q71" s="18">
        <v>1.0717609747707986</v>
      </c>
      <c r="R71" s="18">
        <f>'Composition of waste'!$R71*'Composition (mass)'!$E71/100</f>
        <v>0</v>
      </c>
      <c r="S71" s="18">
        <v>0.56749143430372129</v>
      </c>
      <c r="T71" s="18">
        <f>'Composition of waste'!$T71*'Composition (mass)'!$E71/100</f>
        <v>0</v>
      </c>
      <c r="U71" s="18">
        <v>0.70170425040095408</v>
      </c>
      <c r="V71" s="18">
        <v>2.4618293259895969</v>
      </c>
      <c r="W71" s="18">
        <v>0</v>
      </c>
      <c r="X71" s="18">
        <v>0</v>
      </c>
      <c r="Y71" s="18">
        <v>0</v>
      </c>
      <c r="Z71" s="18">
        <v>5.4886108510115323E-7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4.5090285242565469E-6</v>
      </c>
      <c r="AH71" s="18">
        <v>0</v>
      </c>
      <c r="AI71" s="18">
        <v>6.8871446066990554E-6</v>
      </c>
      <c r="AJ71" s="18">
        <v>1.6558493835714075E-3</v>
      </c>
      <c r="AK71" s="18">
        <v>1.1143191821064991E-2</v>
      </c>
      <c r="AL71" s="18">
        <v>0</v>
      </c>
      <c r="AM71" s="18">
        <v>9.742537482887319E-8</v>
      </c>
      <c r="AN71" s="18">
        <v>0</v>
      </c>
      <c r="AO71" s="18">
        <v>0</v>
      </c>
      <c r="AP71" s="18">
        <v>8.2962921951267476E-2</v>
      </c>
      <c r="AQ71" s="18">
        <v>1.3808680203118804E-4</v>
      </c>
      <c r="AR71" s="18">
        <v>1.0313660072802998E-5</v>
      </c>
      <c r="AS71" s="18">
        <v>2.7577633052556636E-6</v>
      </c>
      <c r="AT71" s="18">
        <v>5.8327089019640582E-7</v>
      </c>
      <c r="AU71" s="18">
        <v>0</v>
      </c>
      <c r="AV71" s="18">
        <v>0</v>
      </c>
      <c r="AW71" s="18">
        <v>0</v>
      </c>
      <c r="AX71" s="18">
        <v>5.973575870860651E-5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5.9985215452293475E-3</v>
      </c>
      <c r="BF71" s="18">
        <v>0</v>
      </c>
      <c r="BG71" s="18">
        <v>0</v>
      </c>
      <c r="BH71" s="18">
        <v>0</v>
      </c>
      <c r="BI71" s="18">
        <v>0</v>
      </c>
      <c r="BJ71" s="18">
        <v>8.80515683147262E-2</v>
      </c>
      <c r="BK71" s="18">
        <f>'Composition of waste'!$BK71*$E71/100</f>
        <v>0</v>
      </c>
      <c r="BL71" s="18">
        <f>'Composition of waste'!$BL71*$E71/100</f>
        <v>0</v>
      </c>
      <c r="BM71" s="18">
        <v>0</v>
      </c>
      <c r="BN71" s="18">
        <f>'Composition of waste'!$BN71*$E71/100</f>
        <v>0</v>
      </c>
      <c r="BO71" s="18">
        <f>'Composition of waste'!$BO71*$E71/100</f>
        <v>0</v>
      </c>
      <c r="BP71" s="18">
        <f>'Composition of waste'!$BP71*$E71/100</f>
        <v>0</v>
      </c>
      <c r="BQ71" s="18">
        <v>0</v>
      </c>
      <c r="BR71" s="18">
        <f>'Composition of waste'!$BR71*$E71/100</f>
        <v>0</v>
      </c>
      <c r="BS71" s="18">
        <v>24.360789092021605</v>
      </c>
      <c r="BT71" s="18">
        <v>2.0402820412009368</v>
      </c>
      <c r="BU71" s="18">
        <v>0</v>
      </c>
      <c r="BV71" s="18">
        <v>0</v>
      </c>
      <c r="BW71" s="18">
        <v>0</v>
      </c>
      <c r="BX71" s="18">
        <v>0</v>
      </c>
      <c r="BY71" s="18">
        <v>0</v>
      </c>
      <c r="BZ71" s="18">
        <v>20.883447893365894</v>
      </c>
      <c r="CA71" s="18">
        <v>0</v>
      </c>
      <c r="CB71" s="19">
        <v>2.7277067805594681</v>
      </c>
    </row>
    <row r="72" spans="1:80" x14ac:dyDescent="0.35">
      <c r="A72" s="17" t="s">
        <v>117</v>
      </c>
      <c r="B72" s="17" t="s">
        <v>188</v>
      </c>
      <c r="C72" s="17"/>
      <c r="D72" s="18">
        <f>'Composition of waste'!$D72*$C72/100</f>
        <v>0</v>
      </c>
      <c r="E72" s="18">
        <f>'Composition of waste'!$E72*$C72/100</f>
        <v>0</v>
      </c>
      <c r="F72" s="18">
        <f>'Composition of waste'!$F72*$E72/100</f>
        <v>0</v>
      </c>
      <c r="G72" s="18">
        <f>'Composition of waste'!$G72*$E72/100</f>
        <v>0</v>
      </c>
      <c r="H72" s="18">
        <v>25.544029613669114</v>
      </c>
      <c r="I72" s="18">
        <v>699.87403739843103</v>
      </c>
      <c r="J72" s="18">
        <f>'Composition of waste'!$J72*'Composition (mass)'!$E72/100</f>
        <v>0</v>
      </c>
      <c r="K72" s="18">
        <v>57.277608974863668</v>
      </c>
      <c r="L72" s="18">
        <v>0</v>
      </c>
      <c r="M72" s="18">
        <v>2.0969337264736189E-2</v>
      </c>
      <c r="N72" s="18">
        <v>0.20776651615488911</v>
      </c>
      <c r="O72" s="18">
        <v>0</v>
      </c>
      <c r="P72" s="18">
        <v>8.3849407251132302</v>
      </c>
      <c r="Q72" s="18">
        <v>0.73862014547173405</v>
      </c>
      <c r="R72" s="18">
        <f>'Composition of waste'!$R72*'Composition (mass)'!$E72/100</f>
        <v>0</v>
      </c>
      <c r="S72" s="18">
        <v>0.99139951887169209</v>
      </c>
      <c r="T72" s="18">
        <f>'Composition of waste'!$T72*'Composition (mass)'!$E72/100</f>
        <v>0</v>
      </c>
      <c r="U72" s="18">
        <v>0.43051886220448027</v>
      </c>
      <c r="V72" s="18">
        <v>1.9210293646815522</v>
      </c>
      <c r="W72" s="18">
        <v>0</v>
      </c>
      <c r="X72" s="18">
        <v>0</v>
      </c>
      <c r="Y72" s="18">
        <v>0</v>
      </c>
      <c r="Z72" s="18">
        <v>3.3434673486433456E-6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5.2331743004853716E-6</v>
      </c>
      <c r="AH72" s="18">
        <v>0</v>
      </c>
      <c r="AI72" s="18">
        <v>1.0241459675528804E-5</v>
      </c>
      <c r="AJ72" s="18">
        <v>3.9582977097201577E-4</v>
      </c>
      <c r="AK72" s="18">
        <v>4.9916152170622332E-3</v>
      </c>
      <c r="AL72" s="18">
        <v>0</v>
      </c>
      <c r="AM72" s="18">
        <v>2.9359268657097911E-7</v>
      </c>
      <c r="AN72" s="18">
        <v>0</v>
      </c>
      <c r="AO72" s="18">
        <v>0</v>
      </c>
      <c r="AP72" s="18">
        <v>4.4370169586779473E-2</v>
      </c>
      <c r="AQ72" s="18">
        <v>6.5644395126243489E-5</v>
      </c>
      <c r="AR72" s="18">
        <v>2.3628428781841069E-5</v>
      </c>
      <c r="AS72" s="18">
        <v>5.6164348237637213E-6</v>
      </c>
      <c r="AT72" s="18">
        <v>7.3082338111270394E-6</v>
      </c>
      <c r="AU72" s="18">
        <v>0</v>
      </c>
      <c r="AV72" s="18">
        <v>0</v>
      </c>
      <c r="AW72" s="18">
        <v>0</v>
      </c>
      <c r="AX72" s="18">
        <v>3.6446016195328861E-5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7.0943977696713628E-3</v>
      </c>
      <c r="BF72" s="18">
        <v>0</v>
      </c>
      <c r="BG72" s="18">
        <v>0</v>
      </c>
      <c r="BH72" s="18">
        <v>0</v>
      </c>
      <c r="BI72" s="18">
        <v>0</v>
      </c>
      <c r="BJ72" s="18">
        <v>0.10919197935278938</v>
      </c>
      <c r="BK72" s="18">
        <f>'Composition of waste'!$BK72*$E72/100</f>
        <v>0</v>
      </c>
      <c r="BL72" s="18">
        <f>'Composition of waste'!$BL72*$E72/100</f>
        <v>0</v>
      </c>
      <c r="BM72" s="18">
        <v>0</v>
      </c>
      <c r="BN72" s="18">
        <f>'Composition of waste'!$BN72*$E72/100</f>
        <v>0</v>
      </c>
      <c r="BO72" s="18">
        <f>'Composition of waste'!$BO72*$E72/100</f>
        <v>0</v>
      </c>
      <c r="BP72" s="18">
        <f>'Composition of waste'!$BP72*$E72/100</f>
        <v>0</v>
      </c>
      <c r="BQ72" s="18">
        <v>0</v>
      </c>
      <c r="BR72" s="18">
        <f>'Composition of waste'!$BR72*$E72/100</f>
        <v>0</v>
      </c>
      <c r="BS72" s="18">
        <v>25.874371779433663</v>
      </c>
      <c r="BT72" s="18">
        <v>2.1899753689859902</v>
      </c>
      <c r="BU72" s="18">
        <v>0</v>
      </c>
      <c r="BV72" s="18">
        <v>0</v>
      </c>
      <c r="BW72" s="18">
        <v>0</v>
      </c>
      <c r="BX72" s="18">
        <v>0</v>
      </c>
      <c r="BY72" s="18">
        <v>0</v>
      </c>
      <c r="BZ72" s="18">
        <v>23.905049201846296</v>
      </c>
      <c r="CA72" s="18">
        <v>0</v>
      </c>
      <c r="CB72" s="19">
        <v>3.0575876929515395</v>
      </c>
    </row>
    <row r="73" spans="1:80" x14ac:dyDescent="0.35">
      <c r="A73" s="17" t="s">
        <v>117</v>
      </c>
      <c r="B73" s="17" t="s">
        <v>189</v>
      </c>
      <c r="C73" s="17"/>
      <c r="D73" s="18">
        <f>'Composition of waste'!$D73*$C73/100</f>
        <v>0</v>
      </c>
      <c r="E73" s="18">
        <f>'Composition of waste'!$E73*$C73/100</f>
        <v>0</v>
      </c>
      <c r="F73" s="18">
        <f>'Composition of waste'!$F73*$E73/100</f>
        <v>0</v>
      </c>
      <c r="G73" s="18">
        <f>'Composition of waste'!$G73*$E73/100</f>
        <v>0</v>
      </c>
      <c r="H73" s="18">
        <v>25.50111578309069</v>
      </c>
      <c r="I73" s="18">
        <v>690.29915464837609</v>
      </c>
      <c r="J73" s="18">
        <f>'Composition of waste'!$J73*'Composition (mass)'!$E73/100</f>
        <v>0</v>
      </c>
      <c r="K73" s="18">
        <v>57.320929149394338</v>
      </c>
      <c r="L73" s="18">
        <v>0</v>
      </c>
      <c r="M73" s="18">
        <v>1.5249081633873359E-2</v>
      </c>
      <c r="N73" s="18">
        <v>0</v>
      </c>
      <c r="O73" s="18">
        <v>0</v>
      </c>
      <c r="P73" s="18">
        <v>8.4124800436975313</v>
      </c>
      <c r="Q73" s="18">
        <v>0.93913042379596989</v>
      </c>
      <c r="R73" s="18">
        <f>'Composition of waste'!$R73*'Composition (mass)'!$E73/100</f>
        <v>0</v>
      </c>
      <c r="S73" s="18">
        <v>0.22835387756553691</v>
      </c>
      <c r="T73" s="18">
        <f>'Composition of waste'!$T73*'Composition (mass)'!$E73/100</f>
        <v>0</v>
      </c>
      <c r="U73" s="18">
        <v>0.53905569239960271</v>
      </c>
      <c r="V73" s="18">
        <v>2.1126502502980218</v>
      </c>
      <c r="W73" s="18">
        <v>0</v>
      </c>
      <c r="X73" s="18">
        <v>0</v>
      </c>
      <c r="Y73" s="18">
        <v>0</v>
      </c>
      <c r="Z73" s="18">
        <v>1.400034725069753E-6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2.2105540180749056E-6</v>
      </c>
      <c r="AH73" s="18">
        <v>0</v>
      </c>
      <c r="AI73" s="18">
        <v>1.2484494867501665E-5</v>
      </c>
      <c r="AJ73" s="18">
        <v>2.6045455059062683E-4</v>
      </c>
      <c r="AK73" s="18">
        <v>6.481893995499693E-3</v>
      </c>
      <c r="AL73" s="18">
        <v>0</v>
      </c>
      <c r="AM73" s="18">
        <v>1.6983435028538614E-7</v>
      </c>
      <c r="AN73" s="18">
        <v>0</v>
      </c>
      <c r="AO73" s="18">
        <v>0</v>
      </c>
      <c r="AP73" s="18">
        <v>6.2616496745743516E-2</v>
      </c>
      <c r="AQ73" s="18">
        <v>3.5894484825930744E-5</v>
      </c>
      <c r="AR73" s="18">
        <v>0</v>
      </c>
      <c r="AS73" s="18">
        <v>2.1415115610512083E-6</v>
      </c>
      <c r="AT73" s="18">
        <v>6.233260591366556E-6</v>
      </c>
      <c r="AU73" s="18">
        <v>0</v>
      </c>
      <c r="AV73" s="18">
        <v>0</v>
      </c>
      <c r="AW73" s="18">
        <v>0</v>
      </c>
      <c r="AX73" s="18">
        <v>2.1100803723912193E-5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0</v>
      </c>
      <c r="BE73" s="18">
        <v>1.257920652090138E-2</v>
      </c>
      <c r="BF73" s="18">
        <v>0</v>
      </c>
      <c r="BG73" s="18">
        <v>0</v>
      </c>
      <c r="BH73" s="18">
        <v>0</v>
      </c>
      <c r="BI73" s="18">
        <v>0</v>
      </c>
      <c r="BJ73" s="18">
        <v>9.2629350271271671E-2</v>
      </c>
      <c r="BK73" s="18">
        <f>'Composition of waste'!$BK73*$E73/100</f>
        <v>0</v>
      </c>
      <c r="BL73" s="18">
        <f>'Composition of waste'!$BL73*$E73/100</f>
        <v>0</v>
      </c>
      <c r="BM73" s="18">
        <v>0</v>
      </c>
      <c r="BN73" s="18">
        <f>'Composition of waste'!$BN73*$E73/100</f>
        <v>0</v>
      </c>
      <c r="BO73" s="18">
        <f>'Composition of waste'!$BO73*$E73/100</f>
        <v>0</v>
      </c>
      <c r="BP73" s="18">
        <f>'Composition of waste'!$BP73*$E73/100</f>
        <v>0</v>
      </c>
      <c r="BQ73" s="18">
        <v>0</v>
      </c>
      <c r="BR73" s="18">
        <f>'Composition of waste'!$BR73*$E73/100</f>
        <v>0</v>
      </c>
      <c r="BS73" s="18">
        <v>26.102748234272184</v>
      </c>
      <c r="BT73" s="18">
        <v>2.2125618003695187</v>
      </c>
      <c r="BU73" s="18">
        <v>0</v>
      </c>
      <c r="BV73" s="18">
        <v>0</v>
      </c>
      <c r="BW73" s="18">
        <v>0</v>
      </c>
      <c r="BX73" s="18">
        <v>0</v>
      </c>
      <c r="BY73" s="18">
        <v>0</v>
      </c>
      <c r="BZ73" s="18">
        <v>23.759690054710401</v>
      </c>
      <c r="CA73" s="18">
        <v>0</v>
      </c>
      <c r="CB73" s="19">
        <v>0.71387710058012588</v>
      </c>
    </row>
    <row r="74" spans="1:80" x14ac:dyDescent="0.35">
      <c r="A74" s="17" t="s">
        <v>117</v>
      </c>
      <c r="B74" s="17" t="s">
        <v>190</v>
      </c>
      <c r="C74" s="17"/>
      <c r="D74" s="18">
        <f>'Composition of waste'!$D74*$C74/100</f>
        <v>0</v>
      </c>
      <c r="E74" s="18">
        <f>'Composition of waste'!$E74*$C74/100</f>
        <v>0</v>
      </c>
      <c r="F74" s="18">
        <f>'Composition of waste'!$F74*$E74/100</f>
        <v>0</v>
      </c>
      <c r="G74" s="18">
        <f>'Composition of waste'!$G74*$E74/100</f>
        <v>0</v>
      </c>
      <c r="H74" s="18">
        <v>22.073570572126808</v>
      </c>
      <c r="I74" s="18">
        <v>611.72651254577625</v>
      </c>
      <c r="J74" s="18">
        <f>'Composition of waste'!$J74*'Composition (mass)'!$E74/100</f>
        <v>0</v>
      </c>
      <c r="K74" s="18">
        <v>51.111544752808761</v>
      </c>
      <c r="L74" s="18">
        <v>0</v>
      </c>
      <c r="M74" s="18">
        <v>2.3598396951442783E-2</v>
      </c>
      <c r="N74" s="18">
        <v>1.1152416356877324</v>
      </c>
      <c r="O74" s="18">
        <v>0</v>
      </c>
      <c r="P74" s="18">
        <v>7.602846891190068</v>
      </c>
      <c r="Q74" s="18">
        <v>1.1620256985376245</v>
      </c>
      <c r="R74" s="18">
        <f>'Composition of waste'!$R74*'Composition (mass)'!$E74/100</f>
        <v>0</v>
      </c>
      <c r="S74" s="18">
        <v>1.1839259512245257</v>
      </c>
      <c r="T74" s="18">
        <f>'Composition of waste'!$T74*'Composition (mass)'!$E74/100</f>
        <v>0</v>
      </c>
      <c r="U74" s="18">
        <v>0.87871190767816387</v>
      </c>
      <c r="V74" s="18">
        <v>2.369313394915062</v>
      </c>
      <c r="W74" s="18">
        <v>0</v>
      </c>
      <c r="X74" s="18">
        <v>0</v>
      </c>
      <c r="Y74" s="18">
        <v>0</v>
      </c>
      <c r="Z74" s="18">
        <v>1.5022903848780636E-6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2.3141901603363039E-6</v>
      </c>
      <c r="AH74" s="18">
        <v>2.747252747252747E-7</v>
      </c>
      <c r="AI74" s="18">
        <v>1.5221290045544694E-5</v>
      </c>
      <c r="AJ74" s="18">
        <v>3.7853962700146171E-4</v>
      </c>
      <c r="AK74" s="18">
        <v>6.714935802678991E-3</v>
      </c>
      <c r="AL74" s="18">
        <v>0</v>
      </c>
      <c r="AM74" s="18">
        <v>2.8402366052817111E-7</v>
      </c>
      <c r="AN74" s="18">
        <v>0</v>
      </c>
      <c r="AO74" s="18">
        <v>0</v>
      </c>
      <c r="AP74" s="18">
        <v>6.7082343616476706E-2</v>
      </c>
      <c r="AQ74" s="18">
        <v>5.9863804452594734E-5</v>
      </c>
      <c r="AR74" s="18">
        <v>2.7472527472527467E-6</v>
      </c>
      <c r="AS74" s="18">
        <v>4.5144093249793987E-6</v>
      </c>
      <c r="AT74" s="18">
        <v>6.2908994998189091E-6</v>
      </c>
      <c r="AU74" s="18">
        <v>0</v>
      </c>
      <c r="AV74" s="18">
        <v>0</v>
      </c>
      <c r="AW74" s="18">
        <v>0</v>
      </c>
      <c r="AX74" s="18">
        <v>2.5686509844605951E-5</v>
      </c>
      <c r="AY74" s="18">
        <v>0</v>
      </c>
      <c r="AZ74" s="18">
        <v>0</v>
      </c>
      <c r="BA74" s="18">
        <v>0</v>
      </c>
      <c r="BB74" s="18">
        <v>0</v>
      </c>
      <c r="BC74" s="18">
        <v>0</v>
      </c>
      <c r="BD74" s="18">
        <v>0</v>
      </c>
      <c r="BE74" s="18">
        <v>1.0862282409391869E-2</v>
      </c>
      <c r="BF74" s="18">
        <v>0</v>
      </c>
      <c r="BG74" s="18">
        <v>0</v>
      </c>
      <c r="BH74" s="18">
        <v>0</v>
      </c>
      <c r="BI74" s="18">
        <v>0</v>
      </c>
      <c r="BJ74" s="18">
        <v>1.1180124223602486</v>
      </c>
      <c r="BK74" s="18">
        <f>'Composition of waste'!$BK74*$E74/100</f>
        <v>0</v>
      </c>
      <c r="BL74" s="18">
        <f>'Composition of waste'!$BL74*$E74/100</f>
        <v>0</v>
      </c>
      <c r="BM74" s="18">
        <v>0</v>
      </c>
      <c r="BN74" s="18">
        <f>'Composition of waste'!$BN74*$E74/100</f>
        <v>0</v>
      </c>
      <c r="BO74" s="18">
        <f>'Composition of waste'!$BO74*$E74/100</f>
        <v>0</v>
      </c>
      <c r="BP74" s="18">
        <f>'Composition of waste'!$BP74*$E74/100</f>
        <v>0</v>
      </c>
      <c r="BQ74" s="18">
        <v>0</v>
      </c>
      <c r="BR74" s="18">
        <f>'Composition of waste'!$BR74*$E74/100</f>
        <v>0</v>
      </c>
      <c r="BS74" s="18">
        <v>23.698227482078085</v>
      </c>
      <c r="BT74" s="18">
        <v>1.9747546979775219</v>
      </c>
      <c r="BU74" s="18">
        <v>0</v>
      </c>
      <c r="BV74" s="18">
        <v>0</v>
      </c>
      <c r="BW74" s="18">
        <v>0</v>
      </c>
      <c r="BX74" s="18">
        <v>0</v>
      </c>
      <c r="BY74" s="18">
        <v>0</v>
      </c>
      <c r="BZ74" s="18">
        <v>20.343754325724461</v>
      </c>
      <c r="CA74" s="18">
        <v>0</v>
      </c>
      <c r="CB74" s="19">
        <v>3.7204735879179123</v>
      </c>
    </row>
    <row r="75" spans="1:80" x14ac:dyDescent="0.35">
      <c r="A75" s="17" t="s">
        <v>117</v>
      </c>
      <c r="B75" s="17" t="s">
        <v>191</v>
      </c>
      <c r="C75" s="17"/>
      <c r="D75" s="18">
        <f>'Composition of waste'!$D75*$C75/100</f>
        <v>0</v>
      </c>
      <c r="E75" s="18">
        <f>'Composition of waste'!$E75*$C75/100</f>
        <v>0</v>
      </c>
      <c r="F75" s="18">
        <f>'Composition of waste'!$F75*$E75/100</f>
        <v>0</v>
      </c>
      <c r="G75" s="18">
        <f>'Composition of waste'!$G75*$E75/100</f>
        <v>0</v>
      </c>
      <c r="H75" s="18">
        <v>27.421806484684691</v>
      </c>
      <c r="I75" s="18">
        <v>746.74627087633769</v>
      </c>
      <c r="J75" s="18">
        <f>'Composition of waste'!$J75*'Composition (mass)'!$E75/100</f>
        <v>0</v>
      </c>
      <c r="K75" s="18">
        <v>60.551045868072514</v>
      </c>
      <c r="L75" s="18">
        <v>0</v>
      </c>
      <c r="M75" s="18">
        <v>2.8991388347858957E-2</v>
      </c>
      <c r="N75" s="18">
        <v>0</v>
      </c>
      <c r="O75" s="18">
        <v>0</v>
      </c>
      <c r="P75" s="18">
        <v>8.79918853691197</v>
      </c>
      <c r="Q75" s="18">
        <v>0.78357067222872379</v>
      </c>
      <c r="R75" s="18">
        <f>'Composition of waste'!$R75*'Composition (mass)'!$E75/100</f>
        <v>0</v>
      </c>
      <c r="S75" s="18">
        <v>0.27800544994569781</v>
      </c>
      <c r="T75" s="18">
        <f>'Composition of waste'!$T75*'Composition (mass)'!$E75/100</f>
        <v>0</v>
      </c>
      <c r="U75" s="18">
        <v>0.55731431929949171</v>
      </c>
      <c r="V75" s="18">
        <v>1.7561339926211259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3.1502884246755241E-6</v>
      </c>
      <c r="AH75" s="18">
        <v>0</v>
      </c>
      <c r="AI75" s="18">
        <v>1.5275764381348319E-5</v>
      </c>
      <c r="AJ75" s="18">
        <v>3.6376317042892468E-4</v>
      </c>
      <c r="AK75" s="18">
        <v>4.5737840267526027E-3</v>
      </c>
      <c r="AL75" s="18">
        <v>0</v>
      </c>
      <c r="AM75" s="18">
        <v>3.784425069065344E-7</v>
      </c>
      <c r="AN75" s="18">
        <v>0</v>
      </c>
      <c r="AO75" s="18">
        <v>0</v>
      </c>
      <c r="AP75" s="18">
        <v>5.0615641637822097E-2</v>
      </c>
      <c r="AQ75" s="18">
        <v>5.3995230457649702E-5</v>
      </c>
      <c r="AR75" s="18">
        <v>0</v>
      </c>
      <c r="AS75" s="18">
        <v>1.0947439262042227E-5</v>
      </c>
      <c r="AT75" s="18">
        <v>9.6688612188555867E-6</v>
      </c>
      <c r="AU75" s="18">
        <v>0</v>
      </c>
      <c r="AV75" s="18">
        <v>0</v>
      </c>
      <c r="AW75" s="18">
        <v>0</v>
      </c>
      <c r="AX75" s="18">
        <v>1.1765356277498238E-5</v>
      </c>
      <c r="AY75" s="18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8.5225316574608374E-3</v>
      </c>
      <c r="BF75" s="18">
        <v>0</v>
      </c>
      <c r="BG75" s="18">
        <v>0</v>
      </c>
      <c r="BH75" s="18">
        <v>0</v>
      </c>
      <c r="BI75" s="18">
        <v>0</v>
      </c>
      <c r="BJ75" s="18">
        <v>0</v>
      </c>
      <c r="BK75" s="18">
        <f>'Composition of waste'!$BK75*$E75/100</f>
        <v>0</v>
      </c>
      <c r="BL75" s="18">
        <f>'Composition of waste'!$BL75*$E75/100</f>
        <v>0</v>
      </c>
      <c r="BM75" s="18">
        <v>0</v>
      </c>
      <c r="BN75" s="18">
        <f>'Composition of waste'!$BN75*$E75/100</f>
        <v>0</v>
      </c>
      <c r="BO75" s="18">
        <f>'Composition of waste'!$BO75*$E75/100</f>
        <v>0</v>
      </c>
      <c r="BP75" s="18">
        <f>'Composition of waste'!$BP75*$E75/100</f>
        <v>0</v>
      </c>
      <c r="BQ75" s="18">
        <v>0</v>
      </c>
      <c r="BR75" s="18">
        <f>'Composition of waste'!$BR75*$E75/100</f>
        <v>0</v>
      </c>
      <c r="BS75" s="18">
        <v>27.112521904648776</v>
      </c>
      <c r="BT75" s="18">
        <v>2.3124284163697642</v>
      </c>
      <c r="BU75" s="18">
        <v>0</v>
      </c>
      <c r="BV75" s="18">
        <v>0</v>
      </c>
      <c r="BW75" s="18">
        <v>0</v>
      </c>
      <c r="BX75" s="18">
        <v>0</v>
      </c>
      <c r="BY75" s="18">
        <v>0</v>
      </c>
      <c r="BZ75" s="18">
        <v>25.827084816647446</v>
      </c>
      <c r="CA75" s="18">
        <v>0</v>
      </c>
      <c r="CB75" s="19">
        <v>0.13675520921618656</v>
      </c>
    </row>
    <row r="76" spans="1:80" x14ac:dyDescent="0.35">
      <c r="A76" s="17" t="s">
        <v>117</v>
      </c>
      <c r="B76" s="17" t="s">
        <v>192</v>
      </c>
      <c r="C76" s="17"/>
      <c r="D76" s="18">
        <f>'Composition of waste'!$D76*$C76/100</f>
        <v>0</v>
      </c>
      <c r="E76" s="18">
        <f>'Composition of waste'!$E76*$C76/100</f>
        <v>0</v>
      </c>
      <c r="F76" s="18">
        <f>'Composition of waste'!$F76*$E76/100</f>
        <v>0</v>
      </c>
      <c r="G76" s="18">
        <f>'Composition of waste'!$G76*$E76/100</f>
        <v>0</v>
      </c>
      <c r="H76" s="18">
        <v>24.921753887402364</v>
      </c>
      <c r="I76" s="18">
        <v>674.62068965517233</v>
      </c>
      <c r="J76" s="18">
        <f>'Composition of waste'!$J76*'Composition (mass)'!$E76/100</f>
        <v>0</v>
      </c>
      <c r="K76" s="18">
        <v>56.298371060796342</v>
      </c>
      <c r="L76" s="18">
        <v>0</v>
      </c>
      <c r="M76" s="18">
        <v>3.3333333333333333E-2</v>
      </c>
      <c r="N76" s="18">
        <v>0</v>
      </c>
      <c r="O76" s="18">
        <v>0</v>
      </c>
      <c r="P76" s="18">
        <v>8.2895098492254373</v>
      </c>
      <c r="Q76" s="18">
        <v>0.96999999999999986</v>
      </c>
      <c r="R76" s="18">
        <f>'Composition of waste'!$R76*'Composition (mass)'!$E76/100</f>
        <v>0</v>
      </c>
      <c r="S76" s="18">
        <v>0.20666666666666667</v>
      </c>
      <c r="T76" s="18">
        <f>'Composition of waste'!$T76*'Composition (mass)'!$E76/100</f>
        <v>0</v>
      </c>
      <c r="U76" s="18">
        <v>0.6166666666666667</v>
      </c>
      <c r="V76" s="18">
        <v>2.2489108764675478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6.6666666666666666E-6</v>
      </c>
      <c r="AJ76" s="18">
        <v>4.7999999999999996E-4</v>
      </c>
      <c r="AK76" s="18">
        <v>1.1666666666666667E-2</v>
      </c>
      <c r="AL76" s="18">
        <v>0</v>
      </c>
      <c r="AM76" s="18">
        <v>0</v>
      </c>
      <c r="AN76" s="18">
        <v>0</v>
      </c>
      <c r="AO76" s="18">
        <v>0</v>
      </c>
      <c r="AP76" s="18">
        <v>6.6666666666666666E-2</v>
      </c>
      <c r="AQ76" s="18">
        <v>6.666666666666667E-5</v>
      </c>
      <c r="AR76" s="18">
        <v>0</v>
      </c>
      <c r="AS76" s="18">
        <v>6.6666666666666666E-6</v>
      </c>
      <c r="AT76" s="18">
        <v>0</v>
      </c>
      <c r="AU76" s="18">
        <v>0</v>
      </c>
      <c r="AV76" s="18">
        <v>0</v>
      </c>
      <c r="AW76" s="18">
        <v>0</v>
      </c>
      <c r="AX76" s="18">
        <v>2.0000000000000002E-5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1.5366666666666667E-2</v>
      </c>
      <c r="BF76" s="18">
        <v>0</v>
      </c>
      <c r="BG76" s="18">
        <v>0</v>
      </c>
      <c r="BH76" s="18">
        <v>0</v>
      </c>
      <c r="BI76" s="18">
        <v>0</v>
      </c>
      <c r="BJ76" s="18">
        <v>0</v>
      </c>
      <c r="BK76" s="18">
        <f>'Composition of waste'!$BK76*$E76/100</f>
        <v>0</v>
      </c>
      <c r="BL76" s="18">
        <f>'Composition of waste'!$BL76*$E76/100</f>
        <v>0</v>
      </c>
      <c r="BM76" s="18">
        <v>0</v>
      </c>
      <c r="BN76" s="18">
        <f>'Composition of waste'!$BN76*$E76/100</f>
        <v>0</v>
      </c>
      <c r="BO76" s="18">
        <f>'Composition of waste'!$BO76*$E76/100</f>
        <v>0</v>
      </c>
      <c r="BP76" s="18">
        <f>'Composition of waste'!$BP76*$E76/100</f>
        <v>0</v>
      </c>
      <c r="BQ76" s="18">
        <v>0</v>
      </c>
      <c r="BR76" s="18">
        <f>'Composition of waste'!$BR76*$E76/100</f>
        <v>0</v>
      </c>
      <c r="BS76" s="18">
        <v>25.814076333333333</v>
      </c>
      <c r="BT76" s="18">
        <v>2.1840121493666667</v>
      </c>
      <c r="BU76" s="18">
        <v>0</v>
      </c>
      <c r="BV76" s="18">
        <v>0</v>
      </c>
      <c r="BW76" s="18">
        <v>0</v>
      </c>
      <c r="BX76" s="18">
        <v>0</v>
      </c>
      <c r="BY76" s="18">
        <v>0</v>
      </c>
      <c r="BZ76" s="18">
        <v>23.1</v>
      </c>
      <c r="CA76" s="18">
        <v>0</v>
      </c>
      <c r="CB76" s="19">
        <v>0</v>
      </c>
    </row>
    <row r="77" spans="1:80" x14ac:dyDescent="0.35">
      <c r="A77" s="17" t="s">
        <v>117</v>
      </c>
      <c r="B77" s="17" t="s">
        <v>193</v>
      </c>
      <c r="C77" s="17"/>
      <c r="D77" s="18">
        <f>'Composition of waste'!$D77*$C77/100</f>
        <v>0</v>
      </c>
      <c r="E77" s="18">
        <f>'Composition of waste'!$E77*$C77/100</f>
        <v>0</v>
      </c>
      <c r="F77" s="18">
        <f>'Composition of waste'!$F77*$E77/100</f>
        <v>0</v>
      </c>
      <c r="G77" s="18">
        <f>'Composition of waste'!$G77*$E77/100</f>
        <v>0</v>
      </c>
      <c r="H77" s="18">
        <v>24.665686395638932</v>
      </c>
      <c r="I77" s="18">
        <v>675.44343549775363</v>
      </c>
      <c r="J77" s="18">
        <f>'Composition of waste'!$J77*'Composition (mass)'!$E77/100</f>
        <v>0</v>
      </c>
      <c r="K77" s="18">
        <v>55.746922962982609</v>
      </c>
      <c r="L77" s="18">
        <v>0</v>
      </c>
      <c r="M77" s="18">
        <v>2.0196538278697131E-2</v>
      </c>
      <c r="N77" s="18">
        <v>0.38269366699937768</v>
      </c>
      <c r="O77" s="18">
        <v>0</v>
      </c>
      <c r="P77" s="18">
        <v>8.1963020962785151</v>
      </c>
      <c r="Q77" s="18">
        <v>0.89459910331926562</v>
      </c>
      <c r="R77" s="18">
        <f>'Composition of waste'!$R77*'Composition (mass)'!$E77/100</f>
        <v>0</v>
      </c>
      <c r="S77" s="18">
        <v>0.84876971663336165</v>
      </c>
      <c r="T77" s="18">
        <f>'Composition of waste'!$T77*'Composition (mass)'!$E77/100</f>
        <v>0</v>
      </c>
      <c r="U77" s="18">
        <v>0.56970133112168175</v>
      </c>
      <c r="V77" s="18">
        <v>2.081005593644047</v>
      </c>
      <c r="W77" s="18">
        <v>0</v>
      </c>
      <c r="X77" s="18">
        <v>0</v>
      </c>
      <c r="Y77" s="18">
        <v>0</v>
      </c>
      <c r="Z77" s="18">
        <v>2.3973149518086268E-6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3.7477731948454878E-6</v>
      </c>
      <c r="AH77" s="18">
        <v>6.8681318681318674E-8</v>
      </c>
      <c r="AI77" s="18">
        <v>1.2047176066025991E-5</v>
      </c>
      <c r="AJ77" s="18">
        <v>3.5766342988402999E-4</v>
      </c>
      <c r="AK77" s="18">
        <v>5.7950150580757878E-3</v>
      </c>
      <c r="AL77" s="18">
        <v>0</v>
      </c>
      <c r="AM77" s="18">
        <v>2.6026084598887891E-7</v>
      </c>
      <c r="AN77" s="18">
        <v>0</v>
      </c>
      <c r="AO77" s="18">
        <v>0</v>
      </c>
      <c r="AP77" s="18">
        <v>5.4609794883944796E-2</v>
      </c>
      <c r="AQ77" s="18">
        <v>5.6761769882753117E-5</v>
      </c>
      <c r="AR77" s="18">
        <v>1.2501027577733721E-5</v>
      </c>
      <c r="AS77" s="18">
        <v>4.4721976333895127E-6</v>
      </c>
      <c r="AT77" s="18">
        <v>6.785156928359886E-6</v>
      </c>
      <c r="AU77" s="18">
        <v>0</v>
      </c>
      <c r="AV77" s="18">
        <v>0</v>
      </c>
      <c r="AW77" s="18">
        <v>0</v>
      </c>
      <c r="AX77" s="18">
        <v>2.9919836489793965E-5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9.407571117408994E-3</v>
      </c>
      <c r="BF77" s="18">
        <v>0</v>
      </c>
      <c r="BG77" s="18">
        <v>0</v>
      </c>
      <c r="BH77" s="18">
        <v>0</v>
      </c>
      <c r="BI77" s="18">
        <v>0</v>
      </c>
      <c r="BJ77" s="18">
        <v>0.35725643283427477</v>
      </c>
      <c r="BK77" s="18">
        <f>'Composition of waste'!$BK77*$E77/100</f>
        <v>0</v>
      </c>
      <c r="BL77" s="18">
        <f>'Composition of waste'!$BL77*$E77/100</f>
        <v>0</v>
      </c>
      <c r="BM77" s="18">
        <v>0</v>
      </c>
      <c r="BN77" s="18">
        <f>'Composition of waste'!$BN77*$E77/100</f>
        <v>0</v>
      </c>
      <c r="BO77" s="18">
        <f>'Composition of waste'!$BO77*$E77/100</f>
        <v>0</v>
      </c>
      <c r="BP77" s="18">
        <f>'Composition of waste'!$BP77*$E77/100</f>
        <v>0</v>
      </c>
      <c r="BQ77" s="18">
        <v>0</v>
      </c>
      <c r="BR77" s="18">
        <f>'Composition of waste'!$BR77*$E77/100</f>
        <v>0</v>
      </c>
      <c r="BS77" s="18">
        <v>25.387429818804396</v>
      </c>
      <c r="BT77" s="18">
        <v>2.1418168090797551</v>
      </c>
      <c r="BU77" s="18">
        <v>0</v>
      </c>
      <c r="BV77" s="18">
        <v>0</v>
      </c>
      <c r="BW77" s="18">
        <v>0</v>
      </c>
      <c r="BX77" s="18">
        <v>0</v>
      </c>
      <c r="BY77" s="18">
        <v>0</v>
      </c>
      <c r="BZ77" s="18">
        <v>22.978385696031864</v>
      </c>
      <c r="CA77" s="18">
        <v>0</v>
      </c>
      <c r="CB77" s="19">
        <v>2.6373815186002791</v>
      </c>
    </row>
    <row r="78" spans="1:80" x14ac:dyDescent="0.35">
      <c r="A78" s="17" t="s">
        <v>117</v>
      </c>
      <c r="B78" s="17" t="s">
        <v>194</v>
      </c>
      <c r="C78" s="17"/>
      <c r="D78" s="18">
        <f>'Composition of waste'!$D78*$C78/100</f>
        <v>0</v>
      </c>
      <c r="E78" s="18">
        <f>'Composition of waste'!$E78*$C78/100</f>
        <v>0</v>
      </c>
      <c r="F78" s="18">
        <f>'Composition of waste'!$F78*$E78/100</f>
        <v>0</v>
      </c>
      <c r="G78" s="18">
        <f>'Composition of waste'!$G78*$E78/100</f>
        <v>0</v>
      </c>
      <c r="H78" s="18">
        <v>24.665686395638932</v>
      </c>
      <c r="I78" s="18">
        <v>675.44343549775363</v>
      </c>
      <c r="J78" s="18">
        <f>'Composition of waste'!$J78*'Composition (mass)'!$E78/100</f>
        <v>0</v>
      </c>
      <c r="K78" s="18">
        <v>55.746922962982609</v>
      </c>
      <c r="L78" s="18">
        <v>0</v>
      </c>
      <c r="M78" s="18">
        <v>2.0196538278697131E-2</v>
      </c>
      <c r="N78" s="18">
        <v>0.38269366699937768</v>
      </c>
      <c r="O78" s="18">
        <v>0</v>
      </c>
      <c r="P78" s="18">
        <v>8.1963020962785151</v>
      </c>
      <c r="Q78" s="18">
        <v>0.89459910331926562</v>
      </c>
      <c r="R78" s="18">
        <f>'Composition of waste'!$R78*'Composition (mass)'!$E78/100</f>
        <v>0</v>
      </c>
      <c r="S78" s="18">
        <v>0.84876971663336165</v>
      </c>
      <c r="T78" s="18">
        <f>'Composition of waste'!$T78*'Composition (mass)'!$E78/100</f>
        <v>0</v>
      </c>
      <c r="U78" s="18">
        <v>0.56970133112168175</v>
      </c>
      <c r="V78" s="18">
        <v>2.081005593644047</v>
      </c>
      <c r="W78" s="18">
        <v>0</v>
      </c>
      <c r="X78" s="18">
        <v>0</v>
      </c>
      <c r="Y78" s="18">
        <v>0</v>
      </c>
      <c r="Z78" s="18">
        <v>2.3973149518086268E-6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3.7477731948454878E-6</v>
      </c>
      <c r="AH78" s="18">
        <v>6.8681318681318674E-8</v>
      </c>
      <c r="AI78" s="18">
        <v>1.2047176066025991E-5</v>
      </c>
      <c r="AJ78" s="18">
        <v>3.5766342988402999E-4</v>
      </c>
      <c r="AK78" s="18">
        <v>5.7950150580757878E-3</v>
      </c>
      <c r="AL78" s="18">
        <v>0</v>
      </c>
      <c r="AM78" s="18">
        <v>2.6026084598887891E-7</v>
      </c>
      <c r="AN78" s="18">
        <v>0</v>
      </c>
      <c r="AO78" s="18">
        <v>0</v>
      </c>
      <c r="AP78" s="18">
        <v>5.4609794883944796E-2</v>
      </c>
      <c r="AQ78" s="18">
        <v>5.6761769882753117E-5</v>
      </c>
      <c r="AR78" s="18">
        <v>1.2501027577733721E-5</v>
      </c>
      <c r="AS78" s="18">
        <v>4.4721976333895127E-6</v>
      </c>
      <c r="AT78" s="18">
        <v>6.785156928359886E-6</v>
      </c>
      <c r="AU78" s="18">
        <v>0</v>
      </c>
      <c r="AV78" s="18">
        <v>0</v>
      </c>
      <c r="AW78" s="18">
        <v>0</v>
      </c>
      <c r="AX78" s="18">
        <v>2.9919836489793965E-5</v>
      </c>
      <c r="AY78" s="18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9.407571117408994E-3</v>
      </c>
      <c r="BF78" s="18">
        <v>0</v>
      </c>
      <c r="BG78" s="18">
        <v>0</v>
      </c>
      <c r="BH78" s="18">
        <v>0</v>
      </c>
      <c r="BI78" s="18">
        <v>0</v>
      </c>
      <c r="BJ78" s="18">
        <v>0.35725643283427477</v>
      </c>
      <c r="BK78" s="18">
        <f>'Composition of waste'!$BK78*$E78/100</f>
        <v>0</v>
      </c>
      <c r="BL78" s="18">
        <f>'Composition of waste'!$BL78*$E78/100</f>
        <v>0</v>
      </c>
      <c r="BM78" s="18">
        <v>0</v>
      </c>
      <c r="BN78" s="18">
        <f>'Composition of waste'!$BN78*$E78/100</f>
        <v>0</v>
      </c>
      <c r="BO78" s="18">
        <f>'Composition of waste'!$BO78*$E78/100</f>
        <v>0</v>
      </c>
      <c r="BP78" s="18">
        <f>'Composition of waste'!$BP78*$E78/100</f>
        <v>0</v>
      </c>
      <c r="BQ78" s="18">
        <v>0</v>
      </c>
      <c r="BR78" s="18">
        <f>'Composition of waste'!$BR78*$E78/100</f>
        <v>0</v>
      </c>
      <c r="BS78" s="18">
        <v>25.387429818804396</v>
      </c>
      <c r="BT78" s="18">
        <v>2.1418168090797551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8">
        <v>22.978385696031864</v>
      </c>
      <c r="CA78" s="18">
        <v>0</v>
      </c>
      <c r="CB78" s="19">
        <v>2.6373815186002791</v>
      </c>
    </row>
    <row r="79" spans="1:80" x14ac:dyDescent="0.35">
      <c r="A79" s="17" t="s">
        <v>117</v>
      </c>
      <c r="B79" s="17" t="s">
        <v>195</v>
      </c>
      <c r="C79" s="17"/>
      <c r="D79" s="18">
        <f>'Composition of waste'!$D79*$C79/100</f>
        <v>0</v>
      </c>
      <c r="E79" s="18">
        <f>'Composition of waste'!$E79*$C79/100</f>
        <v>0</v>
      </c>
      <c r="F79" s="18">
        <f>'Composition of waste'!$F79*$E79/100</f>
        <v>0</v>
      </c>
      <c r="G79" s="18">
        <f>'Composition of waste'!$G79*$E79/100</f>
        <v>0</v>
      </c>
      <c r="H79" s="18">
        <v>24.665686395638932</v>
      </c>
      <c r="I79" s="18">
        <v>675.44343549775363</v>
      </c>
      <c r="J79" s="18">
        <f>'Composition of waste'!$J79*'Composition (mass)'!$E79/100</f>
        <v>0</v>
      </c>
      <c r="K79" s="18">
        <v>55.746922962982609</v>
      </c>
      <c r="L79" s="18">
        <v>0</v>
      </c>
      <c r="M79" s="18">
        <v>2.0196538278697131E-2</v>
      </c>
      <c r="N79" s="18">
        <v>0.38269366699937768</v>
      </c>
      <c r="O79" s="18">
        <v>0</v>
      </c>
      <c r="P79" s="18">
        <v>8.1963020962785151</v>
      </c>
      <c r="Q79" s="18">
        <v>0.89459910331926562</v>
      </c>
      <c r="R79" s="18">
        <f>'Composition of waste'!$R79*'Composition (mass)'!$E79/100</f>
        <v>0</v>
      </c>
      <c r="S79" s="18">
        <v>0.84876971663336165</v>
      </c>
      <c r="T79" s="18">
        <f>'Composition of waste'!$T79*'Composition (mass)'!$E79/100</f>
        <v>0</v>
      </c>
      <c r="U79" s="18">
        <v>0.56970133112168175</v>
      </c>
      <c r="V79" s="18">
        <v>2.081005593644047</v>
      </c>
      <c r="W79" s="18">
        <v>0</v>
      </c>
      <c r="X79" s="18">
        <v>0</v>
      </c>
      <c r="Y79" s="18">
        <v>0</v>
      </c>
      <c r="Z79" s="18">
        <v>2.3973149518086268E-6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3.7477731948454878E-6</v>
      </c>
      <c r="AH79" s="18">
        <v>6.8681318681318674E-8</v>
      </c>
      <c r="AI79" s="18">
        <v>1.2047176066025991E-5</v>
      </c>
      <c r="AJ79" s="18">
        <v>3.5766342988402999E-4</v>
      </c>
      <c r="AK79" s="18">
        <v>5.7950150580757878E-3</v>
      </c>
      <c r="AL79" s="18">
        <v>0</v>
      </c>
      <c r="AM79" s="18">
        <v>2.6026084598887891E-7</v>
      </c>
      <c r="AN79" s="18">
        <v>0</v>
      </c>
      <c r="AO79" s="18">
        <v>0</v>
      </c>
      <c r="AP79" s="18">
        <v>5.4609794883944796E-2</v>
      </c>
      <c r="AQ79" s="18">
        <v>5.6761769882753117E-5</v>
      </c>
      <c r="AR79" s="18">
        <v>1.2501027577733721E-5</v>
      </c>
      <c r="AS79" s="18">
        <v>4.4721976333895127E-6</v>
      </c>
      <c r="AT79" s="18">
        <v>6.785156928359886E-6</v>
      </c>
      <c r="AU79" s="18">
        <v>0</v>
      </c>
      <c r="AV79" s="18">
        <v>0</v>
      </c>
      <c r="AW79" s="18">
        <v>0</v>
      </c>
      <c r="AX79" s="18">
        <v>2.9919836489793965E-5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9.407571117408994E-3</v>
      </c>
      <c r="BF79" s="18">
        <v>0</v>
      </c>
      <c r="BG79" s="18">
        <v>0</v>
      </c>
      <c r="BH79" s="18">
        <v>0</v>
      </c>
      <c r="BI79" s="18">
        <v>0</v>
      </c>
      <c r="BJ79" s="18">
        <v>0.35725643283427477</v>
      </c>
      <c r="BK79" s="18">
        <f>'Composition of waste'!$BK79*$E79/100</f>
        <v>0</v>
      </c>
      <c r="BL79" s="18">
        <f>'Composition of waste'!$BL79*$E79/100</f>
        <v>0</v>
      </c>
      <c r="BM79" s="18">
        <v>0</v>
      </c>
      <c r="BN79" s="18">
        <f>'Composition of waste'!$BN79*$E79/100</f>
        <v>0</v>
      </c>
      <c r="BO79" s="18">
        <f>'Composition of waste'!$BO79*$E79/100</f>
        <v>0</v>
      </c>
      <c r="BP79" s="18">
        <f>'Composition of waste'!$BP79*$E79/100</f>
        <v>0</v>
      </c>
      <c r="BQ79" s="18">
        <v>0</v>
      </c>
      <c r="BR79" s="18">
        <f>'Composition of waste'!$BR79*$E79/100</f>
        <v>0</v>
      </c>
      <c r="BS79" s="18">
        <v>25.387429818804396</v>
      </c>
      <c r="BT79" s="18">
        <v>2.1418168090797551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22.978385696031864</v>
      </c>
      <c r="CA79" s="18">
        <v>0</v>
      </c>
      <c r="CB79" s="19">
        <v>2.6373815186002791</v>
      </c>
    </row>
    <row r="80" spans="1:80" x14ac:dyDescent="0.35">
      <c r="A80" s="17" t="s">
        <v>117</v>
      </c>
      <c r="B80" s="17" t="s">
        <v>196</v>
      </c>
      <c r="C80" s="17"/>
      <c r="D80" s="18">
        <f>'Composition of waste'!$D80*$C80/100</f>
        <v>0</v>
      </c>
      <c r="E80" s="18">
        <f>'Composition of waste'!$E80*$C80/100</f>
        <v>0</v>
      </c>
      <c r="F80" s="18">
        <f>'Composition of waste'!$F80*$E80/100</f>
        <v>0</v>
      </c>
      <c r="G80" s="18">
        <f>'Composition of waste'!$G80*$E80/100</f>
        <v>0</v>
      </c>
      <c r="H80" s="18">
        <v>25.741406205919322</v>
      </c>
      <c r="I80" s="18">
        <v>725.27674013134424</v>
      </c>
      <c r="J80" s="18">
        <f>'Composition of waste'!$J80*'Composition (mass)'!$E80/100</f>
        <v>0</v>
      </c>
      <c r="K80" s="18">
        <v>57.324277933664973</v>
      </c>
      <c r="L80" s="18">
        <v>0</v>
      </c>
      <c r="M80" s="18">
        <v>1.2726356538989756</v>
      </c>
      <c r="N80" s="18">
        <v>1.0426482158773729</v>
      </c>
      <c r="O80" s="18">
        <v>0</v>
      </c>
      <c r="P80" s="18">
        <v>8.3536728227674892</v>
      </c>
      <c r="Q80" s="18">
        <v>0.25312536795696089</v>
      </c>
      <c r="R80" s="18">
        <f>'Composition of waste'!$R80*'Composition (mass)'!$E80/100</f>
        <v>0</v>
      </c>
      <c r="S80" s="18">
        <v>1.4162073948421494</v>
      </c>
      <c r="T80" s="18">
        <f>'Composition of waste'!$T80*'Composition (mass)'!$E80/100</f>
        <v>0</v>
      </c>
      <c r="U80" s="18">
        <v>0.92700446754637966</v>
      </c>
      <c r="V80" s="18">
        <v>1.6604989216174157</v>
      </c>
      <c r="W80" s="18">
        <v>0</v>
      </c>
      <c r="X80" s="18">
        <v>0</v>
      </c>
      <c r="Y80" s="18">
        <v>0</v>
      </c>
      <c r="Z80" s="18">
        <v>1.3417200100256075E-6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1.8866302820165329E-8</v>
      </c>
      <c r="AH80" s="18">
        <v>5.5955180919761385E-7</v>
      </c>
      <c r="AI80" s="18">
        <v>7.5236859586096324E-7</v>
      </c>
      <c r="AJ80" s="18">
        <v>1.5360700953048872E-4</v>
      </c>
      <c r="AK80" s="18">
        <v>3.8848619685302271E-4</v>
      </c>
      <c r="AL80" s="18">
        <v>0</v>
      </c>
      <c r="AM80" s="18">
        <v>9.1891945013576455E-8</v>
      </c>
      <c r="AN80" s="18">
        <v>0</v>
      </c>
      <c r="AO80" s="18">
        <v>0</v>
      </c>
      <c r="AP80" s="18">
        <v>4.6220040207435815E-2</v>
      </c>
      <c r="AQ80" s="18">
        <v>8.1327706581402589E-5</v>
      </c>
      <c r="AR80" s="18">
        <v>1.101864301444415E-5</v>
      </c>
      <c r="AS80" s="18">
        <v>4.143177381157939E-6</v>
      </c>
      <c r="AT80" s="18">
        <v>8.3437068378518818E-7</v>
      </c>
      <c r="AU80" s="18">
        <v>0</v>
      </c>
      <c r="AV80" s="18">
        <v>0</v>
      </c>
      <c r="AW80" s="18">
        <v>0</v>
      </c>
      <c r="AX80" s="18">
        <v>1.7123060258873038E-5</v>
      </c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5.2435105474068445E-3</v>
      </c>
      <c r="BF80" s="18">
        <v>0</v>
      </c>
      <c r="BG80" s="18">
        <v>0</v>
      </c>
      <c r="BH80" s="18">
        <v>0</v>
      </c>
      <c r="BI80" s="18">
        <v>0</v>
      </c>
      <c r="BJ80" s="18">
        <v>0</v>
      </c>
      <c r="BK80" s="18">
        <f>'Composition of waste'!$BK80*$E80/100</f>
        <v>0</v>
      </c>
      <c r="BL80" s="18">
        <f>'Composition of waste'!$BL80*$E80/100</f>
        <v>0</v>
      </c>
      <c r="BM80" s="18">
        <v>0</v>
      </c>
      <c r="BN80" s="18">
        <f>'Composition of waste'!$BN80*$E80/100</f>
        <v>0</v>
      </c>
      <c r="BO80" s="18">
        <f>'Composition of waste'!$BO80*$E80/100</f>
        <v>0</v>
      </c>
      <c r="BP80" s="18">
        <f>'Composition of waste'!$BP80*$E80/100</f>
        <v>0</v>
      </c>
      <c r="BQ80" s="18">
        <v>0</v>
      </c>
      <c r="BR80" s="18">
        <f>'Composition of waste'!$BR80*$E80/100</f>
        <v>0</v>
      </c>
      <c r="BS80" s="18">
        <v>25.620190237990872</v>
      </c>
      <c r="BT80" s="18">
        <v>2.1648368145372978</v>
      </c>
      <c r="BU80" s="18">
        <v>9.7003205662155104E-3</v>
      </c>
      <c r="BV80" s="18">
        <v>0</v>
      </c>
      <c r="BW80" s="18">
        <v>2.801498972260966</v>
      </c>
      <c r="BX80" s="18">
        <v>0</v>
      </c>
      <c r="BY80" s="18">
        <v>2.8611959211792324</v>
      </c>
      <c r="BZ80" s="18">
        <v>24.322848575618917</v>
      </c>
      <c r="CA80" s="18">
        <v>0</v>
      </c>
      <c r="CB80" s="19">
        <v>1.7844079192988458</v>
      </c>
    </row>
    <row r="81" spans="1:80" x14ac:dyDescent="0.35">
      <c r="A81" s="17" t="s">
        <v>117</v>
      </c>
      <c r="B81" s="17" t="s">
        <v>197</v>
      </c>
      <c r="C81" s="17"/>
      <c r="D81" s="18">
        <f>'Composition of waste'!$D81*$C81/100</f>
        <v>0</v>
      </c>
      <c r="E81" s="18">
        <f>'Composition of waste'!$E81*$C81/100</f>
        <v>0</v>
      </c>
      <c r="F81" s="18">
        <f>'Composition of waste'!$F81*$E81/100</f>
        <v>0</v>
      </c>
      <c r="G81" s="18">
        <f>'Composition of waste'!$G81*$E81/100</f>
        <v>0</v>
      </c>
      <c r="H81" s="18">
        <v>22.340272036075664</v>
      </c>
      <c r="I81" s="18">
        <v>609.14803347727593</v>
      </c>
      <c r="J81" s="18">
        <f>'Composition of waste'!$J81*'Composition (mass)'!$E81/100</f>
        <v>0</v>
      </c>
      <c r="K81" s="18">
        <v>53.237879001486327</v>
      </c>
      <c r="L81" s="18">
        <v>0</v>
      </c>
      <c r="M81" s="18">
        <v>2.3511466374778776E-2</v>
      </c>
      <c r="N81" s="18">
        <v>1.0606060606060607E-2</v>
      </c>
      <c r="O81" s="18">
        <v>0</v>
      </c>
      <c r="P81" s="18">
        <v>7.8243204512864679</v>
      </c>
      <c r="Q81" s="18">
        <v>6.8303661276095148E-2</v>
      </c>
      <c r="R81" s="18">
        <f>'Composition of waste'!$R81*'Composition (mass)'!$E81/100</f>
        <v>0</v>
      </c>
      <c r="S81" s="18">
        <v>0.18468537563492263</v>
      </c>
      <c r="T81" s="18">
        <f>'Composition of waste'!$T81*'Composition (mass)'!$E81/100</f>
        <v>0</v>
      </c>
      <c r="U81" s="18">
        <v>4.2628787050976016E-2</v>
      </c>
      <c r="V81" s="18">
        <v>0.22979635194648088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7.4863371643426463E-4</v>
      </c>
      <c r="AL81" s="18">
        <v>0</v>
      </c>
      <c r="AM81" s="18">
        <v>0</v>
      </c>
      <c r="AN81" s="18">
        <v>0</v>
      </c>
      <c r="AO81" s="18">
        <v>0</v>
      </c>
      <c r="AP81" s="18">
        <v>8.8281567767763656E-3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1.8324852783522645E-7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3.1670674521982399E-4</v>
      </c>
      <c r="BF81" s="18">
        <v>0</v>
      </c>
      <c r="BG81" s="18">
        <v>0</v>
      </c>
      <c r="BH81" s="18">
        <v>0</v>
      </c>
      <c r="BI81" s="18">
        <v>1.8344155844155841</v>
      </c>
      <c r="BJ81" s="18">
        <v>0.69805194805194815</v>
      </c>
      <c r="BK81" s="18">
        <f>'Composition of waste'!$BK81*$E81/100</f>
        <v>0</v>
      </c>
      <c r="BL81" s="18">
        <f>'Composition of waste'!$BL81*$E81/100</f>
        <v>0</v>
      </c>
      <c r="BM81" s="18">
        <v>0</v>
      </c>
      <c r="BN81" s="18">
        <f>'Composition of waste'!$BN81*$E81/100</f>
        <v>0</v>
      </c>
      <c r="BO81" s="18">
        <f>'Composition of waste'!$BO81*$E81/100</f>
        <v>0</v>
      </c>
      <c r="BP81" s="18">
        <f>'Composition of waste'!$BP81*$E81/100</f>
        <v>0</v>
      </c>
      <c r="BQ81" s="18">
        <v>0</v>
      </c>
      <c r="BR81" s="18">
        <f>'Composition of waste'!$BR81*$E81/100</f>
        <v>0</v>
      </c>
      <c r="BS81" s="18">
        <v>22.094250180013457</v>
      </c>
      <c r="BT81" s="18">
        <v>1.8161213428033305</v>
      </c>
      <c r="BU81" s="18">
        <v>0.10443722943722943</v>
      </c>
      <c r="BV81" s="18">
        <v>0.15476190476190477</v>
      </c>
      <c r="BW81" s="18">
        <v>8.2792207792207792E-2</v>
      </c>
      <c r="BX81" s="18">
        <v>2.9707792207792211E-2</v>
      </c>
      <c r="BY81" s="18">
        <v>2.2023809523809526</v>
      </c>
      <c r="BZ81" s="18">
        <v>22.693371461452838</v>
      </c>
      <c r="CA81" s="18">
        <v>0</v>
      </c>
      <c r="CB81" s="19">
        <v>58.087706751887467</v>
      </c>
    </row>
    <row r="82" spans="1:80" x14ac:dyDescent="0.35">
      <c r="A82" s="17" t="s">
        <v>117</v>
      </c>
      <c r="B82" s="17" t="s">
        <v>198</v>
      </c>
      <c r="C82" s="17"/>
      <c r="D82" s="18">
        <f>'Composition of waste'!$D82*$C82/100</f>
        <v>0</v>
      </c>
      <c r="E82" s="18">
        <f>'Composition of waste'!$E82*$C82/100</f>
        <v>0</v>
      </c>
      <c r="F82" s="18">
        <f>'Composition of waste'!$F82*$E82/100</f>
        <v>0</v>
      </c>
      <c r="G82" s="18">
        <f>'Composition of waste'!$G82*$E82/100</f>
        <v>0</v>
      </c>
      <c r="H82" s="18">
        <v>22.340272036075664</v>
      </c>
      <c r="I82" s="18">
        <v>609.14803347727593</v>
      </c>
      <c r="J82" s="18">
        <f>'Composition of waste'!$J82*'Composition (mass)'!$E82/100</f>
        <v>0</v>
      </c>
      <c r="K82" s="18">
        <v>53.237879001486327</v>
      </c>
      <c r="L82" s="18">
        <v>0</v>
      </c>
      <c r="M82" s="18">
        <v>2.3511466374778776E-2</v>
      </c>
      <c r="N82" s="18">
        <v>1.0606060606060607E-2</v>
      </c>
      <c r="O82" s="18">
        <v>0</v>
      </c>
      <c r="P82" s="18">
        <v>7.8243204512864679</v>
      </c>
      <c r="Q82" s="18">
        <v>6.8303661276095148E-2</v>
      </c>
      <c r="R82" s="18">
        <f>'Composition of waste'!$R82*'Composition (mass)'!$E82/100</f>
        <v>0</v>
      </c>
      <c r="S82" s="18">
        <v>0.18468537563492263</v>
      </c>
      <c r="T82" s="18">
        <f>'Composition of waste'!$T82*'Composition (mass)'!$E82/100</f>
        <v>0</v>
      </c>
      <c r="U82" s="18">
        <v>4.2628787050976016E-2</v>
      </c>
      <c r="V82" s="18">
        <v>0.22979635194648088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7.4863371643426463E-4</v>
      </c>
      <c r="AL82" s="18">
        <v>0</v>
      </c>
      <c r="AM82" s="18">
        <v>0</v>
      </c>
      <c r="AN82" s="18">
        <v>0</v>
      </c>
      <c r="AO82" s="18">
        <v>0</v>
      </c>
      <c r="AP82" s="18">
        <v>8.8281567767763656E-3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1.8324852783522645E-7</v>
      </c>
      <c r="AY82" s="18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3.1670674521982399E-4</v>
      </c>
      <c r="BF82" s="18">
        <v>0</v>
      </c>
      <c r="BG82" s="18">
        <v>0</v>
      </c>
      <c r="BH82" s="18">
        <v>0</v>
      </c>
      <c r="BI82" s="18">
        <v>1.8344155844155841</v>
      </c>
      <c r="BJ82" s="18">
        <v>0.69805194805194815</v>
      </c>
      <c r="BK82" s="18">
        <f>'Composition of waste'!$BK82*$E82/100</f>
        <v>0</v>
      </c>
      <c r="BL82" s="18">
        <f>'Composition of waste'!$BL82*$E82/100</f>
        <v>0</v>
      </c>
      <c r="BM82" s="18">
        <v>0</v>
      </c>
      <c r="BN82" s="18">
        <f>'Composition of waste'!$BN82*$E82/100</f>
        <v>0</v>
      </c>
      <c r="BO82" s="18">
        <f>'Composition of waste'!$BO82*$E82/100</f>
        <v>0</v>
      </c>
      <c r="BP82" s="18">
        <f>'Composition of waste'!$BP82*$E82/100</f>
        <v>0</v>
      </c>
      <c r="BQ82" s="18">
        <v>0</v>
      </c>
      <c r="BR82" s="18">
        <f>'Composition of waste'!$BR82*$E82/100</f>
        <v>0</v>
      </c>
      <c r="BS82" s="18">
        <v>22.094250180013457</v>
      </c>
      <c r="BT82" s="18">
        <v>1.8161213428033305</v>
      </c>
      <c r="BU82" s="18">
        <v>0.10443722943722943</v>
      </c>
      <c r="BV82" s="18">
        <v>0.15476190476190477</v>
      </c>
      <c r="BW82" s="18">
        <v>8.2792207792207792E-2</v>
      </c>
      <c r="BX82" s="18">
        <v>2.9707792207792211E-2</v>
      </c>
      <c r="BY82" s="18">
        <v>2.2023809523809526</v>
      </c>
      <c r="BZ82" s="18">
        <v>22.693371461452838</v>
      </c>
      <c r="CA82" s="18">
        <v>0</v>
      </c>
      <c r="CB82" s="19">
        <v>58.087706751887467</v>
      </c>
    </row>
    <row r="83" spans="1:80" x14ac:dyDescent="0.35">
      <c r="A83" s="17" t="s">
        <v>117</v>
      </c>
      <c r="B83" s="17" t="s">
        <v>199</v>
      </c>
      <c r="C83" s="17"/>
      <c r="D83" s="18">
        <f>'Composition of waste'!$D83*$C83/100</f>
        <v>0</v>
      </c>
      <c r="E83" s="18">
        <f>'Composition of waste'!$E83*$C83/100</f>
        <v>0</v>
      </c>
      <c r="F83" s="18">
        <f>'Composition of waste'!$F83*$E83/100</f>
        <v>0</v>
      </c>
      <c r="G83" s="18">
        <f>'Composition of waste'!$G83*$E83/100</f>
        <v>0</v>
      </c>
      <c r="H83" s="18">
        <v>16.725718261439166</v>
      </c>
      <c r="I83" s="18">
        <v>455.23846524921248</v>
      </c>
      <c r="J83" s="18">
        <f>'Composition of waste'!$J83*'Composition (mass)'!$E83/100</f>
        <v>0</v>
      </c>
      <c r="K83" s="18">
        <v>44.180161139709391</v>
      </c>
      <c r="L83" s="18">
        <v>0</v>
      </c>
      <c r="M83" s="18">
        <v>7.3493469124525646E-2</v>
      </c>
      <c r="N83" s="18">
        <v>0.37019566022037054</v>
      </c>
      <c r="O83" s="18">
        <v>0</v>
      </c>
      <c r="P83" s="18">
        <v>6.4675673426434512</v>
      </c>
      <c r="Q83" s="18">
        <v>0.32265143857352002</v>
      </c>
      <c r="R83" s="18">
        <f>'Composition of waste'!$R83*'Composition (mass)'!$E83/100</f>
        <v>0</v>
      </c>
      <c r="S83" s="18">
        <v>0.69363701990855653</v>
      </c>
      <c r="T83" s="18">
        <f>'Composition of waste'!$T83*'Composition (mass)'!$E83/100</f>
        <v>0</v>
      </c>
      <c r="U83" s="18">
        <v>0.2138501403471661</v>
      </c>
      <c r="V83" s="18">
        <v>0.42728021343552869</v>
      </c>
      <c r="W83" s="18">
        <v>0</v>
      </c>
      <c r="X83" s="18">
        <v>0</v>
      </c>
      <c r="Y83" s="18">
        <v>0</v>
      </c>
      <c r="Z83" s="18">
        <v>3.1463692659955606E-7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3.599843191888662E-6</v>
      </c>
      <c r="AH83" s="18">
        <v>9.6809217155755221E-7</v>
      </c>
      <c r="AI83" s="18">
        <v>6.3290081578101622E-6</v>
      </c>
      <c r="AJ83" s="18">
        <v>2.15391403276687E-4</v>
      </c>
      <c r="AK83" s="18">
        <v>2.5666212717985878E-3</v>
      </c>
      <c r="AL83" s="18">
        <v>0</v>
      </c>
      <c r="AM83" s="18">
        <v>2.1705884729804277E-7</v>
      </c>
      <c r="AN83" s="18">
        <v>0</v>
      </c>
      <c r="AO83" s="18">
        <v>0</v>
      </c>
      <c r="AP83" s="18">
        <v>6.4676330188771544E-2</v>
      </c>
      <c r="AQ83" s="18">
        <v>1.2080549843672605E-3</v>
      </c>
      <c r="AR83" s="18">
        <v>2.329489543058888E-6</v>
      </c>
      <c r="AS83" s="18">
        <v>1.6948590030614297E-5</v>
      </c>
      <c r="AT83" s="18">
        <v>1.592555586949305E-6</v>
      </c>
      <c r="AU83" s="18">
        <v>0</v>
      </c>
      <c r="AV83" s="18">
        <v>0</v>
      </c>
      <c r="AW83" s="18">
        <v>0</v>
      </c>
      <c r="AX83" s="18">
        <v>4.4548888794132042E-6</v>
      </c>
      <c r="AY83" s="18">
        <v>0</v>
      </c>
      <c r="AZ83" s="18">
        <v>0</v>
      </c>
      <c r="BA83" s="18">
        <v>0</v>
      </c>
      <c r="BB83" s="18">
        <v>0</v>
      </c>
      <c r="BC83" s="18">
        <v>0</v>
      </c>
      <c r="BD83" s="18">
        <v>0</v>
      </c>
      <c r="BE83" s="18">
        <v>1.7044467273238536E-3</v>
      </c>
      <c r="BF83" s="18">
        <v>0</v>
      </c>
      <c r="BG83" s="18">
        <v>0</v>
      </c>
      <c r="BH83" s="18">
        <v>0</v>
      </c>
      <c r="BI83" s="18">
        <v>0.9279427658495818</v>
      </c>
      <c r="BJ83" s="18">
        <v>38.667919688180987</v>
      </c>
      <c r="BK83" s="18">
        <f>'Composition of waste'!$BK83*$E83/100</f>
        <v>0</v>
      </c>
      <c r="BL83" s="18">
        <f>'Composition of waste'!$BL83*$E83/100</f>
        <v>0</v>
      </c>
      <c r="BM83" s="18">
        <v>0</v>
      </c>
      <c r="BN83" s="18">
        <f>'Composition of waste'!$BN83*$E83/100</f>
        <v>0</v>
      </c>
      <c r="BO83" s="18">
        <f>'Composition of waste'!$BO83*$E83/100</f>
        <v>0</v>
      </c>
      <c r="BP83" s="18">
        <f>'Composition of waste'!$BP83*$E83/100</f>
        <v>0</v>
      </c>
      <c r="BQ83" s="18">
        <v>0</v>
      </c>
      <c r="BR83" s="18">
        <f>'Composition of waste'!$BR83*$E83/100</f>
        <v>0</v>
      </c>
      <c r="BS83" s="18">
        <v>17.967090086102974</v>
      </c>
      <c r="BT83" s="18">
        <v>1.4079392836453175</v>
      </c>
      <c r="BU83" s="18">
        <v>0.11576013952745297</v>
      </c>
      <c r="BV83" s="18">
        <v>0.14383705822171938</v>
      </c>
      <c r="BW83" s="18">
        <v>0</v>
      </c>
      <c r="BX83" s="18">
        <v>0.35418316311424114</v>
      </c>
      <c r="BY83" s="18">
        <v>1.5411645507094203</v>
      </c>
      <c r="BZ83" s="18">
        <v>16.619467481197741</v>
      </c>
      <c r="CA83" s="18">
        <v>0</v>
      </c>
      <c r="CB83" s="19">
        <v>39.783353915958543</v>
      </c>
    </row>
    <row r="84" spans="1:80" x14ac:dyDescent="0.35">
      <c r="A84" s="17" t="s">
        <v>117</v>
      </c>
      <c r="B84" s="17" t="s">
        <v>200</v>
      </c>
      <c r="C84" s="17"/>
      <c r="D84" s="18">
        <f>'Composition of waste'!$D84*$C84/100</f>
        <v>0</v>
      </c>
      <c r="E84" s="18">
        <f>'Composition of waste'!$E84*$C84/100</f>
        <v>0</v>
      </c>
      <c r="F84" s="18">
        <f>'Composition of waste'!$F84*$E84/100</f>
        <v>0</v>
      </c>
      <c r="G84" s="18">
        <f>'Composition of waste'!$G84*$E84/100</f>
        <v>0</v>
      </c>
      <c r="H84" s="18">
        <v>22.615822116722924</v>
      </c>
      <c r="I84" s="18">
        <v>637.22466532266355</v>
      </c>
      <c r="J84" s="18">
        <f>'Composition of waste'!$J84*'Composition (mass)'!$E84/100</f>
        <v>0</v>
      </c>
      <c r="K84" s="18">
        <v>51.994318583900387</v>
      </c>
      <c r="L84" s="18">
        <v>0</v>
      </c>
      <c r="M84" s="18">
        <v>0.16468926774053583</v>
      </c>
      <c r="N84" s="18">
        <v>0.65576274503828513</v>
      </c>
      <c r="O84" s="18">
        <v>0</v>
      </c>
      <c r="P84" s="18">
        <v>7.6957419113351051</v>
      </c>
      <c r="Q84" s="18">
        <v>0.88560018197049428</v>
      </c>
      <c r="R84" s="18">
        <f>'Composition of waste'!$R84*'Composition (mass)'!$E84/100</f>
        <v>0</v>
      </c>
      <c r="S84" s="18">
        <v>1.4729050706105946</v>
      </c>
      <c r="T84" s="18">
        <f>'Composition of waste'!$T84*'Composition (mass)'!$E84/100</f>
        <v>0</v>
      </c>
      <c r="U84" s="18">
        <v>0.58869337100455965</v>
      </c>
      <c r="V84" s="18">
        <v>2.0459001512302719</v>
      </c>
      <c r="W84" s="18">
        <v>0</v>
      </c>
      <c r="X84" s="18">
        <v>0</v>
      </c>
      <c r="Y84" s="18">
        <v>0</v>
      </c>
      <c r="Z84" s="18">
        <v>5.3879146335094631E-4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7.3862208370817171E-7</v>
      </c>
      <c r="AH84" s="18">
        <v>5.4310475275788635E-7</v>
      </c>
      <c r="AI84" s="18">
        <v>8.5358555455596532E-6</v>
      </c>
      <c r="AJ84" s="18">
        <v>1.8622347556451142E-4</v>
      </c>
      <c r="AK84" s="18">
        <v>2.5066900550972599E-3</v>
      </c>
      <c r="AL84" s="18">
        <v>0</v>
      </c>
      <c r="AM84" s="18">
        <v>1.7825965946621266E-5</v>
      </c>
      <c r="AN84" s="18">
        <v>0</v>
      </c>
      <c r="AO84" s="18">
        <v>0</v>
      </c>
      <c r="AP84" s="18">
        <v>6.2427402725230743E-2</v>
      </c>
      <c r="AQ84" s="18">
        <v>9.547776800003761E-5</v>
      </c>
      <c r="AR84" s="18">
        <v>6.4533983472468245E-6</v>
      </c>
      <c r="AS84" s="18">
        <v>5.8547830720421601E-6</v>
      </c>
      <c r="AT84" s="18">
        <v>4.6117495534586013E-6</v>
      </c>
      <c r="AU84" s="18">
        <v>0</v>
      </c>
      <c r="AV84" s="18">
        <v>0</v>
      </c>
      <c r="AW84" s="18">
        <v>0</v>
      </c>
      <c r="AX84" s="18">
        <v>8.3301475482940084E-5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2.1284950781373262E-3</v>
      </c>
      <c r="BF84" s="18">
        <v>0</v>
      </c>
      <c r="BG84" s="18">
        <v>0</v>
      </c>
      <c r="BH84" s="18">
        <v>0</v>
      </c>
      <c r="BI84" s="18">
        <v>0.54483072028941393</v>
      </c>
      <c r="BJ84" s="18">
        <v>0.1930470694892476</v>
      </c>
      <c r="BK84" s="18">
        <f>'Composition of waste'!$BK84*$E84/100</f>
        <v>0</v>
      </c>
      <c r="BL84" s="18">
        <f>'Composition of waste'!$BL84*$E84/100</f>
        <v>0</v>
      </c>
      <c r="BM84" s="18">
        <v>0</v>
      </c>
      <c r="BN84" s="18">
        <f>'Composition of waste'!$BN84*$E84/100</f>
        <v>0</v>
      </c>
      <c r="BO84" s="18">
        <f>'Composition of waste'!$BO84*$E84/100</f>
        <v>0</v>
      </c>
      <c r="BP84" s="18">
        <f>'Composition of waste'!$BP84*$E84/100</f>
        <v>0</v>
      </c>
      <c r="BQ84" s="18">
        <v>0</v>
      </c>
      <c r="BR84" s="18">
        <f>'Composition of waste'!$BR84*$E84/100</f>
        <v>0</v>
      </c>
      <c r="BS84" s="18">
        <v>23.729417030085326</v>
      </c>
      <c r="BT84" s="18">
        <v>1.9778393442754385</v>
      </c>
      <c r="BU84" s="18">
        <v>4.5631509678553846E-2</v>
      </c>
      <c r="BV84" s="18">
        <v>4.9678482326361427E-2</v>
      </c>
      <c r="BW84" s="18">
        <v>7.1294471945044638E-2</v>
      </c>
      <c r="BX84" s="18">
        <v>0</v>
      </c>
      <c r="BY84" s="18">
        <v>1.2652197058916759</v>
      </c>
      <c r="BZ84" s="18">
        <v>21.106569589944296</v>
      </c>
      <c r="CA84" s="18">
        <v>0</v>
      </c>
      <c r="CB84" s="19">
        <v>7.7810244673173328</v>
      </c>
    </row>
    <row r="85" spans="1:80" x14ac:dyDescent="0.35">
      <c r="A85" s="17" t="s">
        <v>117</v>
      </c>
      <c r="B85" s="17" t="s">
        <v>201</v>
      </c>
      <c r="C85" s="17"/>
      <c r="D85" s="18">
        <f>'Composition of waste'!$D85*$C85/100</f>
        <v>0</v>
      </c>
      <c r="E85" s="18">
        <f>'Composition of waste'!$E85*$C85/100</f>
        <v>0</v>
      </c>
      <c r="F85" s="18">
        <f>'Composition of waste'!$F85*$E85/100</f>
        <v>0</v>
      </c>
      <c r="G85" s="18">
        <f>'Composition of waste'!$G85*$E85/100</f>
        <v>0</v>
      </c>
      <c r="H85" s="18">
        <v>18.579798263872231</v>
      </c>
      <c r="I85" s="18">
        <v>528.82270224991487</v>
      </c>
      <c r="J85" s="18">
        <f>'Composition of waste'!$J85*'Composition (mass)'!$E85/100</f>
        <v>0</v>
      </c>
      <c r="K85" s="18">
        <v>44.751045263773022</v>
      </c>
      <c r="L85" s="18">
        <v>0</v>
      </c>
      <c r="M85" s="18">
        <v>0.27578131885295043</v>
      </c>
      <c r="N85" s="18">
        <v>1.3147819191839967</v>
      </c>
      <c r="O85" s="18">
        <v>0</v>
      </c>
      <c r="P85" s="18">
        <v>6.775433544398032</v>
      </c>
      <c r="Q85" s="18">
        <v>0.64099551662492316</v>
      </c>
      <c r="R85" s="18">
        <f>'Composition of waste'!$R85*'Composition (mass)'!$E85/100</f>
        <v>0</v>
      </c>
      <c r="S85" s="18">
        <v>2.5794562827103764</v>
      </c>
      <c r="T85" s="18">
        <f>'Composition of waste'!$T85*'Composition (mass)'!$E85/100</f>
        <v>0</v>
      </c>
      <c r="U85" s="18">
        <v>0.68945284124185779</v>
      </c>
      <c r="V85" s="18">
        <v>2.7515696502839959</v>
      </c>
      <c r="W85" s="18">
        <v>0</v>
      </c>
      <c r="X85" s="18">
        <v>0</v>
      </c>
      <c r="Y85" s="18">
        <v>0</v>
      </c>
      <c r="Z85" s="18">
        <v>1.9625013959935875E-3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5.1342237652976512E-5</v>
      </c>
      <c r="AH85" s="18">
        <v>3.7180512795649401E-6</v>
      </c>
      <c r="AI85" s="18">
        <v>2.7093663038196568E-5</v>
      </c>
      <c r="AJ85" s="18">
        <v>4.6566357081346864E-3</v>
      </c>
      <c r="AK85" s="18">
        <v>1.0751868835486185E-2</v>
      </c>
      <c r="AL85" s="18">
        <v>0</v>
      </c>
      <c r="AM85" s="18">
        <v>1.1483195867662394E-5</v>
      </c>
      <c r="AN85" s="18">
        <v>0</v>
      </c>
      <c r="AO85" s="18">
        <v>0</v>
      </c>
      <c r="AP85" s="18">
        <v>0.19120496955171581</v>
      </c>
      <c r="AQ85" s="18">
        <v>4.517348742623554E-4</v>
      </c>
      <c r="AR85" s="18">
        <v>3.5151758438998782E-5</v>
      </c>
      <c r="AS85" s="18">
        <v>6.0497500609664257E-5</v>
      </c>
      <c r="AT85" s="18">
        <v>4.4014335607874671E-5</v>
      </c>
      <c r="AU85" s="18">
        <v>0</v>
      </c>
      <c r="AV85" s="18">
        <v>0</v>
      </c>
      <c r="AW85" s="18">
        <v>0</v>
      </c>
      <c r="AX85" s="18">
        <v>1.4379302251716524E-4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3.6544183436525851E-2</v>
      </c>
      <c r="BF85" s="18">
        <v>0</v>
      </c>
      <c r="BG85" s="18">
        <v>0</v>
      </c>
      <c r="BH85" s="18">
        <v>0</v>
      </c>
      <c r="BI85" s="18">
        <v>0</v>
      </c>
      <c r="BJ85" s="18">
        <v>3.0070836144491477</v>
      </c>
      <c r="BK85" s="18">
        <f>'Composition of waste'!$BK85*$E85/100</f>
        <v>0</v>
      </c>
      <c r="BL85" s="18">
        <f>'Composition of waste'!$BL85*$E85/100</f>
        <v>0</v>
      </c>
      <c r="BM85" s="18">
        <v>0</v>
      </c>
      <c r="BN85" s="18">
        <f>'Composition of waste'!$BN85*$E85/100</f>
        <v>0</v>
      </c>
      <c r="BO85" s="18">
        <f>'Composition of waste'!$BO85*$E85/100</f>
        <v>0</v>
      </c>
      <c r="BP85" s="18">
        <f>'Composition of waste'!$BP85*$E85/100</f>
        <v>0</v>
      </c>
      <c r="BQ85" s="18">
        <v>0</v>
      </c>
      <c r="BR85" s="18">
        <f>'Composition of waste'!$BR85*$E85/100</f>
        <v>0</v>
      </c>
      <c r="BS85" s="18">
        <v>21.364480269525789</v>
      </c>
      <c r="BT85" s="18">
        <v>1.7439470986561008</v>
      </c>
      <c r="BU85" s="18">
        <v>0</v>
      </c>
      <c r="BV85" s="18">
        <v>0</v>
      </c>
      <c r="BW85" s="18">
        <v>0</v>
      </c>
      <c r="BX85" s="18">
        <v>0</v>
      </c>
      <c r="BY85" s="18">
        <v>0.31168831168831174</v>
      </c>
      <c r="BZ85" s="18">
        <v>16.726891307542161</v>
      </c>
      <c r="CA85" s="18">
        <v>0</v>
      </c>
      <c r="CB85" s="19">
        <v>3.2754330301784309</v>
      </c>
    </row>
    <row r="86" spans="1:80" x14ac:dyDescent="0.35">
      <c r="A86" s="17" t="s">
        <v>117</v>
      </c>
      <c r="B86" s="17" t="s">
        <v>202</v>
      </c>
      <c r="C86" s="17"/>
      <c r="D86" s="18">
        <f>'Composition of waste'!$D86*$C86/100</f>
        <v>0</v>
      </c>
      <c r="E86" s="18">
        <f>'Composition of waste'!$E86*$C86/100</f>
        <v>0</v>
      </c>
      <c r="F86" s="18">
        <f>'Composition of waste'!$F86*$E86/100</f>
        <v>0</v>
      </c>
      <c r="G86" s="18">
        <f>'Composition of waste'!$G86*$E86/100</f>
        <v>0</v>
      </c>
      <c r="H86" s="18">
        <v>0</v>
      </c>
      <c r="I86" s="18">
        <v>0</v>
      </c>
      <c r="J86" s="18">
        <f>'Composition of waste'!$J86*'Composition (mass)'!$E86/100</f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f>'Composition of waste'!$R86*'Composition (mass)'!$E86/100</f>
        <v>0</v>
      </c>
      <c r="S86" s="18">
        <v>0</v>
      </c>
      <c r="T86" s="18">
        <f>'Composition of waste'!$T86*'Composition (mass)'!$E86/100</f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0</v>
      </c>
      <c r="BK86" s="18">
        <f>'Composition of waste'!$BK86*$E86/100</f>
        <v>0</v>
      </c>
      <c r="BL86" s="18">
        <f>'Composition of waste'!$BL86*$E86/100</f>
        <v>0</v>
      </c>
      <c r="BM86" s="18">
        <v>0</v>
      </c>
      <c r="BN86" s="18">
        <f>'Composition of waste'!$BN86*$E86/100</f>
        <v>0</v>
      </c>
      <c r="BO86" s="18">
        <f>'Composition of waste'!$BO86*$E86/100</f>
        <v>0</v>
      </c>
      <c r="BP86" s="18">
        <f>'Composition of waste'!$BP86*$E86/100</f>
        <v>0</v>
      </c>
      <c r="BQ86" s="18">
        <v>0</v>
      </c>
      <c r="BR86" s="18">
        <f>'Composition of waste'!$BR86*$E86/100</f>
        <v>0</v>
      </c>
      <c r="BS86" s="18">
        <v>0</v>
      </c>
      <c r="BT86" s="18">
        <v>0</v>
      </c>
      <c r="BU86" s="18">
        <v>0</v>
      </c>
      <c r="BV86" s="18">
        <v>0</v>
      </c>
      <c r="BW86" s="18">
        <v>0</v>
      </c>
      <c r="BX86" s="18">
        <v>0</v>
      </c>
      <c r="BY86" s="18">
        <v>0</v>
      </c>
      <c r="BZ86" s="18">
        <v>0</v>
      </c>
      <c r="CA86" s="18">
        <v>0</v>
      </c>
      <c r="CB86" s="18">
        <v>0</v>
      </c>
    </row>
    <row r="87" spans="1:80" x14ac:dyDescent="0.35">
      <c r="A87" s="17" t="s">
        <v>117</v>
      </c>
      <c r="B87" s="17" t="s">
        <v>203</v>
      </c>
      <c r="C87" s="17"/>
      <c r="D87" s="18">
        <f>'Composition of waste'!$D87*$C87/100</f>
        <v>0</v>
      </c>
      <c r="E87" s="18">
        <f>'Composition of waste'!$E87*$C87/100</f>
        <v>0</v>
      </c>
      <c r="F87" s="18">
        <f>'Composition of waste'!$F87*$E87/100</f>
        <v>0</v>
      </c>
      <c r="G87" s="18">
        <f>'Composition of waste'!$G87*$E87/100</f>
        <v>0</v>
      </c>
      <c r="H87" s="18">
        <v>15.859009791161208</v>
      </c>
      <c r="I87" s="18">
        <v>446.15109026955054</v>
      </c>
      <c r="J87" s="18">
        <f>'Composition of waste'!$J87*'Composition (mass)'!$E87/100</f>
        <v>0</v>
      </c>
      <c r="K87" s="18">
        <v>42.273287215213848</v>
      </c>
      <c r="L87" s="18">
        <v>0</v>
      </c>
      <c r="M87" s="18">
        <v>0.39405575859087688</v>
      </c>
      <c r="N87" s="18">
        <v>7.9934943180861223E-2</v>
      </c>
      <c r="O87" s="18">
        <v>0</v>
      </c>
      <c r="P87" s="18">
        <v>6.4324357543827144</v>
      </c>
      <c r="Q87" s="18">
        <v>0.5557473903316964</v>
      </c>
      <c r="R87" s="18">
        <f>'Composition of waste'!$R87*'Composition (mass)'!$E87/100</f>
        <v>0</v>
      </c>
      <c r="S87" s="18">
        <v>0.3833529645406128</v>
      </c>
      <c r="T87" s="18">
        <f>'Composition of waste'!$T87*'Composition (mass)'!$E87/100</f>
        <v>0</v>
      </c>
      <c r="U87" s="18">
        <v>0.14365654345712561</v>
      </c>
      <c r="V87" s="18">
        <v>0.16949381719182086</v>
      </c>
      <c r="W87" s="18">
        <v>0</v>
      </c>
      <c r="X87" s="18">
        <v>0</v>
      </c>
      <c r="Y87" s="18">
        <v>0</v>
      </c>
      <c r="Z87" s="18">
        <v>2.5748448466564744E-6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1.0269712399583687E-6</v>
      </c>
      <c r="AH87" s="18">
        <v>8.7623220153340631E-8</v>
      </c>
      <c r="AI87" s="18">
        <v>7.8778762228426935E-6</v>
      </c>
      <c r="AJ87" s="18">
        <v>2.7699150802317136E-4</v>
      </c>
      <c r="AK87" s="18">
        <v>2.0802152806872645E-3</v>
      </c>
      <c r="AL87" s="18">
        <v>0</v>
      </c>
      <c r="AM87" s="18">
        <v>4.9688031501224134E-7</v>
      </c>
      <c r="AN87" s="18">
        <v>0</v>
      </c>
      <c r="AO87" s="18">
        <v>0</v>
      </c>
      <c r="AP87" s="18">
        <v>4.5887912730262236E-2</v>
      </c>
      <c r="AQ87" s="18">
        <v>4.946452288768471E-4</v>
      </c>
      <c r="AR87" s="18">
        <v>4.3811610076670314E-7</v>
      </c>
      <c r="AS87" s="18">
        <v>1.9458942354959435E-5</v>
      </c>
      <c r="AT87" s="18">
        <v>2.7464569431869614E-6</v>
      </c>
      <c r="AU87" s="18">
        <v>0</v>
      </c>
      <c r="AV87" s="18">
        <v>0</v>
      </c>
      <c r="AW87" s="18">
        <v>0</v>
      </c>
      <c r="AX87" s="18">
        <v>1.0294790389467366E-6</v>
      </c>
      <c r="AY87" s="18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9.404340312230622E-4</v>
      </c>
      <c r="BF87" s="18">
        <v>0</v>
      </c>
      <c r="BG87" s="18">
        <v>0</v>
      </c>
      <c r="BH87" s="18">
        <v>0</v>
      </c>
      <c r="BI87" s="18">
        <v>2.2367748268237344</v>
      </c>
      <c r="BJ87" s="18">
        <v>1.6559937057435088</v>
      </c>
      <c r="BK87" s="18">
        <f>'Composition of waste'!$BK87*$E87/100</f>
        <v>0</v>
      </c>
      <c r="BL87" s="18">
        <f>'Composition of waste'!$BL87*$E87/100</f>
        <v>0</v>
      </c>
      <c r="BM87" s="18">
        <v>0</v>
      </c>
      <c r="BN87" s="18">
        <f>'Composition of waste'!$BN87*$E87/100</f>
        <v>0</v>
      </c>
      <c r="BO87" s="18">
        <f>'Composition of waste'!$BO87*$E87/100</f>
        <v>0</v>
      </c>
      <c r="BP87" s="18">
        <f>'Composition of waste'!$BP87*$E87/100</f>
        <v>0</v>
      </c>
      <c r="BQ87" s="18">
        <v>0</v>
      </c>
      <c r="BR87" s="18">
        <f>'Composition of waste'!$BR87*$E87/100</f>
        <v>0</v>
      </c>
      <c r="BS87" s="18">
        <v>17.26292306179754</v>
      </c>
      <c r="BT87" s="18">
        <v>1.3383030908117768</v>
      </c>
      <c r="BU87" s="18">
        <v>2.3225179853742093</v>
      </c>
      <c r="BV87" s="18">
        <v>2.3900334044433826</v>
      </c>
      <c r="BW87" s="18">
        <v>0.51173983739837392</v>
      </c>
      <c r="BX87" s="18">
        <v>1.7514546440593142</v>
      </c>
      <c r="BY87" s="18">
        <v>43.123702163334919</v>
      </c>
      <c r="BZ87" s="18">
        <v>16.632714843820477</v>
      </c>
      <c r="CA87" s="18">
        <v>0</v>
      </c>
      <c r="CB87" s="19">
        <v>76.089751709798463</v>
      </c>
    </row>
    <row r="88" spans="1:80" x14ac:dyDescent="0.35">
      <c r="A88" s="17" t="s">
        <v>117</v>
      </c>
      <c r="B88" s="17" t="s">
        <v>204</v>
      </c>
      <c r="C88" s="17"/>
      <c r="D88" s="18">
        <f>'Composition of waste'!$D88*$C88/100</f>
        <v>0</v>
      </c>
      <c r="E88" s="18">
        <f>'Composition of waste'!$E88*$C88/100</f>
        <v>0</v>
      </c>
      <c r="F88" s="18">
        <f>'Composition of waste'!$F88*$E88/100</f>
        <v>0</v>
      </c>
      <c r="G88" s="18">
        <f>'Composition of waste'!$G88*$E88/100</f>
        <v>0</v>
      </c>
      <c r="H88" s="18">
        <v>24.932416940986311</v>
      </c>
      <c r="I88" s="18">
        <v>681.19962145216937</v>
      </c>
      <c r="J88" s="18">
        <f>'Composition of waste'!$J88*'Composition (mass)'!$E88/100</f>
        <v>0</v>
      </c>
      <c r="K88" s="18">
        <v>56.22503358686042</v>
      </c>
      <c r="L88" s="18">
        <v>0</v>
      </c>
      <c r="M88" s="18">
        <v>2.2841394045917004E-2</v>
      </c>
      <c r="N88" s="18">
        <v>0.30888614410509435</v>
      </c>
      <c r="O88" s="18">
        <v>0</v>
      </c>
      <c r="P88" s="18">
        <v>8.2597340418717238</v>
      </c>
      <c r="Q88" s="18">
        <v>0.90964303124898116</v>
      </c>
      <c r="R88" s="18">
        <f>'Composition of waste'!$R88*'Composition (mass)'!$E88/100</f>
        <v>0</v>
      </c>
      <c r="S88" s="18">
        <v>0.6793325767717755</v>
      </c>
      <c r="T88" s="18">
        <f>'Composition of waste'!$T88*'Composition (mass)'!$E88/100</f>
        <v>0</v>
      </c>
      <c r="U88" s="18">
        <v>0.59142143020168125</v>
      </c>
      <c r="V88" s="18">
        <v>2.0813818324894315</v>
      </c>
      <c r="W88" s="18">
        <v>0</v>
      </c>
      <c r="X88" s="18">
        <v>0</v>
      </c>
      <c r="Y88" s="18">
        <v>0</v>
      </c>
      <c r="Z88" s="18">
        <v>1.6797171642521304E-6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3.0189408110135711E-6</v>
      </c>
      <c r="AH88" s="18">
        <v>6.009615384615383E-8</v>
      </c>
      <c r="AI88" s="18">
        <v>1.2003900479333514E-5</v>
      </c>
      <c r="AJ88" s="18">
        <v>3.6894717608063987E-4</v>
      </c>
      <c r="AK88" s="18">
        <v>6.4767426103609438E-3</v>
      </c>
      <c r="AL88" s="18">
        <v>0</v>
      </c>
      <c r="AM88" s="18">
        <v>2.3833446778221343E-7</v>
      </c>
      <c r="AN88" s="18">
        <v>0</v>
      </c>
      <c r="AO88" s="18">
        <v>0</v>
      </c>
      <c r="AP88" s="18">
        <v>5.6897587863165358E-2</v>
      </c>
      <c r="AQ88" s="18">
        <v>5.6543736397168081E-5</v>
      </c>
      <c r="AR88" s="18">
        <v>7.984845532786873E-6</v>
      </c>
      <c r="AS88" s="18">
        <v>5.4128818173339706E-6</v>
      </c>
      <c r="AT88" s="18">
        <v>6.2320907382809677E-6</v>
      </c>
      <c r="AU88" s="18">
        <v>0</v>
      </c>
      <c r="AV88" s="18">
        <v>0</v>
      </c>
      <c r="AW88" s="18">
        <v>0</v>
      </c>
      <c r="AX88" s="18">
        <v>2.5594774438840889E-5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1.0330974797039885E-2</v>
      </c>
      <c r="BF88" s="18">
        <v>0</v>
      </c>
      <c r="BG88" s="18">
        <v>0</v>
      </c>
      <c r="BH88" s="18">
        <v>0</v>
      </c>
      <c r="BI88" s="18">
        <v>0</v>
      </c>
      <c r="BJ88" s="18">
        <v>0.29895038131089169</v>
      </c>
      <c r="BK88" s="18">
        <f>'Composition of waste'!$BK88*$E88/100</f>
        <v>0</v>
      </c>
      <c r="BL88" s="18">
        <f>'Composition of waste'!$BL88*$E88/100</f>
        <v>0</v>
      </c>
      <c r="BM88" s="18">
        <v>0</v>
      </c>
      <c r="BN88" s="18">
        <f>'Composition of waste'!$BN88*$E88/100</f>
        <v>0</v>
      </c>
      <c r="BO88" s="18">
        <f>'Composition of waste'!$BO88*$E88/100</f>
        <v>0</v>
      </c>
      <c r="BP88" s="18">
        <f>'Composition of waste'!$BP88*$E88/100</f>
        <v>0</v>
      </c>
      <c r="BQ88" s="18">
        <v>0</v>
      </c>
      <c r="BR88" s="18">
        <f>'Composition of waste'!$BR88*$E88/100</f>
        <v>0</v>
      </c>
      <c r="BS88" s="18">
        <v>25.595529398772406</v>
      </c>
      <c r="BT88" s="18">
        <v>2.1623978575385907</v>
      </c>
      <c r="BU88" s="18">
        <v>0</v>
      </c>
      <c r="BV88" s="18">
        <v>0</v>
      </c>
      <c r="BW88" s="18">
        <v>0</v>
      </c>
      <c r="BX88" s="18">
        <v>0</v>
      </c>
      <c r="BY88" s="18">
        <v>0</v>
      </c>
      <c r="BZ88" s="18">
        <v>23.233841935878026</v>
      </c>
      <c r="CA88" s="18">
        <v>0</v>
      </c>
      <c r="CB88" s="19">
        <v>1.942604768308325</v>
      </c>
    </row>
    <row r="89" spans="1:80" x14ac:dyDescent="0.35">
      <c r="A89" s="17" t="s">
        <v>117</v>
      </c>
      <c r="B89" s="17" t="s">
        <v>205</v>
      </c>
      <c r="C89" s="17"/>
      <c r="D89" s="18">
        <f>'Composition of waste'!$D89*$C89/100</f>
        <v>0</v>
      </c>
      <c r="E89" s="18">
        <f>'Composition of waste'!$E89*$C89/100</f>
        <v>0</v>
      </c>
      <c r="F89" s="18">
        <f>'Composition of waste'!$F89*$E89/100</f>
        <v>0</v>
      </c>
      <c r="G89" s="18">
        <f>'Composition of waste'!$G89*$E89/100</f>
        <v>0</v>
      </c>
      <c r="H89" s="18">
        <v>22.708447352571454</v>
      </c>
      <c r="I89" s="18">
        <v>619.01875777778559</v>
      </c>
      <c r="J89" s="18">
        <f>'Composition of waste'!$J89*'Composition (mass)'!$E89/100</f>
        <v>0</v>
      </c>
      <c r="K89" s="18">
        <v>52.398474278531069</v>
      </c>
      <c r="L89" s="18">
        <v>0</v>
      </c>
      <c r="M89" s="18">
        <v>4.02684080717437E-2</v>
      </c>
      <c r="N89" s="18">
        <v>0.42028073209661848</v>
      </c>
      <c r="O89" s="18">
        <v>0</v>
      </c>
      <c r="P89" s="18">
        <v>7.7949295010311141</v>
      </c>
      <c r="Q89" s="18">
        <v>1.0717609747707986</v>
      </c>
      <c r="R89" s="18">
        <f>'Composition of waste'!$R89*'Composition (mass)'!$E89/100</f>
        <v>0</v>
      </c>
      <c r="S89" s="18">
        <v>0.56749143430372129</v>
      </c>
      <c r="T89" s="18">
        <f>'Composition of waste'!$T89*'Composition (mass)'!$E89/100</f>
        <v>0</v>
      </c>
      <c r="U89" s="18">
        <v>0.70170425040095408</v>
      </c>
      <c r="V89" s="18">
        <v>2.4618293259895974</v>
      </c>
      <c r="W89" s="18">
        <v>0</v>
      </c>
      <c r="X89" s="18">
        <v>0</v>
      </c>
      <c r="Y89" s="18">
        <v>0</v>
      </c>
      <c r="Z89" s="18">
        <v>5.4886108510115323E-7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4.509028524256546E-6</v>
      </c>
      <c r="AH89" s="18">
        <v>0</v>
      </c>
      <c r="AI89" s="18">
        <v>6.8871446066990554E-6</v>
      </c>
      <c r="AJ89" s="18">
        <v>1.6558493835714075E-3</v>
      </c>
      <c r="AK89" s="18">
        <v>1.1143191821064991E-2</v>
      </c>
      <c r="AL89" s="18">
        <v>0</v>
      </c>
      <c r="AM89" s="18">
        <v>9.7425374828873177E-8</v>
      </c>
      <c r="AN89" s="18">
        <v>0</v>
      </c>
      <c r="AO89" s="18">
        <v>0</v>
      </c>
      <c r="AP89" s="18">
        <v>8.2962921951267476E-2</v>
      </c>
      <c r="AQ89" s="18">
        <v>1.3808680203118804E-4</v>
      </c>
      <c r="AR89" s="18">
        <v>1.0313660072802998E-5</v>
      </c>
      <c r="AS89" s="18">
        <v>2.7577633052556632E-6</v>
      </c>
      <c r="AT89" s="18">
        <v>5.8327089019640582E-7</v>
      </c>
      <c r="AU89" s="18">
        <v>0</v>
      </c>
      <c r="AV89" s="18">
        <v>0</v>
      </c>
      <c r="AW89" s="18">
        <v>0</v>
      </c>
      <c r="AX89" s="18">
        <v>5.973575870860651E-5</v>
      </c>
      <c r="AY89" s="18">
        <v>0</v>
      </c>
      <c r="AZ89" s="18">
        <v>0</v>
      </c>
      <c r="BA89" s="18">
        <v>0</v>
      </c>
      <c r="BB89" s="18">
        <v>0</v>
      </c>
      <c r="BC89" s="18">
        <v>0</v>
      </c>
      <c r="BD89" s="18">
        <v>0</v>
      </c>
      <c r="BE89" s="18">
        <v>5.9985215452293475E-3</v>
      </c>
      <c r="BF89" s="18">
        <v>0</v>
      </c>
      <c r="BG89" s="18">
        <v>0</v>
      </c>
      <c r="BH89" s="18">
        <v>0</v>
      </c>
      <c r="BI89" s="18">
        <v>0</v>
      </c>
      <c r="BJ89" s="18">
        <v>8.80515683147262E-2</v>
      </c>
      <c r="BK89" s="18">
        <f>'Composition of waste'!$BK89*$E89/100</f>
        <v>0</v>
      </c>
      <c r="BL89" s="18">
        <f>'Composition of waste'!$BL89*$E89/100</f>
        <v>0</v>
      </c>
      <c r="BM89" s="18">
        <v>0</v>
      </c>
      <c r="BN89" s="18">
        <f>'Composition of waste'!$BN89*$E89/100</f>
        <v>0</v>
      </c>
      <c r="BO89" s="18">
        <f>'Composition of waste'!$BO89*$E89/100</f>
        <v>0</v>
      </c>
      <c r="BP89" s="18">
        <f>'Composition of waste'!$BP89*$E89/100</f>
        <v>0</v>
      </c>
      <c r="BQ89" s="18">
        <v>0</v>
      </c>
      <c r="BR89" s="18">
        <f>'Composition of waste'!$BR89*$E89/100</f>
        <v>0</v>
      </c>
      <c r="BS89" s="18">
        <v>24.360789092021605</v>
      </c>
      <c r="BT89" s="18">
        <v>2.0402820412009368</v>
      </c>
      <c r="BU89" s="18">
        <v>0</v>
      </c>
      <c r="BV89" s="18">
        <v>0</v>
      </c>
      <c r="BW89" s="18">
        <v>0</v>
      </c>
      <c r="BX89" s="18">
        <v>0</v>
      </c>
      <c r="BY89" s="18">
        <v>0</v>
      </c>
      <c r="BZ89" s="18">
        <v>20.883447893365894</v>
      </c>
      <c r="CA89" s="18">
        <v>0</v>
      </c>
      <c r="CB89" s="19">
        <v>2.7277067805594686</v>
      </c>
    </row>
    <row r="90" spans="1:80" x14ac:dyDescent="0.35">
      <c r="A90" s="17" t="s">
        <v>117</v>
      </c>
      <c r="B90" s="17" t="s">
        <v>206</v>
      </c>
      <c r="C90" s="17"/>
      <c r="D90" s="18">
        <f>'Composition of waste'!$D90*$C90/100</f>
        <v>0</v>
      </c>
      <c r="E90" s="18">
        <f>'Composition of waste'!$E90*$C90/100</f>
        <v>0</v>
      </c>
      <c r="F90" s="18">
        <f>'Composition of waste'!$F90*$E90/100</f>
        <v>0</v>
      </c>
      <c r="G90" s="18">
        <f>'Composition of waste'!$G90*$E90/100</f>
        <v>0</v>
      </c>
      <c r="H90" s="18">
        <v>16.725718261439166</v>
      </c>
      <c r="I90" s="18">
        <v>455.23846524921248</v>
      </c>
      <c r="J90" s="18">
        <f>'Composition of waste'!$J90*'Composition (mass)'!$E90/100</f>
        <v>0</v>
      </c>
      <c r="K90" s="18">
        <v>44.180161139709391</v>
      </c>
      <c r="L90" s="18">
        <v>0</v>
      </c>
      <c r="M90" s="18">
        <v>7.3493469124525646E-2</v>
      </c>
      <c r="N90" s="18">
        <v>0.37019566022037054</v>
      </c>
      <c r="O90" s="18">
        <v>0</v>
      </c>
      <c r="P90" s="18">
        <v>6.4675673426434512</v>
      </c>
      <c r="Q90" s="18">
        <v>0.32265143857352002</v>
      </c>
      <c r="R90" s="18">
        <f>'Composition of waste'!$R90*'Composition (mass)'!$E90/100</f>
        <v>0</v>
      </c>
      <c r="S90" s="18">
        <v>0.69363701990855653</v>
      </c>
      <c r="T90" s="18">
        <f>'Composition of waste'!$T90*'Composition (mass)'!$E90/100</f>
        <v>0</v>
      </c>
      <c r="U90" s="18">
        <v>0.2138501403471661</v>
      </c>
      <c r="V90" s="18">
        <v>0.42728021343552869</v>
      </c>
      <c r="W90" s="18">
        <v>0</v>
      </c>
      <c r="X90" s="18">
        <v>0</v>
      </c>
      <c r="Y90" s="18">
        <v>0</v>
      </c>
      <c r="Z90" s="18">
        <v>3.1463692659955606E-7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3.599843191888662E-6</v>
      </c>
      <c r="AH90" s="18">
        <v>9.6809217155755221E-7</v>
      </c>
      <c r="AI90" s="18">
        <v>6.3290081578101622E-6</v>
      </c>
      <c r="AJ90" s="18">
        <v>2.15391403276687E-4</v>
      </c>
      <c r="AK90" s="18">
        <v>2.5666212717985878E-3</v>
      </c>
      <c r="AL90" s="18">
        <v>0</v>
      </c>
      <c r="AM90" s="18">
        <v>2.1705884729804277E-7</v>
      </c>
      <c r="AN90" s="18">
        <v>0</v>
      </c>
      <c r="AO90" s="18">
        <v>0</v>
      </c>
      <c r="AP90" s="18">
        <v>6.4676330188771544E-2</v>
      </c>
      <c r="AQ90" s="18">
        <v>1.2080549843672605E-3</v>
      </c>
      <c r="AR90" s="18">
        <v>2.329489543058888E-6</v>
      </c>
      <c r="AS90" s="18">
        <v>1.6948590030614297E-5</v>
      </c>
      <c r="AT90" s="18">
        <v>1.592555586949305E-6</v>
      </c>
      <c r="AU90" s="18">
        <v>0</v>
      </c>
      <c r="AV90" s="18">
        <v>0</v>
      </c>
      <c r="AW90" s="18">
        <v>0</v>
      </c>
      <c r="AX90" s="18">
        <v>4.4548888794132042E-6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1.7044467273238536E-3</v>
      </c>
      <c r="BF90" s="18">
        <v>0</v>
      </c>
      <c r="BG90" s="18">
        <v>0</v>
      </c>
      <c r="BH90" s="18">
        <v>0</v>
      </c>
      <c r="BI90" s="18">
        <v>0.9279427658495818</v>
      </c>
      <c r="BJ90" s="18">
        <v>38.667919688180987</v>
      </c>
      <c r="BK90" s="18">
        <f>'Composition of waste'!$BK90*$E90/100</f>
        <v>0</v>
      </c>
      <c r="BL90" s="18">
        <f>'Composition of waste'!$BL90*$E90/100</f>
        <v>0</v>
      </c>
      <c r="BM90" s="18">
        <v>0</v>
      </c>
      <c r="BN90" s="18">
        <f>'Composition of waste'!$BN90*$E90/100</f>
        <v>0</v>
      </c>
      <c r="BO90" s="18">
        <f>'Composition of waste'!$BO90*$E90/100</f>
        <v>0</v>
      </c>
      <c r="BP90" s="18">
        <f>'Composition of waste'!$BP90*$E90/100</f>
        <v>0</v>
      </c>
      <c r="BQ90" s="18">
        <v>0</v>
      </c>
      <c r="BR90" s="18">
        <f>'Composition of waste'!$BR90*$E90/100</f>
        <v>0</v>
      </c>
      <c r="BS90" s="18">
        <v>17.967090086102974</v>
      </c>
      <c r="BT90" s="18">
        <v>1.4079392836453175</v>
      </c>
      <c r="BU90" s="18">
        <v>0.11576013952745297</v>
      </c>
      <c r="BV90" s="18">
        <v>0.14383705822171938</v>
      </c>
      <c r="BW90" s="18">
        <v>0</v>
      </c>
      <c r="BX90" s="18">
        <v>0.35418316311424114</v>
      </c>
      <c r="BY90" s="18">
        <v>1.5411645507094203</v>
      </c>
      <c r="BZ90" s="18">
        <v>16.619467481197741</v>
      </c>
      <c r="CA90" s="18">
        <v>0</v>
      </c>
      <c r="CB90" s="19">
        <v>39.783353915958543</v>
      </c>
    </row>
    <row r="91" spans="1:80" x14ac:dyDescent="0.35">
      <c r="A91" s="17" t="s">
        <v>117</v>
      </c>
      <c r="B91" s="17" t="s">
        <v>207</v>
      </c>
      <c r="C91" s="17"/>
      <c r="D91" s="18">
        <f>'Composition of waste'!$D91*$C91/100</f>
        <v>0</v>
      </c>
      <c r="E91" s="18">
        <f>'Composition of waste'!$E91*$C91/100</f>
        <v>0</v>
      </c>
      <c r="F91" s="18">
        <f>'Composition of waste'!$F91*$E91/100</f>
        <v>0</v>
      </c>
      <c r="G91" s="18">
        <f>'Composition of waste'!$G91*$E91/100</f>
        <v>0</v>
      </c>
      <c r="H91" s="18">
        <v>15.980390555797626</v>
      </c>
      <c r="I91" s="18">
        <v>460.21398068707117</v>
      </c>
      <c r="J91" s="18">
        <f>'Composition of waste'!$J91*'Composition (mass)'!$E91/100</f>
        <v>0</v>
      </c>
      <c r="K91" s="18">
        <v>41.288533425097206</v>
      </c>
      <c r="L91" s="18">
        <v>0</v>
      </c>
      <c r="M91" s="18">
        <v>0.29668046270544229</v>
      </c>
      <c r="N91" s="18">
        <v>0</v>
      </c>
      <c r="O91" s="18">
        <v>0</v>
      </c>
      <c r="P91" s="18">
        <v>6.3711668070697911</v>
      </c>
      <c r="Q91" s="18">
        <v>2.5229928077141097</v>
      </c>
      <c r="R91" s="18">
        <f>'Composition of waste'!$R91*'Composition (mass)'!$E91/100</f>
        <v>0</v>
      </c>
      <c r="S91" s="18">
        <v>0.17581225153748034</v>
      </c>
      <c r="T91" s="18">
        <f>'Composition of waste'!$T91*'Composition (mass)'!$E91/100</f>
        <v>0</v>
      </c>
      <c r="U91" s="18">
        <v>0.37426514269338479</v>
      </c>
      <c r="V91" s="18">
        <v>0.51477163934782377</v>
      </c>
      <c r="W91" s="18">
        <v>0</v>
      </c>
      <c r="X91" s="18">
        <v>0</v>
      </c>
      <c r="Y91" s="18">
        <v>0</v>
      </c>
      <c r="Z91" s="18">
        <v>4.7401981868776447E-6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9.2706964491920056E-6</v>
      </c>
      <c r="AH91" s="18">
        <v>6.0518034374243525E-8</v>
      </c>
      <c r="AI91" s="18">
        <v>1.1825293360623983E-5</v>
      </c>
      <c r="AJ91" s="18">
        <v>7.4690188578345007E-4</v>
      </c>
      <c r="AK91" s="18">
        <v>5.4930607995985143E-3</v>
      </c>
      <c r="AL91" s="18">
        <v>0</v>
      </c>
      <c r="AM91" s="18">
        <v>1.7313766771843096E-6</v>
      </c>
      <c r="AN91" s="18">
        <v>0</v>
      </c>
      <c r="AO91" s="18">
        <v>0</v>
      </c>
      <c r="AP91" s="18">
        <v>0.13110384348102402</v>
      </c>
      <c r="AQ91" s="18">
        <v>2.2738194359417292E-3</v>
      </c>
      <c r="AR91" s="18">
        <v>2.1191798114252422E-5</v>
      </c>
      <c r="AS91" s="18">
        <v>6.2148879577358961E-5</v>
      </c>
      <c r="AT91" s="18">
        <v>1.24481010422864E-5</v>
      </c>
      <c r="AU91" s="18">
        <v>0</v>
      </c>
      <c r="AV91" s="18">
        <v>0</v>
      </c>
      <c r="AW91" s="18">
        <v>0</v>
      </c>
      <c r="AX91" s="18">
        <v>3.3693231126956826E-6</v>
      </c>
      <c r="AY91" s="18">
        <v>0</v>
      </c>
      <c r="AZ91" s="18">
        <v>1.176470588235294E-5</v>
      </c>
      <c r="BA91" s="18">
        <v>0</v>
      </c>
      <c r="BB91" s="18">
        <v>0</v>
      </c>
      <c r="BC91" s="18">
        <v>0</v>
      </c>
      <c r="BD91" s="18">
        <v>0</v>
      </c>
      <c r="BE91" s="18">
        <v>2.6227500899027906E-3</v>
      </c>
      <c r="BF91" s="18">
        <v>0</v>
      </c>
      <c r="BG91" s="18">
        <v>0</v>
      </c>
      <c r="BH91" s="18">
        <v>0</v>
      </c>
      <c r="BI91" s="18">
        <v>7.5485426365839965</v>
      </c>
      <c r="BJ91" s="18">
        <v>2.568408368966256</v>
      </c>
      <c r="BK91" s="18">
        <f>'Composition of waste'!$BK91*$E91/100</f>
        <v>0</v>
      </c>
      <c r="BL91" s="18">
        <f>'Composition of waste'!$BL91*$E91/100</f>
        <v>0</v>
      </c>
      <c r="BM91" s="18">
        <v>0</v>
      </c>
      <c r="BN91" s="18">
        <f>'Composition of waste'!$BN91*$E91/100</f>
        <v>0</v>
      </c>
      <c r="BO91" s="18">
        <f>'Composition of waste'!$BO91*$E91/100</f>
        <v>0</v>
      </c>
      <c r="BP91" s="18">
        <f>'Composition of waste'!$BP91*$E91/100</f>
        <v>0</v>
      </c>
      <c r="BQ91" s="18">
        <v>0</v>
      </c>
      <c r="BR91" s="18">
        <f>'Composition of waste'!$BR91*$E91/100</f>
        <v>0</v>
      </c>
      <c r="BS91" s="18">
        <v>17.324633005964138</v>
      </c>
      <c r="BT91" s="18">
        <v>1.3439141234078</v>
      </c>
      <c r="BU91" s="18">
        <v>10.652116650668445</v>
      </c>
      <c r="BV91" s="18">
        <v>9.5670009788807455</v>
      </c>
      <c r="BW91" s="18">
        <v>0</v>
      </c>
      <c r="BX91" s="18">
        <v>0</v>
      </c>
      <c r="BY91" s="18">
        <v>30.656864770789191</v>
      </c>
      <c r="BZ91" s="18">
        <v>15.06099429914712</v>
      </c>
      <c r="CA91" s="18">
        <v>0</v>
      </c>
      <c r="CB91" s="19">
        <v>38.738116399253443</v>
      </c>
    </row>
    <row r="92" spans="1:80" x14ac:dyDescent="0.35">
      <c r="A92" s="17" t="s">
        <v>117</v>
      </c>
      <c r="B92" s="17" t="s">
        <v>208</v>
      </c>
      <c r="C92" s="17"/>
      <c r="D92" s="18">
        <f>'Composition of waste'!$D92*$C92/100</f>
        <v>0</v>
      </c>
      <c r="E92" s="18">
        <f>'Composition of waste'!$E92*$C92/100</f>
        <v>0</v>
      </c>
      <c r="F92" s="18">
        <f>'Composition of waste'!$F92*$E92/100</f>
        <v>0</v>
      </c>
      <c r="G92" s="18">
        <f>'Composition of waste'!$G92*$E92/100</f>
        <v>0</v>
      </c>
      <c r="H92" s="18">
        <v>20.597810190297579</v>
      </c>
      <c r="I92" s="18">
        <v>583.02368378628921</v>
      </c>
      <c r="J92" s="18">
        <f>'Composition of waste'!$J92*'Composition (mass)'!$E92/100</f>
        <v>0</v>
      </c>
      <c r="K92" s="18">
        <v>48.372681923836709</v>
      </c>
      <c r="L92" s="18">
        <v>0</v>
      </c>
      <c r="M92" s="18">
        <v>0.22023529329674313</v>
      </c>
      <c r="N92" s="18">
        <v>0.98527233211114096</v>
      </c>
      <c r="O92" s="18">
        <v>0</v>
      </c>
      <c r="P92" s="18">
        <v>7.2355877278665686</v>
      </c>
      <c r="Q92" s="18">
        <v>0.76329784929770872</v>
      </c>
      <c r="R92" s="18">
        <f>'Composition of waste'!$R92*'Composition (mass)'!$E92/100</f>
        <v>0</v>
      </c>
      <c r="S92" s="18">
        <v>2.0261806766604855</v>
      </c>
      <c r="T92" s="18">
        <f>'Composition of waste'!$T92*'Composition (mass)'!$E92/100</f>
        <v>0</v>
      </c>
      <c r="U92" s="18">
        <v>0.63907310612320867</v>
      </c>
      <c r="V92" s="18">
        <v>2.3987349007571339</v>
      </c>
      <c r="W92" s="18">
        <v>0</v>
      </c>
      <c r="X92" s="18">
        <v>0</v>
      </c>
      <c r="Y92" s="18">
        <v>0</v>
      </c>
      <c r="Z92" s="18">
        <v>1.250646429672267E-3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2.6040429868342343E-5</v>
      </c>
      <c r="AH92" s="18">
        <v>2.1305780161614134E-6</v>
      </c>
      <c r="AI92" s="18">
        <v>1.781475929187811E-5</v>
      </c>
      <c r="AJ92" s="18">
        <v>2.421429591849599E-3</v>
      </c>
      <c r="AK92" s="18">
        <v>6.629279445291722E-3</v>
      </c>
      <c r="AL92" s="18">
        <v>0</v>
      </c>
      <c r="AM92" s="18">
        <v>1.4654580907141829E-5</v>
      </c>
      <c r="AN92" s="18">
        <v>0</v>
      </c>
      <c r="AO92" s="18">
        <v>0</v>
      </c>
      <c r="AP92" s="18">
        <v>0.12681618613847329</v>
      </c>
      <c r="AQ92" s="18">
        <v>2.7360632113119653E-4</v>
      </c>
      <c r="AR92" s="18">
        <v>2.0802578393122803E-5</v>
      </c>
      <c r="AS92" s="18">
        <v>3.3176141840853206E-5</v>
      </c>
      <c r="AT92" s="18">
        <v>2.4313042580666636E-5</v>
      </c>
      <c r="AU92" s="18">
        <v>0</v>
      </c>
      <c r="AV92" s="18">
        <v>0</v>
      </c>
      <c r="AW92" s="18">
        <v>0</v>
      </c>
      <c r="AX92" s="18">
        <v>1.1354724900005266E-4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1.9336339257331588E-2</v>
      </c>
      <c r="BF92" s="18">
        <v>0</v>
      </c>
      <c r="BG92" s="18">
        <v>0</v>
      </c>
      <c r="BH92" s="18">
        <v>0</v>
      </c>
      <c r="BI92" s="18">
        <v>0.27241536014470696</v>
      </c>
      <c r="BJ92" s="18">
        <v>1.6000653419691977</v>
      </c>
      <c r="BK92" s="18">
        <f>'Composition of waste'!$BK92*$E92/100</f>
        <v>0</v>
      </c>
      <c r="BL92" s="18">
        <f>'Composition of waste'!$BL92*$E92/100</f>
        <v>0</v>
      </c>
      <c r="BM92" s="18">
        <v>0</v>
      </c>
      <c r="BN92" s="18">
        <f>'Composition of waste'!$BN92*$E92/100</f>
        <v>0</v>
      </c>
      <c r="BO92" s="18">
        <f>'Composition of waste'!$BO92*$E92/100</f>
        <v>0</v>
      </c>
      <c r="BP92" s="18">
        <f>'Composition of waste'!$BP92*$E92/100</f>
        <v>0</v>
      </c>
      <c r="BQ92" s="18">
        <v>0</v>
      </c>
      <c r="BR92" s="18">
        <f>'Composition of waste'!$BR92*$E92/100</f>
        <v>0</v>
      </c>
      <c r="BS92" s="18">
        <v>22.546948649805557</v>
      </c>
      <c r="BT92" s="18">
        <v>1.8608932214657696</v>
      </c>
      <c r="BU92" s="18">
        <v>2.2815754839276923E-2</v>
      </c>
      <c r="BV92" s="18">
        <v>2.4839241163180713E-2</v>
      </c>
      <c r="BW92" s="18">
        <v>3.5647235972522319E-2</v>
      </c>
      <c r="BX92" s="18">
        <v>0</v>
      </c>
      <c r="BY92" s="18">
        <v>0.78845400878999383</v>
      </c>
      <c r="BZ92" s="18">
        <v>18.91673044874323</v>
      </c>
      <c r="CA92" s="18">
        <v>0</v>
      </c>
      <c r="CB92" s="19">
        <v>5.5282287487478818</v>
      </c>
    </row>
    <row r="93" spans="1:80" x14ac:dyDescent="0.35">
      <c r="A93" s="17" t="s">
        <v>117</v>
      </c>
      <c r="B93" s="17" t="s">
        <v>209</v>
      </c>
      <c r="C93" s="17"/>
      <c r="D93" s="18">
        <f>'Composition of waste'!$D93*$C93/100</f>
        <v>0</v>
      </c>
      <c r="E93" s="18">
        <f>'Composition of waste'!$E93*$C93/100</f>
        <v>0</v>
      </c>
      <c r="F93" s="18">
        <f>'Composition of waste'!$F93*$E93/100</f>
        <v>0</v>
      </c>
      <c r="G93" s="18">
        <f>'Composition of waste'!$G93*$E93/100</f>
        <v>0</v>
      </c>
      <c r="H93" s="18">
        <v>22.340272036075664</v>
      </c>
      <c r="I93" s="18">
        <v>609.14803347727593</v>
      </c>
      <c r="J93" s="18">
        <f>'Composition of waste'!$J93*'Composition (mass)'!$E93/100</f>
        <v>0</v>
      </c>
      <c r="K93" s="18">
        <v>53.237879001486327</v>
      </c>
      <c r="L93" s="18">
        <v>0</v>
      </c>
      <c r="M93" s="18">
        <v>2.3511466374778776E-2</v>
      </c>
      <c r="N93" s="18">
        <v>1.0606060606060607E-2</v>
      </c>
      <c r="O93" s="18">
        <v>0</v>
      </c>
      <c r="P93" s="18">
        <v>7.8243204512864679</v>
      </c>
      <c r="Q93" s="18">
        <v>6.8303661276095148E-2</v>
      </c>
      <c r="R93" s="18">
        <f>'Composition of waste'!$R93*'Composition (mass)'!$E93/100</f>
        <v>0</v>
      </c>
      <c r="S93" s="18">
        <v>0.18468537563492263</v>
      </c>
      <c r="T93" s="18">
        <f>'Composition of waste'!$T93*'Composition (mass)'!$E93/100</f>
        <v>0</v>
      </c>
      <c r="U93" s="18">
        <v>4.2628787050976016E-2</v>
      </c>
      <c r="V93" s="18">
        <v>0.22979635194648088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7.4863371643426463E-4</v>
      </c>
      <c r="AL93" s="18">
        <v>0</v>
      </c>
      <c r="AM93" s="18">
        <v>0</v>
      </c>
      <c r="AN93" s="18">
        <v>0</v>
      </c>
      <c r="AO93" s="18">
        <v>0</v>
      </c>
      <c r="AP93" s="18">
        <v>8.8281567767763656E-3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1.8324852783522645E-7</v>
      </c>
      <c r="AY93" s="18">
        <v>0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3.1670674521982399E-4</v>
      </c>
      <c r="BF93" s="18">
        <v>0</v>
      </c>
      <c r="BG93" s="18">
        <v>0</v>
      </c>
      <c r="BH93" s="18">
        <v>0</v>
      </c>
      <c r="BI93" s="18">
        <v>1.8344155844155841</v>
      </c>
      <c r="BJ93" s="18">
        <v>0.69805194805194815</v>
      </c>
      <c r="BK93" s="18">
        <f>'Composition of waste'!$BK93*$E93/100</f>
        <v>0</v>
      </c>
      <c r="BL93" s="18">
        <f>'Composition of waste'!$BL93*$E93/100</f>
        <v>0</v>
      </c>
      <c r="BM93" s="18">
        <v>0</v>
      </c>
      <c r="BN93" s="18">
        <f>'Composition of waste'!$BN93*$E93/100</f>
        <v>0</v>
      </c>
      <c r="BO93" s="18">
        <f>'Composition of waste'!$BO93*$E93/100</f>
        <v>0</v>
      </c>
      <c r="BP93" s="18">
        <f>'Composition of waste'!$BP93*$E93/100</f>
        <v>0</v>
      </c>
      <c r="BQ93" s="18">
        <v>0</v>
      </c>
      <c r="BR93" s="18">
        <f>'Composition of waste'!$BR93*$E93/100</f>
        <v>0</v>
      </c>
      <c r="BS93" s="18">
        <v>22.094250180013457</v>
      </c>
      <c r="BT93" s="18">
        <v>1.8161213428033305</v>
      </c>
      <c r="BU93" s="18">
        <v>0.10443722943722943</v>
      </c>
      <c r="BV93" s="18">
        <v>0.15476190476190477</v>
      </c>
      <c r="BW93" s="18">
        <v>8.2792207792207792E-2</v>
      </c>
      <c r="BX93" s="18">
        <v>2.9707792207792211E-2</v>
      </c>
      <c r="BY93" s="18">
        <v>2.2023809523809526</v>
      </c>
      <c r="BZ93" s="18">
        <v>22.693371461452838</v>
      </c>
      <c r="CA93" s="18">
        <v>0</v>
      </c>
      <c r="CB93" s="19">
        <v>58.087706751887467</v>
      </c>
    </row>
    <row r="94" spans="1:80" x14ac:dyDescent="0.35">
      <c r="A94" s="17" t="s">
        <v>117</v>
      </c>
      <c r="B94" s="17" t="s">
        <v>210</v>
      </c>
      <c r="C94" s="17"/>
      <c r="D94" s="18">
        <f>'Composition of waste'!$D94*$C94/100</f>
        <v>0</v>
      </c>
      <c r="E94" s="18">
        <f>'Composition of waste'!$E94*$C94/100</f>
        <v>0</v>
      </c>
      <c r="F94" s="18">
        <f>'Composition of waste'!$F94*$E94/100</f>
        <v>0</v>
      </c>
      <c r="G94" s="18">
        <f>'Composition of waste'!$G94*$E94/100</f>
        <v>0</v>
      </c>
      <c r="H94" s="18">
        <v>18.443376044333323</v>
      </c>
      <c r="I94" s="18">
        <v>502.7649378322335</v>
      </c>
      <c r="J94" s="18">
        <f>'Composition of waste'!$J94*'Composition (mass)'!$E94/100</f>
        <v>0</v>
      </c>
      <c r="K94" s="18">
        <v>46.769913317260098</v>
      </c>
      <c r="L94" s="18">
        <v>0</v>
      </c>
      <c r="M94" s="18">
        <v>0.10493215160195264</v>
      </c>
      <c r="N94" s="18">
        <v>0.65290588041647668</v>
      </c>
      <c r="O94" s="18">
        <v>0</v>
      </c>
      <c r="P94" s="18">
        <v>6.8945495676972737</v>
      </c>
      <c r="Q94" s="18">
        <v>0.36841054305924842</v>
      </c>
      <c r="R94" s="18">
        <f>'Composition of waste'!$R94*'Composition (mass)'!$E94/100</f>
        <v>0</v>
      </c>
      <c r="S94" s="18">
        <v>0.42908084057245421</v>
      </c>
      <c r="T94" s="18">
        <f>'Composition of waste'!$T94*'Composition (mass)'!$E94/100</f>
        <v>0</v>
      </c>
      <c r="U94" s="18">
        <v>0.27089035020055247</v>
      </c>
      <c r="V94" s="18">
        <v>0.54965289480281454</v>
      </c>
      <c r="W94" s="18">
        <v>0</v>
      </c>
      <c r="X94" s="18">
        <v>0</v>
      </c>
      <c r="Y94" s="18">
        <v>0</v>
      </c>
      <c r="Z94" s="18">
        <v>2.2111502279440412E-6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1.8310360510146426E-6</v>
      </c>
      <c r="AH94" s="18">
        <v>9.85460770435522E-8</v>
      </c>
      <c r="AI94" s="18">
        <v>1.0270289942894826E-6</v>
      </c>
      <c r="AJ94" s="18">
        <v>2.2431389573007815E-4</v>
      </c>
      <c r="AK94" s="18">
        <v>2.5818051506113367E-3</v>
      </c>
      <c r="AL94" s="18">
        <v>0</v>
      </c>
      <c r="AM94" s="18">
        <v>9.3110271569678131E-8</v>
      </c>
      <c r="AN94" s="18">
        <v>0</v>
      </c>
      <c r="AO94" s="18">
        <v>0</v>
      </c>
      <c r="AP94" s="18">
        <v>5.0727711007033972E-2</v>
      </c>
      <c r="AQ94" s="18">
        <v>1.2422903971764817E-3</v>
      </c>
      <c r="AR94" s="18">
        <v>7.9282409526618089E-6</v>
      </c>
      <c r="AS94" s="18">
        <v>1.2395360489067715E-5</v>
      </c>
      <c r="AT94" s="18">
        <v>1.7984678917225751E-6</v>
      </c>
      <c r="AU94" s="18">
        <v>0</v>
      </c>
      <c r="AV94" s="18">
        <v>0</v>
      </c>
      <c r="AW94" s="18">
        <v>0</v>
      </c>
      <c r="AX94" s="18">
        <v>1.5866283400024599E-6</v>
      </c>
      <c r="AY94" s="18">
        <v>0</v>
      </c>
      <c r="AZ94" s="18">
        <v>2.30252151557027E-5</v>
      </c>
      <c r="BA94" s="18">
        <v>0</v>
      </c>
      <c r="BB94" s="18">
        <v>0</v>
      </c>
      <c r="BC94" s="18">
        <v>0</v>
      </c>
      <c r="BD94" s="18">
        <v>0</v>
      </c>
      <c r="BE94" s="18">
        <v>2.2392065949291494E-3</v>
      </c>
      <c r="BF94" s="18">
        <v>0</v>
      </c>
      <c r="BG94" s="18">
        <v>0</v>
      </c>
      <c r="BH94" s="18">
        <v>0</v>
      </c>
      <c r="BI94" s="18">
        <v>5.291171538639413E-2</v>
      </c>
      <c r="BJ94" s="18">
        <v>22.527155505867036</v>
      </c>
      <c r="BK94" s="18">
        <f>'Composition of waste'!$BK94*$E94/100</f>
        <v>0</v>
      </c>
      <c r="BL94" s="18">
        <f>'Composition of waste'!$BL94*$E94/100</f>
        <v>0</v>
      </c>
      <c r="BM94" s="18">
        <v>0</v>
      </c>
      <c r="BN94" s="18">
        <f>'Composition of waste'!$BN94*$E94/100</f>
        <v>0</v>
      </c>
      <c r="BO94" s="18">
        <f>'Composition of waste'!$BO94*$E94/100</f>
        <v>0</v>
      </c>
      <c r="BP94" s="18">
        <f>'Composition of waste'!$BP94*$E94/100</f>
        <v>0</v>
      </c>
      <c r="BQ94" s="18">
        <v>0</v>
      </c>
      <c r="BR94" s="18">
        <f>'Composition of waste'!$BR94*$E94/100</f>
        <v>0</v>
      </c>
      <c r="BS94" s="18">
        <v>19.399575141025231</v>
      </c>
      <c r="BT94" s="18">
        <v>1.5495478221990491</v>
      </c>
      <c r="BU94" s="18">
        <v>0</v>
      </c>
      <c r="BV94" s="18">
        <v>0</v>
      </c>
      <c r="BW94" s="18">
        <v>0</v>
      </c>
      <c r="BX94" s="18">
        <v>0</v>
      </c>
      <c r="BY94" s="18">
        <v>0.4268547902940994</v>
      </c>
      <c r="BZ94" s="18">
        <v>18.497041728613205</v>
      </c>
      <c r="CA94" s="18">
        <v>0</v>
      </c>
      <c r="CB94" s="19">
        <v>46.901421962712746</v>
      </c>
    </row>
    <row r="95" spans="1:80" x14ac:dyDescent="0.35">
      <c r="A95" s="17" t="s">
        <v>117</v>
      </c>
      <c r="B95" s="17" t="s">
        <v>211</v>
      </c>
      <c r="C95" s="17"/>
      <c r="D95" s="18">
        <f>'Composition of waste'!$D95*$C95/100</f>
        <v>0</v>
      </c>
      <c r="E95" s="18">
        <f>'Composition of waste'!$E95*$C95/100</f>
        <v>0</v>
      </c>
      <c r="F95" s="18">
        <f>'Composition of waste'!$F95*$E95/100</f>
        <v>0</v>
      </c>
      <c r="G95" s="18">
        <f>'Composition of waste'!$G95*$E95/100</f>
        <v>0</v>
      </c>
      <c r="H95" s="18">
        <v>21.471104460263302</v>
      </c>
      <c r="I95" s="18">
        <v>583.38123972551421</v>
      </c>
      <c r="J95" s="18">
        <f>'Composition of waste'!$J95*'Composition (mass)'!$E95/100</f>
        <v>0</v>
      </c>
      <c r="K95" s="18">
        <v>51.934307342185562</v>
      </c>
      <c r="L95" s="18">
        <v>0</v>
      </c>
      <c r="M95" s="18">
        <v>2.0778840889995775E-2</v>
      </c>
      <c r="N95" s="18">
        <v>0.10229926151251836</v>
      </c>
      <c r="O95" s="18">
        <v>0</v>
      </c>
      <c r="P95" s="18">
        <v>7.6174645081118415</v>
      </c>
      <c r="Q95" s="18">
        <v>8.5513610780401317E-2</v>
      </c>
      <c r="R95" s="18">
        <f>'Composition of waste'!$R95*'Composition (mass)'!$E95/100</f>
        <v>0</v>
      </c>
      <c r="S95" s="18">
        <v>0.23300221651660574</v>
      </c>
      <c r="T95" s="18">
        <f>'Composition of waste'!$T95*'Composition (mass)'!$E95/100</f>
        <v>0</v>
      </c>
      <c r="U95" s="18">
        <v>3.6856184763491083E-2</v>
      </c>
      <c r="V95" s="18">
        <v>0.21743078347310979</v>
      </c>
      <c r="W95" s="18">
        <v>0</v>
      </c>
      <c r="X95" s="18">
        <v>0</v>
      </c>
      <c r="Y95" s="18">
        <v>0</v>
      </c>
      <c r="Z95" s="18">
        <v>1.043358372788108E-7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2.0803067383711869E-7</v>
      </c>
      <c r="AH95" s="18">
        <v>4.0584415584415581E-8</v>
      </c>
      <c r="AI95" s="18">
        <v>8.3067651294876846E-7</v>
      </c>
      <c r="AJ95" s="18">
        <v>1.7749031214019246E-5</v>
      </c>
      <c r="AK95" s="18">
        <v>7.5527895511974009E-4</v>
      </c>
      <c r="AL95" s="18">
        <v>0</v>
      </c>
      <c r="AM95" s="18">
        <v>1.3717697780834237E-8</v>
      </c>
      <c r="AN95" s="18">
        <v>0</v>
      </c>
      <c r="AO95" s="18">
        <v>0</v>
      </c>
      <c r="AP95" s="18">
        <v>7.7500907933871167E-3</v>
      </c>
      <c r="AQ95" s="18">
        <v>5.447463102142418E-5</v>
      </c>
      <c r="AR95" s="18">
        <v>4.0584415584415586E-7</v>
      </c>
      <c r="AS95" s="18">
        <v>2.1441062711930536E-6</v>
      </c>
      <c r="AT95" s="18">
        <v>3.0318459544528785E-7</v>
      </c>
      <c r="AU95" s="18">
        <v>0</v>
      </c>
      <c r="AV95" s="18">
        <v>0</v>
      </c>
      <c r="AW95" s="18">
        <v>0</v>
      </c>
      <c r="AX95" s="18">
        <v>4.906465449157418E-7</v>
      </c>
      <c r="AY95" s="18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2.3836204224564778E-4</v>
      </c>
      <c r="BF95" s="18">
        <v>0</v>
      </c>
      <c r="BG95" s="18">
        <v>0</v>
      </c>
      <c r="BH95" s="18">
        <v>0</v>
      </c>
      <c r="BI95" s="18">
        <v>8.7245987079062743</v>
      </c>
      <c r="BJ95" s="18">
        <v>9.3919628376301016</v>
      </c>
      <c r="BK95" s="18">
        <f>'Composition of waste'!$BK95*$E95/100</f>
        <v>0</v>
      </c>
      <c r="BL95" s="18">
        <f>'Composition of waste'!$BL95*$E95/100</f>
        <v>0</v>
      </c>
      <c r="BM95" s="18">
        <v>0</v>
      </c>
      <c r="BN95" s="18">
        <f>'Composition of waste'!$BN95*$E95/100</f>
        <v>0</v>
      </c>
      <c r="BO95" s="18">
        <f>'Composition of waste'!$BO95*$E95/100</f>
        <v>0</v>
      </c>
      <c r="BP95" s="18">
        <f>'Composition of waste'!$BP95*$E95/100</f>
        <v>0</v>
      </c>
      <c r="BQ95" s="18">
        <v>0</v>
      </c>
      <c r="BR95" s="18">
        <f>'Composition of waste'!$BR95*$E95/100</f>
        <v>0</v>
      </c>
      <c r="BS95" s="18">
        <v>21.422300257891269</v>
      </c>
      <c r="BT95" s="18">
        <v>1.7496584541093423</v>
      </c>
      <c r="BU95" s="18">
        <v>0.31417697940908529</v>
      </c>
      <c r="BV95" s="18">
        <v>0.74380287520590738</v>
      </c>
      <c r="BW95" s="18">
        <v>0.34624059095757115</v>
      </c>
      <c r="BX95" s="18">
        <v>0.39254783244293096</v>
      </c>
      <c r="BY95" s="18">
        <v>10.517943973693956</v>
      </c>
      <c r="BZ95" s="18">
        <v>21.901754360069791</v>
      </c>
      <c r="CA95" s="18">
        <v>0</v>
      </c>
      <c r="CB95" s="19">
        <v>45.68465369180187</v>
      </c>
    </row>
    <row r="97" spans="1:70" x14ac:dyDescent="0.35">
      <c r="A97" s="21" t="s">
        <v>242</v>
      </c>
      <c r="C97" s="20">
        <f>SUM(C2:C95)</f>
        <v>0.6</v>
      </c>
      <c r="D97" s="20">
        <f>SUM(D2:D95)</f>
        <v>0.4265723602484473</v>
      </c>
      <c r="E97" s="20">
        <f>SUM(E2:E95)</f>
        <v>0.17345776397515528</v>
      </c>
      <c r="F97" s="20">
        <f>SUM(F2:F95)</f>
        <v>0.16730518071537093</v>
      </c>
      <c r="G97" s="20">
        <f>SUM(G2:G95)</f>
        <v>6.1525832597843604E-3</v>
      </c>
      <c r="H97" s="20">
        <f t="shared" ref="H97:BR97" si="0">SUM(H2:H95)</f>
        <v>1748.0370779513639</v>
      </c>
      <c r="I97" s="20">
        <f t="shared" si="0"/>
        <v>49127.849334222614</v>
      </c>
      <c r="J97" s="20">
        <f t="shared" si="0"/>
        <v>7.8504455756168726E-2</v>
      </c>
      <c r="K97" s="20">
        <f t="shared" si="0"/>
        <v>4297.0041843940116</v>
      </c>
      <c r="L97" s="20">
        <f t="shared" si="0"/>
        <v>0</v>
      </c>
      <c r="M97" s="20">
        <f t="shared" si="0"/>
        <v>21.57655659965565</v>
      </c>
      <c r="N97" s="20">
        <f t="shared" si="0"/>
        <v>20.216133280517997</v>
      </c>
      <c r="O97" s="20">
        <f t="shared" si="0"/>
        <v>0</v>
      </c>
      <c r="P97" s="20">
        <f t="shared" si="0"/>
        <v>647.7782378473438</v>
      </c>
      <c r="Q97" s="20">
        <f t="shared" si="0"/>
        <v>157.34219218436536</v>
      </c>
      <c r="R97" s="20">
        <f t="shared" si="0"/>
        <v>4.9306438233980244E-3</v>
      </c>
      <c r="S97" s="20">
        <f t="shared" si="0"/>
        <v>37.864632672965826</v>
      </c>
      <c r="T97" s="20">
        <f t="shared" si="0"/>
        <v>7.1911601212205939E-2</v>
      </c>
      <c r="U97" s="20">
        <f t="shared" si="0"/>
        <v>37.868882106898717</v>
      </c>
      <c r="V97" s="20">
        <f t="shared" si="0"/>
        <v>82.69702423438811</v>
      </c>
      <c r="W97" s="20">
        <f t="shared" si="0"/>
        <v>0</v>
      </c>
      <c r="X97" s="20">
        <f t="shared" si="0"/>
        <v>0</v>
      </c>
      <c r="Y97" s="20">
        <f t="shared" si="0"/>
        <v>0</v>
      </c>
      <c r="Z97" s="20">
        <f t="shared" si="0"/>
        <v>4.0408964888677783E-3</v>
      </c>
      <c r="AA97" s="20">
        <f t="shared" si="0"/>
        <v>0</v>
      </c>
      <c r="AB97" s="20">
        <f t="shared" si="0"/>
        <v>0</v>
      </c>
      <c r="AC97" s="20">
        <f t="shared" si="0"/>
        <v>0</v>
      </c>
      <c r="AD97" s="20">
        <f t="shared" si="0"/>
        <v>0</v>
      </c>
      <c r="AE97" s="20">
        <f t="shared" si="0"/>
        <v>0</v>
      </c>
      <c r="AF97" s="20">
        <f t="shared" si="0"/>
        <v>0</v>
      </c>
      <c r="AG97" s="20">
        <f t="shared" si="0"/>
        <v>6.4169434621670271E-4</v>
      </c>
      <c r="AH97" s="20">
        <f t="shared" si="0"/>
        <v>1.3457095133209738E-5</v>
      </c>
      <c r="AI97" s="20">
        <f t="shared" si="0"/>
        <v>8.8348606597630965E-4</v>
      </c>
      <c r="AJ97" s="20">
        <f t="shared" si="0"/>
        <v>6.4118758508783971E-2</v>
      </c>
      <c r="AK97" s="20">
        <f t="shared" si="0"/>
        <v>0.48224409857944872</v>
      </c>
      <c r="AL97" s="20">
        <f t="shared" si="0"/>
        <v>0</v>
      </c>
      <c r="AM97" s="20">
        <f t="shared" si="0"/>
        <v>1.3945624499249473E-4</v>
      </c>
      <c r="AN97" s="20">
        <f t="shared" si="0"/>
        <v>0</v>
      </c>
      <c r="AO97" s="20">
        <f t="shared" si="0"/>
        <v>0</v>
      </c>
      <c r="AP97" s="20">
        <f t="shared" si="0"/>
        <v>9.1736484244658634</v>
      </c>
      <c r="AQ97" s="20">
        <f t="shared" si="0"/>
        <v>0.13206162891110979</v>
      </c>
      <c r="AR97" s="20">
        <f t="shared" si="0"/>
        <v>1.4436008704821056E-3</v>
      </c>
      <c r="AS97" s="20">
        <f t="shared" si="0"/>
        <v>3.591003951693544E-3</v>
      </c>
      <c r="AT97" s="20">
        <f t="shared" si="0"/>
        <v>8.1057107051288248E-4</v>
      </c>
      <c r="AU97" s="20">
        <f t="shared" si="0"/>
        <v>0</v>
      </c>
      <c r="AV97" s="20">
        <f t="shared" si="0"/>
        <v>0</v>
      </c>
      <c r="AW97" s="20">
        <f t="shared" si="0"/>
        <v>0</v>
      </c>
      <c r="AX97" s="20">
        <f t="shared" si="0"/>
        <v>1.3314490297041306E-3</v>
      </c>
      <c r="AY97" s="20">
        <f t="shared" si="0"/>
        <v>0</v>
      </c>
      <c r="AZ97" s="20">
        <f t="shared" si="0"/>
        <v>7.4991599681656904E-4</v>
      </c>
      <c r="BA97" s="20">
        <f t="shared" si="0"/>
        <v>0</v>
      </c>
      <c r="BB97" s="20">
        <f t="shared" si="0"/>
        <v>0</v>
      </c>
      <c r="BC97" s="20">
        <f t="shared" si="0"/>
        <v>0</v>
      </c>
      <c r="BD97" s="20">
        <f t="shared" si="0"/>
        <v>0</v>
      </c>
      <c r="BE97" s="20">
        <f t="shared" si="0"/>
        <v>0.37100746518266248</v>
      </c>
      <c r="BF97" s="20">
        <f t="shared" si="0"/>
        <v>0</v>
      </c>
      <c r="BG97" s="20">
        <f t="shared" si="0"/>
        <v>0</v>
      </c>
      <c r="BH97" s="20">
        <f t="shared" si="0"/>
        <v>0</v>
      </c>
      <c r="BI97" s="20"/>
      <c r="BJ97" s="20"/>
      <c r="BK97" s="20">
        <f t="shared" si="0"/>
        <v>1.0227173340124386E-3</v>
      </c>
      <c r="BL97" s="20">
        <f t="shared" si="0"/>
        <v>0</v>
      </c>
      <c r="BM97" s="20"/>
      <c r="BN97" s="20">
        <f t="shared" si="0"/>
        <v>9.5657023406015213E-5</v>
      </c>
      <c r="BO97" s="20">
        <f t="shared" si="0"/>
        <v>2.9948469115846359E-2</v>
      </c>
      <c r="BP97" s="20">
        <f t="shared" si="0"/>
        <v>1.5216653034841663E-2</v>
      </c>
      <c r="BQ97" s="20"/>
      <c r="BR97" s="20">
        <f t="shared" si="0"/>
        <v>0.12219327748609618</v>
      </c>
    </row>
    <row r="98" spans="1:70" x14ac:dyDescent="0.35">
      <c r="B98" s="21"/>
    </row>
    <row r="103" spans="1:70" x14ac:dyDescent="0.35">
      <c r="A103" t="s">
        <v>485</v>
      </c>
      <c r="B103">
        <f>J97/R97</f>
        <v>15.921745428787887</v>
      </c>
    </row>
    <row r="104" spans="1:70" x14ac:dyDescent="0.35">
      <c r="A104" t="s">
        <v>484</v>
      </c>
      <c r="B104">
        <v>200</v>
      </c>
    </row>
    <row r="105" spans="1:70" x14ac:dyDescent="0.35">
      <c r="A105" t="s">
        <v>486</v>
      </c>
      <c r="B105">
        <f>((C97*B103)-(30*C97))/(30-B104)</f>
        <v>4.9687957310160395E-2</v>
      </c>
    </row>
    <row r="106" spans="1:70" x14ac:dyDescent="0.35">
      <c r="A106" t="s">
        <v>487</v>
      </c>
      <c r="B106">
        <f>((C97*B103)+(B105*B104))/(C97+B105)</f>
        <v>30</v>
      </c>
    </row>
  </sheetData>
  <autoFilter ref="B1:B97" xr:uid="{E7A6784E-BF82-44AE-9148-7D415828910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0657-BE6C-45BC-B891-D54361BD0D37}">
  <dimension ref="A1:V47"/>
  <sheetViews>
    <sheetView zoomScale="84" zoomScaleNormal="115" workbookViewId="0">
      <selection activeCell="B47" sqref="B47"/>
    </sheetView>
  </sheetViews>
  <sheetFormatPr baseColWidth="10" defaultRowHeight="14.5" x14ac:dyDescent="0.35"/>
  <cols>
    <col min="1" max="1" width="12.54296875" customWidth="1"/>
    <col min="2" max="2" width="12.81640625" customWidth="1"/>
    <col min="3" max="3" width="10.90625" customWidth="1"/>
    <col min="4" max="4" width="24.453125" customWidth="1"/>
    <col min="5" max="11" width="10.90625" customWidth="1"/>
    <col min="12" max="12" width="13.54296875" bestFit="1" customWidth="1"/>
  </cols>
  <sheetData>
    <row r="1" spans="1:22" x14ac:dyDescent="0.35">
      <c r="A1" s="1" t="s">
        <v>521</v>
      </c>
      <c r="B1" s="1" t="s">
        <v>386</v>
      </c>
      <c r="C1" s="1" t="s">
        <v>1</v>
      </c>
      <c r="D1" s="1" t="s">
        <v>2</v>
      </c>
      <c r="E1" s="1" t="s">
        <v>298</v>
      </c>
      <c r="F1" s="1" t="s">
        <v>3</v>
      </c>
      <c r="G1" s="1" t="s">
        <v>9</v>
      </c>
      <c r="H1" s="1" t="s">
        <v>300</v>
      </c>
      <c r="I1" s="1" t="s">
        <v>302</v>
      </c>
      <c r="L1" s="1" t="s">
        <v>304</v>
      </c>
      <c r="N1" t="s">
        <v>437</v>
      </c>
      <c r="O1" t="s">
        <v>641</v>
      </c>
      <c r="P1" t="s">
        <v>648</v>
      </c>
      <c r="R1" t="s">
        <v>522</v>
      </c>
    </row>
    <row r="2" spans="1:22" x14ac:dyDescent="0.35">
      <c r="A2" s="2" t="s">
        <v>308</v>
      </c>
      <c r="B2" s="2">
        <f>'Composition (mass)'!BR97/B39</f>
        <v>0.20365546247682698</v>
      </c>
      <c r="C2" s="2" t="s">
        <v>532</v>
      </c>
      <c r="D2" s="2" t="s">
        <v>4</v>
      </c>
      <c r="E2" s="2" t="s">
        <v>299</v>
      </c>
      <c r="F2">
        <v>6</v>
      </c>
      <c r="G2">
        <v>12</v>
      </c>
      <c r="H2">
        <v>6</v>
      </c>
      <c r="L2">
        <f>($F2*12)+($G2*1)+($H2*16)+($I2*14)</f>
        <v>180</v>
      </c>
      <c r="M2">
        <v>0</v>
      </c>
      <c r="N2">
        <f>(B2*B$39)/(L2*0.001)</f>
        <v>0.67885154158942329</v>
      </c>
      <c r="O2">
        <f>F2*N2*12</f>
        <v>48.877310994438474</v>
      </c>
      <c r="R2" t="s">
        <v>524</v>
      </c>
      <c r="S2" t="s">
        <v>309</v>
      </c>
      <c r="T2" t="s">
        <v>6</v>
      </c>
      <c r="U2" t="s">
        <v>525</v>
      </c>
      <c r="V2" t="s">
        <v>17</v>
      </c>
    </row>
    <row r="3" spans="1:22" x14ac:dyDescent="0.35">
      <c r="A3" s="2" t="s">
        <v>6</v>
      </c>
      <c r="B3" s="2">
        <f>'Composition (mass)'!BO97/B39</f>
        <v>4.9914115193077264E-2</v>
      </c>
      <c r="C3" s="2" t="s">
        <v>532</v>
      </c>
      <c r="D3" s="2" t="s">
        <v>247</v>
      </c>
      <c r="E3" s="2" t="s">
        <v>301</v>
      </c>
      <c r="F3">
        <v>16</v>
      </c>
      <c r="G3">
        <v>24</v>
      </c>
      <c r="H3">
        <v>5</v>
      </c>
      <c r="I3">
        <v>4</v>
      </c>
      <c r="L3">
        <f t="shared" ref="L3:L26" si="0">($F3*12)+($G3*1)+($H3*16)+($I3*14)</f>
        <v>352</v>
      </c>
      <c r="M3">
        <v>1</v>
      </c>
      <c r="N3">
        <f>(B3*B$39)/(L3*0.001)</f>
        <v>8.5080878170018068E-2</v>
      </c>
      <c r="O3">
        <f>F3*N3*12</f>
        <v>16.335528608643468</v>
      </c>
      <c r="P3">
        <f>I3*N3*14</f>
        <v>4.7645291775210117</v>
      </c>
      <c r="Q3" t="s">
        <v>467</v>
      </c>
      <c r="R3">
        <f>(F4-(G4/4)-(H4/2))</f>
        <v>12.25</v>
      </c>
      <c r="S3">
        <f>F5-(G5/4)-(H5/2)</f>
        <v>1</v>
      </c>
      <c r="T3">
        <f>(F3-(G3/4)-(H3/2)+((3*I3)/4))</f>
        <v>10.5</v>
      </c>
      <c r="U3">
        <f>F2-(G2/4)-(H2/2)</f>
        <v>0</v>
      </c>
      <c r="V3">
        <f>F7-(G7/4)-(H7/2)</f>
        <v>9.5</v>
      </c>
    </row>
    <row r="4" spans="1:22" x14ac:dyDescent="0.35">
      <c r="A4" s="2" t="s">
        <v>7</v>
      </c>
      <c r="B4" s="2">
        <f>'Composition (mass)'!BP97/B39</f>
        <v>2.5361088391402772E-2</v>
      </c>
      <c r="C4" s="2" t="s">
        <v>532</v>
      </c>
      <c r="D4" s="2" t="s">
        <v>8</v>
      </c>
      <c r="E4" s="2" t="s">
        <v>303</v>
      </c>
      <c r="F4">
        <v>25</v>
      </c>
      <c r="G4">
        <v>45</v>
      </c>
      <c r="H4">
        <v>3</v>
      </c>
      <c r="L4">
        <f t="shared" si="0"/>
        <v>393</v>
      </c>
      <c r="M4">
        <v>2</v>
      </c>
      <c r="N4">
        <f t="shared" ref="N4:N7" si="1">(B4*B$39)/(L4*0.001)</f>
        <v>3.871921891817217E-2</v>
      </c>
      <c r="O4">
        <f>F4*N4*12</f>
        <v>11.615765675451652</v>
      </c>
      <c r="Q4" t="s">
        <v>468</v>
      </c>
      <c r="R4">
        <f>(F4/2)-(G4/8)+(H4/4)</f>
        <v>7.625</v>
      </c>
      <c r="S4">
        <f>(F5/2)-(G5/8)+(H5/4)</f>
        <v>5</v>
      </c>
      <c r="T4">
        <f>(F3/2)-(G3/8)+(H3/4)+((3*I3)/8)</f>
        <v>7.75</v>
      </c>
      <c r="U4">
        <f>(F2/2)-(G2/8)+(H2/4)</f>
        <v>3</v>
      </c>
      <c r="V4">
        <f>(F7/2)-(G7/8)+(H7/4)</f>
        <v>7.75</v>
      </c>
    </row>
    <row r="5" spans="1:22" x14ac:dyDescent="0.35">
      <c r="A5" s="2" t="s">
        <v>309</v>
      </c>
      <c r="B5" s="33">
        <f>'Composition (mass)'!BL97/B39</f>
        <v>0</v>
      </c>
      <c r="C5" s="2" t="s">
        <v>532</v>
      </c>
      <c r="D5" s="2" t="s">
        <v>10</v>
      </c>
      <c r="E5" s="2" t="s">
        <v>305</v>
      </c>
      <c r="F5">
        <v>10</v>
      </c>
      <c r="G5">
        <v>18</v>
      </c>
      <c r="H5">
        <v>9</v>
      </c>
      <c r="L5">
        <f t="shared" si="0"/>
        <v>282</v>
      </c>
      <c r="M5">
        <v>3</v>
      </c>
      <c r="N5">
        <f t="shared" si="1"/>
        <v>0</v>
      </c>
      <c r="O5">
        <f t="shared" ref="O5:O7" si="2">F5*N5*12</f>
        <v>0</v>
      </c>
      <c r="Q5" t="s">
        <v>469</v>
      </c>
      <c r="R5">
        <f>(F4/2)+(G4/8)-(H4/4)</f>
        <v>17.375</v>
      </c>
      <c r="S5">
        <f>(F5/2)+(G5/8)-(H5/4)</f>
        <v>5</v>
      </c>
      <c r="T5">
        <f>(F3/2)+(G3/8)-(H3/4)-((3*I3)/8)</f>
        <v>8.25</v>
      </c>
      <c r="U5">
        <f>(F2/2)+(G2/8)-(H2/4)</f>
        <v>3</v>
      </c>
      <c r="V5">
        <f>(F7/2)+(G7/8)-(H7/4)</f>
        <v>12.25</v>
      </c>
    </row>
    <row r="6" spans="1:22" x14ac:dyDescent="0.35">
      <c r="A6" s="2" t="s">
        <v>11</v>
      </c>
      <c r="B6" s="2">
        <f>'Composition (mass)'!BK97/B39</f>
        <v>1.704528890020731E-3</v>
      </c>
      <c r="C6" s="2" t="s">
        <v>532</v>
      </c>
      <c r="D6" s="2" t="s">
        <v>12</v>
      </c>
      <c r="E6" s="2" t="s">
        <v>306</v>
      </c>
      <c r="F6">
        <v>6</v>
      </c>
      <c r="G6">
        <v>12</v>
      </c>
      <c r="H6">
        <v>6</v>
      </c>
      <c r="L6">
        <v>180</v>
      </c>
      <c r="M6">
        <v>4</v>
      </c>
      <c r="N6">
        <f t="shared" si="1"/>
        <v>5.6817629667357704E-3</v>
      </c>
      <c r="O6">
        <f t="shared" si="2"/>
        <v>0.40908693360497544</v>
      </c>
      <c r="Q6" t="s">
        <v>470</v>
      </c>
      <c r="T6">
        <f>I3</f>
        <v>4</v>
      </c>
    </row>
    <row r="7" spans="1:22" x14ac:dyDescent="0.35">
      <c r="A7" s="2" t="s">
        <v>17</v>
      </c>
      <c r="B7" s="2">
        <f>'Composition (mass)'!BN97/B39</f>
        <v>1.5942837234335871E-4</v>
      </c>
      <c r="C7" s="2" t="s">
        <v>532</v>
      </c>
      <c r="D7" s="2" t="s">
        <v>18</v>
      </c>
      <c r="E7" s="2" t="s">
        <v>307</v>
      </c>
      <c r="F7">
        <v>20</v>
      </c>
      <c r="G7">
        <v>30</v>
      </c>
      <c r="H7">
        <v>6</v>
      </c>
      <c r="L7">
        <f t="shared" si="0"/>
        <v>366</v>
      </c>
      <c r="M7">
        <v>5</v>
      </c>
      <c r="N7">
        <f t="shared" si="1"/>
        <v>2.6135798744812905E-4</v>
      </c>
      <c r="O7">
        <f t="shared" si="2"/>
        <v>6.2725916987550978E-2</v>
      </c>
      <c r="Q7" t="s">
        <v>523</v>
      </c>
      <c r="R7">
        <f>(R5*16)/L4</f>
        <v>0.70737913486005088</v>
      </c>
      <c r="S7">
        <f>(S5*16)/L5</f>
        <v>0.28368794326241137</v>
      </c>
      <c r="T7">
        <f>(T5*16)/L3</f>
        <v>0.375</v>
      </c>
      <c r="U7">
        <f>(U5*16)/L2</f>
        <v>0.26666666666666666</v>
      </c>
      <c r="V7">
        <f>(V5*16)/L7</f>
        <v>0.53551912568306015</v>
      </c>
    </row>
    <row r="8" spans="1:22" x14ac:dyDescent="0.35">
      <c r="A8" s="2" t="s">
        <v>282</v>
      </c>
      <c r="B8" s="2">
        <f>'Composition (mass)'!G97/B39</f>
        <v>1.0254305432973935E-2</v>
      </c>
      <c r="C8" s="2" t="s">
        <v>532</v>
      </c>
      <c r="D8" s="2" t="s">
        <v>283</v>
      </c>
      <c r="L8">
        <f t="shared" si="0"/>
        <v>0</v>
      </c>
      <c r="M8">
        <v>6</v>
      </c>
    </row>
    <row r="9" spans="1:22" x14ac:dyDescent="0.35">
      <c r="A9" s="2" t="s">
        <v>13</v>
      </c>
      <c r="B9" s="2">
        <v>0</v>
      </c>
      <c r="C9" s="2" t="s">
        <v>5</v>
      </c>
      <c r="D9" s="2" t="s">
        <v>22</v>
      </c>
      <c r="E9" s="2" t="s">
        <v>299</v>
      </c>
      <c r="F9">
        <v>6</v>
      </c>
      <c r="G9">
        <v>12</v>
      </c>
      <c r="H9">
        <v>6</v>
      </c>
      <c r="L9">
        <f t="shared" si="0"/>
        <v>180</v>
      </c>
      <c r="M9">
        <v>7</v>
      </c>
    </row>
    <row r="10" spans="1:22" x14ac:dyDescent="0.35">
      <c r="A10" s="2" t="s">
        <v>14</v>
      </c>
      <c r="B10" s="2">
        <v>0</v>
      </c>
      <c r="C10" s="2" t="s">
        <v>5</v>
      </c>
      <c r="D10" s="2" t="s">
        <v>23</v>
      </c>
      <c r="E10" s="2" t="s">
        <v>301</v>
      </c>
      <c r="F10">
        <v>16</v>
      </c>
      <c r="G10">
        <v>24</v>
      </c>
      <c r="H10">
        <v>5</v>
      </c>
      <c r="I10">
        <v>4</v>
      </c>
      <c r="L10">
        <f t="shared" si="0"/>
        <v>352</v>
      </c>
      <c r="M10">
        <v>8</v>
      </c>
    </row>
    <row r="11" spans="1:22" x14ac:dyDescent="0.35">
      <c r="A11" s="2" t="s">
        <v>15</v>
      </c>
      <c r="B11" s="2">
        <v>0</v>
      </c>
      <c r="C11" s="2" t="s">
        <v>5</v>
      </c>
      <c r="D11" s="2" t="s">
        <v>24</v>
      </c>
      <c r="E11" s="2" t="s">
        <v>303</v>
      </c>
      <c r="F11">
        <v>25</v>
      </c>
      <c r="G11">
        <v>45</v>
      </c>
      <c r="H11">
        <v>3</v>
      </c>
      <c r="L11">
        <f t="shared" si="0"/>
        <v>393</v>
      </c>
      <c r="M11">
        <v>9</v>
      </c>
    </row>
    <row r="12" spans="1:22" x14ac:dyDescent="0.35">
      <c r="A12" s="2" t="s">
        <v>16</v>
      </c>
      <c r="B12" s="2">
        <v>0</v>
      </c>
      <c r="C12" s="2" t="s">
        <v>5</v>
      </c>
      <c r="D12" s="2" t="s">
        <v>25</v>
      </c>
      <c r="E12" s="2" t="s">
        <v>305</v>
      </c>
      <c r="F12">
        <v>10</v>
      </c>
      <c r="G12">
        <v>18</v>
      </c>
      <c r="L12">
        <f t="shared" si="0"/>
        <v>138</v>
      </c>
      <c r="M12">
        <v>10</v>
      </c>
    </row>
    <row r="13" spans="1:22" x14ac:dyDescent="0.35">
      <c r="A13" s="2" t="s">
        <v>19</v>
      </c>
      <c r="B13" s="2">
        <v>0</v>
      </c>
      <c r="C13" s="2" t="s">
        <v>5</v>
      </c>
      <c r="D13" s="2" t="s">
        <v>26</v>
      </c>
      <c r="E13" s="2" t="s">
        <v>307</v>
      </c>
      <c r="F13">
        <v>20</v>
      </c>
      <c r="G13">
        <v>30</v>
      </c>
      <c r="H13">
        <v>6</v>
      </c>
      <c r="L13">
        <f t="shared" si="0"/>
        <v>366</v>
      </c>
      <c r="M13">
        <v>11</v>
      </c>
    </row>
    <row r="14" spans="1:22" x14ac:dyDescent="0.35">
      <c r="A14" s="2" t="s">
        <v>21</v>
      </c>
      <c r="B14">
        <f>(B39*0.01)/B39/10</f>
        <v>1E-3</v>
      </c>
      <c r="C14" s="2" t="s">
        <v>532</v>
      </c>
      <c r="D14" s="2" t="s">
        <v>27</v>
      </c>
      <c r="E14" s="2" t="s">
        <v>310</v>
      </c>
      <c r="F14">
        <v>5</v>
      </c>
      <c r="G14">
        <v>7</v>
      </c>
      <c r="H14">
        <v>2</v>
      </c>
      <c r="I14">
        <v>1</v>
      </c>
      <c r="L14">
        <f>($F14*12)+($G14*1)+($H14*16)+($I14*14)</f>
        <v>113</v>
      </c>
      <c r="M14">
        <v>12</v>
      </c>
    </row>
    <row r="15" spans="1:22" x14ac:dyDescent="0.35">
      <c r="A15" s="2" t="s">
        <v>28</v>
      </c>
      <c r="B15">
        <f>(B39*0.01)/B39/10</f>
        <v>1E-3</v>
      </c>
      <c r="C15" s="2" t="s">
        <v>532</v>
      </c>
      <c r="D15" s="2" t="s">
        <v>29</v>
      </c>
      <c r="E15" s="2" t="s">
        <v>310</v>
      </c>
      <c r="F15">
        <v>5</v>
      </c>
      <c r="G15">
        <v>7</v>
      </c>
      <c r="H15">
        <v>2</v>
      </c>
      <c r="I15">
        <v>1</v>
      </c>
      <c r="L15">
        <f t="shared" si="0"/>
        <v>113</v>
      </c>
      <c r="M15">
        <v>13</v>
      </c>
    </row>
    <row r="16" spans="1:22" x14ac:dyDescent="0.35">
      <c r="A16" s="2" t="s">
        <v>30</v>
      </c>
      <c r="B16">
        <f>(B39*0.01)/B39/10</f>
        <v>1E-3</v>
      </c>
      <c r="C16" s="2" t="s">
        <v>532</v>
      </c>
      <c r="D16" s="2" t="s">
        <v>31</v>
      </c>
      <c r="E16" s="2" t="s">
        <v>310</v>
      </c>
      <c r="F16">
        <v>5</v>
      </c>
      <c r="G16">
        <v>7</v>
      </c>
      <c r="H16">
        <v>2</v>
      </c>
      <c r="I16">
        <v>1</v>
      </c>
      <c r="L16">
        <f t="shared" si="0"/>
        <v>113</v>
      </c>
      <c r="M16">
        <v>14</v>
      </c>
    </row>
    <row r="17" spans="1:13" x14ac:dyDescent="0.35">
      <c r="A17" s="2" t="s">
        <v>32</v>
      </c>
      <c r="B17">
        <f>(B39*0.01)/B39/10</f>
        <v>1E-3</v>
      </c>
      <c r="C17" s="2" t="s">
        <v>532</v>
      </c>
      <c r="D17" s="2" t="s">
        <v>33</v>
      </c>
      <c r="E17" s="2" t="s">
        <v>310</v>
      </c>
      <c r="F17">
        <v>5</v>
      </c>
      <c r="G17">
        <v>7</v>
      </c>
      <c r="H17">
        <v>2</v>
      </c>
      <c r="I17">
        <v>1</v>
      </c>
      <c r="L17">
        <f t="shared" si="0"/>
        <v>113</v>
      </c>
      <c r="M17">
        <v>15</v>
      </c>
    </row>
    <row r="18" spans="1:13" x14ac:dyDescent="0.35">
      <c r="A18" s="2" t="s">
        <v>34</v>
      </c>
      <c r="B18">
        <f>(B39*0.01)/B39/10</f>
        <v>1E-3</v>
      </c>
      <c r="C18" s="2" t="s">
        <v>532</v>
      </c>
      <c r="D18" s="2" t="s">
        <v>35</v>
      </c>
      <c r="E18" s="2" t="s">
        <v>311</v>
      </c>
      <c r="F18">
        <v>10</v>
      </c>
      <c r="G18">
        <v>17</v>
      </c>
      <c r="H18">
        <v>6</v>
      </c>
      <c r="I18">
        <v>1</v>
      </c>
      <c r="L18">
        <f t="shared" si="0"/>
        <v>247</v>
      </c>
      <c r="M18">
        <v>16</v>
      </c>
    </row>
    <row r="19" spans="1:13" x14ac:dyDescent="0.35">
      <c r="A19" s="2" t="s">
        <v>36</v>
      </c>
      <c r="B19">
        <f>(B39*0.01)/B39/10</f>
        <v>1E-3</v>
      </c>
      <c r="C19" s="2" t="s">
        <v>532</v>
      </c>
      <c r="D19" s="2" t="s">
        <v>37</v>
      </c>
      <c r="E19" s="2" t="s">
        <v>311</v>
      </c>
      <c r="F19">
        <v>10</v>
      </c>
      <c r="G19">
        <v>17</v>
      </c>
      <c r="H19">
        <v>6</v>
      </c>
      <c r="I19">
        <v>1</v>
      </c>
      <c r="L19">
        <f t="shared" si="0"/>
        <v>247</v>
      </c>
      <c r="M19">
        <v>17</v>
      </c>
    </row>
    <row r="20" spans="1:13" x14ac:dyDescent="0.35">
      <c r="A20" s="2" t="s">
        <v>388</v>
      </c>
      <c r="B20">
        <f>(B39*0.01)/B39/10</f>
        <v>1E-3</v>
      </c>
      <c r="C20" s="2" t="s">
        <v>532</v>
      </c>
      <c r="D20" s="2" t="s">
        <v>445</v>
      </c>
      <c r="E20" s="2" t="s">
        <v>310</v>
      </c>
      <c r="F20">
        <v>5</v>
      </c>
      <c r="G20">
        <v>7</v>
      </c>
      <c r="H20">
        <v>2</v>
      </c>
      <c r="I20">
        <v>1</v>
      </c>
      <c r="L20">
        <f t="shared" si="0"/>
        <v>113</v>
      </c>
    </row>
    <row r="21" spans="1:13" x14ac:dyDescent="0.35">
      <c r="A21" s="2" t="s">
        <v>268</v>
      </c>
      <c r="B21">
        <v>0</v>
      </c>
      <c r="C21" s="2" t="s">
        <v>5</v>
      </c>
      <c r="D21" s="2" t="s">
        <v>269</v>
      </c>
      <c r="E21" s="2" t="s">
        <v>310</v>
      </c>
      <c r="F21">
        <v>5</v>
      </c>
      <c r="G21">
        <v>7</v>
      </c>
      <c r="H21">
        <v>2</v>
      </c>
      <c r="I21">
        <v>1</v>
      </c>
      <c r="L21">
        <f t="shared" si="0"/>
        <v>113</v>
      </c>
      <c r="M21">
        <v>18</v>
      </c>
    </row>
    <row r="22" spans="1:13" x14ac:dyDescent="0.35">
      <c r="A22" s="2" t="s">
        <v>343</v>
      </c>
      <c r="B22">
        <f>'Composition (mass)'!D97/B39</f>
        <v>0.71095393374741223</v>
      </c>
      <c r="C22" s="2" t="s">
        <v>5</v>
      </c>
      <c r="D22" s="2" t="s">
        <v>338</v>
      </c>
      <c r="G22">
        <v>2</v>
      </c>
      <c r="H22">
        <v>1</v>
      </c>
      <c r="L22">
        <f t="shared" si="0"/>
        <v>18</v>
      </c>
    </row>
    <row r="23" spans="1:13" x14ac:dyDescent="0.35">
      <c r="A23" s="2" t="s">
        <v>351</v>
      </c>
      <c r="B23">
        <v>0</v>
      </c>
      <c r="C23" s="2" t="s">
        <v>5</v>
      </c>
      <c r="D23" s="2" t="s">
        <v>352</v>
      </c>
      <c r="H23">
        <v>2</v>
      </c>
      <c r="L23">
        <f t="shared" si="0"/>
        <v>32</v>
      </c>
    </row>
    <row r="24" spans="1:13" x14ac:dyDescent="0.35">
      <c r="A24" s="2" t="s">
        <v>353</v>
      </c>
      <c r="C24" s="2" t="s">
        <v>5</v>
      </c>
      <c r="D24" s="2" t="s">
        <v>354</v>
      </c>
      <c r="F24">
        <v>1</v>
      </c>
      <c r="H24">
        <v>2</v>
      </c>
      <c r="L24">
        <f t="shared" si="0"/>
        <v>44</v>
      </c>
    </row>
    <row r="25" spans="1:13" x14ac:dyDescent="0.35">
      <c r="A25" s="2" t="s">
        <v>638</v>
      </c>
      <c r="C25" s="2"/>
      <c r="D25" s="2" t="s">
        <v>639</v>
      </c>
      <c r="E25" t="s">
        <v>640</v>
      </c>
      <c r="H25">
        <v>3</v>
      </c>
      <c r="I25">
        <v>1</v>
      </c>
      <c r="L25">
        <f t="shared" si="0"/>
        <v>62</v>
      </c>
    </row>
    <row r="26" spans="1:13" x14ac:dyDescent="0.35">
      <c r="A26" s="2" t="s">
        <v>383</v>
      </c>
      <c r="B26">
        <f>(('Composition (mass)'!R97)-(Variables!P3*0.001))/B39</f>
        <v>2.7685774312835446E-4</v>
      </c>
      <c r="C26" s="2" t="s">
        <v>5</v>
      </c>
      <c r="D26" s="2" t="s">
        <v>20</v>
      </c>
      <c r="G26">
        <v>3</v>
      </c>
      <c r="I26">
        <v>1</v>
      </c>
      <c r="L26">
        <f t="shared" si="0"/>
        <v>17</v>
      </c>
    </row>
    <row r="27" spans="1:13" x14ac:dyDescent="0.35">
      <c r="A27" s="2" t="s">
        <v>355</v>
      </c>
      <c r="C27" s="2" t="s">
        <v>350</v>
      </c>
      <c r="D27" s="2" t="s">
        <v>369</v>
      </c>
    </row>
    <row r="28" spans="1:13" x14ac:dyDescent="0.35">
      <c r="A28" s="2" t="s">
        <v>356</v>
      </c>
      <c r="C28" s="2" t="s">
        <v>350</v>
      </c>
      <c r="D28" s="2" t="s">
        <v>370</v>
      </c>
    </row>
    <row r="29" spans="1:13" x14ac:dyDescent="0.35">
      <c r="A29" s="2" t="s">
        <v>357</v>
      </c>
      <c r="C29" s="2" t="s">
        <v>350</v>
      </c>
      <c r="D29" s="2" t="s">
        <v>371</v>
      </c>
    </row>
    <row r="30" spans="1:13" x14ac:dyDescent="0.35">
      <c r="A30" s="2" t="s">
        <v>358</v>
      </c>
      <c r="C30" s="2" t="s">
        <v>350</v>
      </c>
      <c r="D30" s="2" t="s">
        <v>372</v>
      </c>
    </row>
    <row r="31" spans="1:13" x14ac:dyDescent="0.35">
      <c r="A31" s="2" t="s">
        <v>359</v>
      </c>
      <c r="C31" s="2" t="s">
        <v>350</v>
      </c>
      <c r="D31" s="2" t="s">
        <v>373</v>
      </c>
    </row>
    <row r="32" spans="1:13" x14ac:dyDescent="0.35">
      <c r="A32" s="2" t="s">
        <v>360</v>
      </c>
      <c r="C32" s="2" t="s">
        <v>350</v>
      </c>
      <c r="D32" s="2" t="s">
        <v>362</v>
      </c>
    </row>
    <row r="33" spans="1:4" x14ac:dyDescent="0.35">
      <c r="A33" s="2" t="s">
        <v>361</v>
      </c>
      <c r="C33" s="2" t="s">
        <v>350</v>
      </c>
      <c r="D33" s="2" t="s">
        <v>363</v>
      </c>
    </row>
    <row r="34" spans="1:4" x14ac:dyDescent="0.35">
      <c r="A34" s="2" t="s">
        <v>357</v>
      </c>
      <c r="C34" s="2" t="s">
        <v>350</v>
      </c>
      <c r="D34" s="2" t="s">
        <v>364</v>
      </c>
    </row>
    <row r="35" spans="1:4" x14ac:dyDescent="0.35">
      <c r="A35" s="2" t="s">
        <v>358</v>
      </c>
      <c r="C35" s="2" t="s">
        <v>350</v>
      </c>
      <c r="D35" s="2" t="s">
        <v>365</v>
      </c>
    </row>
    <row r="36" spans="1:4" x14ac:dyDescent="0.35">
      <c r="A36" s="2" t="s">
        <v>359</v>
      </c>
      <c r="C36" s="2" t="s">
        <v>350</v>
      </c>
      <c r="D36" s="2" t="s">
        <v>366</v>
      </c>
    </row>
    <row r="37" spans="1:4" x14ac:dyDescent="0.35">
      <c r="A37" s="2" t="s">
        <v>336</v>
      </c>
      <c r="C37" s="2" t="s">
        <v>367</v>
      </c>
      <c r="D37" s="2" t="s">
        <v>385</v>
      </c>
    </row>
    <row r="38" spans="1:4" x14ac:dyDescent="0.35">
      <c r="A38" s="2" t="s">
        <v>368</v>
      </c>
      <c r="C38" s="2" t="s">
        <v>367</v>
      </c>
      <c r="D38" s="2" t="s">
        <v>384</v>
      </c>
    </row>
    <row r="39" spans="1:4" x14ac:dyDescent="0.35">
      <c r="A39" s="2" t="s">
        <v>529</v>
      </c>
      <c r="B39">
        <f>'Composition (mass)'!C97</f>
        <v>0.6</v>
      </c>
      <c r="C39" s="2" t="s">
        <v>5</v>
      </c>
      <c r="D39" s="2" t="s">
        <v>528</v>
      </c>
    </row>
    <row r="40" spans="1:4" x14ac:dyDescent="0.35">
      <c r="A40" s="2" t="s">
        <v>559</v>
      </c>
      <c r="C40" s="2" t="s">
        <v>560</v>
      </c>
    </row>
    <row r="41" spans="1:4" x14ac:dyDescent="0.35">
      <c r="A41" s="2" t="s">
        <v>576</v>
      </c>
      <c r="B41" s="39">
        <v>2E-3</v>
      </c>
      <c r="C41" s="2" t="s">
        <v>577</v>
      </c>
      <c r="D41" s="2" t="s">
        <v>578</v>
      </c>
    </row>
    <row r="46" spans="1:4" x14ac:dyDescent="0.35">
      <c r="A46" t="s">
        <v>642</v>
      </c>
      <c r="B46">
        <f>SUM(O2:O7)</f>
        <v>77.300418129126129</v>
      </c>
    </row>
    <row r="47" spans="1:4" x14ac:dyDescent="0.35">
      <c r="A47" t="s">
        <v>643</v>
      </c>
      <c r="B47">
        <f>(B46*0.001)/B39</f>
        <v>0.12883403021521023</v>
      </c>
    </row>
  </sheetData>
  <pageMargins left="0.7" right="0.7" top="0.75" bottom="0.75" header="0.3" footer="0.3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DFCB-2B9F-4872-A820-97635CABD872}">
  <dimension ref="A1:C18"/>
  <sheetViews>
    <sheetView workbookViewId="0">
      <selection activeCell="B8" sqref="B8"/>
    </sheetView>
  </sheetViews>
  <sheetFormatPr baseColWidth="10" defaultRowHeight="14.5" x14ac:dyDescent="0.35"/>
  <cols>
    <col min="1" max="1" width="8.1796875" customWidth="1"/>
  </cols>
  <sheetData>
    <row r="1" spans="1:3" x14ac:dyDescent="0.35">
      <c r="A1" t="s">
        <v>389</v>
      </c>
      <c r="B1" t="s">
        <v>390</v>
      </c>
    </row>
    <row r="2" spans="1:3" x14ac:dyDescent="0.35">
      <c r="A2" t="s">
        <v>391</v>
      </c>
      <c r="B2" s="2">
        <v>0.35</v>
      </c>
    </row>
    <row r="3" spans="1:3" x14ac:dyDescent="0.35">
      <c r="A3" s="2" t="s">
        <v>312</v>
      </c>
      <c r="B3" s="2">
        <f>B2*(Variables!L9)/(Variables!L14)</f>
        <v>0.55752212389380529</v>
      </c>
    </row>
    <row r="4" spans="1:3" x14ac:dyDescent="0.35">
      <c r="A4" s="2" t="s">
        <v>313</v>
      </c>
      <c r="B4" s="2">
        <f>B2*(Variables!L10)/Variables!L14</f>
        <v>1.0902654867256636</v>
      </c>
    </row>
    <row r="5" spans="1:3" x14ac:dyDescent="0.35">
      <c r="A5" s="2" t="s">
        <v>314</v>
      </c>
      <c r="B5" s="2">
        <f>B2*(Variables!L11)/Variables!L14</f>
        <v>1.2172566371681415</v>
      </c>
    </row>
    <row r="6" spans="1:3" x14ac:dyDescent="0.35">
      <c r="A6" s="2" t="s">
        <v>315</v>
      </c>
      <c r="B6" s="2">
        <f>B2*(Variables!L12)/Variables!L16</f>
        <v>0.42743362831858406</v>
      </c>
    </row>
    <row r="7" spans="1:3" x14ac:dyDescent="0.35">
      <c r="A7" s="2" t="s">
        <v>316</v>
      </c>
      <c r="B7" s="2">
        <f>B2*(Variables!L9)/Variables!L18</f>
        <v>0.25506072874493924</v>
      </c>
    </row>
    <row r="8" spans="1:3" x14ac:dyDescent="0.35">
      <c r="A8" s="2" t="s">
        <v>317</v>
      </c>
      <c r="B8" s="2">
        <f>B2*(Variables!L10)/Variables!L18</f>
        <v>0.49878542510121454</v>
      </c>
    </row>
    <row r="9" spans="1:3" x14ac:dyDescent="0.35">
      <c r="A9" s="2" t="s">
        <v>318</v>
      </c>
      <c r="B9" s="2">
        <f>B2*(Variables!L11)/Variables!L18</f>
        <v>0.55688259109311733</v>
      </c>
    </row>
    <row r="10" spans="1:3" x14ac:dyDescent="0.35">
      <c r="A10" s="2" t="s">
        <v>319</v>
      </c>
      <c r="B10" s="2">
        <f>B2*(Variables!L12)/Variables!L18</f>
        <v>0.19554655870445342</v>
      </c>
    </row>
    <row r="11" spans="1:3" x14ac:dyDescent="0.35">
      <c r="A11" s="2" t="s">
        <v>320</v>
      </c>
      <c r="B11" s="2">
        <f>B2*(Variables!L13)/Variables!L18</f>
        <v>0.51862348178137652</v>
      </c>
    </row>
    <row r="12" spans="1:3" x14ac:dyDescent="0.35">
      <c r="A12" s="2" t="s">
        <v>387</v>
      </c>
      <c r="B12" s="2">
        <v>0.2</v>
      </c>
    </row>
    <row r="13" spans="1:3" x14ac:dyDescent="0.35">
      <c r="A13" s="2" t="s">
        <v>433</v>
      </c>
      <c r="B13">
        <v>1.83</v>
      </c>
      <c r="C13" t="s">
        <v>439</v>
      </c>
    </row>
    <row r="14" spans="1:3" x14ac:dyDescent="0.35">
      <c r="A14" s="2" t="s">
        <v>434</v>
      </c>
      <c r="B14">
        <v>1.98</v>
      </c>
    </row>
    <row r="15" spans="1:3" x14ac:dyDescent="0.35">
      <c r="A15" s="2" t="s">
        <v>435</v>
      </c>
      <c r="B15">
        <v>2.1000000000000001E-2</v>
      </c>
    </row>
    <row r="16" spans="1:3" x14ac:dyDescent="0.35">
      <c r="A16" s="2" t="s">
        <v>436</v>
      </c>
      <c r="B16">
        <v>1.0409999999999999</v>
      </c>
    </row>
    <row r="17" spans="1:2" x14ac:dyDescent="0.35">
      <c r="A17" s="2" t="s">
        <v>437</v>
      </c>
      <c r="B17">
        <v>0.98</v>
      </c>
    </row>
    <row r="18" spans="1:2" x14ac:dyDescent="0.35">
      <c r="A18" s="2" t="s">
        <v>438</v>
      </c>
      <c r="B18">
        <v>1.88</v>
      </c>
    </row>
  </sheetData>
  <pageMargins left="0.7" right="0.7" top="0.75" bottom="0.75" header="0.3" footer="0.3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9EB6-CAC1-4780-9B81-62B23D513731}">
  <dimension ref="A1:J26"/>
  <sheetViews>
    <sheetView topLeftCell="A7" workbookViewId="0">
      <selection activeCell="A21" sqref="A21:XFD21"/>
    </sheetView>
  </sheetViews>
  <sheetFormatPr baseColWidth="10" defaultRowHeight="14.5" x14ac:dyDescent="0.35"/>
  <sheetData>
    <row r="1" spans="1:10" x14ac:dyDescent="0.35">
      <c r="B1" t="s">
        <v>605</v>
      </c>
      <c r="C1" t="s">
        <v>606</v>
      </c>
      <c r="D1" t="s">
        <v>607</v>
      </c>
      <c r="E1" t="s">
        <v>608</v>
      </c>
      <c r="F1" t="s">
        <v>609</v>
      </c>
      <c r="G1" t="s">
        <v>637</v>
      </c>
      <c r="H1" t="s">
        <v>619</v>
      </c>
    </row>
    <row r="2" spans="1:10" x14ac:dyDescent="0.35">
      <c r="A2" t="s">
        <v>581</v>
      </c>
      <c r="B2">
        <v>0.35</v>
      </c>
      <c r="C2">
        <f>(Variables!L14/Variables!L23)*(stoe!B3/(6-(5*stoe!B3)))</f>
        <v>0.61286157024793375</v>
      </c>
      <c r="D2">
        <f>(Variables!M14/Variables!L26)</f>
        <v>0.70588235294117652</v>
      </c>
      <c r="E2">
        <f>(stoe!B3/(6-5*(stoe!B3)))*(Variables!L14/Variables!L24)</f>
        <v>0.44571750563486096</v>
      </c>
      <c r="F2">
        <f>(Variables!L14/Variables!L22)*(stoe!B3/(6-(2*stoe!B3)))</f>
        <v>0.71648550724637672</v>
      </c>
      <c r="H2" t="s">
        <v>620</v>
      </c>
      <c r="J2">
        <v>0.71648550724637672</v>
      </c>
    </row>
    <row r="3" spans="1:10" x14ac:dyDescent="0.35">
      <c r="A3" t="s">
        <v>582</v>
      </c>
      <c r="B3">
        <v>0.35</v>
      </c>
      <c r="C3">
        <f>(Variables!L15/Variables!L23)*(stoe!B4/((33/2)-(5*stoe!B4)))</f>
        <v>0.34845814977973566</v>
      </c>
      <c r="D3">
        <f>(Variables!L14/Variables!L26)*(stoe!B4/(4-stoe!B4))</f>
        <v>2.4906254472591955</v>
      </c>
      <c r="E3">
        <f>(Variables!L14/Variables!L24)*(stoe!B4/(15-(5*stoe!B4)))</f>
        <v>0.29323447636700645</v>
      </c>
      <c r="F3">
        <f>(Variables!L14/Variables!L22)*(stoe!B4/(6-(2*stoe!B4)))</f>
        <v>1.7919884666872614</v>
      </c>
      <c r="H3" t="s">
        <v>621</v>
      </c>
      <c r="J3">
        <v>1.7919884666872614</v>
      </c>
    </row>
    <row r="4" spans="1:10" x14ac:dyDescent="0.35">
      <c r="A4" t="s">
        <v>583</v>
      </c>
      <c r="B4">
        <v>0.35</v>
      </c>
      <c r="C4">
        <f>(Variables!L14/Variables!L23)*(stoe!B5/((134/4)-(5*stoe!B5)))</f>
        <v>0.15679878540876441</v>
      </c>
      <c r="D4">
        <f>(Variables!L14/Variables!L26)</f>
        <v>6.6470588235294121</v>
      </c>
      <c r="E4">
        <f>(Variables!L14/Variables!L24)*(stoe!B5/(25-(5*stoe!B5)))</f>
        <v>0.16528408426291219</v>
      </c>
      <c r="F4">
        <f>(Variables!L14/Variables!L22)*(stoe!B5/((45/2)-(2*stoe!B5)))</f>
        <v>0.38083634706418507</v>
      </c>
      <c r="H4" t="s">
        <v>622</v>
      </c>
      <c r="J4">
        <v>0.38083634706418507</v>
      </c>
    </row>
    <row r="5" spans="1:10" x14ac:dyDescent="0.35">
      <c r="A5" t="s">
        <v>584</v>
      </c>
      <c r="B5">
        <v>0.35</v>
      </c>
      <c r="C5">
        <f>C2</f>
        <v>0.61286157024793375</v>
      </c>
      <c r="D5">
        <f t="shared" ref="D5:F5" si="0">D2</f>
        <v>0.70588235294117652</v>
      </c>
      <c r="E5">
        <f t="shared" si="0"/>
        <v>0.44571750563486096</v>
      </c>
      <c r="F5">
        <f t="shared" si="0"/>
        <v>0.71648550724637672</v>
      </c>
      <c r="H5" t="s">
        <v>623</v>
      </c>
      <c r="J5">
        <v>0.71648550724637672</v>
      </c>
    </row>
    <row r="6" spans="1:10" x14ac:dyDescent="0.35">
      <c r="A6" t="s">
        <v>585</v>
      </c>
      <c r="B6">
        <v>0.35</v>
      </c>
      <c r="C6">
        <f t="shared" ref="C6:F6" si="1">C3</f>
        <v>0.34845814977973566</v>
      </c>
      <c r="D6">
        <f t="shared" si="1"/>
        <v>2.4906254472591955</v>
      </c>
      <c r="E6">
        <f t="shared" si="1"/>
        <v>0.29323447636700645</v>
      </c>
      <c r="F6">
        <f t="shared" si="1"/>
        <v>1.7919884666872614</v>
      </c>
      <c r="H6" t="s">
        <v>624</v>
      </c>
      <c r="J6">
        <v>1.7919884666872614</v>
      </c>
    </row>
    <row r="7" spans="1:10" x14ac:dyDescent="0.35">
      <c r="A7" t="s">
        <v>586</v>
      </c>
      <c r="B7">
        <v>0.35</v>
      </c>
      <c r="C7">
        <f t="shared" ref="C7:F7" si="2">C4</f>
        <v>0.15679878540876441</v>
      </c>
      <c r="D7">
        <f t="shared" si="2"/>
        <v>6.6470588235294121</v>
      </c>
      <c r="E7">
        <f t="shared" si="2"/>
        <v>0.16528408426291219</v>
      </c>
      <c r="F7">
        <f t="shared" si="2"/>
        <v>0.38083634706418507</v>
      </c>
      <c r="H7" t="s">
        <v>625</v>
      </c>
      <c r="J7">
        <v>0.38083634706418507</v>
      </c>
    </row>
    <row r="8" spans="1:10" x14ac:dyDescent="0.35">
      <c r="A8" t="s">
        <v>587</v>
      </c>
      <c r="B8">
        <v>0.35</v>
      </c>
      <c r="C8">
        <f t="shared" ref="C8:F8" si="3">C2</f>
        <v>0.61286157024793375</v>
      </c>
      <c r="D8">
        <f t="shared" si="3"/>
        <v>0.70588235294117652</v>
      </c>
      <c r="E8">
        <f t="shared" si="3"/>
        <v>0.44571750563486096</v>
      </c>
      <c r="F8">
        <f t="shared" si="3"/>
        <v>0.71648550724637672</v>
      </c>
      <c r="H8" t="s">
        <v>626</v>
      </c>
      <c r="J8">
        <v>0.71648550724637672</v>
      </c>
    </row>
    <row r="9" spans="1:10" x14ac:dyDescent="0.35">
      <c r="A9" t="s">
        <v>588</v>
      </c>
      <c r="B9">
        <v>0.35</v>
      </c>
      <c r="C9">
        <f t="shared" ref="C9:F9" si="4">C3</f>
        <v>0.34845814977973566</v>
      </c>
      <c r="D9">
        <f t="shared" si="4"/>
        <v>2.4906254472591955</v>
      </c>
      <c r="E9">
        <f t="shared" si="4"/>
        <v>0.29323447636700645</v>
      </c>
      <c r="F9">
        <f t="shared" si="4"/>
        <v>1.7919884666872614</v>
      </c>
      <c r="H9" t="s">
        <v>627</v>
      </c>
      <c r="J9">
        <v>1.7919884666872614</v>
      </c>
    </row>
    <row r="10" spans="1:10" x14ac:dyDescent="0.35">
      <c r="A10" t="s">
        <v>589</v>
      </c>
      <c r="B10">
        <v>0.35</v>
      </c>
      <c r="C10">
        <f t="shared" ref="C10:F10" si="5">C4</f>
        <v>0.15679878540876441</v>
      </c>
      <c r="D10">
        <f t="shared" si="5"/>
        <v>6.6470588235294121</v>
      </c>
      <c r="E10">
        <f t="shared" si="5"/>
        <v>0.16528408426291219</v>
      </c>
      <c r="F10">
        <f t="shared" si="5"/>
        <v>0.38083634706418507</v>
      </c>
      <c r="H10" t="s">
        <v>628</v>
      </c>
      <c r="J10">
        <v>0.38083634706418507</v>
      </c>
    </row>
    <row r="11" spans="1:10" x14ac:dyDescent="0.35">
      <c r="A11" t="s">
        <v>590</v>
      </c>
      <c r="B11">
        <v>0.35</v>
      </c>
      <c r="C11">
        <f>(Variables!L16/Variables!L23)*(stoe!B6/(10-(5*stoe!B6)))</f>
        <v>0.19196328081035452</v>
      </c>
      <c r="D11">
        <f>(Variables!L16/Variables!L26)</f>
        <v>6.6470588235294121</v>
      </c>
      <c r="E11">
        <f>(Variables!L16/Variables!L24)*(stoe!B6/(10-(5*stoe!B6)))</f>
        <v>0.13960965877116693</v>
      </c>
      <c r="F11">
        <f>(Variables!L16/Variables!L22)*(stoe!B6/(9-(2*stoe!B6)))</f>
        <v>0.32944009850789513</v>
      </c>
      <c r="H11" t="s">
        <v>629</v>
      </c>
      <c r="J11">
        <v>0.32944009850789513</v>
      </c>
    </row>
    <row r="12" spans="1:10" x14ac:dyDescent="0.35">
      <c r="A12" t="s">
        <v>591</v>
      </c>
      <c r="B12">
        <v>0.35</v>
      </c>
      <c r="C12">
        <f t="shared" ref="C12:F12" si="6">C2</f>
        <v>0.61286157024793375</v>
      </c>
      <c r="D12">
        <f t="shared" si="6"/>
        <v>0.70588235294117652</v>
      </c>
      <c r="E12">
        <f t="shared" si="6"/>
        <v>0.44571750563486096</v>
      </c>
      <c r="F12">
        <f t="shared" si="6"/>
        <v>0.71648550724637672</v>
      </c>
      <c r="H12" t="s">
        <v>630</v>
      </c>
      <c r="J12">
        <v>0.71648550724637672</v>
      </c>
    </row>
    <row r="13" spans="1:10" x14ac:dyDescent="0.35">
      <c r="A13" t="s">
        <v>592</v>
      </c>
      <c r="B13">
        <v>0.35</v>
      </c>
      <c r="C13">
        <f t="shared" ref="C13:F13" si="7">C3</f>
        <v>0.34845814977973566</v>
      </c>
      <c r="D13">
        <f t="shared" si="7"/>
        <v>2.4906254472591955</v>
      </c>
      <c r="E13">
        <f t="shared" si="7"/>
        <v>0.29323447636700645</v>
      </c>
      <c r="F13">
        <f t="shared" si="7"/>
        <v>1.7919884666872614</v>
      </c>
      <c r="H13" t="s">
        <v>631</v>
      </c>
      <c r="J13">
        <v>1.7919884666872614</v>
      </c>
    </row>
    <row r="14" spans="1:10" x14ac:dyDescent="0.35">
      <c r="A14" t="s">
        <v>593</v>
      </c>
      <c r="B14">
        <v>0.35</v>
      </c>
      <c r="C14">
        <f t="shared" ref="C14:F14" si="8">C4</f>
        <v>0.15679878540876441</v>
      </c>
      <c r="D14">
        <f t="shared" si="8"/>
        <v>6.6470588235294121</v>
      </c>
      <c r="E14">
        <f t="shared" si="8"/>
        <v>0.16528408426291219</v>
      </c>
      <c r="F14">
        <f t="shared" si="8"/>
        <v>0.38083634706418507</v>
      </c>
      <c r="H14" t="s">
        <v>632</v>
      </c>
      <c r="J14">
        <v>0.38083634706418507</v>
      </c>
    </row>
    <row r="15" spans="1:10" x14ac:dyDescent="0.35">
      <c r="A15" t="s">
        <v>594</v>
      </c>
      <c r="B15">
        <v>0.35</v>
      </c>
      <c r="C15">
        <f t="shared" ref="C15:F15" si="9">C11</f>
        <v>0.19196328081035452</v>
      </c>
      <c r="D15">
        <f t="shared" si="9"/>
        <v>6.6470588235294121</v>
      </c>
      <c r="E15">
        <f t="shared" si="9"/>
        <v>0.13960965877116693</v>
      </c>
      <c r="F15">
        <f t="shared" si="9"/>
        <v>0.32944009850789513</v>
      </c>
      <c r="H15" t="s">
        <v>633</v>
      </c>
      <c r="J15">
        <v>0.32944009850789513</v>
      </c>
    </row>
    <row r="16" spans="1:10" x14ac:dyDescent="0.35">
      <c r="A16" t="s">
        <v>595</v>
      </c>
      <c r="B16">
        <v>0.35</v>
      </c>
      <c r="C16">
        <f>(Variables!L18/Variables!L23)*(stoe!B7/(6-((21/2)*stoe!B7)))</f>
        <v>0.59266453382084072</v>
      </c>
      <c r="D16">
        <f>(Variables!L18/Variables!L26)</f>
        <v>14.529411764705882</v>
      </c>
      <c r="E16">
        <f>(Variables!L18/Variables!L24)*(stoe!B7/(6-(10*stoe!B7)))</f>
        <v>0.41509282970550565</v>
      </c>
      <c r="F16">
        <f>(Variables!L18/Variables!L22)*(stoe!B7/(6-(7*stoe!B7)))</f>
        <v>0.83045148895292964</v>
      </c>
      <c r="H16" t="s">
        <v>634</v>
      </c>
      <c r="J16">
        <v>0.83045148895292964</v>
      </c>
    </row>
    <row r="17" spans="1:10" x14ac:dyDescent="0.35">
      <c r="A17" t="s">
        <v>596</v>
      </c>
      <c r="B17">
        <v>0.35</v>
      </c>
      <c r="C17">
        <f>(Variables!L18/Variables!L23)*(stoe!B8/((33/2)-((21/2)*stoe!B8)))</f>
        <v>0.34183471727955711</v>
      </c>
      <c r="D17">
        <f>(Variables!L18/Variables!L26)*(stoe!B8/(4-stoe!B8))</f>
        <v>2.0698699461283123</v>
      </c>
      <c r="E17">
        <f>(Variables!L18/Variables!L24)*(stoe!B8/(16-(10*stoe!B8)))</f>
        <v>0.25426470588235289</v>
      </c>
      <c r="F17">
        <f>(Variables!L18/Variables!L22)*(stoe!B8/(6-(7*stoe!B8)))</f>
        <v>2.7284986729789824</v>
      </c>
      <c r="H17" t="s">
        <v>610</v>
      </c>
      <c r="J17">
        <v>2.7284986729789824</v>
      </c>
    </row>
    <row r="18" spans="1:10" x14ac:dyDescent="0.35">
      <c r="A18" t="s">
        <v>597</v>
      </c>
      <c r="B18">
        <v>0.35</v>
      </c>
      <c r="C18">
        <f>(Variables!L18/Variables!L23)*(stoe!B9/((139/4)-((21/2)*stoe!B9)))</f>
        <v>0.14872079850398687</v>
      </c>
      <c r="D18">
        <f>(Variables!L18/Variables!L26)</f>
        <v>14.529411764705882</v>
      </c>
      <c r="E18">
        <f>(Variables!L18/Variables!L24)*(stoe!B9/(25-(10*stoe!B9)))</f>
        <v>0.16088252564187555</v>
      </c>
      <c r="F18">
        <f>(Variables!L18/Variables!L22)*(stoe!B9/((45/2)-(7*stoe!B9)))</f>
        <v>0.41080205601442249</v>
      </c>
      <c r="H18" t="s">
        <v>612</v>
      </c>
      <c r="J18">
        <v>0.41080205601442249</v>
      </c>
    </row>
    <row r="19" spans="1:10" x14ac:dyDescent="0.35">
      <c r="A19" t="s">
        <v>598</v>
      </c>
      <c r="B19">
        <v>0.35</v>
      </c>
      <c r="C19">
        <f>(Variables!L19/Variables!L23)*(stoe!B10/(10-((21/2)*stoe!B10)))</f>
        <v>0.18993587130957534</v>
      </c>
      <c r="D19">
        <f>Variables!L19/Variables!L26</f>
        <v>14.529411764705882</v>
      </c>
      <c r="E19">
        <f>(Variables!L19/Variables!L24)*(stoe!B10/(10-(10*stoe!B10)))</f>
        <v>0.13645628402800014</v>
      </c>
      <c r="F19">
        <f>(Variables!L19/Variables!L22)*(stoe!B10/(9-(7*stoe!B10)))</f>
        <v>0.35162784939961444</v>
      </c>
      <c r="H19" t="s">
        <v>614</v>
      </c>
      <c r="J19">
        <v>0.35162784939961444</v>
      </c>
    </row>
    <row r="20" spans="1:10" x14ac:dyDescent="0.35">
      <c r="A20" t="s">
        <v>599</v>
      </c>
      <c r="B20">
        <v>0.35</v>
      </c>
      <c r="C20">
        <f>(Variables!L19/Variables!L23)*(stoe!B11/((49/2)-((21/2)*stoe!B11)))</f>
        <v>0.21008868149029522</v>
      </c>
      <c r="D20">
        <f>(Variables!L19/Variables!L26)</f>
        <v>14.529411764705882</v>
      </c>
      <c r="E20">
        <f>(Variables!L19/Variables!L24)*(stoe!B11/(20-(10*stoe!B11)))</f>
        <v>0.19653096971353326</v>
      </c>
      <c r="F20">
        <f>(Variables!L19/Variables!L22)*(stoe!B11/(15-(7*stoe!B11)))</f>
        <v>0.6259362128927346</v>
      </c>
      <c r="H20" t="s">
        <v>616</v>
      </c>
      <c r="J20">
        <v>0.6259362128927346</v>
      </c>
    </row>
    <row r="21" spans="1:10" x14ac:dyDescent="0.35">
      <c r="A21" t="s">
        <v>600</v>
      </c>
      <c r="B21">
        <v>0.35</v>
      </c>
      <c r="C21">
        <f t="shared" ref="C21:F21" si="10">C16</f>
        <v>0.59266453382084072</v>
      </c>
      <c r="D21">
        <f t="shared" si="10"/>
        <v>14.529411764705882</v>
      </c>
      <c r="E21">
        <f t="shared" si="10"/>
        <v>0.41509282970550565</v>
      </c>
      <c r="F21">
        <f t="shared" si="10"/>
        <v>0.83045148895292964</v>
      </c>
      <c r="H21" t="s">
        <v>617</v>
      </c>
      <c r="J21">
        <v>0.83045148895292964</v>
      </c>
    </row>
    <row r="22" spans="1:10" x14ac:dyDescent="0.35">
      <c r="A22" t="s">
        <v>601</v>
      </c>
      <c r="B22">
        <v>0.35</v>
      </c>
      <c r="C22">
        <f t="shared" ref="C22:F22" si="11">C17</f>
        <v>0.34183471727955711</v>
      </c>
      <c r="D22">
        <f t="shared" si="11"/>
        <v>2.0698699461283123</v>
      </c>
      <c r="E22">
        <f t="shared" si="11"/>
        <v>0.25426470588235289</v>
      </c>
      <c r="F22">
        <f t="shared" si="11"/>
        <v>2.7284986729789824</v>
      </c>
      <c r="H22" t="s">
        <v>611</v>
      </c>
      <c r="J22">
        <v>2.7284986729789824</v>
      </c>
    </row>
    <row r="23" spans="1:10" x14ac:dyDescent="0.35">
      <c r="A23" t="s">
        <v>602</v>
      </c>
      <c r="B23">
        <v>0.35</v>
      </c>
      <c r="C23">
        <f t="shared" ref="C23:F23" si="12">C18</f>
        <v>0.14872079850398687</v>
      </c>
      <c r="D23">
        <f t="shared" si="12"/>
        <v>14.529411764705882</v>
      </c>
      <c r="E23">
        <f t="shared" si="12"/>
        <v>0.16088252564187555</v>
      </c>
      <c r="F23">
        <f t="shared" si="12"/>
        <v>0.41080205601442249</v>
      </c>
      <c r="H23" t="s">
        <v>613</v>
      </c>
      <c r="J23">
        <v>0.41080205601442249</v>
      </c>
    </row>
    <row r="24" spans="1:10" x14ac:dyDescent="0.35">
      <c r="A24" t="s">
        <v>603</v>
      </c>
      <c r="B24">
        <v>0.35</v>
      </c>
      <c r="C24">
        <f t="shared" ref="C24:F24" si="13">C19</f>
        <v>0.18993587130957534</v>
      </c>
      <c r="D24">
        <f t="shared" si="13"/>
        <v>14.529411764705882</v>
      </c>
      <c r="E24">
        <f t="shared" si="13"/>
        <v>0.13645628402800014</v>
      </c>
      <c r="F24">
        <f t="shared" si="13"/>
        <v>0.35162784939961444</v>
      </c>
      <c r="H24" t="s">
        <v>615</v>
      </c>
      <c r="J24">
        <v>0.35162784939961444</v>
      </c>
    </row>
    <row r="25" spans="1:10" x14ac:dyDescent="0.35">
      <c r="A25" t="s">
        <v>604</v>
      </c>
      <c r="B25">
        <v>0.35</v>
      </c>
      <c r="C25">
        <f t="shared" ref="C25:F25" si="14">C20</f>
        <v>0.21008868149029522</v>
      </c>
      <c r="D25">
        <f t="shared" si="14"/>
        <v>14.529411764705882</v>
      </c>
      <c r="E25">
        <f t="shared" si="14"/>
        <v>0.19653096971353326</v>
      </c>
      <c r="F25">
        <f t="shared" si="14"/>
        <v>0.6259362128927346</v>
      </c>
      <c r="H25" t="s">
        <v>618</v>
      </c>
      <c r="J25">
        <v>0.6259362128927346</v>
      </c>
    </row>
    <row r="26" spans="1:10" x14ac:dyDescent="0.35">
      <c r="A26" t="s">
        <v>635</v>
      </c>
      <c r="B26">
        <v>0.13</v>
      </c>
      <c r="C26">
        <f>(stoe!B15/stoe!B13)*(Variables!L21/Variables!L23)</f>
        <v>4.0522540983606553E-2</v>
      </c>
      <c r="F26">
        <f>(stoe!B15/stoe!B16)*(Variables!L20/Variables!L22)</f>
        <v>0.1266410502721742</v>
      </c>
      <c r="G26">
        <f>(stoe!B15/stoe!B17)*(Variables!L20/Variables!L25)</f>
        <v>3.9055299539170509E-2</v>
      </c>
      <c r="H26" t="s">
        <v>636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2A85-0A6D-4692-91B9-50CA4D04329A}">
  <dimension ref="A1:K76"/>
  <sheetViews>
    <sheetView topLeftCell="A68" workbookViewId="0">
      <selection activeCell="A75" sqref="A75:C76"/>
    </sheetView>
  </sheetViews>
  <sheetFormatPr baseColWidth="10" defaultRowHeight="14.5" x14ac:dyDescent="0.35"/>
  <cols>
    <col min="1" max="1" width="8.6328125" style="23" bestFit="1" customWidth="1"/>
    <col min="2" max="2" width="8.36328125" style="23" bestFit="1" customWidth="1"/>
    <col min="3" max="3" width="18.54296875" style="23" bestFit="1" customWidth="1"/>
    <col min="4" max="4" width="63.81640625" style="23" customWidth="1"/>
    <col min="5" max="16384" width="10.90625" style="23"/>
  </cols>
  <sheetData>
    <row r="1" spans="1:11" x14ac:dyDescent="0.35">
      <c r="A1" s="1" t="s">
        <v>254</v>
      </c>
      <c r="B1" s="1" t="s">
        <v>0</v>
      </c>
      <c r="C1" s="1" t="s">
        <v>1</v>
      </c>
      <c r="D1" s="1" t="s">
        <v>2</v>
      </c>
      <c r="F1" s="1" t="s">
        <v>504</v>
      </c>
      <c r="G1" s="1" t="s">
        <v>505</v>
      </c>
      <c r="H1" s="1" t="s">
        <v>502</v>
      </c>
      <c r="I1" s="1" t="s">
        <v>503</v>
      </c>
    </row>
    <row r="2" spans="1:11" x14ac:dyDescent="0.35">
      <c r="A2" s="2" t="s">
        <v>490</v>
      </c>
      <c r="B2" s="2">
        <f>0.04</f>
        <v>0.04</v>
      </c>
      <c r="C2" s="2" t="s">
        <v>255</v>
      </c>
      <c r="D2" s="2" t="s">
        <v>284</v>
      </c>
      <c r="E2" s="2">
        <v>0</v>
      </c>
      <c r="F2" s="2" t="s">
        <v>509</v>
      </c>
      <c r="H2" s="23">
        <v>1</v>
      </c>
      <c r="I2" s="23">
        <v>24</v>
      </c>
      <c r="K2" s="2">
        <f t="shared" ref="K2:K26" si="0">$B2*I$2</f>
        <v>0.96</v>
      </c>
    </row>
    <row r="3" spans="1:11" x14ac:dyDescent="0.35">
      <c r="A3" s="2" t="s">
        <v>491</v>
      </c>
      <c r="B3" s="2">
        <f>0.02</f>
        <v>0.02</v>
      </c>
      <c r="C3" s="2" t="s">
        <v>255</v>
      </c>
      <c r="D3" s="2" t="s">
        <v>285</v>
      </c>
      <c r="E3" s="23">
        <v>1</v>
      </c>
      <c r="F3" s="2" t="s">
        <v>509</v>
      </c>
      <c r="K3" s="2">
        <f t="shared" si="0"/>
        <v>0.48</v>
      </c>
    </row>
    <row r="4" spans="1:11" x14ac:dyDescent="0.35">
      <c r="A4" s="2" t="s">
        <v>492</v>
      </c>
      <c r="B4" s="2">
        <f>0.01</f>
        <v>0.01</v>
      </c>
      <c r="C4" s="2" t="s">
        <v>255</v>
      </c>
      <c r="D4" s="2" t="s">
        <v>286</v>
      </c>
      <c r="E4" s="23">
        <v>2</v>
      </c>
      <c r="F4" s="2" t="s">
        <v>509</v>
      </c>
      <c r="K4" s="2">
        <f t="shared" si="0"/>
        <v>0.24</v>
      </c>
    </row>
    <row r="5" spans="1:11" x14ac:dyDescent="0.35">
      <c r="A5" s="2" t="s">
        <v>493</v>
      </c>
      <c r="B5" s="2">
        <v>0.02</v>
      </c>
      <c r="C5" s="2" t="s">
        <v>255</v>
      </c>
      <c r="D5" s="2" t="s">
        <v>288</v>
      </c>
      <c r="E5" s="23">
        <v>3</v>
      </c>
      <c r="F5" s="2" t="s">
        <v>509</v>
      </c>
      <c r="K5" s="2">
        <f t="shared" si="0"/>
        <v>0.48</v>
      </c>
    </row>
    <row r="6" spans="1:11" x14ac:dyDescent="0.35">
      <c r="A6" s="2" t="s">
        <v>494</v>
      </c>
      <c r="B6" s="2">
        <v>0.04</v>
      </c>
      <c r="C6" s="2" t="s">
        <v>255</v>
      </c>
      <c r="D6" s="2" t="s">
        <v>289</v>
      </c>
      <c r="E6" s="23">
        <v>4</v>
      </c>
      <c r="F6" s="2" t="s">
        <v>509</v>
      </c>
      <c r="K6" s="2">
        <f t="shared" si="0"/>
        <v>0.96</v>
      </c>
    </row>
    <row r="7" spans="1:11" x14ac:dyDescent="0.35">
      <c r="A7" s="2" t="s">
        <v>495</v>
      </c>
      <c r="B7" s="2">
        <v>0.01</v>
      </c>
      <c r="C7" s="2" t="s">
        <v>255</v>
      </c>
      <c r="D7" s="2" t="s">
        <v>287</v>
      </c>
      <c r="E7" s="23">
        <v>5</v>
      </c>
      <c r="F7" s="2" t="s">
        <v>509</v>
      </c>
      <c r="K7" s="2">
        <f t="shared" si="0"/>
        <v>0.24</v>
      </c>
    </row>
    <row r="8" spans="1:11" x14ac:dyDescent="0.35">
      <c r="A8" s="2" t="s">
        <v>496</v>
      </c>
      <c r="B8" s="2">
        <v>8.9999999999999993E-3</v>
      </c>
      <c r="C8" s="2" t="s">
        <v>255</v>
      </c>
      <c r="D8" s="2" t="s">
        <v>291</v>
      </c>
      <c r="E8" s="23">
        <v>6</v>
      </c>
      <c r="F8" s="2" t="s">
        <v>509</v>
      </c>
      <c r="K8" s="2">
        <f t="shared" si="0"/>
        <v>0.21599999999999997</v>
      </c>
    </row>
    <row r="9" spans="1:11" x14ac:dyDescent="0.35">
      <c r="A9" s="2" t="s">
        <v>497</v>
      </c>
      <c r="B9" s="2">
        <v>7.0000000000000001E-3</v>
      </c>
      <c r="C9" s="2" t="s">
        <v>255</v>
      </c>
      <c r="D9" s="2" t="s">
        <v>293</v>
      </c>
      <c r="E9" s="23">
        <v>7</v>
      </c>
      <c r="F9" s="2" t="s">
        <v>509</v>
      </c>
      <c r="K9" s="2">
        <f t="shared" si="0"/>
        <v>0.16800000000000001</v>
      </c>
    </row>
    <row r="10" spans="1:11" x14ac:dyDescent="0.35">
      <c r="A10" s="2" t="s">
        <v>498</v>
      </c>
      <c r="B10" s="2">
        <v>7.0000000000000001E-3</v>
      </c>
      <c r="C10" s="2" t="s">
        <v>255</v>
      </c>
      <c r="D10" s="2" t="s">
        <v>295</v>
      </c>
      <c r="E10" s="23">
        <v>8</v>
      </c>
      <c r="F10" s="2" t="s">
        <v>509</v>
      </c>
      <c r="K10" s="2">
        <f t="shared" si="0"/>
        <v>0.16800000000000001</v>
      </c>
    </row>
    <row r="11" spans="1:11" x14ac:dyDescent="0.35">
      <c r="A11" s="2" t="s">
        <v>499</v>
      </c>
      <c r="B11" s="2">
        <v>8.9999999999999993E-3</v>
      </c>
      <c r="C11" s="2" t="s">
        <v>255</v>
      </c>
      <c r="D11" s="2" t="s">
        <v>290</v>
      </c>
      <c r="E11" s="23">
        <v>9</v>
      </c>
      <c r="F11" s="2" t="s">
        <v>509</v>
      </c>
      <c r="K11" s="2">
        <f t="shared" si="0"/>
        <v>0.21599999999999997</v>
      </c>
    </row>
    <row r="12" spans="1:11" x14ac:dyDescent="0.35">
      <c r="A12" s="2" t="s">
        <v>500</v>
      </c>
      <c r="B12" s="2">
        <v>7.0000000000000001E-3</v>
      </c>
      <c r="C12" s="2" t="s">
        <v>255</v>
      </c>
      <c r="D12" s="2" t="s">
        <v>292</v>
      </c>
      <c r="E12" s="23">
        <v>10</v>
      </c>
      <c r="F12" s="2" t="s">
        <v>509</v>
      </c>
      <c r="K12" s="2">
        <f t="shared" si="0"/>
        <v>0.16800000000000001</v>
      </c>
    </row>
    <row r="13" spans="1:11" x14ac:dyDescent="0.35">
      <c r="A13" s="2" t="s">
        <v>501</v>
      </c>
      <c r="B13" s="2">
        <v>7.0000000000000001E-3</v>
      </c>
      <c r="C13" s="2" t="s">
        <v>255</v>
      </c>
      <c r="D13" s="2" t="s">
        <v>294</v>
      </c>
      <c r="E13" s="23">
        <v>11</v>
      </c>
      <c r="F13" s="2" t="s">
        <v>509</v>
      </c>
      <c r="K13" s="2">
        <f t="shared" si="0"/>
        <v>0.16800000000000001</v>
      </c>
    </row>
    <row r="14" spans="1:11" x14ac:dyDescent="0.35">
      <c r="A14" s="2" t="s">
        <v>256</v>
      </c>
      <c r="B14" s="2">
        <v>0.2</v>
      </c>
      <c r="C14" s="2" t="s">
        <v>255</v>
      </c>
      <c r="D14" s="2" t="s">
        <v>257</v>
      </c>
      <c r="E14" s="23">
        <v>12</v>
      </c>
      <c r="F14" s="2" t="s">
        <v>509</v>
      </c>
      <c r="K14" s="2">
        <f t="shared" si="0"/>
        <v>4.8000000000000007</v>
      </c>
    </row>
    <row r="15" spans="1:11" x14ac:dyDescent="0.35">
      <c r="A15" s="2" t="s">
        <v>258</v>
      </c>
      <c r="B15" s="2">
        <v>0.18</v>
      </c>
      <c r="C15" s="2" t="s">
        <v>255</v>
      </c>
      <c r="D15" s="2" t="s">
        <v>259</v>
      </c>
      <c r="E15" s="23">
        <v>13</v>
      </c>
      <c r="F15" s="2" t="s">
        <v>509</v>
      </c>
      <c r="K15" s="2">
        <f t="shared" si="0"/>
        <v>4.32</v>
      </c>
    </row>
    <row r="16" spans="1:11" x14ac:dyDescent="0.35">
      <c r="A16" s="2" t="s">
        <v>260</v>
      </c>
      <c r="B16" s="2">
        <v>0.1</v>
      </c>
      <c r="C16" s="2" t="s">
        <v>255</v>
      </c>
      <c r="D16" s="2" t="s">
        <v>261</v>
      </c>
      <c r="E16" s="23">
        <v>14</v>
      </c>
      <c r="F16" s="2" t="s">
        <v>509</v>
      </c>
      <c r="K16" s="2">
        <f t="shared" si="0"/>
        <v>2.4000000000000004</v>
      </c>
    </row>
    <row r="17" spans="1:11" x14ac:dyDescent="0.35">
      <c r="A17" s="2" t="s">
        <v>262</v>
      </c>
      <c r="B17" s="2">
        <v>0.12</v>
      </c>
      <c r="C17" s="2" t="s">
        <v>255</v>
      </c>
      <c r="D17" s="2" t="s">
        <v>263</v>
      </c>
      <c r="E17" s="23">
        <v>15</v>
      </c>
      <c r="F17" s="2" t="s">
        <v>509</v>
      </c>
      <c r="K17" s="2">
        <f t="shared" si="0"/>
        <v>2.88</v>
      </c>
    </row>
    <row r="18" spans="1:11" x14ac:dyDescent="0.35">
      <c r="A18" s="2" t="s">
        <v>264</v>
      </c>
      <c r="B18" s="2">
        <v>0.1</v>
      </c>
      <c r="C18" s="2" t="s">
        <v>255</v>
      </c>
      <c r="D18" s="2" t="s">
        <v>265</v>
      </c>
      <c r="E18" s="23">
        <v>16</v>
      </c>
      <c r="F18" s="2" t="s">
        <v>509</v>
      </c>
      <c r="K18" s="2">
        <f t="shared" si="0"/>
        <v>2.4000000000000004</v>
      </c>
    </row>
    <row r="19" spans="1:11" x14ac:dyDescent="0.35">
      <c r="A19" s="2" t="s">
        <v>266</v>
      </c>
      <c r="B19" s="2">
        <v>0.1</v>
      </c>
      <c r="C19" s="2" t="s">
        <v>255</v>
      </c>
      <c r="D19" s="2" t="s">
        <v>267</v>
      </c>
      <c r="E19" s="23">
        <v>17</v>
      </c>
      <c r="F19" s="2" t="s">
        <v>509</v>
      </c>
      <c r="K19" s="2">
        <f t="shared" si="0"/>
        <v>2.4000000000000004</v>
      </c>
    </row>
    <row r="20" spans="1:11" x14ac:dyDescent="0.35">
      <c r="A20" s="2" t="s">
        <v>270</v>
      </c>
      <c r="B20" s="2">
        <v>0.03</v>
      </c>
      <c r="C20" s="2" t="s">
        <v>255</v>
      </c>
      <c r="D20" s="2" t="s">
        <v>271</v>
      </c>
      <c r="E20" s="23">
        <v>18</v>
      </c>
      <c r="F20" s="2" t="s">
        <v>509</v>
      </c>
      <c r="K20" s="2">
        <f t="shared" si="0"/>
        <v>0.72</v>
      </c>
    </row>
    <row r="21" spans="1:11" x14ac:dyDescent="0.35">
      <c r="A21" s="2" t="s">
        <v>274</v>
      </c>
      <c r="B21" s="2">
        <v>0.02</v>
      </c>
      <c r="C21" s="2" t="s">
        <v>255</v>
      </c>
      <c r="D21" s="2" t="s">
        <v>273</v>
      </c>
      <c r="E21" s="23">
        <v>19</v>
      </c>
      <c r="F21" s="2" t="s">
        <v>509</v>
      </c>
      <c r="K21" s="2">
        <f t="shared" si="0"/>
        <v>0.48</v>
      </c>
    </row>
    <row r="22" spans="1:11" x14ac:dyDescent="0.35">
      <c r="A22" s="2" t="s">
        <v>275</v>
      </c>
      <c r="B22" s="2">
        <v>0.01</v>
      </c>
      <c r="C22" s="2" t="s">
        <v>255</v>
      </c>
      <c r="D22" s="2" t="s">
        <v>276</v>
      </c>
      <c r="E22" s="23">
        <v>20</v>
      </c>
      <c r="F22" s="2" t="s">
        <v>509</v>
      </c>
      <c r="K22" s="2">
        <f t="shared" si="0"/>
        <v>0.24</v>
      </c>
    </row>
    <row r="23" spans="1:11" x14ac:dyDescent="0.35">
      <c r="A23" s="2" t="s">
        <v>272</v>
      </c>
      <c r="B23" s="2">
        <v>1.4999999999999999E-2</v>
      </c>
      <c r="C23" s="2" t="s">
        <v>255</v>
      </c>
      <c r="D23" s="2" t="s">
        <v>277</v>
      </c>
      <c r="E23" s="23">
        <v>21</v>
      </c>
      <c r="F23" s="2" t="s">
        <v>509</v>
      </c>
      <c r="K23" s="2">
        <f t="shared" si="0"/>
        <v>0.36</v>
      </c>
    </row>
    <row r="24" spans="1:11" x14ac:dyDescent="0.35">
      <c r="A24" s="2" t="s">
        <v>278</v>
      </c>
      <c r="B24" s="2">
        <v>0.01</v>
      </c>
      <c r="C24" s="2" t="s">
        <v>255</v>
      </c>
      <c r="D24" s="2" t="s">
        <v>279</v>
      </c>
      <c r="E24" s="23">
        <v>22</v>
      </c>
      <c r="F24" s="2" t="s">
        <v>509</v>
      </c>
      <c r="K24" s="2">
        <f t="shared" si="0"/>
        <v>0.24</v>
      </c>
    </row>
    <row r="25" spans="1:11" x14ac:dyDescent="0.35">
      <c r="A25" s="2" t="s">
        <v>280</v>
      </c>
      <c r="B25" s="2">
        <v>0.01</v>
      </c>
      <c r="C25" s="2" t="s">
        <v>255</v>
      </c>
      <c r="D25" s="2" t="s">
        <v>281</v>
      </c>
      <c r="E25" s="23">
        <v>23</v>
      </c>
      <c r="F25" s="2" t="s">
        <v>509</v>
      </c>
      <c r="K25" s="2">
        <f t="shared" si="0"/>
        <v>0.24</v>
      </c>
    </row>
    <row r="26" spans="1:11" x14ac:dyDescent="0.35">
      <c r="A26" s="2" t="s">
        <v>296</v>
      </c>
      <c r="B26" s="2">
        <v>2.5000000000000001E-3</v>
      </c>
      <c r="C26" s="2" t="s">
        <v>255</v>
      </c>
      <c r="D26" s="2" t="s">
        <v>297</v>
      </c>
      <c r="E26" s="23">
        <v>24</v>
      </c>
      <c r="F26" s="2" t="s">
        <v>509</v>
      </c>
      <c r="K26" s="2">
        <f t="shared" si="0"/>
        <v>0.06</v>
      </c>
    </row>
    <row r="27" spans="1:11" x14ac:dyDescent="0.35">
      <c r="A27" s="23" t="s">
        <v>431</v>
      </c>
      <c r="B27" s="23">
        <v>0.03</v>
      </c>
      <c r="C27" s="23" t="s">
        <v>255</v>
      </c>
      <c r="D27" s="23" t="s">
        <v>432</v>
      </c>
      <c r="E27" s="23">
        <v>25</v>
      </c>
      <c r="F27" s="23" t="s">
        <v>506</v>
      </c>
      <c r="G27" s="23" t="s">
        <v>507</v>
      </c>
    </row>
    <row r="28" spans="1:11" x14ac:dyDescent="0.35">
      <c r="A28" s="27" t="s">
        <v>440</v>
      </c>
      <c r="B28" s="2">
        <v>4.2000000000000003E-2</v>
      </c>
      <c r="C28" s="2" t="s">
        <v>537</v>
      </c>
      <c r="D28" s="2" t="s">
        <v>442</v>
      </c>
      <c r="E28" s="23">
        <v>26</v>
      </c>
      <c r="F28" s="23" t="s">
        <v>506</v>
      </c>
      <c r="G28" s="23" t="s">
        <v>508</v>
      </c>
      <c r="H28" s="27">
        <v>1</v>
      </c>
      <c r="I28" s="27" t="s">
        <v>441</v>
      </c>
    </row>
    <row r="29" spans="1:11" x14ac:dyDescent="0.35">
      <c r="A29" s="2" t="s">
        <v>443</v>
      </c>
      <c r="B29" s="2">
        <v>8.3000000000000001E-3</v>
      </c>
      <c r="C29" s="23" t="s">
        <v>255</v>
      </c>
      <c r="D29" s="2" t="s">
        <v>444</v>
      </c>
      <c r="E29" s="23">
        <v>27</v>
      </c>
      <c r="F29" s="23" t="s">
        <v>506</v>
      </c>
      <c r="G29" s="23" t="s">
        <v>507</v>
      </c>
    </row>
    <row r="30" spans="1:11" hidden="1" x14ac:dyDescent="0.35">
      <c r="A30" s="2" t="s">
        <v>374</v>
      </c>
      <c r="B30" s="24">
        <v>9.9999999999999995E-8</v>
      </c>
      <c r="C30" s="2" t="s">
        <v>375</v>
      </c>
      <c r="D30" s="2" t="s">
        <v>380</v>
      </c>
      <c r="E30" s="23">
        <v>25</v>
      </c>
      <c r="F30" s="2" t="s">
        <v>509</v>
      </c>
    </row>
    <row r="31" spans="1:11" hidden="1" x14ac:dyDescent="0.35">
      <c r="A31" s="2" t="s">
        <v>376</v>
      </c>
      <c r="B31" s="24">
        <v>9.9999999999999995E-7</v>
      </c>
      <c r="C31" s="2" t="s">
        <v>375</v>
      </c>
      <c r="D31" s="2" t="s">
        <v>379</v>
      </c>
      <c r="E31" s="23">
        <v>26</v>
      </c>
      <c r="F31" s="2" t="s">
        <v>509</v>
      </c>
    </row>
    <row r="32" spans="1:11" hidden="1" x14ac:dyDescent="0.35">
      <c r="A32" s="2" t="s">
        <v>377</v>
      </c>
      <c r="B32" s="24">
        <v>9.9999999999999995E-8</v>
      </c>
      <c r="C32" s="2" t="s">
        <v>375</v>
      </c>
      <c r="D32" s="2" t="s">
        <v>381</v>
      </c>
      <c r="E32" s="23">
        <v>27</v>
      </c>
      <c r="F32" s="2" t="s">
        <v>509</v>
      </c>
    </row>
    <row r="33" spans="1:8" hidden="1" x14ac:dyDescent="0.35">
      <c r="A33" s="2" t="s">
        <v>378</v>
      </c>
      <c r="B33" s="24">
        <v>9.9999999999999995E-8</v>
      </c>
      <c r="C33" s="2" t="s">
        <v>375</v>
      </c>
      <c r="D33" s="2" t="s">
        <v>382</v>
      </c>
      <c r="E33" s="23">
        <v>28</v>
      </c>
      <c r="F33" s="2" t="s">
        <v>509</v>
      </c>
    </row>
    <row r="34" spans="1:8" x14ac:dyDescent="0.35">
      <c r="A34" s="2" t="s">
        <v>392</v>
      </c>
      <c r="B34" s="24">
        <v>1E-4</v>
      </c>
      <c r="C34" s="2" t="s">
        <v>531</v>
      </c>
      <c r="D34" s="2" t="s">
        <v>520</v>
      </c>
      <c r="E34" s="23">
        <v>29</v>
      </c>
      <c r="F34" s="2" t="s">
        <v>509</v>
      </c>
    </row>
    <row r="35" spans="1:8" x14ac:dyDescent="0.35">
      <c r="A35" s="2" t="s">
        <v>322</v>
      </c>
      <c r="B35" s="2">
        <v>5.0999999999999996</v>
      </c>
      <c r="C35" s="2" t="s">
        <v>323</v>
      </c>
      <c r="D35" s="2" t="s">
        <v>324</v>
      </c>
      <c r="F35" s="2" t="s">
        <v>509</v>
      </c>
    </row>
    <row r="36" spans="1:8" x14ac:dyDescent="0.35">
      <c r="A36" s="2" t="s">
        <v>325</v>
      </c>
      <c r="B36" s="2">
        <v>35.4</v>
      </c>
      <c r="C36" s="2" t="s">
        <v>323</v>
      </c>
      <c r="D36" s="2" t="s">
        <v>326</v>
      </c>
      <c r="F36" s="2" t="s">
        <v>509</v>
      </c>
    </row>
    <row r="37" spans="1:8" x14ac:dyDescent="0.35">
      <c r="A37" s="2" t="s">
        <v>321</v>
      </c>
      <c r="B37" s="2">
        <v>44</v>
      </c>
      <c r="C37" s="23" t="s">
        <v>323</v>
      </c>
      <c r="D37" s="2" t="s">
        <v>327</v>
      </c>
      <c r="F37" s="2" t="s">
        <v>509</v>
      </c>
    </row>
    <row r="38" spans="1:8" x14ac:dyDescent="0.35">
      <c r="A38" s="2" t="s">
        <v>328</v>
      </c>
      <c r="B38" s="2">
        <v>30.8</v>
      </c>
      <c r="C38" s="2" t="s">
        <v>323</v>
      </c>
      <c r="D38" s="2" t="s">
        <v>329</v>
      </c>
      <c r="F38" s="2" t="s">
        <v>509</v>
      </c>
    </row>
    <row r="39" spans="1:8" x14ac:dyDescent="0.35">
      <c r="A39" s="2" t="s">
        <v>428</v>
      </c>
      <c r="B39" s="2">
        <v>57.2</v>
      </c>
      <c r="C39" s="2" t="s">
        <v>323</v>
      </c>
      <c r="D39" s="2" t="s">
        <v>330</v>
      </c>
      <c r="F39" s="2" t="s">
        <v>509</v>
      </c>
    </row>
    <row r="40" spans="1:8" x14ac:dyDescent="0.35">
      <c r="A40" s="2" t="s">
        <v>427</v>
      </c>
      <c r="B40" s="2">
        <v>65.5</v>
      </c>
      <c r="C40" s="23" t="s">
        <v>323</v>
      </c>
      <c r="D40" s="2" t="s">
        <v>331</v>
      </c>
      <c r="F40" s="2" t="s">
        <v>509</v>
      </c>
    </row>
    <row r="41" spans="1:8" s="26" customFormat="1" x14ac:dyDescent="0.35">
      <c r="A41" s="25" t="s">
        <v>332</v>
      </c>
      <c r="C41" s="27" t="s">
        <v>334</v>
      </c>
      <c r="D41" s="27" t="s">
        <v>333</v>
      </c>
      <c r="E41" s="26" t="s">
        <v>347</v>
      </c>
    </row>
    <row r="42" spans="1:8" s="26" customFormat="1" x14ac:dyDescent="0.35">
      <c r="A42" s="28" t="s">
        <v>534</v>
      </c>
      <c r="B42" s="26">
        <v>0.2</v>
      </c>
      <c r="C42" s="26" t="s">
        <v>535</v>
      </c>
      <c r="D42" s="28" t="s">
        <v>527</v>
      </c>
      <c r="F42" s="2" t="s">
        <v>509</v>
      </c>
      <c r="G42" s="28">
        <v>7.0000000000000001E-3</v>
      </c>
      <c r="H42" s="28" t="s">
        <v>335</v>
      </c>
    </row>
    <row r="43" spans="1:8" s="26" customFormat="1" hidden="1" x14ac:dyDescent="0.35">
      <c r="A43" s="28" t="s">
        <v>337</v>
      </c>
      <c r="B43" s="29">
        <v>0.4</v>
      </c>
      <c r="C43" s="28" t="s">
        <v>342</v>
      </c>
      <c r="D43" s="28" t="s">
        <v>339</v>
      </c>
      <c r="F43" s="2" t="s">
        <v>509</v>
      </c>
    </row>
    <row r="44" spans="1:8" s="26" customFormat="1" hidden="1" x14ac:dyDescent="0.35">
      <c r="A44" s="28" t="s">
        <v>340</v>
      </c>
      <c r="B44" s="28">
        <v>0.6</v>
      </c>
      <c r="C44" s="28" t="s">
        <v>342</v>
      </c>
      <c r="D44" s="28" t="s">
        <v>341</v>
      </c>
      <c r="F44" s="2" t="s">
        <v>509</v>
      </c>
    </row>
    <row r="45" spans="1:8" s="26" customFormat="1" x14ac:dyDescent="0.35">
      <c r="A45" s="27" t="s">
        <v>344</v>
      </c>
      <c r="C45" s="27" t="s">
        <v>334</v>
      </c>
      <c r="D45" s="27" t="s">
        <v>345</v>
      </c>
      <c r="E45" s="26" t="s">
        <v>347</v>
      </c>
      <c r="F45" s="2" t="s">
        <v>509</v>
      </c>
    </row>
    <row r="46" spans="1:8" x14ac:dyDescent="0.35">
      <c r="A46" s="2" t="s">
        <v>346</v>
      </c>
      <c r="B46" s="24">
        <v>4.9999999999999998E-8</v>
      </c>
      <c r="C46" s="2" t="s">
        <v>530</v>
      </c>
      <c r="D46" s="2" t="s">
        <v>533</v>
      </c>
      <c r="F46" s="2" t="s">
        <v>509</v>
      </c>
    </row>
    <row r="47" spans="1:8" x14ac:dyDescent="0.35">
      <c r="A47" s="2" t="s">
        <v>348</v>
      </c>
      <c r="B47" s="24">
        <v>6.2000000000000003E-5</v>
      </c>
      <c r="C47" s="2" t="s">
        <v>530</v>
      </c>
      <c r="D47" s="2" t="s">
        <v>349</v>
      </c>
      <c r="F47" s="2" t="s">
        <v>509</v>
      </c>
    </row>
    <row r="48" spans="1:8" x14ac:dyDescent="0.35">
      <c r="A48" s="23" t="s">
        <v>536</v>
      </c>
      <c r="B48" s="36">
        <v>8.4000000000000005E-2</v>
      </c>
      <c r="C48" s="2" t="s">
        <v>530</v>
      </c>
    </row>
    <row r="49" spans="1:8" s="34" customFormat="1" hidden="1" x14ac:dyDescent="0.35">
      <c r="A49" s="34" t="s">
        <v>403</v>
      </c>
      <c r="B49" s="34">
        <v>404</v>
      </c>
      <c r="C49" s="34" t="s">
        <v>404</v>
      </c>
      <c r="D49" s="34" t="s">
        <v>405</v>
      </c>
      <c r="E49" s="34" t="s">
        <v>406</v>
      </c>
    </row>
    <row r="50" spans="1:8" s="34" customFormat="1" hidden="1" x14ac:dyDescent="0.35">
      <c r="A50" s="34" t="s">
        <v>407</v>
      </c>
      <c r="B50" s="34">
        <v>1005</v>
      </c>
      <c r="C50" s="34" t="s">
        <v>409</v>
      </c>
      <c r="D50" s="34" t="s">
        <v>408</v>
      </c>
      <c r="E50" s="34" t="s">
        <v>410</v>
      </c>
    </row>
    <row r="51" spans="1:8" s="34" customFormat="1" hidden="1" x14ac:dyDescent="0.35">
      <c r="A51" s="34" t="s">
        <v>414</v>
      </c>
      <c r="B51" s="34">
        <v>710</v>
      </c>
      <c r="C51" s="34" t="s">
        <v>409</v>
      </c>
      <c r="D51" s="34" t="s">
        <v>423</v>
      </c>
      <c r="E51" s="34" t="s">
        <v>421</v>
      </c>
      <c r="F51" s="34" t="s">
        <v>424</v>
      </c>
    </row>
    <row r="52" spans="1:8" s="34" customFormat="1" hidden="1" x14ac:dyDescent="0.35">
      <c r="A52" s="34" t="s">
        <v>415</v>
      </c>
      <c r="B52" s="34">
        <v>1000</v>
      </c>
      <c r="C52" s="34" t="s">
        <v>409</v>
      </c>
    </row>
    <row r="53" spans="1:8" s="34" customFormat="1" hidden="1" x14ac:dyDescent="0.35">
      <c r="A53" s="34" t="s">
        <v>416</v>
      </c>
      <c r="B53" s="35">
        <v>1260</v>
      </c>
      <c r="C53" s="34" t="s">
        <v>409</v>
      </c>
      <c r="D53" s="34" t="s">
        <v>419</v>
      </c>
      <c r="E53" s="34" t="s">
        <v>420</v>
      </c>
    </row>
    <row r="54" spans="1:8" s="34" customFormat="1" hidden="1" x14ac:dyDescent="0.35">
      <c r="A54" s="34" t="s">
        <v>417</v>
      </c>
      <c r="B54" s="34">
        <v>1542</v>
      </c>
      <c r="C54" s="34" t="s">
        <v>409</v>
      </c>
      <c r="D54" s="34" t="s">
        <v>425</v>
      </c>
      <c r="E54" s="34" t="s">
        <v>426</v>
      </c>
    </row>
    <row r="55" spans="1:8" s="34" customFormat="1" hidden="1" x14ac:dyDescent="0.35">
      <c r="A55" s="34" t="s">
        <v>418</v>
      </c>
      <c r="B55" s="34">
        <v>1305</v>
      </c>
      <c r="C55" s="34" t="s">
        <v>409</v>
      </c>
      <c r="E55" s="34" t="s">
        <v>422</v>
      </c>
    </row>
    <row r="56" spans="1:8" x14ac:dyDescent="0.35">
      <c r="A56" s="2" t="s">
        <v>429</v>
      </c>
      <c r="B56" s="23">
        <v>0.2</v>
      </c>
      <c r="C56"/>
      <c r="D56" s="2" t="s">
        <v>430</v>
      </c>
      <c r="E56" s="23">
        <v>54</v>
      </c>
      <c r="F56" s="23" t="s">
        <v>506</v>
      </c>
      <c r="G56" s="23" t="s">
        <v>507</v>
      </c>
    </row>
    <row r="57" spans="1:8" x14ac:dyDescent="0.35">
      <c r="A57" s="26" t="s">
        <v>538</v>
      </c>
      <c r="B57" s="26">
        <v>0.2</v>
      </c>
      <c r="C57" s="26" t="s">
        <v>446</v>
      </c>
      <c r="D57" s="27" t="s">
        <v>447</v>
      </c>
      <c r="F57" s="23" t="s">
        <v>506</v>
      </c>
      <c r="G57" s="23" t="s">
        <v>539</v>
      </c>
    </row>
    <row r="58" spans="1:8" x14ac:dyDescent="0.35">
      <c r="A58" s="23" t="s">
        <v>471</v>
      </c>
      <c r="B58" s="38">
        <v>5.352E-4</v>
      </c>
      <c r="C58" s="26" t="s">
        <v>557</v>
      </c>
      <c r="D58" s="27" t="s">
        <v>489</v>
      </c>
      <c r="F58" s="37" t="s">
        <v>558</v>
      </c>
    </row>
    <row r="59" spans="1:8" x14ac:dyDescent="0.35">
      <c r="A59" s="23" t="s">
        <v>488</v>
      </c>
      <c r="B59" s="26">
        <v>0.72</v>
      </c>
      <c r="C59" s="26" t="s">
        <v>530</v>
      </c>
      <c r="D59" s="27" t="s">
        <v>510</v>
      </c>
      <c r="F59" s="23" t="s">
        <v>556</v>
      </c>
      <c r="G59" s="23" t="s">
        <v>508</v>
      </c>
    </row>
    <row r="60" spans="1:8" x14ac:dyDescent="0.35">
      <c r="A60" s="23" t="s">
        <v>515</v>
      </c>
      <c r="B60" s="26">
        <v>3.3000000000000002E-2</v>
      </c>
      <c r="C60" s="23" t="s">
        <v>535</v>
      </c>
      <c r="D60" s="23" t="s">
        <v>516</v>
      </c>
      <c r="F60" s="23" t="s">
        <v>556</v>
      </c>
    </row>
    <row r="61" spans="1:8" x14ac:dyDescent="0.35">
      <c r="A61" s="23" t="s">
        <v>517</v>
      </c>
      <c r="B61" s="38">
        <v>400000</v>
      </c>
      <c r="C61" s="23" t="s">
        <v>555</v>
      </c>
      <c r="D61" s="23" t="s">
        <v>518</v>
      </c>
      <c r="F61" s="23" t="s">
        <v>519</v>
      </c>
    </row>
    <row r="62" spans="1:8" x14ac:dyDescent="0.35">
      <c r="A62" s="23" t="s">
        <v>526</v>
      </c>
      <c r="B62" s="36">
        <v>1.9000000000000001E-5</v>
      </c>
      <c r="C62" s="23" t="s">
        <v>535</v>
      </c>
      <c r="G62" s="26">
        <v>0.6</v>
      </c>
      <c r="H62" s="23" t="s">
        <v>335</v>
      </c>
    </row>
    <row r="63" spans="1:8" x14ac:dyDescent="0.35">
      <c r="A63" s="23" t="s">
        <v>337</v>
      </c>
      <c r="B63" s="26">
        <v>0.4</v>
      </c>
    </row>
    <row r="64" spans="1:8" x14ac:dyDescent="0.35">
      <c r="A64" s="23" t="s">
        <v>340</v>
      </c>
      <c r="B64" s="26">
        <v>0.6</v>
      </c>
    </row>
    <row r="65" spans="1:6" x14ac:dyDescent="0.35">
      <c r="A65" s="23" t="s">
        <v>550</v>
      </c>
      <c r="B65" s="23">
        <v>0.26700000000000002</v>
      </c>
      <c r="C65" s="23" t="s">
        <v>540</v>
      </c>
      <c r="D65" s="23" t="s">
        <v>541</v>
      </c>
    </row>
    <row r="66" spans="1:6" x14ac:dyDescent="0.35">
      <c r="A66" s="23" t="s">
        <v>551</v>
      </c>
      <c r="B66" s="23">
        <v>0.375</v>
      </c>
      <c r="C66" s="23" t="s">
        <v>542</v>
      </c>
      <c r="D66" s="23" t="s">
        <v>543</v>
      </c>
    </row>
    <row r="67" spans="1:6" x14ac:dyDescent="0.35">
      <c r="A67" s="23" t="s">
        <v>552</v>
      </c>
      <c r="B67" s="23">
        <v>0.70699999999999996</v>
      </c>
      <c r="C67" s="23" t="s">
        <v>544</v>
      </c>
      <c r="D67" s="23" t="s">
        <v>545</v>
      </c>
    </row>
    <row r="68" spans="1:6" x14ac:dyDescent="0.35">
      <c r="A68" s="23" t="s">
        <v>553</v>
      </c>
      <c r="B68" s="23">
        <v>0.28399999999999997</v>
      </c>
      <c r="C68" s="23" t="s">
        <v>546</v>
      </c>
      <c r="D68" s="23" t="s">
        <v>547</v>
      </c>
    </row>
    <row r="69" spans="1:6" x14ac:dyDescent="0.35">
      <c r="A69" s="23" t="s">
        <v>554</v>
      </c>
      <c r="B69" s="23">
        <v>0.53500000000000003</v>
      </c>
      <c r="C69" s="23" t="s">
        <v>548</v>
      </c>
      <c r="D69" s="23" t="s">
        <v>549</v>
      </c>
    </row>
    <row r="70" spans="1:6" x14ac:dyDescent="0.35">
      <c r="A70" s="23" t="s">
        <v>561</v>
      </c>
      <c r="B70" s="23">
        <v>1.1200000000000001</v>
      </c>
      <c r="C70" s="23" t="s">
        <v>563</v>
      </c>
      <c r="D70" t="s">
        <v>562</v>
      </c>
      <c r="F70" t="s">
        <v>564</v>
      </c>
    </row>
    <row r="71" spans="1:6" x14ac:dyDescent="0.35">
      <c r="A71" s="23" t="s">
        <v>565</v>
      </c>
      <c r="B71" s="23">
        <v>440</v>
      </c>
      <c r="C71" s="23" t="s">
        <v>566</v>
      </c>
      <c r="D71" s="23" t="s">
        <v>567</v>
      </c>
    </row>
    <row r="72" spans="1:6" x14ac:dyDescent="0.35">
      <c r="A72" s="26" t="s">
        <v>511</v>
      </c>
      <c r="B72" s="26">
        <v>0.44</v>
      </c>
      <c r="C72" s="26" t="s">
        <v>512</v>
      </c>
      <c r="D72" s="27" t="s">
        <v>513</v>
      </c>
      <c r="E72" s="26"/>
      <c r="F72" s="26" t="s">
        <v>514</v>
      </c>
    </row>
    <row r="73" spans="1:6" x14ac:dyDescent="0.35">
      <c r="A73" s="23" t="s">
        <v>568</v>
      </c>
      <c r="B73" s="36">
        <v>1.0049999999999999</v>
      </c>
      <c r="C73" s="23" t="s">
        <v>570</v>
      </c>
    </row>
    <row r="74" spans="1:6" x14ac:dyDescent="0.35">
      <c r="A74" s="23" t="s">
        <v>569</v>
      </c>
    </row>
    <row r="75" spans="1:6" x14ac:dyDescent="0.35">
      <c r="A75" s="23" t="s">
        <v>645</v>
      </c>
      <c r="B75" s="36">
        <v>600</v>
      </c>
      <c r="C75" s="23" t="s">
        <v>646</v>
      </c>
    </row>
    <row r="76" spans="1:6" x14ac:dyDescent="0.35">
      <c r="A76" s="23" t="s">
        <v>647</v>
      </c>
      <c r="B76" s="23">
        <v>1.2929999999999999</v>
      </c>
      <c r="C76" s="23" t="s">
        <v>646</v>
      </c>
    </row>
  </sheetData>
  <pageMargins left="0.7" right="0.7" top="0.75" bottom="0.75" header="0.3" footer="0.3"/>
  <pageSetup paperSize="9" orientation="portrait" verticalDpi="597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580C-396B-4BB3-AD93-6F2493BB33D0}">
  <dimension ref="A1:N18"/>
  <sheetViews>
    <sheetView workbookViewId="0">
      <selection activeCell="G6" sqref="G6"/>
    </sheetView>
  </sheetViews>
  <sheetFormatPr baseColWidth="10" defaultRowHeight="14.5" x14ac:dyDescent="0.35"/>
  <cols>
    <col min="1" max="1" width="11" customWidth="1"/>
    <col min="2" max="2" width="13.54296875" customWidth="1"/>
    <col min="5" max="5" width="20.453125" customWidth="1"/>
    <col min="6" max="6" width="13.1796875" customWidth="1"/>
  </cols>
  <sheetData>
    <row r="1" spans="1:14" x14ac:dyDescent="0.35">
      <c r="A1" s="2"/>
      <c r="B1" s="2" t="s">
        <v>401</v>
      </c>
      <c r="C1" s="2" t="s">
        <v>399</v>
      </c>
      <c r="D1" s="2" t="s">
        <v>411</v>
      </c>
      <c r="E1" s="2" t="s">
        <v>644</v>
      </c>
      <c r="J1" t="s">
        <v>460</v>
      </c>
    </row>
    <row r="2" spans="1:14" x14ac:dyDescent="0.35">
      <c r="A2" s="2" t="s">
        <v>461</v>
      </c>
      <c r="B2" s="2">
        <f>(D10*3.6)</f>
        <v>24</v>
      </c>
      <c r="C2" s="2">
        <f>(1.01*1*4)+(1.01*1.01)</f>
        <v>5.0601000000000003</v>
      </c>
      <c r="D2">
        <v>0</v>
      </c>
      <c r="E2">
        <f>1.01*1.01*1</f>
        <v>1.0201</v>
      </c>
      <c r="G2" t="s">
        <v>456</v>
      </c>
      <c r="J2" t="s">
        <v>458</v>
      </c>
      <c r="K2">
        <v>0.12</v>
      </c>
      <c r="N2" s="31" t="s">
        <v>448</v>
      </c>
    </row>
    <row r="3" spans="1:14" x14ac:dyDescent="0.35">
      <c r="A3" s="2" t="s">
        <v>462</v>
      </c>
      <c r="B3" s="2">
        <f>D11*3.6</f>
        <v>40.000000000000007</v>
      </c>
      <c r="C3" s="2">
        <f>(1.01*1*4)+(1.01*1.01)</f>
        <v>5.0601000000000003</v>
      </c>
      <c r="E3">
        <f>E2</f>
        <v>1.0201</v>
      </c>
    </row>
    <row r="4" spans="1:14" x14ac:dyDescent="0.35">
      <c r="A4" s="2" t="s">
        <v>394</v>
      </c>
      <c r="B4" s="2">
        <f>D12*3.6</f>
        <v>24</v>
      </c>
      <c r="C4">
        <f>(1.5*0.8*3)+(1.5*1)</f>
        <v>5.1000000000000005</v>
      </c>
      <c r="D4">
        <v>10</v>
      </c>
      <c r="E4">
        <f>1.5*1*0.8</f>
        <v>1.2000000000000002</v>
      </c>
      <c r="J4" t="s">
        <v>459</v>
      </c>
      <c r="K4">
        <v>0.2</v>
      </c>
    </row>
    <row r="5" spans="1:14" x14ac:dyDescent="0.35">
      <c r="A5" s="2" t="s">
        <v>395</v>
      </c>
      <c r="B5" s="2">
        <v>10</v>
      </c>
      <c r="C5" s="2">
        <v>15</v>
      </c>
      <c r="D5">
        <v>20</v>
      </c>
    </row>
    <row r="6" spans="1:14" x14ac:dyDescent="0.35">
      <c r="A6" s="2" t="s">
        <v>396</v>
      </c>
      <c r="B6" s="2" t="s">
        <v>457</v>
      </c>
      <c r="C6" s="2" t="s">
        <v>337</v>
      </c>
      <c r="D6" s="2" t="s">
        <v>413</v>
      </c>
      <c r="E6">
        <f>0.066</f>
        <v>6.6000000000000003E-2</v>
      </c>
    </row>
    <row r="7" spans="1:14" x14ac:dyDescent="0.35">
      <c r="A7" s="2" t="s">
        <v>397</v>
      </c>
      <c r="B7" s="2" t="s">
        <v>398</v>
      </c>
      <c r="C7" s="2" t="s">
        <v>400</v>
      </c>
      <c r="D7" s="2" t="s">
        <v>412</v>
      </c>
    </row>
    <row r="8" spans="1:14" x14ac:dyDescent="0.35">
      <c r="A8" s="2"/>
      <c r="B8" s="2"/>
      <c r="C8" s="2"/>
    </row>
    <row r="9" spans="1:14" x14ac:dyDescent="0.35">
      <c r="A9" s="2"/>
      <c r="B9" s="2" t="s">
        <v>452</v>
      </c>
      <c r="C9" s="2" t="s">
        <v>449</v>
      </c>
      <c r="D9" t="s">
        <v>472</v>
      </c>
      <c r="E9" s="2" t="s">
        <v>474</v>
      </c>
      <c r="F9" s="2" t="s">
        <v>473</v>
      </c>
    </row>
    <row r="10" spans="1:14" ht="24.5" x14ac:dyDescent="0.35">
      <c r="A10" s="2" t="s">
        <v>454</v>
      </c>
      <c r="B10" s="30" t="s">
        <v>453</v>
      </c>
      <c r="C10" s="2">
        <f>(1.01*1*4)+(1.01*1.01)</f>
        <v>5.0601000000000003</v>
      </c>
      <c r="D10">
        <f>(1/(0.018/0.12))</f>
        <v>6.666666666666667</v>
      </c>
      <c r="F10" t="s">
        <v>450</v>
      </c>
      <c r="G10" s="31" t="s">
        <v>451</v>
      </c>
    </row>
    <row r="11" spans="1:14" ht="24.5" x14ac:dyDescent="0.35">
      <c r="A11" s="2" t="s">
        <v>455</v>
      </c>
      <c r="B11" s="30" t="s">
        <v>453</v>
      </c>
      <c r="C11" s="2">
        <f>(1.01*1*4)+(1.01*1.01)</f>
        <v>5.0601000000000003</v>
      </c>
      <c r="D11">
        <f>1/(0.018/0.2)</f>
        <v>11.111111111111112</v>
      </c>
    </row>
    <row r="12" spans="1:14" ht="24.5" x14ac:dyDescent="0.35">
      <c r="A12" s="2" t="s">
        <v>394</v>
      </c>
      <c r="B12" s="30" t="s">
        <v>465</v>
      </c>
      <c r="C12">
        <f>(1.5*0.8*3)+(1.5*1)</f>
        <v>5.1000000000000005</v>
      </c>
      <c r="D12">
        <f>(1/(0.018/0.12))</f>
        <v>6.666666666666667</v>
      </c>
      <c r="F12" t="s">
        <v>463</v>
      </c>
      <c r="G12" s="31" t="s">
        <v>464</v>
      </c>
    </row>
    <row r="13" spans="1:14" x14ac:dyDescent="0.35">
      <c r="A13" s="2" t="s">
        <v>579</v>
      </c>
      <c r="B13" s="30" t="s">
        <v>580</v>
      </c>
      <c r="G13" s="31"/>
    </row>
    <row r="14" spans="1:14" x14ac:dyDescent="0.35">
      <c r="A14" s="2" t="s">
        <v>466</v>
      </c>
    </row>
    <row r="15" spans="1:14" x14ac:dyDescent="0.35">
      <c r="A15" s="2" t="s">
        <v>475</v>
      </c>
    </row>
    <row r="16" spans="1:14" x14ac:dyDescent="0.35">
      <c r="A16" s="2" t="s">
        <v>477</v>
      </c>
    </row>
    <row r="17" spans="1:7" x14ac:dyDescent="0.35">
      <c r="A17" s="2" t="s">
        <v>478</v>
      </c>
      <c r="G17" t="s">
        <v>436</v>
      </c>
    </row>
    <row r="18" spans="1:7" x14ac:dyDescent="0.35">
      <c r="A18" s="2" t="s">
        <v>479</v>
      </c>
      <c r="G18" t="s">
        <v>337</v>
      </c>
    </row>
  </sheetData>
  <hyperlinks>
    <hyperlink ref="G10" r:id="rId1" xr:uid="{1CEABAA3-6617-4EB3-9F2D-C93F4943CEA5}"/>
    <hyperlink ref="N2" r:id="rId2" xr:uid="{6C69F668-A99C-45F7-9F36-6842FD76DCAE}"/>
    <hyperlink ref="G12" r:id="rId3" xr:uid="{B5F5207D-3EAC-4BC1-BB01-79EFB36DD9C3}"/>
  </hyperlinks>
  <pageMargins left="0.7" right="0.7" top="0.75" bottom="0.75" header="0.3" footer="0.3"/>
  <pageSetup paperSize="9" orientation="portrait" verticalDpi="597" r:id="rId4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1BC1-8CF2-459B-8D3E-50E94F1A0A7A}">
  <dimension ref="A1:C4"/>
  <sheetViews>
    <sheetView workbookViewId="0">
      <selection activeCell="C3" sqref="C3"/>
    </sheetView>
  </sheetViews>
  <sheetFormatPr baseColWidth="10" defaultRowHeight="14.5" x14ac:dyDescent="0.35"/>
  <sheetData>
    <row r="1" spans="1:3" x14ac:dyDescent="0.35">
      <c r="B1" t="s">
        <v>411</v>
      </c>
    </row>
    <row r="2" spans="1:3" x14ac:dyDescent="0.35">
      <c r="A2" t="s">
        <v>571</v>
      </c>
      <c r="B2">
        <f>0.0000015*3600*('Composition (mass)'!C97-aer!D97)</f>
        <v>3.2400000000000003E-3</v>
      </c>
      <c r="C2" t="s">
        <v>574</v>
      </c>
    </row>
    <row r="3" spans="1:3" x14ac:dyDescent="0.35">
      <c r="A3" t="s">
        <v>572</v>
      </c>
      <c r="B3">
        <f>0.0006*1.2*60*'Composition (mass)'!C97</f>
        <v>2.5919999999999995E-2</v>
      </c>
      <c r="C3" t="s">
        <v>575</v>
      </c>
    </row>
    <row r="4" spans="1:3" x14ac:dyDescent="0.35">
      <c r="B4" t="s">
        <v>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31B1-DB9B-40DE-AC61-5ECF54032BDB}">
  <dimension ref="A1:B3"/>
  <sheetViews>
    <sheetView workbookViewId="0">
      <selection activeCell="J8" sqref="J8"/>
    </sheetView>
  </sheetViews>
  <sheetFormatPr baseColWidth="10" defaultRowHeight="14.5" x14ac:dyDescent="0.35"/>
  <sheetData>
    <row r="1" spans="1:2" x14ac:dyDescent="0.35">
      <c r="B1" t="s">
        <v>393</v>
      </c>
    </row>
    <row r="2" spans="1:2" x14ac:dyDescent="0.35">
      <c r="A2" t="s">
        <v>402</v>
      </c>
      <c r="B2">
        <v>20</v>
      </c>
    </row>
    <row r="3" spans="1:2" x14ac:dyDescent="0.35">
      <c r="A3" t="s">
        <v>237</v>
      </c>
      <c r="B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Composition of waste</vt:lpstr>
      <vt:lpstr>Composition (mass)</vt:lpstr>
      <vt:lpstr>Variables</vt:lpstr>
      <vt:lpstr>stoe</vt:lpstr>
      <vt:lpstr>Xyield</vt:lpstr>
      <vt:lpstr>kinetics</vt:lpstr>
      <vt:lpstr>tech</vt:lpstr>
      <vt:lpstr>aer</vt:lpstr>
      <vt:lpstr>reg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2022-12-20T18:57:20Z</dcterms:created>
  <dcterms:modified xsi:type="dcterms:W3CDTF">2024-05-22T07:56:53Z</dcterms:modified>
</cp:coreProperties>
</file>