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312DDFAE-C7D7-4C55-B998-DF929F3754DC}" xr6:coauthVersionLast="36" xr6:coauthVersionMax="36" xr10:uidLastSave="{00000000-0000-0000-0000-000000000000}"/>
  <bookViews>
    <workbookView xWindow="0" yWindow="0" windowWidth="19200" windowHeight="6930" firstSheet="1" activeTab="1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  <sheet name="Feuil1" sheetId="11" r:id="rId10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I2" i="11"/>
  <c r="E6" i="11"/>
  <c r="F6" i="11" s="1"/>
  <c r="D6" i="11"/>
  <c r="E5" i="11"/>
  <c r="F5" i="11" s="1"/>
  <c r="D5" i="11"/>
  <c r="E4" i="11"/>
  <c r="F4" i="11" s="1"/>
  <c r="E3" i="11"/>
  <c r="D4" i="11"/>
  <c r="D3" i="11"/>
  <c r="F3" i="11"/>
  <c r="R3" i="1" l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P8" i="1"/>
  <c r="Q8" i="1"/>
  <c r="T3" i="1"/>
  <c r="C96" i="6" l="1"/>
  <c r="C95" i="6" l="1"/>
  <c r="C71" i="6"/>
  <c r="C8" i="6"/>
  <c r="C14" i="6"/>
  <c r="C80" i="6"/>
  <c r="C84" i="6"/>
  <c r="C77" i="6"/>
  <c r="C83" i="6"/>
  <c r="C81" i="6"/>
  <c r="C2" i="6"/>
  <c r="C5" i="6"/>
  <c r="C4" i="6"/>
  <c r="E96" i="6" l="1"/>
  <c r="BR96" i="6" l="1"/>
  <c r="J96" i="6"/>
  <c r="BP96" i="6"/>
  <c r="G96" i="6"/>
  <c r="BL96" i="6"/>
  <c r="BK96" i="6"/>
  <c r="T96" i="6"/>
  <c r="R96" i="6"/>
  <c r="BO96" i="6"/>
  <c r="F96" i="6"/>
  <c r="BN96" i="6"/>
  <c r="D96" i="6"/>
  <c r="R97" i="4"/>
  <c r="F97" i="4"/>
  <c r="C98" i="6"/>
  <c r="L18" i="1" l="1"/>
  <c r="D10" i="3" l="1"/>
  <c r="B2" i="3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U5" i="1" l="1"/>
  <c r="X5" i="1"/>
  <c r="W5" i="1"/>
  <c r="X4" i="1"/>
  <c r="W4" i="1"/>
  <c r="X3" i="1"/>
  <c r="W3" i="1"/>
  <c r="T5" i="1"/>
  <c r="U4" i="1"/>
  <c r="U3" i="1"/>
  <c r="V4" i="1"/>
  <c r="V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V6" i="1" l="1"/>
  <c r="V5" i="1"/>
  <c r="T4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V7" i="1" s="1"/>
  <c r="L4" i="1"/>
  <c r="T7" i="1" s="1"/>
  <c r="L5" i="1"/>
  <c r="U7" i="1" s="1"/>
  <c r="L7" i="1"/>
  <c r="X7" i="1" s="1"/>
  <c r="L2" i="1"/>
  <c r="W7" i="1" s="1"/>
  <c r="B11" i="7" l="1"/>
  <c r="B10" i="7"/>
  <c r="B6" i="7"/>
  <c r="B5" i="7"/>
  <c r="B9" i="7"/>
  <c r="B8" i="7"/>
  <c r="B4" i="7"/>
  <c r="E3" i="10" s="1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L2" i="10" s="1"/>
  <c r="E2" i="10"/>
  <c r="F2" i="10"/>
  <c r="F3" i="10"/>
  <c r="C3" i="10"/>
  <c r="L3" i="10" s="1"/>
  <c r="D3" i="10"/>
  <c r="C17" i="10"/>
  <c r="D17" i="10"/>
  <c r="D22" i="10" s="1"/>
  <c r="F17" i="10"/>
  <c r="F22" i="10" s="1"/>
  <c r="E17" i="10"/>
  <c r="E22" i="10" s="1"/>
  <c r="C18" i="10"/>
  <c r="F18" i="10"/>
  <c r="F23" i="10" s="1"/>
  <c r="E18" i="10"/>
  <c r="E23" i="10" s="1"/>
  <c r="F4" i="10"/>
  <c r="E4" i="10"/>
  <c r="C4" i="10"/>
  <c r="L4" i="10" s="1"/>
  <c r="F11" i="10"/>
  <c r="F15" i="10" s="1"/>
  <c r="E11" i="10"/>
  <c r="E15" i="10" s="1"/>
  <c r="C11" i="10"/>
  <c r="E19" i="10"/>
  <c r="E24" i="10" s="1"/>
  <c r="C19" i="10"/>
  <c r="F19" i="10"/>
  <c r="F24" i="10" s="1"/>
  <c r="F16" i="10"/>
  <c r="F21" i="10" s="1"/>
  <c r="C16" i="10"/>
  <c r="E16" i="10"/>
  <c r="E21" i="10" s="1"/>
  <c r="C20" i="10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N14" i="1" l="1"/>
  <c r="N23" i="1"/>
  <c r="N16" i="1"/>
  <c r="N9" i="1"/>
  <c r="N25" i="1"/>
  <c r="N12" i="1"/>
  <c r="R12" i="1" s="1"/>
  <c r="B54" i="1" s="1"/>
  <c r="B55" i="1" s="1"/>
  <c r="N13" i="1"/>
  <c r="N15" i="1"/>
  <c r="N24" i="1"/>
  <c r="N17" i="1"/>
  <c r="N10" i="1"/>
  <c r="N18" i="1"/>
  <c r="N11" i="1"/>
  <c r="N19" i="1"/>
  <c r="N20" i="1"/>
  <c r="N21" i="1"/>
  <c r="C25" i="10"/>
  <c r="L25" i="10" s="1"/>
  <c r="L20" i="10"/>
  <c r="C21" i="10"/>
  <c r="L21" i="10" s="1"/>
  <c r="L16" i="10"/>
  <c r="C15" i="10"/>
  <c r="L15" i="10" s="1"/>
  <c r="L11" i="10"/>
  <c r="C22" i="10"/>
  <c r="L22" i="10" s="1"/>
  <c r="L17" i="10"/>
  <c r="C24" i="10"/>
  <c r="L24" i="10" s="1"/>
  <c r="L19" i="10"/>
  <c r="C23" i="10"/>
  <c r="L23" i="10" s="1"/>
  <c r="L18" i="10"/>
  <c r="BO98" i="6"/>
  <c r="B3" i="1" s="1"/>
  <c r="N3" i="1" s="1"/>
  <c r="Q3" i="1" s="1"/>
  <c r="G98" i="6"/>
  <c r="B8" i="1" s="1"/>
  <c r="BP98" i="6"/>
  <c r="B4" i="1" s="1"/>
  <c r="N4" i="1" s="1"/>
  <c r="R98" i="6"/>
  <c r="T98" i="6"/>
  <c r="J98" i="6"/>
  <c r="F98" i="6"/>
  <c r="BK98" i="6"/>
  <c r="B6" i="1" s="1"/>
  <c r="N6" i="1" s="1"/>
  <c r="BN98" i="6"/>
  <c r="B7" i="1" s="1"/>
  <c r="N7" i="1" s="1"/>
  <c r="BL98" i="6"/>
  <c r="B5" i="1" s="1"/>
  <c r="N5" i="1" s="1"/>
  <c r="BR98" i="6"/>
  <c r="B2" i="1" s="1"/>
  <c r="B22" i="1"/>
  <c r="N22" i="1" s="1"/>
  <c r="D13" i="10"/>
  <c r="D6" i="10"/>
  <c r="D9" i="10"/>
  <c r="E13" i="10"/>
  <c r="E6" i="10"/>
  <c r="E9" i="10"/>
  <c r="F14" i="10"/>
  <c r="F7" i="10"/>
  <c r="F10" i="10"/>
  <c r="C13" i="10"/>
  <c r="L13" i="10" s="1"/>
  <c r="C6" i="10"/>
  <c r="L6" i="10" s="1"/>
  <c r="C9" i="10"/>
  <c r="L9" i="10" s="1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L14" i="10" s="1"/>
  <c r="C7" i="10"/>
  <c r="L7" i="10" s="1"/>
  <c r="C10" i="10"/>
  <c r="L10" i="10" s="1"/>
  <c r="C8" i="10"/>
  <c r="L8" i="10" s="1"/>
  <c r="C12" i="10"/>
  <c r="L12" i="10" s="1"/>
  <c r="C5" i="10"/>
  <c r="L5" i="10" s="1"/>
  <c r="O4" i="1" l="1"/>
  <c r="Q4" i="1"/>
  <c r="P4" i="1"/>
  <c r="O5" i="1"/>
  <c r="P5" i="1"/>
  <c r="Q5" i="1"/>
  <c r="Q19" i="1"/>
  <c r="O19" i="1"/>
  <c r="P19" i="1"/>
  <c r="Q12" i="1"/>
  <c r="O12" i="1"/>
  <c r="P12" i="1"/>
  <c r="O7" i="1"/>
  <c r="Q7" i="1"/>
  <c r="P7" i="1"/>
  <c r="O11" i="1"/>
  <c r="Q11" i="1"/>
  <c r="P11" i="1"/>
  <c r="O25" i="1"/>
  <c r="P25" i="1"/>
  <c r="Q25" i="1"/>
  <c r="O15" i="1"/>
  <c r="P15" i="1"/>
  <c r="Q15" i="1"/>
  <c r="Q13" i="1"/>
  <c r="O13" i="1"/>
  <c r="P13" i="1"/>
  <c r="O6" i="1"/>
  <c r="P6" i="1"/>
  <c r="Q6" i="1"/>
  <c r="O10" i="1"/>
  <c r="Q10" i="1"/>
  <c r="P10" i="1"/>
  <c r="O16" i="1"/>
  <c r="P16" i="1"/>
  <c r="Q16" i="1"/>
  <c r="Q21" i="1"/>
  <c r="P21" i="1"/>
  <c r="O21" i="1"/>
  <c r="Q20" i="1"/>
  <c r="O20" i="1"/>
  <c r="P20" i="1"/>
  <c r="O18" i="1"/>
  <c r="Q18" i="1"/>
  <c r="P18" i="1"/>
  <c r="O17" i="1"/>
  <c r="P17" i="1"/>
  <c r="Q17" i="1"/>
  <c r="P23" i="1"/>
  <c r="Q23" i="1"/>
  <c r="O23" i="1"/>
  <c r="P22" i="1"/>
  <c r="Q22" i="1"/>
  <c r="O22" i="1"/>
  <c r="P9" i="1"/>
  <c r="O9" i="1"/>
  <c r="Q9" i="1"/>
  <c r="O24" i="1"/>
  <c r="P24" i="1"/>
  <c r="Q24" i="1"/>
  <c r="P14" i="1"/>
  <c r="Q14" i="1"/>
  <c r="O14" i="1"/>
  <c r="N2" i="1"/>
  <c r="O3" i="1"/>
  <c r="P3" i="1"/>
  <c r="B104" i="6"/>
  <c r="O2" i="1" l="1"/>
  <c r="Q2" i="1"/>
  <c r="B51" i="1" s="1"/>
  <c r="B52" i="1" s="1"/>
  <c r="B26" i="1"/>
  <c r="N26" i="1" s="1"/>
  <c r="B48" i="1"/>
  <c r="B106" i="6"/>
  <c r="B107" i="6" s="1"/>
  <c r="O26" i="1" l="1"/>
  <c r="P26" i="1"/>
  <c r="Q26" i="1"/>
  <c r="B46" i="1"/>
  <c r="G39" i="1"/>
  <c r="D46" i="1"/>
  <c r="B47" i="1" l="1"/>
  <c r="D55" i="1" s="1"/>
  <c r="B49" i="1" l="1"/>
</calcChain>
</file>

<file path=xl/sharedStrings.xml><?xml version="1.0" encoding="utf-8"?>
<sst xmlns="http://schemas.openxmlformats.org/spreadsheetml/2006/main" count="1188" uniqueCount="678">
  <si>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</si>
  <si>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</si>
  <si>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</si>
  <si>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</si>
  <si>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</si>
  <si>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</si>
  <si>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</si>
  <si>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</si>
  <si>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</si>
  <si>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</si>
  <si>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</si>
  <si>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</si>
  <si>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</si>
  <si>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</si>
  <si>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</si>
  <si>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</si>
  <si>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</si>
  <si>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</si>
  <si>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</si>
  <si>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</si>
  <si>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</si>
  <si>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</si>
  <si>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</si>
  <si>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</si>
  <si>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</si>
  <si>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</si>
  <si>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</si>
  <si>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</si>
  <si>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</si>
  <si>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</si>
  <si>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</si>
  <si>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</si>
  <si>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</si>
  <si>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</si>
  <si>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</si>
  <si>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</si>
  <si>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</si>
  <si>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</si>
  <si>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</si>
  <si>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</si>
  <si>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</si>
  <si>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</si>
  <si>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</si>
  <si>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</si>
  <si>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</si>
  <si>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</si>
  <si>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</si>
  <si>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</si>
  <si>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</si>
  <si>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</si>
  <si>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</si>
  <si>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</si>
  <si>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</si>
  <si>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</si>
  <si>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</si>
  <si>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</si>
  <si>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</si>
  <si>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</si>
  <si>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</si>
  <si>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</si>
  <si>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</si>
  <si>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</si>
  <si>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</si>
  <si>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</si>
  <si>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</si>
  <si>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</si>
  <si>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</si>
  <si>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</si>
  <si>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</si>
  <si>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</si>
  <si>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</si>
  <si>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</si>
  <si>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</si>
  <si>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</si>
  <si>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</si>
  <si>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</si>
  <si>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</si>
  <si>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</si>
  <si>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</si>
  <si>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</si>
  <si>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</si>
  <si>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</si>
  <si>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</si>
  <si>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</si>
  <si>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</si>
  <si>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</si>
  <si>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</si>
  <si>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</si>
  <si>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</si>
  <si>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</si>
  <si>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</si>
  <si>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</si>
  <si>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</si>
  <si>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</si>
  <si>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</si>
  <si>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</si>
  <si>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</si>
  <si>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</si>
  <si>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</si>
  <si>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</si>
  <si>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</si>
  <si>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</si>
  <si>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</si>
  <si>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</si>
  <si>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</si>
  <si>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</si>
  <si>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</si>
  <si>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</si>
  <si>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</si>
  <si>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</si>
  <si>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</si>
  <si>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</si>
  <si>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</si>
  <si>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</si>
  <si>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</si>
  <si>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</si>
  <si>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</si>
  <si>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</si>
  <si>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</si>
  <si>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</si>
  <si>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</si>
  <si>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</si>
  <si>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</si>
  <si>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</si>
  <si>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</si>
  <si>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</si>
  <si>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</si>
  <si>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</si>
  <si>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</si>
  <si>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</si>
  <si>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</si>
  <si>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</si>
  <si>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</si>
  <si>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</si>
  <si>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</si>
  <si>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</si>
  <si>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</si>
  <si>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</si>
  <si>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</si>
  <si>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</si>
  <si>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</si>
  <si>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</si>
  <si>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</si>
  <si>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</si>
  <si>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</si>
  <si>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</si>
  <si>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</si>
  <si>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</si>
  <si>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</si>
  <si>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</si>
  <si>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</si>
  <si>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</si>
  <si>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</si>
  <si>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</si>
  <si>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</si>
  <si>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</si>
  <si>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</si>
  <si>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</si>
  <si>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</si>
  <si>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</si>
  <si>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</si>
  <si>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</si>
  <si>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</si>
  <si>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</si>
  <si>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</si>
  <si>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</si>
  <si>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</si>
  <si>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</si>
  <si>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</si>
  <si>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</si>
  <si>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</si>
  <si>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</si>
  <si>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</si>
  <si>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</si>
  <si>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</si>
  <si>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</si>
  <si>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</si>
  <si>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</si>
  <si>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</si>
  <si>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</si>
  <si>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</si>
  <si>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</si>
  <si>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</si>
  <si>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</si>
  <si>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</si>
  <si>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</si>
  <si>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</si>
  <si>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</si>
  <si>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</si>
  <si>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</si>
  <si>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</si>
  <si>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</si>
  <si>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</si>
  <si>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</si>
  <si>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</si>
  <si>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</si>
  <si>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</si>
  <si>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</si>
  <si>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</si>
  <si>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</si>
  <si>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</si>
  <si>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</si>
  <si>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</si>
  <si>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</si>
  <si>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</si>
  <si>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</si>
  <si>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</si>
  <si>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</si>
  <si>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</si>
  <si>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</si>
  <si>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</si>
  <si>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</si>
  <si>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</si>
  <si>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</si>
  <si>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</si>
  <si>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</si>
  <si>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</si>
  <si>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</si>
  <si>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</si>
  <si>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</si>
  <si>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</si>
  <si>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</si>
  <si>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</si>
  <si>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</si>
  <si>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</si>
  <si>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</si>
  <si>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</si>
  <si>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</si>
  <si>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</si>
  <si>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</si>
  <si>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</si>
  <si>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</si>
  <si>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</si>
  <si>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</si>
  <si>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</si>
  <si>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</si>
  <si>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</si>
  <si>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</si>
  <si>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</si>
  <si>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</si>
  <si>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</si>
  <si>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</si>
  <si>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</si>
  <si>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</si>
  <si>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</si>
  <si>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</si>
  <si>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</si>
  <si>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</si>
  <si>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</si>
  <si>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</si>
  <si>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</si>
  <si>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</si>
  <si>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</si>
  <si>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</si>
  <si>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</si>
  <si>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</si>
  <si>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</si>
  <si>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</si>
  <si>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</si>
  <si>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</si>
  <si>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</si>
  <si>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</si>
  <si>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</si>
  <si>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</si>
  <si>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</si>
  <si>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</si>
  <si>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</si>
  <si>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</si>
  <si>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</si>
  <si>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</si>
  <si>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</si>
  <si>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</si>
  <si>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</si>
  <si>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</si>
  <si>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</si>
  <si>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</si>
  <si>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</si>
  <si>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</si>
  <si>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</si>
  <si>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</si>
  <si>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</si>
  <si>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</si>
  <si>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</si>
  <si>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</si>
  <si>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</si>
  <si>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</si>
  <si>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</si>
  <si>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</si>
  <si>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</si>
  <si>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</si>
  <si>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</si>
  <si>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</si>
  <si>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</si>
  <si>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</si>
  <si>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</si>
  <si>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</si>
  <si>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</si>
  <si>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</si>
  <si>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</si>
  <si>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</si>
  <si>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</si>
  <si>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</si>
  <si>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</si>
  <si>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</si>
  <si>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</si>
  <si>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</si>
  <si>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</si>
  <si>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</si>
  <si>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</si>
  <si>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</si>
  <si>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</si>
  <si>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</si>
  <si>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</si>
  <si>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</si>
  <si>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</si>
  <si>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</si>
  <si>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</si>
  <si>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</si>
  <si>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</si>
  <si>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</si>
  <si>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</si>
  <si>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</si>
  <si>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</si>
  <si>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</si>
  <si>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</si>
  <si>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</si>
  <si>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</si>
  <si>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</si>
  <si>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</si>
  <si>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</si>
  <si>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</si>
  <si>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</si>
  <si>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</si>
  <si>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</si>
  <si>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</si>
  <si>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</si>
  <si>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</si>
  <si>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</si>
  <si>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</si>
  <si>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</si>
  <si>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</si>
  <si>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</si>
  <si>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</si>
  <si>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</si>
  <si>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</si>
  <si>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</si>
  <si>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</si>
  <si>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</si>
  <si>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</si>
  <si>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</si>
  <si>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</si>
  <si>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</si>
  <si>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</si>
  <si>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</si>
  <si>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</si>
  <si>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</si>
  <si>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</si>
  <si>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</si>
  <si>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</si>
  <si>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</si>
  <si>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</si>
  <si>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</si>
  <si>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</si>
  <si>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</si>
  <si>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</si>
  <si>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</si>
  <si>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</si>
  <si>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</si>
  <si>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</si>
  <si>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</si>
  <si>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</si>
  <si>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</si>
  <si>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</si>
  <si>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</si>
  <si>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</si>
  <si>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</si>
  <si>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</si>
  <si>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</si>
  <si>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</si>
  <si>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</si>
  <si>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</si>
  <si>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</si>
  <si>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</si>
  <si>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</si>
  <si>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</si>
  <si>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</si>
  <si>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</si>
  <si>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</si>
  <si>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</si>
  <si>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</si>
  <si>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</si>
  <si>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</si>
  <si>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</si>
  <si>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</si>
  <si>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</si>
  <si>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</si>
  <si>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</si>
  <si>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</si>
  <si>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</si>
  <si>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</si>
  <si>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</si>
  <si>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</si>
  <si>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</si>
  <si>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</si>
  <si>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</si>
  <si>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</si>
  <si>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</si>
  <si>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</si>
  <si>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</si>
  <si>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</si>
  <si>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</si>
  <si>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</si>
  <si>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</si>
  <si>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</si>
  <si>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</si>
  <si>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</si>
  <si>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</si>
  <si>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</si>
  <si>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</si>
  <si>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</si>
  <si>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</si>
  <si>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</si>
  <si>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</si>
  <si>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</si>
  <si>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</si>
  <si>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</si>
  <si>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</si>
  <si>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</si>
  <si>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</si>
  <si>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</si>
  <si>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</si>
  <si>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</si>
  <si>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</si>
  <si>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</si>
  <si>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</si>
  <si>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</si>
  <si>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</si>
  <si>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</si>
  <si>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</si>
  <si>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</si>
  <si>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</si>
  <si>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</si>
  <si>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</si>
  <si>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</si>
  <si>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</si>
  <si>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</si>
  <si>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</si>
  <si>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</si>
  <si>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</si>
  <si>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</si>
  <si>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</si>
  <si>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</si>
  <si>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</si>
  <si>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</si>
  <si>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</si>
  <si>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</si>
  <si>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</si>
  <si>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</si>
  <si>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</si>
  <si>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</si>
  <si>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</si>
  <si>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</si>
  <si>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</si>
  <si>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</si>
  <si>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</si>
  <si>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</si>
  <si>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</si>
  <si>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</si>
  <si>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</si>
  <si>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</si>
  <si>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</si>
  <si>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</si>
  <si>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</si>
  <si>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</si>
  <si>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</si>
  <si>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</si>
  <si>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</si>
  <si>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</si>
  <si>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</si>
  <si>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</si>
  <si>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</si>
  <si>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</si>
  <si>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</si>
  <si>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</si>
  <si>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</si>
  <si>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</si>
  <si>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</si>
  <si>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</si>
  <si>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</si>
  <si>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</si>
  <si>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</si>
  <si>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</si>
  <si>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</si>
  <si>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</si>
  <si>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</si>
  <si>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</si>
  <si>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</si>
  <si>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</si>
  <si>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</si>
  <si>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</si>
  <si>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</si>
  <si>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</si>
  <si>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</si>
  <si>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</si>
  <si>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</si>
  <si>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</si>
  <si>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</si>
  <si>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</si>
  <si>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</si>
  <si>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</si>
  <si>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</si>
  <si>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</si>
  <si>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</si>
  <si>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</si>
  <si>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</si>
  <si>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</si>
  <si>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</si>
  <si>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</si>
  <si>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</si>
  <si>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</si>
  <si>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</si>
  <si>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</si>
  <si>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</si>
  <si>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</si>
  <si>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</si>
  <si>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</si>
  <si>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</si>
  <si>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</si>
  <si>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</si>
  <si>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</si>
  <si>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</si>
  <si>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</si>
  <si>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</si>
  <si>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</si>
  <si>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</si>
  <si>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</si>
  <si>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</si>
  <si>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</si>
  <si>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</si>
  <si>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</si>
  <si>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</si>
  <si>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</si>
  <si>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</si>
  <si>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</si>
  <si>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</si>
  <si>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</si>
  <si>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</si>
  <si>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</si>
  <si>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</si>
  <si>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</si>
  <si>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</si>
  <si>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</si>
  <si>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</si>
  <si>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</si>
  <si>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</si>
  <si>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</si>
  <si>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</si>
  <si>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</si>
  <si>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</si>
  <si>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</si>
  <si>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</si>
  <si>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</si>
  <si>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</si>
  <si>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</si>
  <si>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</si>
  <si>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</si>
  <si>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</si>
  <si>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</si>
  <si>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</si>
  <si>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</si>
  <si>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</si>
  <si>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</si>
  <si>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</si>
  <si>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</si>
  <si>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</si>
  <si>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</si>
  <si>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</si>
  <si>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</si>
  <si>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</si>
  <si>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</si>
  <si>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</si>
  <si>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</si>
  <si>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</si>
  <si>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</si>
  <si>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</si>
  <si>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</si>
  <si>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</si>
  <si>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</si>
  <si>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</si>
  <si>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</si>
  <si>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</si>
  <si>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</si>
  <si>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</si>
  <si>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</si>
  <si>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</si>
  <si>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</si>
  <si>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</si>
  <si>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</si>
  <si>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</si>
  <si>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</si>
  <si>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</si>
  <si>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</si>
  <si>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</si>
  <si>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</si>
  <si>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</si>
  <si>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</si>
  <si>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</si>
  <si>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</si>
  <si>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</si>
  <si>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</si>
  <si>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</si>
  <si>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</si>
  <si>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</si>
  <si>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</si>
  <si>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</si>
  <si>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</si>
  <si>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</si>
  <si>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</si>
  <si>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</si>
  <si>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</si>
  <si>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</si>
  <si>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</si>
  <si>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</si>
  <si>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</si>
  <si>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</si>
  <si>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</si>
  <si>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</si>
  <si>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</si>
  <si>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</si>
  <si>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</si>
  <si>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</si>
  <si>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</si>
  <si>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</si>
  <si>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</si>
  <si>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</si>
  <si>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</si>
  <si>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</si>
  <si>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</si>
  <si>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</si>
  <si>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</si>
  <si>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</si>
  <si>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</si>
  <si>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</si>
  <si>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</si>
  <si>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</si>
  <si>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</si>
  <si>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</si>
  <si>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</si>
  <si>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</si>
  <si>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</si>
  <si>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</si>
  <si>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</si>
  <si>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</si>
  <si>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 (kg/kg)</t>
  </si>
  <si>
    <t>C/N</t>
  </si>
  <si>
    <t>m(H)</t>
  </si>
  <si>
    <t>masse H(g)</t>
  </si>
  <si>
    <t>masse H (kg/kgTM)</t>
  </si>
  <si>
    <t>m(O)</t>
  </si>
  <si>
    <t>masse O (g)</t>
  </si>
  <si>
    <t>masse O(kg/kgTM)</t>
  </si>
  <si>
    <t>gN2O/gNO3</t>
  </si>
  <si>
    <t>rendement de la production de N2O</t>
  </si>
  <si>
    <t>pN2O</t>
  </si>
  <si>
    <t>pN2</t>
  </si>
  <si>
    <t>gN2/gNO3</t>
  </si>
  <si>
    <t>rendement de la production de N2</t>
  </si>
  <si>
    <t>pH2Odenit</t>
  </si>
  <si>
    <t>gH2O/gNO3</t>
  </si>
  <si>
    <t>C(Xi)</t>
  </si>
  <si>
    <t>Xi(C1.48H1.5O0.85N0.12)</t>
  </si>
  <si>
    <t>m(formé)(kg/kgTM)</t>
  </si>
  <si>
    <t>minit(kg/kgTM)</t>
  </si>
  <si>
    <t>m(kg/kginit_element)</t>
  </si>
  <si>
    <t>N(Xi)</t>
  </si>
  <si>
    <t>M(molairedeXi)</t>
  </si>
  <si>
    <t>H(Xi)</t>
  </si>
  <si>
    <t>O(Xi)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</si>
</sst>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84" activePane="bottomLeft" state="frozen"/>
      <selection pane="bottomLeft" activeCell="C89" sqref="C8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651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650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5CBA-ADF9-47F6-911B-0E085DE161C1}">
  <dimension ref="A1:I6"/>
  <sheetViews>
    <sheetView topLeftCell="B1" workbookViewId="0">
      <selection activeCell="H7" sqref="H7"/>
    </sheetView>
  </sheetViews>
  <sheetFormatPr baseColWidth="10" defaultRowHeight="14.5" x14ac:dyDescent="0.35"/>
  <cols>
    <col min="1" max="1" width="21.1796875" customWidth="1"/>
    <col min="2" max="2" width="13.54296875" bestFit="1" customWidth="1"/>
    <col min="3" max="3" width="4.81640625" bestFit="1" customWidth="1"/>
    <col min="4" max="4" width="13.7265625" bestFit="1" customWidth="1"/>
    <col min="5" max="5" width="17.36328125" bestFit="1" customWidth="1"/>
  </cols>
  <sheetData>
    <row r="1" spans="1:9" x14ac:dyDescent="0.35">
      <c r="B1" t="s">
        <v>672</v>
      </c>
      <c r="C1" t="s">
        <v>437</v>
      </c>
      <c r="D1" t="s">
        <v>675</v>
      </c>
      <c r="E1" t="s">
        <v>671</v>
      </c>
      <c r="F1" t="s">
        <v>673</v>
      </c>
    </row>
    <row r="2" spans="1:9" x14ac:dyDescent="0.35">
      <c r="A2" t="s">
        <v>670</v>
      </c>
      <c r="D2">
        <v>3.4540000000000001E-2</v>
      </c>
      <c r="E2">
        <f>0.0379-0.01274</f>
        <v>2.5160000000000002E-2</v>
      </c>
      <c r="I2">
        <f>(C3*0.012)+(C4*0.014)+(C5*0.001)+(C6*0.016)</f>
        <v>3.4540000000000001E-2</v>
      </c>
    </row>
    <row r="3" spans="1:9" x14ac:dyDescent="0.35">
      <c r="A3" t="s">
        <v>669</v>
      </c>
      <c r="B3">
        <v>0.16270000000000001</v>
      </c>
      <c r="C3">
        <v>1.48</v>
      </c>
      <c r="D3">
        <f>C3*0.012</f>
        <v>1.7760000000000001E-2</v>
      </c>
      <c r="E3">
        <f>(E$2*D3)/D$2</f>
        <v>1.2936931094383325E-2</v>
      </c>
      <c r="F3">
        <f>E3/B3</f>
        <v>7.9514020248207279E-2</v>
      </c>
    </row>
    <row r="4" spans="1:9" x14ac:dyDescent="0.35">
      <c r="A4" t="s">
        <v>674</v>
      </c>
      <c r="B4">
        <v>6.1999999999999998E-3</v>
      </c>
      <c r="C4">
        <v>0.12</v>
      </c>
      <c r="D4">
        <f>C4*0.014</f>
        <v>1.6800000000000001E-3</v>
      </c>
      <c r="E4">
        <f>(E$2*D4)/D$2</f>
        <v>1.2237637521713956E-3</v>
      </c>
      <c r="F4">
        <f>E4/B4</f>
        <v>0.19738125035022511</v>
      </c>
    </row>
    <row r="5" spans="1:9" x14ac:dyDescent="0.35">
      <c r="A5" t="s">
        <v>676</v>
      </c>
      <c r="B5">
        <v>9.6000000000000002E-2</v>
      </c>
      <c r="C5">
        <v>1.5</v>
      </c>
      <c r="D5">
        <f>C5*0.001</f>
        <v>1.5E-3</v>
      </c>
      <c r="E5">
        <f>(E$2*D5)/D$2</f>
        <v>1.0926462072958889E-3</v>
      </c>
      <c r="F5">
        <f>E5/B5</f>
        <v>1.1381731325998842E-2</v>
      </c>
    </row>
    <row r="6" spans="1:9" x14ac:dyDescent="0.35">
      <c r="A6" t="s">
        <v>677</v>
      </c>
      <c r="B6">
        <v>22.1005</v>
      </c>
      <c r="C6">
        <v>0.85</v>
      </c>
      <c r="D6">
        <f>C6*0.016</f>
        <v>1.3599999999999999E-2</v>
      </c>
      <c r="E6">
        <f>(E$2*D6)/D$2</f>
        <v>9.906658946149392E-3</v>
      </c>
      <c r="F6">
        <f>E6/B6</f>
        <v>4.4825496917035322E-4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abSelected="1" topLeftCell="A106" zoomScale="85" zoomScaleNormal="106" workbookViewId="0">
      <selection activeCell="C98" sqref="C98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bestFit="1" customWidth="1"/>
    <col min="9" max="9" width="15.90625" bestFit="1" customWidth="1"/>
    <col min="10" max="10" width="7.54296875" bestFit="1" customWidth="1"/>
    <col min="11" max="11" width="11.81640625" customWidth="1"/>
    <col min="12" max="12" width="10.36328125" customWidth="1"/>
    <col min="13" max="13" width="7.36328125" customWidth="1"/>
    <col min="14" max="14" width="6.90625" customWidth="1"/>
    <col min="15" max="15" width="6.26953125" bestFit="1" customWidth="1"/>
    <col min="16" max="17" width="7.453125" bestFit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3.2</f>
        <v>3.2</v>
      </c>
      <c r="D2" s="18">
        <f>'Composition of waste'!$D2*$C2/100</f>
        <v>0.11408000000000001</v>
      </c>
      <c r="E2" s="18">
        <f>'Composition of waste'!$E2*$C2/100</f>
        <v>3.0860799999999999</v>
      </c>
      <c r="F2" s="18">
        <f>'Composition of waste'!$F2*$E2/100</f>
        <v>3.0458047508867314</v>
      </c>
      <c r="G2" s="18">
        <f>'Composition of waste'!$G2*$E2/100</f>
        <v>4.0275249113267977E-2</v>
      </c>
      <c r="H2" s="18">
        <v>20.70736708968014</v>
      </c>
      <c r="I2" s="18">
        <v>558.22694799590352</v>
      </c>
      <c r="J2" s="18">
        <f>'Composition of waste'!$J2*'Composition (mass)'!$E2/100</f>
        <v>1.5720485858794522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3.1854265678767653E-2</v>
      </c>
      <c r="S2" s="18">
        <v>0.27776539586854471</v>
      </c>
      <c r="T2" s="18">
        <f>'Composition of waste'!$T2*'Composition (mass)'!$E2/100</f>
        <v>1.2142078097110001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7.2280896130346231E-4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0.18136791068016708</v>
      </c>
      <c r="BP2" s="18">
        <f>'Composition of waste'!$BP2*$E2/100</f>
        <v>0.70429161313115696</v>
      </c>
      <c r="BQ2" s="18">
        <v>0</v>
      </c>
      <c r="BR2" s="18">
        <f>'Composition of waste'!$BR2*$E2/100</f>
        <v>2.1598281955742844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0.4/2</f>
        <v>0.2</v>
      </c>
      <c r="D4" s="18">
        <f>'Composition of waste'!$D4*$C4/100</f>
        <v>5.7466666666666673E-2</v>
      </c>
      <c r="E4" s="18">
        <f>'Composition of waste'!$E4*$C4/100</f>
        <v>0.14253333333333335</v>
      </c>
      <c r="F4" s="18">
        <f>'Composition of waste'!$F4*$E4/100</f>
        <v>0.14098374316252832</v>
      </c>
      <c r="G4" s="18">
        <f>'Composition of waste'!$G4*$E4/100</f>
        <v>1.5495901708050472E-3</v>
      </c>
      <c r="H4" s="18">
        <v>16.627433191921021</v>
      </c>
      <c r="I4" s="18">
        <v>439.60033976579871</v>
      </c>
      <c r="J4" s="18">
        <f>'Composition of waste'!$J4*'Composition (mass)'!$E4/100</f>
        <v>6.3432937761521119E-2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3.616907654808038E-3</v>
      </c>
      <c r="S4" s="18">
        <v>4.6191977462024525E-3</v>
      </c>
      <c r="T4" s="18">
        <f>'Composition of waste'!$T4*'Composition (mass)'!$E4/100</f>
        <v>6.4746516518422212E-2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7.1146693179977935E-5</v>
      </c>
      <c r="BO4" s="18">
        <f>'Composition of waste'!$BO4*$E4/100</f>
        <v>2.0606425485006956E-2</v>
      </c>
      <c r="BP4" s="18">
        <f>'Composition of waste'!$BP4*$E4/100</f>
        <v>3.0470291649288966E-3</v>
      </c>
      <c r="BQ4" s="18">
        <v>0</v>
      </c>
      <c r="BR4" s="18">
        <f>'Composition of waste'!$BR4*$E4/100</f>
        <v>0.11733028851259242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0.4/2</f>
        <v>0.2</v>
      </c>
      <c r="D5" s="18">
        <f>'Composition of waste'!$D5*$C5/100</f>
        <v>2.1285714285714286E-2</v>
      </c>
      <c r="E5" s="18">
        <f>'Composition of waste'!$E5*$C5/100</f>
        <v>0.17871428571428574</v>
      </c>
      <c r="F5" s="18">
        <f>'Composition of waste'!$F5*$E5/100</f>
        <v>0.17484920269604382</v>
      </c>
      <c r="G5" s="18">
        <f>'Composition of waste'!$G5*$E5/100</f>
        <v>3.8650830182419254E-3</v>
      </c>
      <c r="H5" s="18">
        <v>16.561772537662883</v>
      </c>
      <c r="I5" s="18">
        <v>451.67256662757444</v>
      </c>
      <c r="J5" s="18">
        <f>'Composition of waste'!$J5*'Composition (mass)'!$E5/100</f>
        <v>7.8581259487134847E-2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2.4343324102718672E-3</v>
      </c>
      <c r="S5" s="18">
        <v>2.0752432907077283E-3</v>
      </c>
      <c r="T5" s="18">
        <f>'Composition of waste'!$T5*'Composition (mass)'!$E5/100</f>
        <v>8.2053375623032707E-2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4.9018427800129262E-4</v>
      </c>
      <c r="BL5" s="18">
        <f>'Composition of waste'!$BL5*$E5/100</f>
        <v>0</v>
      </c>
      <c r="BM5" s="18">
        <v>0</v>
      </c>
      <c r="BN5" s="18">
        <f>'Composition of waste'!$BN5*$E5/100</f>
        <v>3.0099458237499974E-4</v>
      </c>
      <c r="BO5" s="18">
        <f>'Composition of waste'!$BO5*$E5/100</f>
        <v>1.4591156346998941E-2</v>
      </c>
      <c r="BP5" s="18">
        <f>'Composition of waste'!$BP5*$E5/100</f>
        <v>8.4019602155990022E-3</v>
      </c>
      <c r="BQ5" s="18">
        <v>0</v>
      </c>
      <c r="BR5" s="18">
        <f>'Composition of waste'!$BR5*$E5/100</f>
        <v>0.15191303124219382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6.3</f>
        <v>6.3</v>
      </c>
      <c r="D8" s="18">
        <f>'Composition of waste'!$D8*$C8/100</f>
        <v>3.4528500000000002</v>
      </c>
      <c r="E8" s="18">
        <f>'Composition of waste'!$E8*$C8/100</f>
        <v>2.8485</v>
      </c>
      <c r="F8" s="18">
        <f>'Composition of waste'!$F8*$E8/100</f>
        <v>2.7332955836480206</v>
      </c>
      <c r="G8" s="18">
        <f>'Composition of waste'!$G8*$E8/100</f>
        <v>0.11520441635197994</v>
      </c>
      <c r="H8" s="18">
        <v>20.474824810998559</v>
      </c>
      <c r="I8" s="18">
        <v>569.08710458364942</v>
      </c>
      <c r="J8" s="18">
        <f>'Composition of waste'!$J8*'Composition (mass)'!$E8/100</f>
        <v>1.4112689441808186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9.7648719944861892E-2</v>
      </c>
      <c r="S8" s="18">
        <v>1.0497922947116964</v>
      </c>
      <c r="T8" s="18">
        <f>'Composition of waste'!$T8*'Composition (mass)'!$E8/100</f>
        <v>1.0049435464440037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0.61131930750328611</v>
      </c>
      <c r="BP8" s="18">
        <f>'Composition of waste'!$BP8*$E8/100</f>
        <v>0.62037380116404317</v>
      </c>
      <c r="BQ8" s="18">
        <v>0</v>
      </c>
      <c r="BR8" s="18">
        <f>'Composition of waste'!$BR8*$E8/100</f>
        <v>1.5014730279395334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2/2</f>
        <v>1</v>
      </c>
      <c r="D14" s="18">
        <f>'Composition of waste'!$D14*$C14/100</f>
        <v>0.1525</v>
      </c>
      <c r="E14" s="18">
        <f>'Composition of waste'!$E14*$C14/100</f>
        <v>0.84750000000000003</v>
      </c>
      <c r="F14" s="18">
        <f>'Composition of waste'!$F14*$E14/100</f>
        <v>0.83849158677274016</v>
      </c>
      <c r="G14" s="18">
        <f>'Composition of waste'!$G14*$E14/100</f>
        <v>9.0084132272598167E-3</v>
      </c>
      <c r="H14" s="18">
        <v>36.957975113905924</v>
      </c>
      <c r="I14" s="18">
        <v>1000.3495900729962</v>
      </c>
      <c r="J14" s="18">
        <f>'Composition of waste'!$J14*'Composition (mass)'!$E14/100</f>
        <v>0.65395816200099088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1.0100585246796353E-3</v>
      </c>
      <c r="S14" s="18">
        <v>0.22507949944587077</v>
      </c>
      <c r="T14" s="18">
        <f>'Composition of waste'!$T14*'Composition (mass)'!$E14/100</f>
        <v>9.1608846205063155E-2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6.5021757926275762E-3</v>
      </c>
      <c r="BP14" s="18">
        <f>'Composition of waste'!$BP14*$E14/100</f>
        <v>0.81849950539092575</v>
      </c>
      <c r="BQ14" s="18">
        <v>0</v>
      </c>
      <c r="BR14" s="18">
        <f>'Composition of waste'!$BR14*$E14/100</f>
        <v>6.0248815165876782E-3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>
        <f>8/2</f>
        <v>4</v>
      </c>
      <c r="D71" s="18">
        <f>'Composition of waste'!$D71*$C71/100</f>
        <v>2.8091184210526312</v>
      </c>
      <c r="E71" s="18">
        <f>'Composition of waste'!$E71*$C71/100</f>
        <v>1.1908815789473683</v>
      </c>
      <c r="F71" s="18">
        <f>'Composition of waste'!$F71*$E71/100</f>
        <v>1.1363158097707982</v>
      </c>
      <c r="G71" s="18">
        <f>'Composition of waste'!$G71*$E71/100</f>
        <v>5.4565769176570106E-2</v>
      </c>
      <c r="H71" s="18">
        <v>22.708447352571454</v>
      </c>
      <c r="I71" s="18">
        <v>619.01875777778559</v>
      </c>
      <c r="J71" s="18">
        <f>'Composition of waste'!$J71*'Composition (mass)'!$E71/100</f>
        <v>0.62400377783250149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0.13694436493335779</v>
      </c>
      <c r="S71" s="18">
        <v>0.56749143430372129</v>
      </c>
      <c r="T71" s="18">
        <f>'Composition of waste'!$T71*'Composition (mass)'!$E71/100</f>
        <v>0.27436856746907717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0.8256321950432336</v>
      </c>
      <c r="BP71" s="18">
        <f>'Composition of waste'!$BP71*$E71/100</f>
        <v>0.27715126724314937</v>
      </c>
      <c r="BQ71" s="18">
        <v>0</v>
      </c>
      <c r="BR71" s="18">
        <f>'Composition of waste'!$BR71*$E71/100</f>
        <v>3.1931674915639079E-2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4.3/2</f>
        <v>2.15</v>
      </c>
      <c r="D77" s="18">
        <f>'Composition of waste'!$D77*$C77/100</f>
        <v>1.4292911067193674</v>
      </c>
      <c r="E77" s="18">
        <f>'Composition of waste'!$E77*$C77/100</f>
        <v>0.7207322628458499</v>
      </c>
      <c r="F77" s="18">
        <f>'Composition of waste'!$F77*$E77/100</f>
        <v>0.68805527413999656</v>
      </c>
      <c r="G77" s="18">
        <f>'Composition of waste'!$G77*$E77/100</f>
        <v>3.2676988705853456E-2</v>
      </c>
      <c r="H77" s="18">
        <v>24.665686395638932</v>
      </c>
      <c r="I77" s="18">
        <v>675.44343549775363</v>
      </c>
      <c r="J77" s="18">
        <f>'Composition of waste'!$J77*'Composition (mass)'!$E77/100</f>
        <v>0.40178605933803729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6.9903870027171952E-2</v>
      </c>
      <c r="S77" s="18">
        <v>0.84876971663336165</v>
      </c>
      <c r="T77" s="18">
        <f>'Composition of waste'!$T77*'Composition (mass)'!$E77/100</f>
        <v>0.15295662642093272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0.4223838575630659</v>
      </c>
      <c r="BP77" s="18">
        <f>'Composition of waste'!$BP77*$E77/100</f>
        <v>0.24408809470551573</v>
      </c>
      <c r="BQ77" s="18">
        <v>0</v>
      </c>
      <c r="BR77" s="18">
        <f>'Composition of waste'!$BR77*$E77/100</f>
        <v>2.108784006222026E-2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2/2</f>
        <v>1</v>
      </c>
      <c r="D80" s="18">
        <f>'Composition of waste'!$D80*$C80/100</f>
        <v>0.49207547169811328</v>
      </c>
      <c r="E80" s="18">
        <f>'Composition of waste'!$E80*$C80/100</f>
        <v>0.50792452830188672</v>
      </c>
      <c r="F80" s="18">
        <f>'Composition of waste'!$F80*$E80/100</f>
        <v>0.47492480959173528</v>
      </c>
      <c r="G80" s="18">
        <f>'Composition of waste'!$G80*$E80/100</f>
        <v>3.2999718710151289E-2</v>
      </c>
      <c r="H80" s="18">
        <v>25.741406205919322</v>
      </c>
      <c r="I80" s="18">
        <v>725.27674013134424</v>
      </c>
      <c r="J80" s="18">
        <f>'Composition of waste'!$J80*'Composition (mass)'!$E80/100</f>
        <v>0.29116406829703034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3.7334768373386035E-2</v>
      </c>
      <c r="S80" s="18">
        <v>1.4162073948421494</v>
      </c>
      <c r="T80" s="18">
        <f>'Composition of waste'!$T80*'Composition (mass)'!$E80/100</f>
        <v>9.9583527006589415E-2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0.2375187424624067</v>
      </c>
      <c r="BP80" s="18">
        <f>'Composition of waste'!$BP80*$E80/100</f>
        <v>0.21406385087452995</v>
      </c>
      <c r="BQ80" s="18">
        <v>0</v>
      </c>
      <c r="BR80" s="18">
        <f>'Composition of waste'!$BR80*$E80/100</f>
        <v>2.3458757767865799E-2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3.8/2</f>
        <v>1.9</v>
      </c>
      <c r="D81" s="18">
        <f>'Composition of waste'!$D81*$C81/100</f>
        <v>0.51417619047619045</v>
      </c>
      <c r="E81" s="18">
        <f>'Composition of waste'!$E81*$C81/100</f>
        <v>1.3858238095238096</v>
      </c>
      <c r="F81" s="18">
        <f>'Composition of waste'!$F81*$E81/100</f>
        <v>1.3651259720322344</v>
      </c>
      <c r="G81" s="18">
        <f>'Composition of waste'!$G81*$E81/100</f>
        <v>2.0697837491575166E-2</v>
      </c>
      <c r="H81" s="18">
        <v>22.340272036075664</v>
      </c>
      <c r="I81" s="18">
        <v>609.14803347727593</v>
      </c>
      <c r="J81" s="18">
        <f>'Composition of waste'!$J81*'Composition (mass)'!$E81/100</f>
        <v>0.73778320288807409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1.5365140331940849E-2</v>
      </c>
      <c r="S81" s="18">
        <v>0.18468537563492263</v>
      </c>
      <c r="T81" s="18">
        <f>'Composition of waste'!$T81*'Composition (mass)'!$E81/100</f>
        <v>0.50314853455278818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8.9683231778661818E-2</v>
      </c>
      <c r="BP81" s="18">
        <f>'Composition of waste'!$BP81*$E81/100</f>
        <v>0.43020283654462593</v>
      </c>
      <c r="BQ81" s="18">
        <v>0</v>
      </c>
      <c r="BR81" s="18">
        <f>'Composition of waste'!$BR81*$E81/100</f>
        <v>0.84182984339065925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3.8/2</f>
        <v>1.9</v>
      </c>
      <c r="D83" s="18">
        <f>'Composition of waste'!$D83*$C83/100</f>
        <v>0.62641034482758595</v>
      </c>
      <c r="E83" s="18">
        <f>'Composition of waste'!$E83*$C83/100</f>
        <v>1.2736879310344829</v>
      </c>
      <c r="F83" s="18">
        <f>'Composition of waste'!$F83*$E83/100</f>
        <v>1.2353258189141454</v>
      </c>
      <c r="G83" s="18">
        <f>'Composition of waste'!$G83*$E83/100</f>
        <v>3.8362112120337043E-2</v>
      </c>
      <c r="H83" s="18">
        <v>16.725718261439166</v>
      </c>
      <c r="I83" s="18">
        <v>455.23846524921248</v>
      </c>
      <c r="J83" s="18">
        <f>'Composition of waste'!$J83*'Composition (mass)'!$E83/100</f>
        <v>0.56277831331516259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2.6523213210845199E-2</v>
      </c>
      <c r="S83" s="18">
        <v>0.69363701990855653</v>
      </c>
      <c r="T83" s="18">
        <f>'Composition of waste'!$T83*'Composition (mass)'!$E83/100</f>
        <v>0.56323309745546402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7.902175291687383E-4</v>
      </c>
      <c r="BL83" s="18">
        <f>'Composition of waste'!$BL83*$E83/100</f>
        <v>0</v>
      </c>
      <c r="BM83" s="18">
        <v>0</v>
      </c>
      <c r="BN83" s="18">
        <f>'Composition of waste'!$BN83*$E83/100</f>
        <v>8.7005296125094468E-5</v>
      </c>
      <c r="BO83" s="18">
        <f>'Composition of waste'!$BO83*$E83/100</f>
        <v>0.15326250405073874</v>
      </c>
      <c r="BP83" s="18">
        <f>'Composition of waste'!$BP83*$E83/100</f>
        <v>6.2324947004436117E-2</v>
      </c>
      <c r="BQ83" s="18">
        <v>0</v>
      </c>
      <c r="BR83" s="18">
        <f>'Composition of waste'!$BR83*$E83/100</f>
        <v>1.0198456539094369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4.3/2</f>
        <v>2.15</v>
      </c>
      <c r="D84" s="18">
        <f>'Composition of waste'!$D84*$C84/100</f>
        <v>1.4233626213592232</v>
      </c>
      <c r="E84" s="18">
        <f>'Composition of waste'!$E84*$C84/100</f>
        <v>0.72665825242718474</v>
      </c>
      <c r="F84" s="18">
        <f>'Composition of waste'!$F84*$E84/100</f>
        <v>0.67556679361929228</v>
      </c>
      <c r="G84" s="18">
        <f>'Composition of waste'!$G84*$E84/100</f>
        <v>5.1091458807892523E-2</v>
      </c>
      <c r="H84" s="18">
        <v>22.615822116722924</v>
      </c>
      <c r="I84" s="18">
        <v>637.22466532266355</v>
      </c>
      <c r="J84" s="18">
        <f>'Composition of waste'!$J84*'Composition (mass)'!$E84/100</f>
        <v>0.37782100678319352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6.9557552728752137E-2</v>
      </c>
      <c r="S84" s="18">
        <v>1.4729050706105946</v>
      </c>
      <c r="T84" s="18">
        <f>'Composition of waste'!$T84*'Composition (mass)'!$E84/100</f>
        <v>0.16823711284434217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0.41867279902327342</v>
      </c>
      <c r="BP84" s="18">
        <f>'Composition of waste'!$BP84*$E84/100</f>
        <v>0.19378004324242071</v>
      </c>
      <c r="BQ84" s="18">
        <v>0</v>
      </c>
      <c r="BR84" s="18">
        <f>'Composition of waste'!$BR84*$E84/100</f>
        <v>5.7340208745836951E-2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>
        <v>27.5</v>
      </c>
      <c r="D87" s="18">
        <f>'Composition of waste'!$D87*$C87/100</f>
        <v>20.539200000000001</v>
      </c>
      <c r="E87" s="18">
        <f>'Composition of waste'!$E87*$C87/100</f>
        <v>6.9608000000000008</v>
      </c>
      <c r="F87" s="18">
        <f>'Composition of waste'!$F87*$E87/100</f>
        <v>6.6894809106936544</v>
      </c>
      <c r="G87" s="18">
        <f>'Composition of waste'!$G87*$E87/100</f>
        <v>0.27131908930634552</v>
      </c>
      <c r="H87" s="18">
        <v>15.859009791161208</v>
      </c>
      <c r="I87" s="18">
        <v>446.15109026955054</v>
      </c>
      <c r="J87" s="18">
        <f>'Composition of waste'!$J87*'Composition (mass)'!$E87/100</f>
        <v>2.9425589764766058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5.473916975064836E-2</v>
      </c>
      <c r="S87" s="18">
        <v>0.3833529645406128</v>
      </c>
      <c r="T87" s="18">
        <f>'Composition of waste'!$T87*'Composition (mass)'!$E87/100</f>
        <v>3.2407748003818528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0.332256218273355</v>
      </c>
      <c r="BP87" s="18">
        <f>'Composition of waste'!$BP87*$E87/100</f>
        <v>0.30423370478197814</v>
      </c>
      <c r="BQ87" s="18">
        <v>0</v>
      </c>
      <c r="BR87" s="18">
        <f>'Composition of waste'!$BR87*$E87/100</f>
        <v>5.9238692694573762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44.5</v>
      </c>
      <c r="D91" s="18">
        <f>'Composition of waste'!$D91*$C91/100</f>
        <v>38.304931045751637</v>
      </c>
      <c r="E91" s="18">
        <f>'Composition of waste'!$E91*$C91/100</f>
        <v>6.1953598039215692</v>
      </c>
      <c r="F91" s="18">
        <f>'Composition of waste'!$F91*$E91/100</f>
        <v>5.7460323554795263</v>
      </c>
      <c r="G91" s="18">
        <f>'Composition of waste'!$G91*$E91/100</f>
        <v>0.44932744844204364</v>
      </c>
      <c r="H91" s="18">
        <v>15.980390555797626</v>
      </c>
      <c r="I91" s="18">
        <v>460.21398068707117</v>
      </c>
      <c r="J91" s="18">
        <f>'Composition of waste'!$J91*'Composition (mass)'!$E91/100</f>
        <v>2.5825848222327488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0.14443197762615267</v>
      </c>
      <c r="S91" s="18">
        <v>0.17581225153748034</v>
      </c>
      <c r="T91" s="18">
        <f>'Composition of waste'!$T91*'Composition (mass)'!$E91/100</f>
        <v>2.6108726107803744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0.19783176495779006</v>
      </c>
      <c r="BL91" s="18">
        <f>'Composition of waste'!$BL91*$E91/100</f>
        <v>0</v>
      </c>
      <c r="BM91" s="18">
        <v>0</v>
      </c>
      <c r="BN91" s="18">
        <f>'Composition of waste'!$BN91*$E91/100</f>
        <v>3.514257195333851E-2</v>
      </c>
      <c r="BO91" s="18">
        <f>'Composition of waste'!$BO91*$E91/100</f>
        <v>0.89813422671585996</v>
      </c>
      <c r="BP91" s="18">
        <f>'Composition of waste'!$BP91*$E91/100</f>
        <v>0.3355294973478305</v>
      </c>
      <c r="BQ91" s="18">
        <v>0</v>
      </c>
      <c r="BR91" s="18">
        <f>'Composition of waste'!$BR91*$E91/100</f>
        <v>4.504394270455113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f>8/2</f>
        <v>4</v>
      </c>
      <c r="D95" s="18">
        <f>'Composition of waste'!$D95*$C95/100</f>
        <v>0.7788880952380951</v>
      </c>
      <c r="E95" s="18">
        <f>'Composition of waste'!$E95*$C95/100</f>
        <v>3.2211619047619049</v>
      </c>
      <c r="F95" s="18">
        <f>'Composition of waste'!$F95*$E95/100</f>
        <v>3.1771815283639389</v>
      </c>
      <c r="G95" s="18">
        <f>'Composition of waste'!$G95*$E95/100</f>
        <v>4.3980376397965745E-2</v>
      </c>
      <c r="H95" s="18">
        <v>21.471104460263302</v>
      </c>
      <c r="I95" s="18">
        <v>583.38123972551421</v>
      </c>
      <c r="J95" s="18">
        <f>'Composition of waste'!$J95*'Composition (mass)'!$E95/100</f>
        <v>1.6730712320993106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3.401173027171267E-2</v>
      </c>
      <c r="S95" s="18">
        <v>0.23300221651660574</v>
      </c>
      <c r="T95" s="18">
        <f>'Composition of waste'!$T95*'Composition (mass)'!$E95/100</f>
        <v>1.2240721626800311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3.193407957332165E-4</v>
      </c>
      <c r="BL95" s="18">
        <f>'Composition of waste'!$BL95*$E95/100</f>
        <v>0</v>
      </c>
      <c r="BM95" s="18">
        <v>0</v>
      </c>
      <c r="BN95" s="18">
        <f>'Composition of waste'!$BN95*$E95/100</f>
        <v>2.614579468150897E-4</v>
      </c>
      <c r="BO95" s="18">
        <f>'Composition of waste'!$BO95*$E95/100</f>
        <v>0.19723940620208655</v>
      </c>
      <c r="BP95" s="18">
        <f>'Composition of waste'!$BP95*$E95/100</f>
        <v>0.86634406813073528</v>
      </c>
      <c r="BQ95" s="18">
        <v>0</v>
      </c>
      <c r="BR95" s="18">
        <f>'Composition of waste'!$BR95*$E95/100</f>
        <v>2.1094214836301575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652</v>
      </c>
      <c r="C96">
        <f>100/8</f>
        <v>12.5</v>
      </c>
      <c r="D96" s="18">
        <f>'Composition of waste'!$D96*$C96/100</f>
        <v>1.25</v>
      </c>
      <c r="E96" s="18">
        <f>'Composition of waste'!$E96*$C96/100</f>
        <v>11.25</v>
      </c>
      <c r="F96" s="18">
        <f>'Composition of waste'!$F96*$E96/100</f>
        <v>0</v>
      </c>
      <c r="G96" s="18">
        <f>'Composition of waste'!$G96*$E96/100</f>
        <v>0.26887500000000003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3.7012499999999999</v>
      </c>
      <c r="BL96" s="18">
        <f>'Composition of waste'!$BL96*$E96/100</f>
        <v>1.59975</v>
      </c>
      <c r="BM96" s="18">
        <v>0</v>
      </c>
      <c r="BN96" s="18">
        <f>'Composition of waste'!$BN96*$E96/100</f>
        <v>3.504375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112.5</v>
      </c>
      <c r="D98" s="20">
        <f>SUM(D2:D96)</f>
        <v>71.96563567807523</v>
      </c>
      <c r="E98" s="20">
        <f>SUM(E2:E96)</f>
        <v>40.536357690811677</v>
      </c>
      <c r="F98" s="20">
        <f>SUM(F2:F96)</f>
        <v>28.121434139771388</v>
      </c>
      <c r="G98" s="20">
        <f>SUM(G2:G96)</f>
        <v>1.4337985510402891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13.972841348572581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0.72537607146735683</v>
      </c>
      <c r="S98" s="20">
        <f t="shared" si="0"/>
        <v>37.864632672965826</v>
      </c>
      <c r="T98" s="20">
        <f>SUM(T2:T96)</f>
        <v>11.294807134092974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3.9014043165219965</v>
      </c>
      <c r="BL98" s="20">
        <f>SUM(BL2:BL96)</f>
        <v>1.59975</v>
      </c>
      <c r="BM98" s="20"/>
      <c r="BN98" s="20">
        <f>SUM(BN2:BN96)</f>
        <v>3.5402381764718336</v>
      </c>
      <c r="BO98" s="20">
        <f>SUM(BO2:BO96)</f>
        <v>4.4091701569207684</v>
      </c>
      <c r="BP98" s="20">
        <f>SUM(BP2:BP96)</f>
        <v>5.0823322189418754</v>
      </c>
      <c r="BQ98" s="20"/>
      <c r="BR98" s="20">
        <f>SUM(BR2:BR96)</f>
        <v>18.469748427119494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19.262892585231057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7.1054387303618007</v>
      </c>
    </row>
    <row r="107" spans="1:70" x14ac:dyDescent="0.35">
      <c r="A107" t="s">
        <v>487</v>
      </c>
      <c r="B107">
        <f>((C98*B104)+(B106*B105))/(C98+B106)</f>
        <v>30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X55"/>
  <sheetViews>
    <sheetView topLeftCell="A37" zoomScale="85" zoomScaleNormal="115" workbookViewId="0">
      <selection activeCell="B2" sqref="B2"/>
    </sheetView>
  </sheetViews>
  <sheetFormatPr baseColWidth="10" defaultRowHeight="14.5" x14ac:dyDescent="0.35"/>
  <cols>
    <col min="1" max="1" width="16.90625" bestFit="1" customWidth="1"/>
    <col min="2" max="2" width="12.7265625" bestFit="1" customWidth="1"/>
    <col min="3" max="3" width="8" bestFit="1" customWidth="1"/>
    <col min="4" max="4" width="24.453125" bestFit="1" customWidth="1"/>
    <col min="5" max="5" width="10.90625" customWidth="1"/>
    <col min="6" max="11" width="10.90625" hidden="1" customWidth="1"/>
    <col min="12" max="12" width="13.54296875" bestFit="1" customWidth="1"/>
  </cols>
  <sheetData>
    <row r="1" spans="1:24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646</v>
      </c>
      <c r="P1" t="s">
        <v>647</v>
      </c>
      <c r="Q1" t="s">
        <v>655</v>
      </c>
      <c r="R1" t="s">
        <v>658</v>
      </c>
      <c r="T1" t="s">
        <v>522</v>
      </c>
    </row>
    <row r="2" spans="1:24" x14ac:dyDescent="0.35">
      <c r="A2" s="2" t="s">
        <v>308</v>
      </c>
      <c r="B2" s="2">
        <f>'Composition (mass)'!BR98/B39</f>
        <v>0.16417554157439551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102.6097134839972</v>
      </c>
      <c r="O2">
        <f>F2*N2*12</f>
        <v>7387.8993708477974</v>
      </c>
      <c r="Q2">
        <f>G2*N2*1</f>
        <v>1231.3165618079663</v>
      </c>
      <c r="R2">
        <f>H2*N2*16</f>
        <v>9850.5324944637305</v>
      </c>
      <c r="T2" t="s">
        <v>524</v>
      </c>
      <c r="U2" t="s">
        <v>309</v>
      </c>
      <c r="V2" t="s">
        <v>6</v>
      </c>
      <c r="W2" t="s">
        <v>525</v>
      </c>
      <c r="X2" t="s">
        <v>17</v>
      </c>
    </row>
    <row r="3" spans="1:24" x14ac:dyDescent="0.35">
      <c r="A3" s="2" t="s">
        <v>6</v>
      </c>
      <c r="B3" s="2">
        <f>'Composition (mass)'!BO98/B39</f>
        <v>3.9192623617073499E-2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12.526051582161275</v>
      </c>
      <c r="O3">
        <f>F3*N3*12</f>
        <v>2405.0019037749648</v>
      </c>
      <c r="P3">
        <f>I3*N3*14</f>
        <v>701.45888860103139</v>
      </c>
      <c r="Q3">
        <f t="shared" ref="Q3:Q26" si="1">G3*N3*1</f>
        <v>300.6252379718706</v>
      </c>
      <c r="R3">
        <f t="shared" ref="R3:R26" si="2">H3*N3*16</f>
        <v>1002.0841265729019</v>
      </c>
      <c r="S3" t="s">
        <v>467</v>
      </c>
      <c r="T3">
        <f>(F4-(G4/4)-(H4/2))</f>
        <v>12.25</v>
      </c>
      <c r="U3">
        <f>F5-(G5/4)-(H5/2)</f>
        <v>1</v>
      </c>
      <c r="V3">
        <f>(F3-(G3/4)-(H3/2)+((3*I3)/4))</f>
        <v>10.5</v>
      </c>
      <c r="W3">
        <f>F2-(G2/4)-(H2/2)</f>
        <v>0</v>
      </c>
      <c r="X3">
        <f>F7-(G7/4)-(H7/2)</f>
        <v>9.5</v>
      </c>
    </row>
    <row r="4" spans="1:24" x14ac:dyDescent="0.35">
      <c r="A4" s="2" t="s">
        <v>7</v>
      </c>
      <c r="B4" s="2">
        <f>'Composition (mass)'!BP98/B39</f>
        <v>4.5176286390594449E-2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26" si="3">(B4*B$39)/(L4*0.001)</f>
        <v>12.932143050742685</v>
      </c>
      <c r="O4">
        <f>F4*N4*12</f>
        <v>3879.6429152228052</v>
      </c>
      <c r="P4">
        <f t="shared" ref="P4:P26" si="4">I4*N4*14</f>
        <v>0</v>
      </c>
      <c r="Q4">
        <f t="shared" si="1"/>
        <v>581.94643728342078</v>
      </c>
      <c r="R4">
        <f t="shared" si="2"/>
        <v>620.74286643564892</v>
      </c>
      <c r="S4" t="s">
        <v>468</v>
      </c>
      <c r="T4">
        <f>(F4/2)-(G4/8)+(H4/4)</f>
        <v>7.625</v>
      </c>
      <c r="U4">
        <f>(F5/2)-(G5/8)+(H5/4)</f>
        <v>5</v>
      </c>
      <c r="V4">
        <f>(F3/2)-(G3/8)+(H3/4)+((3*I3)/8)</f>
        <v>7.75</v>
      </c>
      <c r="W4">
        <f>(F2/2)-(G2/8)+(H2/4)</f>
        <v>3</v>
      </c>
      <c r="X4">
        <f>(F7/2)-(G7/8)+(H7/4)</f>
        <v>7.75</v>
      </c>
    </row>
    <row r="5" spans="1:24" x14ac:dyDescent="0.35">
      <c r="A5" s="2" t="s">
        <v>309</v>
      </c>
      <c r="B5" s="33">
        <f>'Composition (mass)'!BL98/B39</f>
        <v>1.422E-2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3"/>
        <v>5.6728723404255312</v>
      </c>
      <c r="O5">
        <f t="shared" ref="O5:O26" si="5">F5*N5*12</f>
        <v>680.74468085106378</v>
      </c>
      <c r="P5">
        <f t="shared" si="4"/>
        <v>0</v>
      </c>
      <c r="Q5">
        <f t="shared" si="1"/>
        <v>102.11170212765956</v>
      </c>
      <c r="R5">
        <f t="shared" si="2"/>
        <v>816.89361702127644</v>
      </c>
      <c r="S5" t="s">
        <v>469</v>
      </c>
      <c r="T5">
        <f>(F4/2)+(G4/8)-(H4/4)</f>
        <v>17.375</v>
      </c>
      <c r="U5">
        <f>(F5/2)+(G5/8)-(H5/4)</f>
        <v>5</v>
      </c>
      <c r="V5">
        <f>(F3/2)+(G3/8)-(H3/4)-((3*I3)/8)</f>
        <v>8.25</v>
      </c>
      <c r="W5">
        <f>(F2/2)+(G2/8)-(H2/4)</f>
        <v>3</v>
      </c>
      <c r="X5">
        <f>(F7/2)+(G7/8)-(H7/4)</f>
        <v>12.25</v>
      </c>
    </row>
    <row r="6" spans="1:24" x14ac:dyDescent="0.35">
      <c r="A6" s="2" t="s">
        <v>11</v>
      </c>
      <c r="B6" s="2">
        <f>'Composition (mass)'!BK98/B39</f>
        <v>3.4679149480195522E-2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3"/>
        <v>21.6744684251222</v>
      </c>
      <c r="O6">
        <f t="shared" si="5"/>
        <v>1560.5617266087984</v>
      </c>
      <c r="P6">
        <f t="shared" si="4"/>
        <v>0</v>
      </c>
      <c r="Q6">
        <f t="shared" si="1"/>
        <v>260.0936211014664</v>
      </c>
      <c r="R6">
        <f t="shared" si="2"/>
        <v>2080.7489688117312</v>
      </c>
      <c r="S6" t="s">
        <v>470</v>
      </c>
      <c r="V6">
        <f>I3</f>
        <v>4</v>
      </c>
    </row>
    <row r="7" spans="1:24" x14ac:dyDescent="0.35">
      <c r="A7" s="2" t="s">
        <v>17</v>
      </c>
      <c r="B7" s="2">
        <f>'Composition (mass)'!BN98/B39</f>
        <v>3.1468783790860745E-2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3"/>
        <v>9.6727819029285094</v>
      </c>
      <c r="O7">
        <f t="shared" si="5"/>
        <v>2321.4676567028419</v>
      </c>
      <c r="P7">
        <f t="shared" si="4"/>
        <v>0</v>
      </c>
      <c r="Q7">
        <f t="shared" si="1"/>
        <v>290.18345708785529</v>
      </c>
      <c r="R7">
        <f t="shared" si="2"/>
        <v>928.5870626811369</v>
      </c>
      <c r="S7" t="s">
        <v>523</v>
      </c>
      <c r="T7">
        <f>(T5*16)/L4</f>
        <v>0.70737913486005088</v>
      </c>
      <c r="U7">
        <f>(U5*16)/L5</f>
        <v>0.28368794326241137</v>
      </c>
      <c r="V7">
        <f>(V5*16)/L3</f>
        <v>0.375</v>
      </c>
      <c r="W7">
        <f>(W5*16)/L2</f>
        <v>0.26666666666666666</v>
      </c>
      <c r="X7">
        <f>(X5*16)/L7</f>
        <v>0.53551912568306015</v>
      </c>
    </row>
    <row r="8" spans="1:24" x14ac:dyDescent="0.35">
      <c r="A8" s="2" t="s">
        <v>282</v>
      </c>
      <c r="B8" s="2">
        <f>'Composition (mass)'!G98/B39</f>
        <v>1.2744876009247013E-2</v>
      </c>
      <c r="C8" s="2" t="s">
        <v>532</v>
      </c>
      <c r="D8" s="2" t="s">
        <v>283</v>
      </c>
      <c r="L8">
        <f t="shared" si="0"/>
        <v>0</v>
      </c>
      <c r="M8">
        <v>6</v>
      </c>
      <c r="P8">
        <f t="shared" si="4"/>
        <v>0</v>
      </c>
      <c r="Q8">
        <f t="shared" si="1"/>
        <v>0</v>
      </c>
      <c r="R8">
        <f t="shared" si="2"/>
        <v>0</v>
      </c>
    </row>
    <row r="9" spans="1:24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  <c r="N9">
        <f t="shared" si="3"/>
        <v>0</v>
      </c>
      <c r="O9">
        <f t="shared" si="5"/>
        <v>0</v>
      </c>
      <c r="P9">
        <f t="shared" si="4"/>
        <v>0</v>
      </c>
      <c r="Q9">
        <f t="shared" si="1"/>
        <v>0</v>
      </c>
      <c r="R9">
        <f t="shared" si="2"/>
        <v>0</v>
      </c>
    </row>
    <row r="10" spans="1:24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  <c r="N10">
        <f t="shared" si="3"/>
        <v>0</v>
      </c>
      <c r="O10">
        <f t="shared" si="5"/>
        <v>0</v>
      </c>
      <c r="P10">
        <f t="shared" si="4"/>
        <v>0</v>
      </c>
      <c r="Q10">
        <f t="shared" si="1"/>
        <v>0</v>
      </c>
      <c r="R10">
        <f t="shared" si="2"/>
        <v>0</v>
      </c>
    </row>
    <row r="11" spans="1:24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N11">
        <f t="shared" si="3"/>
        <v>0</v>
      </c>
      <c r="O11">
        <f t="shared" si="5"/>
        <v>0</v>
      </c>
      <c r="P11">
        <f t="shared" si="4"/>
        <v>0</v>
      </c>
      <c r="Q11">
        <f t="shared" si="1"/>
        <v>0</v>
      </c>
      <c r="R11">
        <f t="shared" si="2"/>
        <v>0</v>
      </c>
    </row>
    <row r="12" spans="1:24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H12">
        <v>9</v>
      </c>
      <c r="L12">
        <f t="shared" si="0"/>
        <v>282</v>
      </c>
      <c r="M12">
        <v>10</v>
      </c>
      <c r="N12">
        <f t="shared" si="3"/>
        <v>0</v>
      </c>
      <c r="O12">
        <f t="shared" si="5"/>
        <v>0</v>
      </c>
      <c r="P12">
        <f t="shared" si="4"/>
        <v>0</v>
      </c>
      <c r="Q12">
        <f t="shared" si="1"/>
        <v>0</v>
      </c>
      <c r="R12">
        <f t="shared" si="2"/>
        <v>0</v>
      </c>
    </row>
    <row r="13" spans="1:24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  <c r="N13">
        <f t="shared" si="3"/>
        <v>0</v>
      </c>
      <c r="O13">
        <f t="shared" si="5"/>
        <v>0</v>
      </c>
      <c r="P13">
        <f t="shared" si="4"/>
        <v>0</v>
      </c>
      <c r="Q13">
        <f t="shared" si="1"/>
        <v>0</v>
      </c>
      <c r="R13">
        <f t="shared" si="2"/>
        <v>0</v>
      </c>
    </row>
    <row r="14" spans="1:24" x14ac:dyDescent="0.35">
      <c r="A14" s="2" t="s">
        <v>21</v>
      </c>
      <c r="B14" s="39">
        <v>5.0000000000000001E-4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  <c r="N14">
        <f t="shared" si="3"/>
        <v>0.49778761061946902</v>
      </c>
      <c r="O14">
        <f t="shared" si="5"/>
        <v>29.867256637168143</v>
      </c>
      <c r="P14">
        <f t="shared" si="4"/>
        <v>6.9690265486725664</v>
      </c>
      <c r="Q14">
        <f t="shared" si="1"/>
        <v>3.4845132743362832</v>
      </c>
      <c r="R14">
        <f t="shared" si="2"/>
        <v>15.929203539823009</v>
      </c>
    </row>
    <row r="15" spans="1:24" x14ac:dyDescent="0.35">
      <c r="A15" s="2" t="s">
        <v>28</v>
      </c>
      <c r="B15" s="39">
        <v>5.0000000000000001E-4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  <c r="N15">
        <f t="shared" si="3"/>
        <v>0.49778761061946902</v>
      </c>
      <c r="O15">
        <f t="shared" si="5"/>
        <v>29.867256637168143</v>
      </c>
      <c r="P15">
        <f t="shared" si="4"/>
        <v>6.9690265486725664</v>
      </c>
      <c r="Q15">
        <f t="shared" si="1"/>
        <v>3.4845132743362832</v>
      </c>
      <c r="R15">
        <f t="shared" si="2"/>
        <v>15.929203539823009</v>
      </c>
    </row>
    <row r="16" spans="1:24" x14ac:dyDescent="0.35">
      <c r="A16" s="2" t="s">
        <v>30</v>
      </c>
      <c r="B16" s="39">
        <v>1E-4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  <c r="N16">
        <f t="shared" si="3"/>
        <v>9.9557522123893807E-2</v>
      </c>
      <c r="O16">
        <f t="shared" si="5"/>
        <v>5.9734513274336285</v>
      </c>
      <c r="P16">
        <f t="shared" si="4"/>
        <v>1.3938053097345133</v>
      </c>
      <c r="Q16">
        <f t="shared" si="1"/>
        <v>0.69690265486725667</v>
      </c>
      <c r="R16">
        <f t="shared" si="2"/>
        <v>3.1858407079646018</v>
      </c>
    </row>
    <row r="17" spans="1:18" x14ac:dyDescent="0.35">
      <c r="A17" s="2" t="s">
        <v>32</v>
      </c>
      <c r="B17" s="39">
        <v>1E-4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  <c r="N17">
        <f t="shared" si="3"/>
        <v>9.9557522123893807E-2</v>
      </c>
      <c r="O17">
        <f t="shared" si="5"/>
        <v>5.9734513274336285</v>
      </c>
      <c r="P17">
        <f t="shared" si="4"/>
        <v>1.3938053097345133</v>
      </c>
      <c r="Q17">
        <f t="shared" si="1"/>
        <v>0.69690265486725667</v>
      </c>
      <c r="R17">
        <f t="shared" si="2"/>
        <v>3.1858407079646018</v>
      </c>
    </row>
    <row r="18" spans="1:18" x14ac:dyDescent="0.35">
      <c r="A18" s="2" t="s">
        <v>34</v>
      </c>
      <c r="B18" s="39">
        <v>1.0000000000000001E-5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  <c r="N18">
        <f t="shared" si="3"/>
        <v>4.5546558704453446E-3</v>
      </c>
      <c r="O18">
        <f t="shared" si="5"/>
        <v>0.54655870445344135</v>
      </c>
      <c r="P18">
        <f t="shared" si="4"/>
        <v>6.3765182186234823E-2</v>
      </c>
      <c r="Q18">
        <f t="shared" si="1"/>
        <v>7.7429149797570859E-2</v>
      </c>
      <c r="R18">
        <f t="shared" si="2"/>
        <v>0.43724696356275305</v>
      </c>
    </row>
    <row r="19" spans="1:18" x14ac:dyDescent="0.35">
      <c r="A19" s="2" t="s">
        <v>36</v>
      </c>
      <c r="B19" s="39">
        <v>9.9999999999999995E-7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  <c r="N19">
        <f t="shared" si="3"/>
        <v>4.5546558704453441E-4</v>
      </c>
      <c r="O19">
        <f t="shared" si="5"/>
        <v>5.4655870445344125E-2</v>
      </c>
      <c r="P19">
        <f t="shared" si="4"/>
        <v>6.3765182186234816E-3</v>
      </c>
      <c r="Q19">
        <f t="shared" si="1"/>
        <v>7.7429149797570845E-3</v>
      </c>
      <c r="R19">
        <f t="shared" si="2"/>
        <v>4.3724696356275301E-2</v>
      </c>
    </row>
    <row r="20" spans="1:18" x14ac:dyDescent="0.35">
      <c r="A20" s="2" t="s">
        <v>388</v>
      </c>
      <c r="B20" s="39">
        <v>1E-4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  <c r="N20">
        <f t="shared" si="3"/>
        <v>9.9557522123893807E-2</v>
      </c>
      <c r="O20">
        <f t="shared" si="5"/>
        <v>5.9734513274336285</v>
      </c>
      <c r="P20">
        <f t="shared" si="4"/>
        <v>1.3938053097345133</v>
      </c>
      <c r="Q20">
        <f t="shared" si="1"/>
        <v>0.69690265486725667</v>
      </c>
      <c r="R20">
        <f t="shared" si="2"/>
        <v>3.1858407079646018</v>
      </c>
    </row>
    <row r="21" spans="1:18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  <c r="N21">
        <f t="shared" si="3"/>
        <v>0</v>
      </c>
      <c r="O21">
        <f t="shared" si="5"/>
        <v>0</v>
      </c>
      <c r="P21">
        <f t="shared" si="4"/>
        <v>0</v>
      </c>
      <c r="Q21">
        <f t="shared" si="1"/>
        <v>0</v>
      </c>
      <c r="R21">
        <f t="shared" si="2"/>
        <v>0</v>
      </c>
    </row>
    <row r="22" spans="1:18" x14ac:dyDescent="0.35">
      <c r="A22" s="2" t="s">
        <v>343</v>
      </c>
      <c r="B22">
        <f>'Composition (mass)'!D98/B39</f>
        <v>0.63969453936066867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  <c r="N22">
        <f t="shared" si="3"/>
        <v>3998.090871004179</v>
      </c>
      <c r="O22">
        <f t="shared" si="5"/>
        <v>0</v>
      </c>
      <c r="P22">
        <f t="shared" si="4"/>
        <v>0</v>
      </c>
      <c r="Q22">
        <f t="shared" si="1"/>
        <v>7996.181742008358</v>
      </c>
      <c r="R22">
        <f t="shared" si="2"/>
        <v>63969.453936066864</v>
      </c>
    </row>
    <row r="23" spans="1:18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  <c r="N23">
        <f t="shared" si="3"/>
        <v>0</v>
      </c>
      <c r="O23">
        <f t="shared" si="5"/>
        <v>0</v>
      </c>
      <c r="P23">
        <f t="shared" si="4"/>
        <v>0</v>
      </c>
      <c r="Q23">
        <f t="shared" si="1"/>
        <v>0</v>
      </c>
      <c r="R23">
        <f t="shared" si="2"/>
        <v>0</v>
      </c>
    </row>
    <row r="24" spans="1:18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  <c r="N24">
        <f t="shared" si="3"/>
        <v>0</v>
      </c>
      <c r="O24">
        <f t="shared" si="5"/>
        <v>0</v>
      </c>
      <c r="P24">
        <f t="shared" si="4"/>
        <v>0</v>
      </c>
      <c r="Q24">
        <f t="shared" si="1"/>
        <v>0</v>
      </c>
      <c r="R24">
        <f t="shared" si="2"/>
        <v>0</v>
      </c>
    </row>
    <row r="25" spans="1:18" x14ac:dyDescent="0.35">
      <c r="A25" s="2" t="s">
        <v>637</v>
      </c>
      <c r="C25" s="2"/>
      <c r="D25" s="2" t="s">
        <v>638</v>
      </c>
      <c r="E25" t="s">
        <v>639</v>
      </c>
      <c r="H25">
        <v>3</v>
      </c>
      <c r="I25">
        <v>1</v>
      </c>
      <c r="L25">
        <f t="shared" si="0"/>
        <v>62</v>
      </c>
      <c r="N25">
        <f t="shared" si="3"/>
        <v>0</v>
      </c>
      <c r="O25">
        <f t="shared" si="5"/>
        <v>0</v>
      </c>
      <c r="P25">
        <f t="shared" si="4"/>
        <v>0</v>
      </c>
      <c r="Q25">
        <f t="shared" si="1"/>
        <v>0</v>
      </c>
      <c r="R25">
        <f t="shared" si="2"/>
        <v>0</v>
      </c>
    </row>
    <row r="26" spans="1:18" x14ac:dyDescent="0.35">
      <c r="A26" s="2" t="s">
        <v>383</v>
      </c>
      <c r="B26">
        <f>(('Composition (mass)'!R98)-(Variables!P3*0.001))/B39</f>
        <v>2.1259718103400341E-4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  <c r="N26">
        <f t="shared" si="3"/>
        <v>1.406893109783846</v>
      </c>
      <c r="O26">
        <f t="shared" si="5"/>
        <v>0</v>
      </c>
      <c r="P26">
        <f t="shared" si="4"/>
        <v>19.696503536973843</v>
      </c>
      <c r="Q26">
        <f t="shared" si="1"/>
        <v>4.2206793293515377</v>
      </c>
      <c r="R26">
        <f t="shared" si="2"/>
        <v>0</v>
      </c>
    </row>
    <row r="27" spans="1:18" x14ac:dyDescent="0.35">
      <c r="A27" s="2" t="s">
        <v>355</v>
      </c>
      <c r="C27" s="2" t="s">
        <v>350</v>
      </c>
      <c r="D27" s="2" t="s">
        <v>369</v>
      </c>
    </row>
    <row r="28" spans="1:18" x14ac:dyDescent="0.35">
      <c r="A28" s="2" t="s">
        <v>356</v>
      </c>
      <c r="C28" s="2" t="s">
        <v>350</v>
      </c>
      <c r="D28" s="2" t="s">
        <v>370</v>
      </c>
    </row>
    <row r="29" spans="1:18" x14ac:dyDescent="0.35">
      <c r="A29" s="2" t="s">
        <v>357</v>
      </c>
      <c r="C29" s="2" t="s">
        <v>350</v>
      </c>
      <c r="D29" s="2" t="s">
        <v>371</v>
      </c>
    </row>
    <row r="30" spans="1:18" x14ac:dyDescent="0.35">
      <c r="A30" s="2" t="s">
        <v>358</v>
      </c>
      <c r="C30" s="2" t="s">
        <v>350</v>
      </c>
      <c r="D30" s="2" t="s">
        <v>372</v>
      </c>
    </row>
    <row r="31" spans="1:18" x14ac:dyDescent="0.35">
      <c r="A31" s="2" t="s">
        <v>359</v>
      </c>
      <c r="C31" s="2" t="s">
        <v>350</v>
      </c>
      <c r="D31" s="2" t="s">
        <v>373</v>
      </c>
    </row>
    <row r="32" spans="1:18" x14ac:dyDescent="0.35">
      <c r="A32" s="2" t="s">
        <v>360</v>
      </c>
      <c r="C32" s="2" t="s">
        <v>350</v>
      </c>
      <c r="D32" s="2" t="s">
        <v>362</v>
      </c>
    </row>
    <row r="33" spans="1:7" x14ac:dyDescent="0.35">
      <c r="A33" s="2" t="s">
        <v>361</v>
      </c>
      <c r="C33" s="2" t="s">
        <v>350</v>
      </c>
      <c r="D33" s="2" t="s">
        <v>363</v>
      </c>
    </row>
    <row r="34" spans="1:7" x14ac:dyDescent="0.35">
      <c r="A34" s="2" t="s">
        <v>357</v>
      </c>
      <c r="C34" s="2" t="s">
        <v>350</v>
      </c>
      <c r="D34" s="2" t="s">
        <v>364</v>
      </c>
    </row>
    <row r="35" spans="1:7" x14ac:dyDescent="0.35">
      <c r="A35" s="2" t="s">
        <v>358</v>
      </c>
      <c r="C35" s="2" t="s">
        <v>350</v>
      </c>
      <c r="D35" s="2" t="s">
        <v>365</v>
      </c>
    </row>
    <row r="36" spans="1:7" x14ac:dyDescent="0.35">
      <c r="A36" s="2" t="s">
        <v>359</v>
      </c>
      <c r="C36" s="2" t="s">
        <v>350</v>
      </c>
      <c r="D36" s="2" t="s">
        <v>366</v>
      </c>
    </row>
    <row r="37" spans="1:7" x14ac:dyDescent="0.35">
      <c r="A37" s="2" t="s">
        <v>336</v>
      </c>
      <c r="C37" s="2" t="s">
        <v>367</v>
      </c>
      <c r="D37" s="2" t="s">
        <v>385</v>
      </c>
    </row>
    <row r="38" spans="1:7" x14ac:dyDescent="0.35">
      <c r="A38" s="2" t="s">
        <v>368</v>
      </c>
      <c r="C38" s="2" t="s">
        <v>367</v>
      </c>
      <c r="D38" s="2" t="s">
        <v>384</v>
      </c>
    </row>
    <row r="39" spans="1:7" x14ac:dyDescent="0.35">
      <c r="A39" s="2" t="s">
        <v>529</v>
      </c>
      <c r="B39">
        <f>'Composition (mass)'!C98</f>
        <v>112.5</v>
      </c>
      <c r="C39" s="2" t="s">
        <v>5</v>
      </c>
      <c r="D39" s="2" t="s">
        <v>528</v>
      </c>
      <c r="G39">
        <f>SUM(B2:B38)</f>
        <v>0.98287539740406937</v>
      </c>
    </row>
    <row r="40" spans="1:7" x14ac:dyDescent="0.35">
      <c r="A40" s="2" t="s">
        <v>558</v>
      </c>
      <c r="C40" s="2" t="s">
        <v>559</v>
      </c>
    </row>
    <row r="41" spans="1:7" x14ac:dyDescent="0.35">
      <c r="A41" s="2" t="s">
        <v>575</v>
      </c>
      <c r="B41" s="39">
        <v>2E-3</v>
      </c>
      <c r="C41" s="2" t="s">
        <v>576</v>
      </c>
      <c r="D41" s="2" t="s">
        <v>577</v>
      </c>
    </row>
    <row r="46" spans="1:7" x14ac:dyDescent="0.35">
      <c r="A46" t="s">
        <v>640</v>
      </c>
      <c r="B46">
        <f>SUM(O2:O40)</f>
        <v>18313.574335839807</v>
      </c>
      <c r="D46">
        <f>SUM(B2:B8)+B22+B26</f>
        <v>0.98156439740406953</v>
      </c>
    </row>
    <row r="47" spans="1:7" x14ac:dyDescent="0.35">
      <c r="A47" t="s">
        <v>641</v>
      </c>
      <c r="B47">
        <f>(B46*0.001)/B39</f>
        <v>0.16278732742968716</v>
      </c>
    </row>
    <row r="48" spans="1:7" x14ac:dyDescent="0.35">
      <c r="A48" t="s">
        <v>653</v>
      </c>
      <c r="B48">
        <f>(P3*0.001)/B39</f>
        <v>6.235190120898057E-3</v>
      </c>
    </row>
    <row r="49" spans="1:4" x14ac:dyDescent="0.35">
      <c r="A49" t="s">
        <v>654</v>
      </c>
      <c r="B49">
        <f>B47/B48</f>
        <v>26.107837014317187</v>
      </c>
    </row>
    <row r="51" spans="1:4" x14ac:dyDescent="0.35">
      <c r="A51" t="s">
        <v>656</v>
      </c>
      <c r="B51">
        <f>SUM(Q2:Q25)</f>
        <v>10771.603665966648</v>
      </c>
    </row>
    <row r="52" spans="1:4" x14ac:dyDescent="0.35">
      <c r="A52" t="s">
        <v>657</v>
      </c>
      <c r="B52">
        <f>(B51*0.001)/B39</f>
        <v>9.5747588141925757E-2</v>
      </c>
    </row>
    <row r="54" spans="1:4" x14ac:dyDescent="0.35">
      <c r="A54" t="s">
        <v>659</v>
      </c>
      <c r="B54">
        <f>SUM(R2:R40)</f>
        <v>79310.939972916749</v>
      </c>
    </row>
    <row r="55" spans="1:4" x14ac:dyDescent="0.35">
      <c r="A55" t="s">
        <v>660</v>
      </c>
      <c r="B55">
        <f>(B54*0.001)/B39</f>
        <v>0.70498613309259339</v>
      </c>
      <c r="D55">
        <f>B47+B48+B52+B55</f>
        <v>0.96975623878510442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topLeftCell="B19" workbookViewId="0">
      <selection activeCell="C26" sqref="C26"/>
    </sheetView>
  </sheetViews>
  <sheetFormatPr baseColWidth="10" defaultRowHeight="14.5" x14ac:dyDescent="0.35"/>
  <sheetData>
    <row r="1" spans="1:38" x14ac:dyDescent="0.35"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636</v>
      </c>
      <c r="H1" t="s">
        <v>618</v>
      </c>
      <c r="L1" t="s">
        <v>648</v>
      </c>
    </row>
    <row r="2" spans="1:38" x14ac:dyDescent="0.35">
      <c r="A2" t="s">
        <v>580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619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581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620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582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621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583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622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584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0.26543624161073825</v>
      </c>
      <c r="F6">
        <f t="shared" si="1"/>
        <v>1.7919884666872614</v>
      </c>
      <c r="H6" t="s">
        <v>623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585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624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586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625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587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0.26543624161073825</v>
      </c>
      <c r="F9">
        <f t="shared" si="4"/>
        <v>1.7919884666872614</v>
      </c>
      <c r="H9" t="s">
        <v>626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588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627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589</v>
      </c>
      <c r="B11">
        <v>0.35</v>
      </c>
      <c r="C11">
        <f>(Variables!L16/Variables!L23)*(stoe!B6/(10-(5*stoe!B6)))</f>
        <v>0.54757953652788671</v>
      </c>
      <c r="D11">
        <f>(Variables!L16/Variables!L26)</f>
        <v>6.6470588235294121</v>
      </c>
      <c r="E11">
        <f>(Variables!L16/Variables!L24)*(stoe!B6/(10-(5*stoe!B6)))</f>
        <v>0.39823966292937218</v>
      </c>
      <c r="F11">
        <f>(Variables!L16/Variables!L22)*(stoe!B6/(9-(2*stoe!B6)))</f>
        <v>0.75599886123312166</v>
      </c>
      <c r="H11" t="s">
        <v>628</v>
      </c>
      <c r="J11">
        <v>0.32944009850789513</v>
      </c>
      <c r="L11">
        <f>C11*(Variables!L$23/Variables!L$14)</f>
        <v>0.15506677140612721</v>
      </c>
    </row>
    <row r="12" spans="1:38" x14ac:dyDescent="0.35">
      <c r="A12" t="s">
        <v>590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629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591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0.26543624161073825</v>
      </c>
      <c r="F13">
        <f t="shared" si="7"/>
        <v>1.7919884666872614</v>
      </c>
      <c r="H13" t="s">
        <v>630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592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631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593</v>
      </c>
      <c r="B15">
        <v>0.35</v>
      </c>
      <c r="C15">
        <f t="shared" ref="C15:F15" si="9">C11</f>
        <v>0.54757953652788671</v>
      </c>
      <c r="D15">
        <f t="shared" si="9"/>
        <v>6.6470588235294121</v>
      </c>
      <c r="E15">
        <f t="shared" si="9"/>
        <v>0.39823966292937218</v>
      </c>
      <c r="F15">
        <f t="shared" si="9"/>
        <v>0.75599886123312166</v>
      </c>
      <c r="H15" t="s">
        <v>632</v>
      </c>
      <c r="J15">
        <v>0.32944009850789513</v>
      </c>
      <c r="L15">
        <f>C15*(Variables!L$23/Variables!L$14)</f>
        <v>0.15506677140612721</v>
      </c>
    </row>
    <row r="16" spans="1:38" x14ac:dyDescent="0.35">
      <c r="A16" t="s">
        <v>594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633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595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609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596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611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597</v>
      </c>
      <c r="B19">
        <v>0.35</v>
      </c>
      <c r="C19">
        <f>(Variables!L19/Variables!L23)*(stoe!B10/(10-((21/2)*stoe!B10)))</f>
        <v>0.53139931294248943</v>
      </c>
      <c r="D19">
        <f>Variables!L19/Variables!L26</f>
        <v>14.529411764705882</v>
      </c>
      <c r="E19">
        <f>(Variables!L19/Variables!L24)*(stoe!B10/(10-(10*stoe!B10)))</f>
        <v>0.37361153681113224</v>
      </c>
      <c r="F19">
        <f>(Variables!L19/Variables!L22)*(stoe!B10/(9-(7*stoe!B10)))</f>
        <v>0.88400452537910901</v>
      </c>
      <c r="H19" t="s">
        <v>613</v>
      </c>
      <c r="J19">
        <v>0.35162784939961444</v>
      </c>
      <c r="L19">
        <f>C19*(Variables!L$23/Variables!L$18)</f>
        <v>6.884525511805531E-2</v>
      </c>
    </row>
    <row r="20" spans="1:12" x14ac:dyDescent="0.35">
      <c r="A20" t="s">
        <v>598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615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599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616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600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610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601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612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602</v>
      </c>
      <c r="B24">
        <v>0.35</v>
      </c>
      <c r="C24">
        <f t="shared" ref="C24:F24" si="13">C19</f>
        <v>0.53139931294248943</v>
      </c>
      <c r="D24">
        <f t="shared" si="13"/>
        <v>14.529411764705882</v>
      </c>
      <c r="E24">
        <f t="shared" si="13"/>
        <v>0.37361153681113224</v>
      </c>
      <c r="F24">
        <f t="shared" si="13"/>
        <v>0.88400452537910901</v>
      </c>
      <c r="H24" t="s">
        <v>614</v>
      </c>
      <c r="J24">
        <v>0.35162784939961444</v>
      </c>
      <c r="L24">
        <f>C24*(Variables!L$23/Variables!L$18)</f>
        <v>6.884525511805531E-2</v>
      </c>
    </row>
    <row r="25" spans="1:12" x14ac:dyDescent="0.35">
      <c r="A25" t="s">
        <v>603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617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634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635</v>
      </c>
    </row>
    <row r="28" spans="1:12" x14ac:dyDescent="0.35">
      <c r="A28" t="s">
        <v>649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6" sqref="B6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0.87345132743362819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0.39959514170040483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9"/>
  <sheetViews>
    <sheetView topLeftCell="A34" workbookViewId="0">
      <selection activeCell="C37" sqref="C37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0.01</v>
      </c>
      <c r="C28" s="2" t="s">
        <v>255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7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7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7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7" s="34" customFormat="1" hidden="1" x14ac:dyDescent="0.35">
      <c r="A52" s="34" t="s">
        <v>415</v>
      </c>
      <c r="B52" s="34">
        <v>1000</v>
      </c>
      <c r="C52" s="34" t="s">
        <v>409</v>
      </c>
    </row>
    <row r="53" spans="1:7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7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7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7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7" x14ac:dyDescent="0.35">
      <c r="A57" s="26" t="s">
        <v>537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538</v>
      </c>
    </row>
    <row r="58" spans="1:7" x14ac:dyDescent="0.35">
      <c r="A58" s="26" t="s">
        <v>663</v>
      </c>
      <c r="B58" s="26">
        <v>7.0999999999999994E-2</v>
      </c>
      <c r="C58" s="26" t="s">
        <v>661</v>
      </c>
      <c r="D58" s="27" t="s">
        <v>662</v>
      </c>
    </row>
    <row r="59" spans="1:7" x14ac:dyDescent="0.35">
      <c r="A59" s="26" t="s">
        <v>664</v>
      </c>
      <c r="B59" s="26">
        <v>1.1299999999999999</v>
      </c>
      <c r="C59" s="26" t="s">
        <v>665</v>
      </c>
      <c r="D59" s="27" t="s">
        <v>666</v>
      </c>
    </row>
    <row r="60" spans="1:7" x14ac:dyDescent="0.35">
      <c r="A60" s="26" t="s">
        <v>667</v>
      </c>
      <c r="B60" s="26">
        <v>0.84199999999999997</v>
      </c>
      <c r="C60" s="26" t="s">
        <v>668</v>
      </c>
      <c r="D60" s="27"/>
    </row>
    <row r="61" spans="1:7" x14ac:dyDescent="0.35">
      <c r="A61" s="23" t="s">
        <v>471</v>
      </c>
      <c r="B61" s="38">
        <v>5.352E-4</v>
      </c>
      <c r="C61" s="26" t="s">
        <v>556</v>
      </c>
      <c r="D61" s="27" t="s">
        <v>489</v>
      </c>
      <c r="F61" s="37" t="s">
        <v>557</v>
      </c>
    </row>
    <row r="62" spans="1:7" x14ac:dyDescent="0.35">
      <c r="A62" s="23" t="s">
        <v>488</v>
      </c>
      <c r="B62" s="26">
        <v>0.72</v>
      </c>
      <c r="C62" s="26" t="s">
        <v>530</v>
      </c>
      <c r="D62" s="27" t="s">
        <v>510</v>
      </c>
      <c r="F62" s="23" t="s">
        <v>555</v>
      </c>
      <c r="G62" s="23" t="s">
        <v>508</v>
      </c>
    </row>
    <row r="63" spans="1:7" x14ac:dyDescent="0.35">
      <c r="A63" s="23" t="s">
        <v>515</v>
      </c>
      <c r="B63" s="26">
        <v>3.3000000000000002E-2</v>
      </c>
      <c r="C63" s="23" t="s">
        <v>535</v>
      </c>
      <c r="D63" s="23" t="s">
        <v>516</v>
      </c>
      <c r="F63" s="23" t="s">
        <v>555</v>
      </c>
    </row>
    <row r="64" spans="1:7" x14ac:dyDescent="0.35">
      <c r="A64" s="23" t="s">
        <v>517</v>
      </c>
      <c r="B64" s="38">
        <v>400000</v>
      </c>
      <c r="C64" s="23" t="s">
        <v>554</v>
      </c>
      <c r="D64" s="23" t="s">
        <v>518</v>
      </c>
      <c r="F64" s="23" t="s">
        <v>519</v>
      </c>
    </row>
    <row r="65" spans="1:8" x14ac:dyDescent="0.35">
      <c r="A65" s="23" t="s">
        <v>526</v>
      </c>
      <c r="B65" s="36">
        <v>1.9000000000000001E-5</v>
      </c>
      <c r="C65" s="23" t="s">
        <v>535</v>
      </c>
      <c r="G65" s="26">
        <v>0.6</v>
      </c>
      <c r="H65" s="23" t="s">
        <v>335</v>
      </c>
    </row>
    <row r="66" spans="1:8" x14ac:dyDescent="0.35">
      <c r="A66" s="23" t="s">
        <v>337</v>
      </c>
      <c r="B66" s="26">
        <v>0.4</v>
      </c>
    </row>
    <row r="67" spans="1:8" x14ac:dyDescent="0.35">
      <c r="A67" s="23" t="s">
        <v>340</v>
      </c>
      <c r="B67" s="26">
        <v>0.6</v>
      </c>
    </row>
    <row r="68" spans="1:8" x14ac:dyDescent="0.35">
      <c r="A68" s="23" t="s">
        <v>549</v>
      </c>
      <c r="B68" s="23">
        <v>0.26700000000000002</v>
      </c>
      <c r="C68" s="23" t="s">
        <v>539</v>
      </c>
      <c r="D68" s="23" t="s">
        <v>540</v>
      </c>
    </row>
    <row r="69" spans="1:8" x14ac:dyDescent="0.35">
      <c r="A69" s="23" t="s">
        <v>550</v>
      </c>
      <c r="B69" s="23">
        <v>0.375</v>
      </c>
      <c r="C69" s="23" t="s">
        <v>541</v>
      </c>
      <c r="D69" s="23" t="s">
        <v>542</v>
      </c>
    </row>
    <row r="70" spans="1:8" x14ac:dyDescent="0.35">
      <c r="A70" s="23" t="s">
        <v>551</v>
      </c>
      <c r="B70" s="23">
        <v>0.70699999999999996</v>
      </c>
      <c r="C70" s="23" t="s">
        <v>543</v>
      </c>
      <c r="D70" s="23" t="s">
        <v>544</v>
      </c>
    </row>
    <row r="71" spans="1:8" x14ac:dyDescent="0.35">
      <c r="A71" s="23" t="s">
        <v>552</v>
      </c>
      <c r="B71" s="23">
        <v>0.28399999999999997</v>
      </c>
      <c r="C71" s="23" t="s">
        <v>545</v>
      </c>
      <c r="D71" s="23" t="s">
        <v>546</v>
      </c>
    </row>
    <row r="72" spans="1:8" x14ac:dyDescent="0.35">
      <c r="A72" s="23" t="s">
        <v>553</v>
      </c>
      <c r="B72" s="23">
        <v>0.53500000000000003</v>
      </c>
      <c r="C72" s="23" t="s">
        <v>547</v>
      </c>
      <c r="D72" s="23" t="s">
        <v>548</v>
      </c>
    </row>
    <row r="73" spans="1:8" x14ac:dyDescent="0.35">
      <c r="A73" s="23" t="s">
        <v>560</v>
      </c>
      <c r="B73" s="23">
        <v>1.1200000000000001</v>
      </c>
      <c r="C73" s="23" t="s">
        <v>562</v>
      </c>
      <c r="D73" t="s">
        <v>561</v>
      </c>
      <c r="F73" t="s">
        <v>563</v>
      </c>
    </row>
    <row r="74" spans="1:8" x14ac:dyDescent="0.35">
      <c r="A74" s="23" t="s">
        <v>564</v>
      </c>
      <c r="B74" s="23">
        <v>440</v>
      </c>
      <c r="C74" s="23" t="s">
        <v>565</v>
      </c>
      <c r="D74" s="23" t="s">
        <v>566</v>
      </c>
    </row>
    <row r="75" spans="1:8" x14ac:dyDescent="0.35">
      <c r="A75" s="26" t="s">
        <v>511</v>
      </c>
      <c r="B75" s="26">
        <v>0.44</v>
      </c>
      <c r="C75" s="26" t="s">
        <v>512</v>
      </c>
      <c r="D75" s="27" t="s">
        <v>513</v>
      </c>
      <c r="E75" s="26"/>
      <c r="F75" s="26" t="s">
        <v>514</v>
      </c>
    </row>
    <row r="76" spans="1:8" x14ac:dyDescent="0.35">
      <c r="A76" s="23" t="s">
        <v>567</v>
      </c>
      <c r="B76" s="36">
        <v>1.0049999999999999</v>
      </c>
      <c r="C76" s="23" t="s">
        <v>569</v>
      </c>
    </row>
    <row r="77" spans="1:8" x14ac:dyDescent="0.35">
      <c r="A77" s="23" t="s">
        <v>568</v>
      </c>
    </row>
    <row r="78" spans="1:8" x14ac:dyDescent="0.35">
      <c r="A78" s="23" t="s">
        <v>643</v>
      </c>
      <c r="B78" s="36">
        <v>600</v>
      </c>
      <c r="C78" s="23" t="s">
        <v>644</v>
      </c>
    </row>
    <row r="79" spans="1:8" x14ac:dyDescent="0.35">
      <c r="A79" s="23" t="s">
        <v>645</v>
      </c>
      <c r="B79" s="23">
        <v>1.2929999999999999</v>
      </c>
      <c r="C79" s="23" t="s">
        <v>644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C10" sqref="C10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642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578</v>
      </c>
      <c r="B13" s="30" t="s">
        <v>579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570</v>
      </c>
      <c r="B2">
        <f>0.0000015*3600*('Composition (mass)'!C98-aer!D97)</f>
        <v>0.60750000000000004</v>
      </c>
      <c r="C2" t="s">
        <v>573</v>
      </c>
    </row>
    <row r="3" spans="1:3" x14ac:dyDescent="0.35">
      <c r="A3" t="s">
        <v>571</v>
      </c>
      <c r="B3">
        <f>0.0006*1.2*60*'Composition (mass)'!C98</f>
        <v>4.8599999999999994</v>
      </c>
      <c r="C3" t="s">
        <v>574</v>
      </c>
    </row>
    <row r="4" spans="1:3" x14ac:dyDescent="0.35">
      <c r="B4" t="s">
        <v>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  <vt:lpstr>Feuil1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2024-11-19T03:51:33Z</dcterms:modified>
</cp:coreProperties>
</file>