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03515718-42FE-40F5-9685-653FE26B1093}" xr6:coauthVersionLast="36" xr6:coauthVersionMax="36" xr10:uidLastSave="{00000000-0000-0000-0000-000000000000}"/>
  <bookViews>
    <workbookView xWindow="0" yWindow="0" windowWidth="19200" windowHeight="6930" firstSheet="1" activeTab="2" xr2:uid="{14B8D0C9-091E-43B5-9C59-8A05020574F1}"/>
  </bookViews>
  <sheets>
    <sheet name="Composition of waste" sheetId="4" r:id="rId1"/>
    <sheet name="Composition (mass)" sheetId="6" r:id="rId2"/>
    <sheet name="Variables" sheetId="1" r:id="rId3"/>
    <sheet name="Xyield" sheetId="10" r:id="rId4"/>
    <sheet name="stoe" sheetId="7" r:id="rId5"/>
    <sheet name="kinetics" sheetId="2" r:id="rId6"/>
    <sheet name="tech" sheetId="3" r:id="rId7"/>
    <sheet name="aer" sheetId="9" r:id="rId8"/>
    <sheet name="reg" sheetId="8" r:id="rId9"/>
  </sheets>
  <definedNames>
    <definedName name="_xlnm._FilterDatabase" localSheetId="1" hidden="1">'Composition (mass)'!$B$1:$B$98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C96" i="6" l="1"/>
  <c r="E96" i="6" l="1"/>
  <c r="R96" i="6" s="1"/>
  <c r="D96" i="6"/>
  <c r="T96" i="6" l="1"/>
  <c r="BK96" i="6"/>
  <c r="F96" i="6"/>
  <c r="BO96" i="6"/>
  <c r="BP96" i="6"/>
  <c r="BR96" i="6"/>
  <c r="BL96" i="6"/>
  <c r="BN96" i="6"/>
  <c r="G96" i="6"/>
  <c r="J96" i="6"/>
  <c r="C66" i="6"/>
  <c r="C2" i="6"/>
  <c r="R97" i="4"/>
  <c r="F97" i="4"/>
  <c r="C98" i="6"/>
  <c r="C14" i="6"/>
  <c r="C80" i="6"/>
  <c r="C10" i="6"/>
  <c r="C84" i="6"/>
  <c r="C77" i="6"/>
  <c r="C81" i="6"/>
  <c r="C83" i="6"/>
  <c r="C6" i="6"/>
  <c r="C5" i="6"/>
  <c r="C4" i="6"/>
  <c r="L18" i="1" l="1"/>
  <c r="D10" i="3" l="1"/>
  <c r="B2" i="3"/>
  <c r="L17" i="10"/>
  <c r="L18" i="10"/>
  <c r="L19" i="10"/>
  <c r="L20" i="10"/>
  <c r="L21" i="10"/>
  <c r="L22" i="10"/>
  <c r="L23" i="10"/>
  <c r="L24" i="10"/>
  <c r="L25" i="10"/>
  <c r="L16" i="10"/>
  <c r="L7" i="10"/>
  <c r="L8" i="10"/>
  <c r="L9" i="10"/>
  <c r="L10" i="10"/>
  <c r="L11" i="10"/>
  <c r="L12" i="10"/>
  <c r="L13" i="10"/>
  <c r="L14" i="10"/>
  <c r="L15" i="10"/>
  <c r="L6" i="10"/>
  <c r="L5" i="10"/>
  <c r="L4" i="10"/>
  <c r="L3" i="10"/>
  <c r="L2" i="10"/>
  <c r="G26" i="10" l="1"/>
  <c r="E6" i="3" l="1"/>
  <c r="E4" i="3"/>
  <c r="E3" i="3"/>
  <c r="E2" i="3"/>
  <c r="L25" i="1" l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2" i="10"/>
  <c r="D12" i="10" s="1"/>
  <c r="L20" i="1"/>
  <c r="L23" i="1"/>
  <c r="L24" i="1"/>
  <c r="L26" i="1"/>
  <c r="L22" i="1"/>
  <c r="D10" i="10" l="1"/>
  <c r="D7" i="10"/>
  <c r="D12" i="3"/>
  <c r="D11" i="3"/>
  <c r="L14" i="1" l="1"/>
  <c r="S5" i="1" l="1"/>
  <c r="V5" i="1"/>
  <c r="U5" i="1"/>
  <c r="V4" i="1"/>
  <c r="U4" i="1"/>
  <c r="V3" i="1"/>
  <c r="U3" i="1"/>
  <c r="R5" i="1"/>
  <c r="S4" i="1"/>
  <c r="S3" i="1"/>
  <c r="T4" i="1"/>
  <c r="T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T6" i="1" l="1"/>
  <c r="T5" i="1"/>
  <c r="R4" i="1"/>
  <c r="R3" i="1"/>
  <c r="B4" i="3"/>
  <c r="C4" i="3"/>
  <c r="C12" i="3"/>
  <c r="C3" i="3"/>
  <c r="B3" i="3"/>
  <c r="C11" i="3"/>
  <c r="C2" i="3"/>
  <c r="C10" i="3"/>
  <c r="L15" i="1" l="1"/>
  <c r="L16" i="1"/>
  <c r="L17" i="1"/>
  <c r="L19" i="1"/>
  <c r="L21" i="1"/>
  <c r="L8" i="1"/>
  <c r="L9" i="1"/>
  <c r="L10" i="1"/>
  <c r="L11" i="1"/>
  <c r="L12" i="1"/>
  <c r="L13" i="1"/>
  <c r="L3" i="1"/>
  <c r="T7" i="1" s="1"/>
  <c r="L4" i="1"/>
  <c r="R7" i="1" s="1"/>
  <c r="L5" i="1"/>
  <c r="S7" i="1" s="1"/>
  <c r="L7" i="1"/>
  <c r="V7" i="1" s="1"/>
  <c r="L2" i="1"/>
  <c r="U7" i="1" s="1"/>
  <c r="B11" i="7" l="1"/>
  <c r="B10" i="7"/>
  <c r="B6" i="7"/>
  <c r="B5" i="7"/>
  <c r="B9" i="7"/>
  <c r="B8" i="7"/>
  <c r="B4" i="7"/>
  <c r="B3" i="7"/>
  <c r="B7" i="7"/>
  <c r="H98" i="6"/>
  <c r="I98" i="6"/>
  <c r="K98" i="6"/>
  <c r="L98" i="6"/>
  <c r="M98" i="6"/>
  <c r="N98" i="6"/>
  <c r="O98" i="6"/>
  <c r="P98" i="6"/>
  <c r="Q98" i="6"/>
  <c r="S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E98" i="6" l="1"/>
  <c r="D98" i="6"/>
  <c r="B22" i="1" s="1"/>
  <c r="B3" i="9"/>
  <c r="B2" i="9"/>
  <c r="B39" i="1"/>
  <c r="C2" i="10"/>
  <c r="E2" i="10"/>
  <c r="F2" i="10"/>
  <c r="F3" i="10"/>
  <c r="C3" i="10"/>
  <c r="E3" i="10"/>
  <c r="D3" i="10"/>
  <c r="C17" i="10"/>
  <c r="C22" i="10" s="1"/>
  <c r="D17" i="10"/>
  <c r="D22" i="10" s="1"/>
  <c r="F17" i="10"/>
  <c r="F22" i="10" s="1"/>
  <c r="E17" i="10"/>
  <c r="E22" i="10" s="1"/>
  <c r="C18" i="10"/>
  <c r="C23" i="10" s="1"/>
  <c r="F18" i="10"/>
  <c r="F23" i="10" s="1"/>
  <c r="E18" i="10"/>
  <c r="E23" i="10" s="1"/>
  <c r="F4" i="10"/>
  <c r="E4" i="10"/>
  <c r="C4" i="10"/>
  <c r="F11" i="10"/>
  <c r="F15" i="10" s="1"/>
  <c r="E11" i="10"/>
  <c r="E15" i="10" s="1"/>
  <c r="C11" i="10"/>
  <c r="C15" i="10" s="1"/>
  <c r="E19" i="10"/>
  <c r="E24" i="10" s="1"/>
  <c r="C19" i="10"/>
  <c r="C24" i="10" s="1"/>
  <c r="F19" i="10"/>
  <c r="F24" i="10" s="1"/>
  <c r="F16" i="10"/>
  <c r="F21" i="10" s="1"/>
  <c r="C16" i="10"/>
  <c r="C21" i="10" s="1"/>
  <c r="E16" i="10"/>
  <c r="E21" i="10" s="1"/>
  <c r="C20" i="10"/>
  <c r="C25" i="10" s="1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O98" i="6" l="1"/>
  <c r="B3" i="1" s="1"/>
  <c r="N3" i="1" s="1"/>
  <c r="G98" i="6"/>
  <c r="B8" i="1" s="1"/>
  <c r="BP98" i="6"/>
  <c r="B4" i="1" s="1"/>
  <c r="N4" i="1" s="1"/>
  <c r="O4" i="1" s="1"/>
  <c r="R98" i="6"/>
  <c r="T98" i="6"/>
  <c r="J98" i="6"/>
  <c r="F98" i="6"/>
  <c r="BK98" i="6"/>
  <c r="B6" i="1" s="1"/>
  <c r="N6" i="1" s="1"/>
  <c r="O6" i="1" s="1"/>
  <c r="BN98" i="6"/>
  <c r="B7" i="1" s="1"/>
  <c r="N7" i="1" s="1"/>
  <c r="O7" i="1" s="1"/>
  <c r="BL98" i="6"/>
  <c r="B5" i="1" s="1"/>
  <c r="N5" i="1" s="1"/>
  <c r="O5" i="1" s="1"/>
  <c r="BR98" i="6"/>
  <c r="B2" i="1" s="1"/>
  <c r="N2" i="1" s="1"/>
  <c r="O2" i="1" s="1"/>
  <c r="B17" i="1"/>
  <c r="B16" i="1"/>
  <c r="B14" i="1"/>
  <c r="B20" i="1"/>
  <c r="B15" i="1"/>
  <c r="B19" i="1"/>
  <c r="B18" i="1"/>
  <c r="D13" i="10"/>
  <c r="D6" i="10"/>
  <c r="D9" i="10"/>
  <c r="E13" i="10"/>
  <c r="E6" i="10"/>
  <c r="E9" i="10"/>
  <c r="F14" i="10"/>
  <c r="F7" i="10"/>
  <c r="F10" i="10"/>
  <c r="C13" i="10"/>
  <c r="C6" i="10"/>
  <c r="C9" i="10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C7" i="10"/>
  <c r="C10" i="10"/>
  <c r="C8" i="10"/>
  <c r="C12" i="10"/>
  <c r="C5" i="10"/>
  <c r="O3" i="1" l="1"/>
  <c r="B46" i="1" s="1"/>
  <c r="B47" i="1" s="1"/>
  <c r="P3" i="1"/>
  <c r="B26" i="1" s="1"/>
  <c r="B104" i="6"/>
  <c r="B106" i="6" l="1"/>
  <c r="B107" i="6" s="1"/>
</calcChain>
</file>

<file path=xl/sharedStrings.xml><?xml version="1.0" encoding="utf-8"?>
<sst xmlns="http://schemas.openxmlformats.org/spreadsheetml/2006/main" count="1163" uniqueCount="655">
  <si>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</si>
  <si>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</si>
  <si>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</si>
  <si>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</si>
  <si>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</si>
  <si>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</si>
  <si>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</si>
  <si>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</si>
  <si>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</si>
  <si>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</si>
  <si>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</si>
  <si>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</si>
  <si>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</si>
  <si>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</si>
  <si>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</si>
  <si>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</si>
  <si>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</si>
  <si>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</si>
  <si>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</si>
  <si>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</si>
  <si>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</si>
  <si>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</si>
  <si>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</si>
  <si>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</si>
  <si>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</si>
  <si>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</si>
  <si>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</si>
  <si>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</si>
  <si>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</si>
  <si>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</si>
  <si>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</si>
  <si>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</si>
  <si>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</si>
  <si>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</si>
  <si>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</si>
  <si>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</si>
  <si>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</si>
  <si>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</si>
  <si>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</si>
  <si>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</si>
  <si>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</si>
  <si>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</si>
  <si>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</si>
  <si>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</si>
  <si>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</si>
  <si>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</si>
  <si>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</si>
  <si>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</si>
  <si>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</si>
  <si>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</si>
  <si>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</si>
  <si>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</si>
  <si>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</si>
  <si>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</si>
  <si>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</si>
  <si>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</si>
  <si>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</si>
  <si>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</si>
  <si>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</si>
  <si>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</si>
  <si>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</si>
  <si>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</si>
  <si>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</si>
  <si>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</si>
  <si>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</si>
  <si>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</si>
  <si>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</si>
  <si>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</si>
  <si>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</si>
  <si>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</si>
  <si>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</si>
  <si>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</si>
  <si>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</si>
  <si>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</si>
  <si>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</si>
  <si>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</si>
  <si>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</si>
  <si>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</si>
  <si>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</si>
  <si>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</si>
  <si>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</si>
  <si>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</si>
  <si>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</si>
  <si>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</si>
  <si>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</si>
  <si>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</si>
  <si>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</si>
  <si>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</si>
  <si>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</si>
  <si>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</si>
  <si>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</si>
  <si>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</si>
  <si>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</si>
  <si>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</si>
  <si>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</si>
  <si>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</si>
  <si>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</si>
  <si>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</si>
  <si>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</si>
  <si>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</si>
  <si>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</si>
  <si>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</si>
  <si>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</si>
  <si>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</si>
  <si>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</si>
  <si>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</si>
  <si>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</si>
  <si>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</si>
  <si>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</si>
  <si>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</si>
  <si>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</si>
  <si>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</si>
  <si>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</si>
  <si>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</si>
  <si>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</si>
  <si>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</si>
  <si>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</si>
  <si>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</si>
  <si>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</si>
  <si>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</si>
  <si>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</si>
  <si>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</si>
  <si>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</si>
  <si>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</si>
  <si>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</si>
  <si>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</si>
  <si>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</si>
  <si>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</si>
  <si>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</si>
  <si>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</si>
  <si>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</si>
  <si>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</si>
  <si>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</si>
  <si>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</si>
  <si>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</si>
  <si>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</si>
  <si>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</si>
  <si>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</si>
  <si>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</si>
  <si>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</si>
  <si>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</si>
  <si>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</si>
  <si>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</si>
  <si>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</si>
  <si>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</si>
  <si>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</si>
  <si>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</si>
  <si>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</si>
  <si>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</si>
  <si>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</si>
  <si>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</si>
  <si>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</si>
  <si>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</si>
  <si>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</si>
  <si>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</si>
  <si>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</si>
  <si>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</si>
  <si>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</si>
  <si>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</si>
  <si>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</si>
  <si>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</si>
  <si>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</si>
  <si>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</si>
  <si>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</si>
  <si>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</si>
  <si>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</si>
  <si>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</si>
  <si>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</si>
  <si>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</si>
  <si>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</si>
  <si>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</si>
  <si>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</si>
  <si>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</si>
  <si>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</si>
  <si>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</si>
  <si>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</si>
  <si>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</si>
  <si>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</si>
  <si>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</si>
  <si>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</si>
  <si>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</si>
  <si>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</si>
  <si>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</si>
  <si>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</si>
  <si>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</si>
  <si>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</si>
  <si>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</si>
  <si>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</si>
  <si>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</si>
  <si>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</si>
  <si>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</si>
  <si>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</si>
  <si>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</si>
  <si>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</si>
  <si>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</si>
  <si>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</si>
  <si>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</si>
  <si>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</si>
  <si>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</si>
  <si>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</si>
  <si>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</si>
  <si>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</si>
  <si>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</si>
  <si>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</si>
  <si>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</si>
  <si>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</si>
  <si>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</si>
  <si>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</si>
  <si>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</si>
  <si>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</si>
  <si>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</si>
  <si>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</si>
  <si>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</si>
  <si>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</si>
  <si>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</si>
  <si>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</si>
  <si>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</si>
  <si>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</si>
  <si>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</si>
  <si>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</si>
  <si>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</si>
  <si>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</si>
  <si>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</si>
  <si>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</si>
  <si>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</si>
  <si>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</si>
  <si>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</si>
  <si>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</si>
  <si>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</si>
  <si>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</si>
  <si>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</si>
  <si>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</si>
  <si>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</si>
  <si>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</si>
  <si>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</si>
  <si>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</si>
  <si>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</si>
  <si>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</si>
  <si>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</si>
  <si>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</si>
  <si>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</si>
  <si>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</si>
  <si>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</si>
  <si>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</si>
  <si>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</si>
  <si>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</si>
  <si>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</si>
  <si>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</si>
  <si>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</si>
  <si>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</si>
  <si>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</si>
  <si>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</si>
  <si>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</si>
  <si>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</si>
  <si>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</si>
  <si>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</si>
  <si>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</si>
  <si>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</si>
  <si>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</si>
  <si>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</si>
  <si>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</si>
  <si>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</si>
  <si>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</si>
  <si>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</si>
  <si>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</si>
  <si>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</si>
  <si>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</si>
  <si>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</si>
  <si>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</si>
  <si>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</si>
  <si>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</si>
  <si>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</si>
  <si>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</si>
  <si>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</si>
  <si>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</si>
  <si>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</si>
  <si>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</si>
  <si>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</si>
  <si>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</si>
  <si>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</si>
  <si>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</si>
  <si>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</si>
  <si>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</si>
  <si>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</si>
  <si>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</si>
  <si>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</si>
  <si>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</si>
  <si>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</si>
  <si>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</si>
  <si>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</si>
  <si>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</si>
  <si>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</si>
  <si>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</si>
  <si>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</si>
  <si>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</si>
  <si>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</si>
  <si>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</si>
  <si>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</si>
  <si>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</si>
  <si>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</si>
  <si>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</si>
  <si>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</si>
  <si>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</si>
  <si>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</si>
  <si>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</si>
  <si>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</si>
  <si>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</si>
  <si>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</si>
  <si>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</si>
  <si>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</si>
  <si>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</si>
  <si>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</si>
  <si>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</si>
  <si>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</si>
  <si>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</si>
  <si>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</si>
  <si>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</si>
  <si>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</si>
  <si>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</si>
  <si>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</si>
  <si>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</si>
  <si>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</si>
  <si>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</si>
  <si>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</si>
  <si>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</si>
  <si>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</si>
  <si>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</si>
  <si>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</si>
  <si>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</si>
  <si>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</si>
  <si>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</si>
  <si>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</si>
  <si>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</si>
  <si>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</si>
  <si>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</si>
  <si>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</si>
  <si>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</si>
  <si>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</si>
  <si>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</si>
  <si>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</si>
  <si>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</si>
  <si>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</si>
  <si>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</si>
  <si>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</si>
  <si>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</si>
  <si>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</si>
  <si>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</si>
  <si>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</si>
  <si>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</si>
  <si>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</si>
  <si>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</si>
  <si>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</si>
  <si>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</si>
  <si>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</si>
  <si>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</si>
  <si>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</si>
  <si>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</si>
  <si>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</si>
  <si>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</si>
  <si>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</si>
  <si>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</si>
  <si>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</si>
  <si>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</si>
  <si>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</si>
  <si>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</si>
  <si>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</si>
  <si>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</si>
  <si>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</si>
  <si>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</si>
  <si>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</si>
  <si>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</si>
  <si>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</si>
  <si>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</si>
  <si>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</si>
  <si>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</si>
  <si>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</si>
  <si>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</si>
  <si>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</si>
  <si>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</si>
  <si>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</si>
  <si>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</si>
  <si>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</si>
  <si>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</si>
  <si>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</si>
  <si>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</si>
  <si>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</si>
  <si>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</si>
  <si>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</si>
  <si>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</si>
  <si>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</si>
  <si>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</si>
  <si>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</si>
  <si>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</si>
  <si>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</si>
  <si>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</si>
  <si>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</si>
  <si>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</si>
  <si>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</si>
  <si>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</si>
  <si>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</si>
  <si>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</si>
  <si>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</si>
  <si>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</si>
  <si>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</si>
  <si>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</si>
  <si>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</si>
  <si>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</si>
  <si>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</si>
  <si>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</si>
  <si>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</si>
  <si>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</si>
  <si>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</si>
  <si>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</si>
  <si>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</si>
  <si>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</si>
  <si>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</si>
  <si>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</si>
  <si>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</si>
  <si>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</si>
  <si>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</si>
  <si>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</si>
  <si>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</si>
  <si>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</si>
  <si>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</si>
  <si>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</si>
  <si>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</si>
  <si>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</si>
  <si>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</si>
  <si>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</si>
  <si>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</si>
  <si>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</si>
  <si>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</si>
  <si>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</si>
  <si>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</si>
  <si>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</si>
  <si>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</si>
  <si>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</si>
  <si>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</si>
  <si>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</si>
  <si>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</si>
  <si>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</si>
  <si>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</si>
  <si>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</si>
  <si>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</si>
  <si>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</si>
  <si>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</si>
  <si>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</si>
  <si>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</si>
  <si>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</si>
  <si>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</si>
  <si>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</si>
  <si>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</si>
  <si>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</si>
  <si>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</si>
  <si>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</si>
  <si>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</si>
  <si>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</si>
  <si>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</si>
  <si>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</si>
  <si>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</si>
  <si>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</si>
  <si>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</si>
  <si>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</si>
  <si>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</si>
  <si>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</si>
  <si>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</si>
  <si>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</si>
  <si>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</si>
  <si>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</si>
  <si>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</si>
  <si>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</si>
  <si>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</si>
  <si>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</si>
  <si>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</si>
  <si>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</si>
  <si>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</si>
  <si>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!!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</si>
  <si>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</si>
  <si>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</si>
  <si>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</si>
  <si>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</si>
  <si>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</si>
  <si>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</si>
  <si>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</si>
  <si>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</si>
  <si>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</si>
  <si>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</si>
  <si>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</si>
  <si>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</si>
  <si>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</si>
  <si>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</si>
  <si>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</si>
  <si>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</si>
  <si>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</si>
  <si>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</si>
  <si>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</si>
  <si>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</si>
  <si>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</si>
  <si>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</si>
  <si>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</si>
  <si>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</si>
  <si>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</si>
  <si>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</si>
  <si>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</si>
  <si>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</si>
  <si>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</si>
  <si>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</si>
  <si>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</si>
  <si>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</si>
  <si>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</si>
  <si>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</si>
  <si>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</si>
  <si>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</si>
  <si>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</si>
  <si>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</si>
  <si>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</si>
  <si>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</si>
  <si>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</si>
  <si>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</si>
  <si>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</si>
  <si>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</si>
  <si>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</si>
  <si>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</si>
  <si>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</si>
  <si>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</si>
  <si>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</si>
  <si>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</si>
  <si>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</si>
  <si>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</si>
  <si>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</si>
  <si>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</si>
  <si>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</si>
  <si>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</si>
  <si>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</si>
  <si>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</si>
  <si>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</si>
  <si>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</si>
  <si>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</si>
  <si>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</si>
  <si>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</si>
  <si>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</si>
  <si>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</si>
  <si>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</si>
  <si>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</si>
  <si>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</si>
  <si>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</si>
  <si>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</si>
  <si>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</si>
  <si>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</si>
  <si>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</si>
  <si>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</si>
  <si>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</si>
  <si>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</si>
  <si>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</si>
  <si>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</si>
  <si>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</si>
  <si>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</si>
  <si>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</si>
  <si>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</si>
  <si>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</si>
  <si>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</si>
  <si>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</si>
  <si>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</si>
  <si>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</si>
  <si>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</si>
  <si>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</si>
  <si>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</si>
  <si>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</si>
  <si>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</si>
  <si>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</si>
  <si>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</si>
  <si>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</si>
  <si>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</si>
  <si>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</si>
  <si>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</si>
  <si>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</si>
  <si>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</si>
  <si>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</si>
  <si>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</si>
  <si>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</si>
  <si>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</si>
  <si>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</si>
  <si>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</si>
  <si>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</si>
  <si>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</si>
  <si>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</si>
  <si>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</si>
  <si>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</si>
  <si>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</si>
  <si>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</si>
  <si>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</si>
  <si>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</si>
  <si>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</si>
  <si>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</si>
  <si>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</si>
  <si>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</si>
  <si>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</si>
  <si>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</si>
  <si>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</si>
  <si>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</si>
  <si>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</si>
  <si>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</si>
  <si>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</si>
  <si>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</si>
  <si>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</si>
  <si>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</si>
  <si>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</si>
  <si>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</si>
  <si>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</si>
  <si>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</si>
  <si>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</si>
  <si>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</si>
  <si>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</si>
  <si>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</si>
  <si>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</si>
  <si>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</si>
  <si>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</si>
  <si>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</si>
  <si>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</si>
  <si>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</si>
  <si>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</si>
  <si>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</si>
  <si>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</si>
  <si>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</si>
  <si>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</si>
  <si>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</si>
  <si>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</si>
  <si>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</si>
  <si>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</si>
  <si>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</si>
  <si>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</si>
  <si>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</si>
  <si>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</si>
  <si>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</si>
  <si>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</si>
  <si>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</si>
  <si>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</si>
  <si>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</si>
  <si>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</si>
  <si>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</si>
  <si>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</si>
  <si>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masse C (g)</t>
  </si>
  <si>
    <t>masse C (kg/kgTM)</t>
  </si>
  <si>
    <t>Vreacteur</t>
  </si>
  <si>
    <t>rho_waste</t>
  </si>
  <si>
    <t>kg.m-3</t>
  </si>
  <si>
    <t>rho_air</t>
  </si>
  <si>
    <t>m(Carbone) (g)</t>
  </si>
  <si>
    <t>m(N-org)(g)</t>
  </si>
  <si>
    <t>Y(X/O2)(molX/molO2)</t>
  </si>
  <si>
    <t>Y (kgX/kgS)</t>
  </si>
  <si>
    <t>Others (Katarzyna Slopiecka)</t>
  </si>
  <si>
    <t>Wood chips</t>
  </si>
  <si>
    <t>WC</t>
  </si>
  <si>
    <t>masse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</si>
</sst>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  <xf numFmtId="167" fontId="2" fillId="0" borderId="3" xfId="0" applyNumberFormat="1" applyFont="1" applyFill="1" applyBorder="1"/>
    <xf numFmtId="167" fontId="2" fillId="0" borderId="0" xfId="0" applyNumberFormat="1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workbookViewId="0">
      <pane ySplit="1" topLeftCell="A84" activePane="bottomLeft" state="frozen"/>
      <selection pane="bottomLeft" activeCell="G96" sqref="G96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476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B96" s="40" t="s">
        <v>652</v>
      </c>
      <c r="D96" s="41">
        <v>10</v>
      </c>
      <c r="E96" s="41">
        <v>90</v>
      </c>
      <c r="G96" s="41">
        <v>2.39</v>
      </c>
      <c r="BK96" s="41">
        <v>32.9</v>
      </c>
      <c r="BL96" s="41">
        <v>14.22</v>
      </c>
      <c r="BN96" s="41">
        <v>31.15</v>
      </c>
    </row>
    <row r="97" spans="1:18" x14ac:dyDescent="0.35">
      <c r="A97" s="40" t="s">
        <v>651</v>
      </c>
      <c r="E97" s="41">
        <v>58.85</v>
      </c>
      <c r="F97">
        <f>(47.13/58.85)*100</f>
        <v>80.08496176720476</v>
      </c>
      <c r="R97">
        <f>(2.13/58.85)*100</f>
        <v>3.6193712829226845</v>
      </c>
    </row>
    <row r="98" spans="1:18" x14ac:dyDescent="0.35">
      <c r="B98" s="14" t="s">
        <v>242</v>
      </c>
      <c r="C98">
        <f>SUM(C2:C95)</f>
        <v>4</v>
      </c>
    </row>
    <row r="99" spans="1:18" x14ac:dyDescent="0.35">
      <c r="A99" s="13" t="s">
        <v>212</v>
      </c>
    </row>
    <row r="100" spans="1:18" x14ac:dyDescent="0.35">
      <c r="A100" s="14" t="s">
        <v>213</v>
      </c>
      <c r="B100" s="14" t="s">
        <v>214</v>
      </c>
      <c r="C100" s="14"/>
    </row>
    <row r="101" spans="1:18" x14ac:dyDescent="0.35">
      <c r="A101" s="14" t="s">
        <v>215</v>
      </c>
      <c r="B101" s="14" t="s">
        <v>216</v>
      </c>
      <c r="C101" s="14"/>
    </row>
    <row r="102" spans="1:18" x14ac:dyDescent="0.35">
      <c r="A102" s="14" t="s">
        <v>217</v>
      </c>
      <c r="B102" s="14" t="s">
        <v>218</v>
      </c>
      <c r="C102" s="14"/>
    </row>
    <row r="103" spans="1:18" x14ac:dyDescent="0.35">
      <c r="A103" s="14" t="s">
        <v>219</v>
      </c>
      <c r="B103" s="14" t="s">
        <v>220</v>
      </c>
      <c r="C103" s="14"/>
    </row>
    <row r="104" spans="1:18" x14ac:dyDescent="0.35">
      <c r="A104" s="14" t="s">
        <v>221</v>
      </c>
      <c r="B104" s="14" t="s">
        <v>222</v>
      </c>
      <c r="C104" s="14"/>
    </row>
    <row r="105" spans="1:18" x14ac:dyDescent="0.35">
      <c r="A105" s="14" t="s">
        <v>223</v>
      </c>
      <c r="B105" s="14" t="s">
        <v>224</v>
      </c>
      <c r="C105" s="14"/>
    </row>
    <row r="106" spans="1:18" x14ac:dyDescent="0.35">
      <c r="A106" s="14" t="s">
        <v>225</v>
      </c>
      <c r="B106" s="14" t="s">
        <v>226</v>
      </c>
      <c r="C106" s="14"/>
    </row>
    <row r="107" spans="1:18" x14ac:dyDescent="0.35">
      <c r="A107" s="14" t="s">
        <v>227</v>
      </c>
      <c r="B107" s="14" t="s">
        <v>228</v>
      </c>
      <c r="C107" s="14"/>
    </row>
    <row r="108" spans="1:18" x14ac:dyDescent="0.35">
      <c r="A108" s="14" t="s">
        <v>229</v>
      </c>
      <c r="B108" s="14" t="s">
        <v>230</v>
      </c>
      <c r="C108" s="14"/>
    </row>
    <row r="109" spans="1:18" x14ac:dyDescent="0.35">
      <c r="A109" s="14" t="s">
        <v>231</v>
      </c>
      <c r="B109" s="14" t="s">
        <v>232</v>
      </c>
      <c r="C109" s="14"/>
    </row>
    <row r="110" spans="1:18" x14ac:dyDescent="0.35">
      <c r="A110" s="14" t="s">
        <v>233</v>
      </c>
      <c r="B110" s="14" t="s">
        <v>234</v>
      </c>
      <c r="C110" s="14"/>
    </row>
    <row r="111" spans="1:18" x14ac:dyDescent="0.35">
      <c r="A111" s="14" t="s">
        <v>235</v>
      </c>
      <c r="B111" s="14" t="s">
        <v>236</v>
      </c>
      <c r="C111" s="14"/>
    </row>
    <row r="112" spans="1:18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7"/>
  <sheetViews>
    <sheetView topLeftCell="C93" zoomScale="106" zoomScaleNormal="106" workbookViewId="0">
      <selection activeCell="C96" sqref="C96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8.9062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6" width="7.26953125" hidden="1" customWidth="1"/>
    <col min="17" max="17" width="7.36328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481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482</v>
      </c>
      <c r="S1" s="15" t="s">
        <v>55</v>
      </c>
      <c r="T1" s="15" t="s">
        <v>483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480</v>
      </c>
    </row>
    <row r="2" spans="1:82" x14ac:dyDescent="0.35">
      <c r="A2" s="17" t="s">
        <v>117</v>
      </c>
      <c r="B2" s="17" t="s">
        <v>118</v>
      </c>
      <c r="C2" s="17">
        <f>(6.9/2)</f>
        <v>3.45</v>
      </c>
      <c r="D2" s="18">
        <f>'Composition of waste'!$D2*$C2/100</f>
        <v>0.1229925</v>
      </c>
      <c r="E2" s="18">
        <f>'Composition of waste'!$E2*$C2/100</f>
        <v>3.3271800000000002</v>
      </c>
      <c r="F2" s="18">
        <f>'Composition of waste'!$F2*$E2/100</f>
        <v>3.2837582470497582</v>
      </c>
      <c r="G2" s="18">
        <f>'Composition of waste'!$G2*$E2/100</f>
        <v>4.3421752950242032E-2</v>
      </c>
      <c r="H2" s="18">
        <v>20.70736708968014</v>
      </c>
      <c r="I2" s="18">
        <v>558.22694799590352</v>
      </c>
      <c r="J2" s="18">
        <f>'Composition of waste'!$J2*'Composition (mass)'!$E2/100</f>
        <v>1.6948648816512843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3.4342880184921376E-2</v>
      </c>
      <c r="S2" s="18">
        <v>0.27776539586854471</v>
      </c>
      <c r="T2" s="18">
        <f>'Composition of waste'!$T2*'Composition (mass)'!$E2/100</f>
        <v>1.3090677948446718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7.7927841140529547E-4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0.19553727870205517</v>
      </c>
      <c r="BP2" s="18">
        <f>'Composition of waste'!$BP2*$E2/100</f>
        <v>0.75931439540702872</v>
      </c>
      <c r="BQ2" s="18">
        <v>0</v>
      </c>
      <c r="BR2" s="18">
        <f>'Composition of waste'!$BR2*$E2/100</f>
        <v>2.3285647733535257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>
        <f>12.4/3</f>
        <v>4.1333333333333337</v>
      </c>
      <c r="D4" s="18">
        <f>'Composition of waste'!$D4*$C4/100</f>
        <v>1.1876444444444447</v>
      </c>
      <c r="E4" s="18">
        <f>'Composition of waste'!$E4*$C4/100</f>
        <v>2.9456888888888892</v>
      </c>
      <c r="F4" s="18">
        <f>'Composition of waste'!$F4*$E4/100</f>
        <v>2.9136640253589188</v>
      </c>
      <c r="G4" s="18">
        <f>'Composition of waste'!$G4*$E4/100</f>
        <v>3.2024863529970971E-2</v>
      </c>
      <c r="H4" s="18">
        <v>16.627433191921021</v>
      </c>
      <c r="I4" s="18">
        <v>439.60033976579871</v>
      </c>
      <c r="J4" s="18">
        <f>'Composition of waste'!$J4*'Composition (mass)'!$E4/100</f>
        <v>1.3109473804047698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7.4749424866032796E-2</v>
      </c>
      <c r="S4" s="18">
        <v>4.6191977462024525E-3</v>
      </c>
      <c r="T4" s="18">
        <f>'Composition of waste'!$T4*'Composition (mass)'!$E4/100</f>
        <v>1.338094674714059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1.4703649923862108E-3</v>
      </c>
      <c r="BO4" s="18">
        <f>'Composition of waste'!$BO4*$E4/100</f>
        <v>0.42586612669014379</v>
      </c>
      <c r="BP4" s="18">
        <f>'Composition of waste'!$BP4*$E4/100</f>
        <v>6.2971936075197202E-2</v>
      </c>
      <c r="BQ4" s="18">
        <v>0</v>
      </c>
      <c r="BR4" s="18">
        <f>'Composition of waste'!$BR4*$E4/100</f>
        <v>2.4248259625935766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>
        <f>12.4/3</f>
        <v>4.1333333333333337</v>
      </c>
      <c r="D5" s="18">
        <f>'Composition of waste'!$D5*$C5/100</f>
        <v>0.43990476190476197</v>
      </c>
      <c r="E5" s="18">
        <f>'Composition of waste'!$E5*$C5/100</f>
        <v>3.6934285714285719</v>
      </c>
      <c r="F5" s="18">
        <f>'Composition of waste'!$F5*$E5/100</f>
        <v>3.6135501890515718</v>
      </c>
      <c r="G5" s="18">
        <f>'Composition of waste'!$G5*$E5/100</f>
        <v>7.987838237699979E-2</v>
      </c>
      <c r="H5" s="18">
        <v>16.561772537662883</v>
      </c>
      <c r="I5" s="18">
        <v>451.67256662757444</v>
      </c>
      <c r="J5" s="18">
        <f>'Composition of waste'!$J5*'Composition (mass)'!$E5/100</f>
        <v>1.6240126960674532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5.0309536478951922E-2</v>
      </c>
      <c r="S5" s="18">
        <v>2.0752432907077283E-3</v>
      </c>
      <c r="T5" s="18">
        <f>'Composition of waste'!$T5*'Composition (mass)'!$E5/100</f>
        <v>1.6957697628760093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1.013047507869338E-2</v>
      </c>
      <c r="BL5" s="18">
        <f>'Composition of waste'!$BL5*$E5/100</f>
        <v>0</v>
      </c>
      <c r="BM5" s="18">
        <v>0</v>
      </c>
      <c r="BN5" s="18">
        <f>'Composition of waste'!$BN5*$E5/100</f>
        <v>6.2205547024166618E-3</v>
      </c>
      <c r="BO5" s="18">
        <f>'Composition of waste'!$BO5*$E5/100</f>
        <v>0.30155056450464479</v>
      </c>
      <c r="BP5" s="18">
        <f>'Composition of waste'!$BP5*$E5/100</f>
        <v>0.17364051112237938</v>
      </c>
      <c r="BQ5" s="18">
        <v>0</v>
      </c>
      <c r="BR5" s="18">
        <f>'Composition of waste'!$BR5*$E5/100</f>
        <v>3.139535979005339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>
        <f>12.4/3</f>
        <v>4.1333333333333337</v>
      </c>
      <c r="D6" s="18">
        <f>'Composition of waste'!$D6*$C6/100</f>
        <v>0.36327407407407414</v>
      </c>
      <c r="E6" s="18">
        <f>'Composition of waste'!$E6*$C6/100</f>
        <v>3.7700592592592597</v>
      </c>
      <c r="F6" s="18">
        <f>'Composition of waste'!$F6*$E6/100</f>
        <v>3.711712841696114</v>
      </c>
      <c r="G6" s="18">
        <f>'Composition of waste'!$G6*$E6/100</f>
        <v>5.8346417563145597E-2</v>
      </c>
      <c r="H6" s="18">
        <v>19.2058264142469</v>
      </c>
      <c r="I6" s="18">
        <v>513.99809525018293</v>
      </c>
      <c r="J6" s="18">
        <f>'Composition of waste'!$J6*'Composition (mass)'!$E6/100</f>
        <v>1.8264659205940847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7.9027055629617329E-2</v>
      </c>
      <c r="S6" s="18">
        <v>8.097001197180892E-2</v>
      </c>
      <c r="T6" s="18">
        <f>'Composition of waste'!$T6*'Composition (mass)'!$E6/100</f>
        <v>1.5400998585818306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3.2192778684906324E-2</v>
      </c>
      <c r="BL6" s="18">
        <f>'Composition of waste'!$BL6*$E6/100</f>
        <v>0</v>
      </c>
      <c r="BM6" s="18">
        <v>0</v>
      </c>
      <c r="BN6" s="18">
        <f>'Composition of waste'!$BN6*$E6/100</f>
        <v>7.0137434119872241E-3</v>
      </c>
      <c r="BO6" s="18">
        <f>'Composition of waste'!$BO6*$E6/100</f>
        <v>0.45538121690887357</v>
      </c>
      <c r="BP6" s="18">
        <f>'Composition of waste'!$BP6*$E6/100</f>
        <v>0.5614073419086355</v>
      </c>
      <c r="BQ6" s="18">
        <v>0</v>
      </c>
      <c r="BR6" s="18">
        <f>'Composition of waste'!$BR6*$E6/100</f>
        <v>2.6944567656093517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/>
      <c r="D8" s="18">
        <f>'Composition of waste'!$D8*$C8/100</f>
        <v>0</v>
      </c>
      <c r="E8" s="18">
        <f>'Composition of waste'!$E8*$C8/100</f>
        <v>0</v>
      </c>
      <c r="F8" s="18">
        <f>'Composition of waste'!$F8*$E8/100</f>
        <v>0</v>
      </c>
      <c r="G8" s="18">
        <f>'Composition of waste'!$G8*$E8/100</f>
        <v>0</v>
      </c>
      <c r="H8" s="18">
        <v>20.474824810998559</v>
      </c>
      <c r="I8" s="18">
        <v>569.08710458364942</v>
      </c>
      <c r="J8" s="18">
        <f>'Composition of waste'!$J8*'Composition (mass)'!$E8/100</f>
        <v>0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0</v>
      </c>
      <c r="S8" s="18">
        <v>1.0497922947116964</v>
      </c>
      <c r="T8" s="18">
        <f>'Composition of waste'!$T8*'Composition (mass)'!$E8/100</f>
        <v>0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</v>
      </c>
      <c r="BP8" s="18">
        <f>'Composition of waste'!$BP8*$E8/100</f>
        <v>0</v>
      </c>
      <c r="BQ8" s="18">
        <v>0</v>
      </c>
      <c r="BR8" s="18">
        <f>'Composition of waste'!$BR8*$E8/100</f>
        <v>0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>
        <f>1.4/3</f>
        <v>0.46666666666666662</v>
      </c>
      <c r="D10" s="18">
        <f>'Composition of waste'!$D10*$C10/100</f>
        <v>0.37597101449275355</v>
      </c>
      <c r="E10" s="18">
        <f>'Composition of waste'!$E10*$C10/100</f>
        <v>9.0736231884057938E-2</v>
      </c>
      <c r="F10" s="18">
        <f>'Composition of waste'!$F10*$E10/100</f>
        <v>8.4584766480642962E-2</v>
      </c>
      <c r="G10" s="18">
        <f>'Composition of waste'!$G10*$E10/100</f>
        <v>6.151465403414976E-3</v>
      </c>
      <c r="H10" s="18">
        <v>18.958190859816952</v>
      </c>
      <c r="I10" s="18">
        <v>539.36806460390744</v>
      </c>
      <c r="J10" s="18">
        <f>'Composition of waste'!$J10*'Composition (mass)'!$E10/100</f>
        <v>4.21802556038363E-2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4.2776572872041336E-3</v>
      </c>
      <c r="S10" s="18">
        <v>0.35185081082960012</v>
      </c>
      <c r="T10" s="18">
        <f>'Composition of waste'!$T10*'Composition (mass)'!$E10/100</f>
        <v>3.1295707443703295E-2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3.3316477176277516E-4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2.7288261549113312E-2</v>
      </c>
      <c r="BP10" s="18">
        <f>'Composition of waste'!$BP10*$E10/100</f>
        <v>1.3905869375581425E-2</v>
      </c>
      <c r="BQ10" s="18">
        <v>0</v>
      </c>
      <c r="BR10" s="18">
        <f>'Composition of waste'!$BR10*$E10/100</f>
        <v>4.3489849033528857E-2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>
        <f>1.4/3</f>
        <v>0.46666666666666662</v>
      </c>
      <c r="D14" s="18">
        <f>'Composition of waste'!$D14*$C14/100</f>
        <v>7.1166666666666656E-2</v>
      </c>
      <c r="E14" s="18">
        <f>'Composition of waste'!$E14*$C14/100</f>
        <v>0.39549999999999996</v>
      </c>
      <c r="F14" s="18">
        <f>'Composition of waste'!$F14*$E14/100</f>
        <v>0.39129607382727871</v>
      </c>
      <c r="G14" s="18">
        <f>'Composition of waste'!$G14*$E14/100</f>
        <v>4.2039261727212472E-3</v>
      </c>
      <c r="H14" s="18">
        <v>36.957975113905924</v>
      </c>
      <c r="I14" s="18">
        <v>1000.3495900729962</v>
      </c>
      <c r="J14" s="18">
        <f>'Composition of waste'!$J14*'Composition (mass)'!$E14/100</f>
        <v>0.30518047560046235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4.7136064485049645E-4</v>
      </c>
      <c r="S14" s="18">
        <v>0.22507949944587077</v>
      </c>
      <c r="T14" s="18">
        <f>'Composition of waste'!$T14*'Composition (mass)'!$E14/100</f>
        <v>4.275079489569613E-2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3.0343487032262017E-3</v>
      </c>
      <c r="BP14" s="18">
        <f>'Composition of waste'!$BP14*$E14/100</f>
        <v>0.38196643584909862</v>
      </c>
      <c r="BQ14" s="18">
        <v>0</v>
      </c>
      <c r="BR14" s="18">
        <f>'Composition of waste'!$BR14*$E14/100</f>
        <v>2.8116113744075825E-3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f>'Composition of waste'!$J15*'Composition (mass)'!$E15/100</f>
        <v>0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0</v>
      </c>
      <c r="S15" s="18">
        <v>0</v>
      </c>
      <c r="T15" s="18">
        <f>'Composition of waste'!$T15*'Composition (mass)'!$E15/100</f>
        <v>0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/>
      <c r="D20" s="18">
        <f>'Composition of waste'!$D20*$C20/100</f>
        <v>0</v>
      </c>
      <c r="E20" s="18">
        <f>'Composition of waste'!$E20*$C20/100</f>
        <v>0</v>
      </c>
      <c r="F20" s="18">
        <f>'Composition of waste'!$F20*$E20/100</f>
        <v>0</v>
      </c>
      <c r="G20" s="18">
        <f>'Composition of waste'!$G20*$E20/100</f>
        <v>0</v>
      </c>
      <c r="H20" s="18">
        <v>15.543519724145114</v>
      </c>
      <c r="I20" s="18">
        <v>463.22916666666657</v>
      </c>
      <c r="J20" s="18">
        <f>'Composition of waste'!$J20*'Composition (mass)'!$E20/100</f>
        <v>0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0</v>
      </c>
      <c r="S20" s="18">
        <v>0.32354684978798454</v>
      </c>
      <c r="T20" s="18">
        <f>'Composition of waste'!$T20*'Composition (mass)'!$E20/100</f>
        <v>0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0</v>
      </c>
      <c r="BP20" s="18">
        <f>'Composition of waste'!$BP20*$E20/100</f>
        <v>0</v>
      </c>
      <c r="BQ20" s="18">
        <v>0</v>
      </c>
      <c r="BR20" s="18">
        <f>'Composition of waste'!$BR20*$E20/100</f>
        <v>0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f>'Composition of waste'!$J21*'Composition (mass)'!$E21/100</f>
        <v>0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0</v>
      </c>
      <c r="S21" s="18">
        <v>0.60266301973521763</v>
      </c>
      <c r="T21" s="18">
        <f>'Composition of waste'!$T21*'Composition (mass)'!$E21/100</f>
        <v>0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>
        <f>6.9/2</f>
        <v>3.45</v>
      </c>
      <c r="D66" s="18">
        <f>'Composition of waste'!$D66*$C66/100</f>
        <v>2.2886210526315787</v>
      </c>
      <c r="E66" s="18">
        <f>'Composition of waste'!$E66*$C66/100</f>
        <v>1.1613789473684211</v>
      </c>
      <c r="F66" s="18">
        <f>'Composition of waste'!$F66*$E66/100</f>
        <v>1.104770383043757</v>
      </c>
      <c r="G66" s="18">
        <f>'Composition of waste'!$G66*$E66/100</f>
        <v>5.6608564324663713E-2</v>
      </c>
      <c r="H66" s="18">
        <v>23.607503025261042</v>
      </c>
      <c r="I66" s="18">
        <v>649.09785346584226</v>
      </c>
      <c r="J66" s="18">
        <f>'Composition of waste'!$J66*'Composition (mass)'!$E66/100</f>
        <v>0.62637905142780648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0.11434699982080623</v>
      </c>
      <c r="S66" s="18">
        <v>0.84756323398500055</v>
      </c>
      <c r="T66" s="18">
        <f>'Composition of waste'!$T66*'Composition (mass)'!$E66/100</f>
        <v>0.2615080750710943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0.70742169328606164</v>
      </c>
      <c r="BP66" s="18">
        <f>'Composition of waste'!$BP66*$E66/100</f>
        <v>0.33664567102895104</v>
      </c>
      <c r="BQ66" s="18">
        <v>0</v>
      </c>
      <c r="BR66" s="18">
        <f>'Composition of waste'!$BR66*$E66/100</f>
        <v>5.4476925951530399E-2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>
        <f>7.3/2</f>
        <v>3.65</v>
      </c>
      <c r="D77" s="18">
        <f>'Composition of waste'!$D77*$C77/100</f>
        <v>2.4264709486166005</v>
      </c>
      <c r="E77" s="18">
        <f>'Composition of waste'!$E77*$C77/100</f>
        <v>1.2235687252964429</v>
      </c>
      <c r="F77" s="18">
        <f>'Composition of waste'!$F77*$E77/100</f>
        <v>1.1680938374934824</v>
      </c>
      <c r="G77" s="18">
        <f>'Composition of waste'!$G77*$E77/100</f>
        <v>5.5474887802960525E-2</v>
      </c>
      <c r="H77" s="18">
        <v>24.665686395638932</v>
      </c>
      <c r="I77" s="18">
        <v>675.44343549775363</v>
      </c>
      <c r="J77" s="18">
        <f>'Composition of waste'!$J77*'Composition (mass)'!$E77/100</f>
        <v>0.68210191469015624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0.11867401190659425</v>
      </c>
      <c r="S77" s="18">
        <v>0.84876971663336165</v>
      </c>
      <c r="T77" s="18">
        <f>'Composition of waste'!$T77*'Composition (mass)'!$E77/100</f>
        <v>0.25967055183088578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0.71707026981636768</v>
      </c>
      <c r="BP77" s="18">
        <f>'Composition of waste'!$BP77*$E77/100</f>
        <v>0.41438211426750349</v>
      </c>
      <c r="BQ77" s="18">
        <v>0</v>
      </c>
      <c r="BR77" s="18">
        <f>'Composition of waste'!$BR77*$E77/100</f>
        <v>3.5800286617257655E-2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>
        <f>1.4/3</f>
        <v>0.46666666666666662</v>
      </c>
      <c r="D80" s="18">
        <f>'Composition of waste'!$D80*$C80/100</f>
        <v>0.22963522012578619</v>
      </c>
      <c r="E80" s="18">
        <f>'Composition of waste'!$E80*$C80/100</f>
        <v>0.23703144654088046</v>
      </c>
      <c r="F80" s="18">
        <f>'Composition of waste'!$F80*$E80/100</f>
        <v>0.22163157780947643</v>
      </c>
      <c r="G80" s="18">
        <f>'Composition of waste'!$G80*$E80/100</f>
        <v>1.5399868731403931E-2</v>
      </c>
      <c r="H80" s="18">
        <v>25.741406205919322</v>
      </c>
      <c r="I80" s="18">
        <v>725.27674013134424</v>
      </c>
      <c r="J80" s="18">
        <f>'Composition of waste'!$J80*'Composition (mass)'!$E80/100</f>
        <v>0.13587656520528082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1.7422891907580149E-2</v>
      </c>
      <c r="S80" s="18">
        <v>1.4162073948421494</v>
      </c>
      <c r="T80" s="18">
        <f>'Composition of waste'!$T80*'Composition (mass)'!$E80/100</f>
        <v>4.6472312603075057E-2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0.11084207981578979</v>
      </c>
      <c r="BP80" s="18">
        <f>'Composition of waste'!$BP80*$E80/100</f>
        <v>9.9896463741447297E-2</v>
      </c>
      <c r="BQ80" s="18">
        <v>0</v>
      </c>
      <c r="BR80" s="18">
        <f>'Composition of waste'!$BR80*$E80/100</f>
        <v>1.0947420291670704E-2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>
        <f>2.8/2</f>
        <v>1.4</v>
      </c>
      <c r="D81" s="18">
        <f>'Composition of waste'!$D81*$C81/100</f>
        <v>0.37886666666666663</v>
      </c>
      <c r="E81" s="18">
        <f>'Composition of waste'!$E81*$C81/100</f>
        <v>1.0211333333333332</v>
      </c>
      <c r="F81" s="18">
        <f>'Composition of waste'!$F81*$E81/100</f>
        <v>1.0058822951816462</v>
      </c>
      <c r="G81" s="18">
        <f>'Composition of waste'!$G81*$E81/100</f>
        <v>1.5251038151686961E-2</v>
      </c>
      <c r="H81" s="18">
        <v>22.340272036075664</v>
      </c>
      <c r="I81" s="18">
        <v>609.14803347727593</v>
      </c>
      <c r="J81" s="18">
        <f>'Composition of waste'!$J81*'Composition (mass)'!$E81/100</f>
        <v>0.54362972844384405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1.1321682349851153E-2</v>
      </c>
      <c r="S81" s="18">
        <v>0.18468537563492263</v>
      </c>
      <c r="T81" s="18">
        <f>'Composition of waste'!$T81*'Composition (mass)'!$E81/100</f>
        <v>0.37074102545994919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6.6082381310592908E-2</v>
      </c>
      <c r="BP81" s="18">
        <f>'Composition of waste'!$BP81*$E81/100</f>
        <v>0.31699156376972437</v>
      </c>
      <c r="BQ81" s="18">
        <v>0</v>
      </c>
      <c r="BR81" s="18">
        <f>'Composition of waste'!$BR81*$E81/100</f>
        <v>0.62029567407732777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>
        <f>2.8/2</f>
        <v>1.4</v>
      </c>
      <c r="D83" s="18">
        <f>'Composition of waste'!$D83*$C83/100</f>
        <v>0.46156551724137906</v>
      </c>
      <c r="E83" s="18">
        <f>'Composition of waste'!$E83*$C83/100</f>
        <v>0.93850689655172415</v>
      </c>
      <c r="F83" s="18">
        <f>'Composition of waste'!$F83*$E83/100</f>
        <v>0.91024007709463328</v>
      </c>
      <c r="G83" s="18">
        <f>'Composition of waste'!$G83*$E83/100</f>
        <v>2.8266819457090447E-2</v>
      </c>
      <c r="H83" s="18">
        <v>16.725718261439166</v>
      </c>
      <c r="I83" s="18">
        <v>455.23846524921248</v>
      </c>
      <c r="J83" s="18">
        <f>'Composition of waste'!$J83*'Composition (mass)'!$E83/100</f>
        <v>0.41467875717959346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1.9543420260622779E-2</v>
      </c>
      <c r="S83" s="18">
        <v>0.69363701990855653</v>
      </c>
      <c r="T83" s="18">
        <f>'Composition of waste'!$T83*'Composition (mass)'!$E83/100</f>
        <v>0.41501386128297341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5.8226554780854397E-4</v>
      </c>
      <c r="BL83" s="18">
        <f>'Composition of waste'!$BL83*$E83/100</f>
        <v>0</v>
      </c>
      <c r="BM83" s="18">
        <v>0</v>
      </c>
      <c r="BN83" s="18">
        <f>'Composition of waste'!$BN83*$E83/100</f>
        <v>6.410916556585907E-5</v>
      </c>
      <c r="BO83" s="18">
        <f>'Composition of waste'!$BO83*$E83/100</f>
        <v>0.11293026614264959</v>
      </c>
      <c r="BP83" s="18">
        <f>'Composition of waste'!$BP83*$E83/100</f>
        <v>4.592364516116345E-2</v>
      </c>
      <c r="BQ83" s="18">
        <v>0</v>
      </c>
      <c r="BR83" s="18">
        <f>'Composition of waste'!$BR83*$E83/100</f>
        <v>0.75146521867011129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>
        <f>7.3/2</f>
        <v>3.65</v>
      </c>
      <c r="D84" s="18">
        <f>'Composition of waste'!$D84*$C84/100</f>
        <v>2.4164063106796116</v>
      </c>
      <c r="E84" s="18">
        <f>'Composition of waste'!$E84*$C84/100</f>
        <v>1.2336291262135928</v>
      </c>
      <c r="F84" s="18">
        <f>'Composition of waste'!$F84*$E84/100</f>
        <v>1.1468924635862405</v>
      </c>
      <c r="G84" s="18">
        <f>'Composition of waste'!$G84*$E84/100</f>
        <v>8.6736662627352426E-2</v>
      </c>
      <c r="H84" s="18">
        <v>22.615822116722924</v>
      </c>
      <c r="I84" s="18">
        <v>637.22466532266355</v>
      </c>
      <c r="J84" s="18">
        <f>'Composition of waste'!$J84*'Composition (mass)'!$E84/100</f>
        <v>0.64141705802728199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0.11808607788834666</v>
      </c>
      <c r="S84" s="18">
        <v>1.4729050706105946</v>
      </c>
      <c r="T84" s="18">
        <f>'Composition of waste'!$T84*'Composition (mass)'!$E84/100</f>
        <v>0.28561184273574375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0.71077010066741764</v>
      </c>
      <c r="BP84" s="18">
        <f>'Composition of waste'!$BP84*$E84/100</f>
        <v>0.32897542224876075</v>
      </c>
      <c r="BQ84" s="18">
        <v>0</v>
      </c>
      <c r="BR84" s="18">
        <f>'Composition of waste'!$BR84*$E84/100</f>
        <v>9.7345005545258087E-2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>
        <v>69</v>
      </c>
      <c r="D91" s="18">
        <f>'Composition of waste'!$D91*$C91/100</f>
        <v>59.394162745098043</v>
      </c>
      <c r="E91" s="18">
        <f>'Composition of waste'!$E91*$C91/100</f>
        <v>9.6062882352941195</v>
      </c>
      <c r="F91" s="18">
        <f>'Composition of waste'!$F91*$E91/100</f>
        <v>8.9095782590581436</v>
      </c>
      <c r="G91" s="18">
        <f>'Composition of waste'!$G91*$E91/100</f>
        <v>0.69670997623597786</v>
      </c>
      <c r="H91" s="18">
        <v>15.980390555797626</v>
      </c>
      <c r="I91" s="18">
        <v>460.21398068707117</v>
      </c>
      <c r="J91" s="18">
        <f>'Composition of waste'!$J91*'Composition (mass)'!$E91/100</f>
        <v>4.0044573648103308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0.2239507068810008</v>
      </c>
      <c r="S91" s="18">
        <v>0.17581225153748034</v>
      </c>
      <c r="T91" s="18">
        <f>'Composition of waste'!$T91*'Composition (mass)'!$E91/100</f>
        <v>4.0483193290751878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0.30675037712556213</v>
      </c>
      <c r="BL91" s="18">
        <f>'Composition of waste'!$BL91*$E91/100</f>
        <v>0</v>
      </c>
      <c r="BM91" s="18">
        <v>0</v>
      </c>
      <c r="BN91" s="18">
        <f>'Composition of waste'!$BN91*$E91/100</f>
        <v>5.4490729545626018E-2</v>
      </c>
      <c r="BO91" s="18">
        <f>'Composition of waste'!$BO91*$E91/100</f>
        <v>1.3926126211998728</v>
      </c>
      <c r="BP91" s="18">
        <f>'Composition of waste'!$BP91*$E91/100</f>
        <v>0.52025922060674845</v>
      </c>
      <c r="BQ91" s="18">
        <v>0</v>
      </c>
      <c r="BR91" s="18">
        <f>'Composition of waste'!$BR91*$E91/100</f>
        <v>6.9843416777843332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A96" s="42" t="s">
        <v>653</v>
      </c>
      <c r="C96">
        <f>(SUM(C2:C95))/3</f>
        <v>33.266666666666659</v>
      </c>
      <c r="D96" s="18">
        <f>'Composition of waste'!$D96*$C96/100</f>
        <v>3.3266666666666658</v>
      </c>
      <c r="E96" s="18">
        <f>'Composition of waste'!$E96*$C96/100</f>
        <v>29.939999999999991</v>
      </c>
      <c r="F96" s="18">
        <f>'Composition of waste'!$F96*$E96/100</f>
        <v>0</v>
      </c>
      <c r="G96" s="18">
        <f>'Composition of waste'!$G96*$E96/100</f>
        <v>0.7155659999999997</v>
      </c>
      <c r="J96" s="18">
        <f>'Composition of waste'!$J96*'Composition (mass)'!$E96/100</f>
        <v>0</v>
      </c>
      <c r="R96" s="18">
        <f>'Composition of waste'!$R96*'Composition (mass)'!$E96/100</f>
        <v>0</v>
      </c>
      <c r="T96" s="18">
        <f>'Composition of waste'!$T96*'Composition (mass)'!$E96/100</f>
        <v>0</v>
      </c>
      <c r="BK96" s="18">
        <f>'Composition of waste'!$BK96*$E96/100</f>
        <v>9.8502599999999969</v>
      </c>
      <c r="BL96" s="18">
        <f>'Composition of waste'!$BL96*$E96/100</f>
        <v>4.2574679999999994</v>
      </c>
      <c r="BM96" s="18">
        <v>0</v>
      </c>
      <c r="BN96" s="18">
        <f>'Composition of waste'!$BN96*$E96/100</f>
        <v>9.3263099999999959</v>
      </c>
      <c r="BO96" s="18">
        <f>'Composition of waste'!$BO96*$E96/100</f>
        <v>0</v>
      </c>
      <c r="BP96" s="18">
        <f>'Composition of waste'!$BP96*$E96/100</f>
        <v>0</v>
      </c>
      <c r="BQ96" s="18">
        <v>0</v>
      </c>
      <c r="BR96" s="18">
        <f>'Composition of waste'!$BR96*$E96/100</f>
        <v>0</v>
      </c>
    </row>
    <row r="97" spans="1:70" x14ac:dyDescent="0.35">
      <c r="A97" s="21"/>
      <c r="B97" s="42"/>
      <c r="D97" s="43"/>
      <c r="E97" s="43"/>
      <c r="F97" s="43"/>
      <c r="G97" s="43"/>
      <c r="J97" s="43"/>
      <c r="R97" s="43"/>
      <c r="T97" s="43"/>
      <c r="BK97" s="43"/>
      <c r="BL97" s="43"/>
      <c r="BN97" s="43"/>
      <c r="BO97" s="43"/>
      <c r="BP97" s="43"/>
      <c r="BR97" s="43"/>
    </row>
    <row r="98" spans="1:70" x14ac:dyDescent="0.35">
      <c r="A98" s="21" t="s">
        <v>242</v>
      </c>
      <c r="C98" s="20">
        <f>SUM(C2:C97)</f>
        <v>133.06666666666663</v>
      </c>
      <c r="D98" s="20">
        <f>SUM(D2:D96)</f>
        <v>73.483348589309031</v>
      </c>
      <c r="E98" s="20">
        <f>SUM(E2:E96)</f>
        <v>59.584129662059283</v>
      </c>
      <c r="F98" s="20">
        <f>SUM(F2:F96)</f>
        <v>28.465655036731665</v>
      </c>
      <c r="G98" s="20">
        <f>SUM(G2:G96)</f>
        <v>1.8940406253276301</v>
      </c>
      <c r="H98" s="20">
        <f t="shared" ref="H98:BH98" si="0">SUM(H2:H95)</f>
        <v>1748.0370779513639</v>
      </c>
      <c r="I98" s="20">
        <f t="shared" si="0"/>
        <v>49127.849334222614</v>
      </c>
      <c r="J98" s="20">
        <f>SUM(J2:J96)</f>
        <v>13.852192049706183</v>
      </c>
      <c r="K98" s="20">
        <f t="shared" si="0"/>
        <v>4297.0041843940116</v>
      </c>
      <c r="L98" s="20">
        <f t="shared" si="0"/>
        <v>0</v>
      </c>
      <c r="M98" s="20">
        <f t="shared" si="0"/>
        <v>21.57655659965565</v>
      </c>
      <c r="N98" s="20">
        <f t="shared" si="0"/>
        <v>20.216133280517997</v>
      </c>
      <c r="O98" s="20">
        <f t="shared" si="0"/>
        <v>0</v>
      </c>
      <c r="P98" s="20">
        <f t="shared" si="0"/>
        <v>647.7782378473438</v>
      </c>
      <c r="Q98" s="20">
        <f t="shared" si="0"/>
        <v>157.34219218436536</v>
      </c>
      <c r="R98" s="20">
        <f>SUM(R2:R96)</f>
        <v>0.86652370610638019</v>
      </c>
      <c r="S98" s="20">
        <f t="shared" si="0"/>
        <v>37.864632672965826</v>
      </c>
      <c r="T98" s="20">
        <f>SUM(T2:T96)</f>
        <v>11.64441559141488</v>
      </c>
      <c r="U98" s="20">
        <f t="shared" si="0"/>
        <v>37.868882106898717</v>
      </c>
      <c r="V98" s="20">
        <f t="shared" si="0"/>
        <v>82.69702423438811</v>
      </c>
      <c r="W98" s="20">
        <f t="shared" si="0"/>
        <v>0</v>
      </c>
      <c r="X98" s="20">
        <f t="shared" si="0"/>
        <v>0</v>
      </c>
      <c r="Y98" s="20">
        <f t="shared" si="0"/>
        <v>0</v>
      </c>
      <c r="Z98" s="20">
        <f t="shared" si="0"/>
        <v>4.0408964888677783E-3</v>
      </c>
      <c r="AA98" s="20">
        <f t="shared" si="0"/>
        <v>0</v>
      </c>
      <c r="AB98" s="20">
        <f t="shared" si="0"/>
        <v>0</v>
      </c>
      <c r="AC98" s="20">
        <f t="shared" si="0"/>
        <v>0</v>
      </c>
      <c r="AD98" s="20">
        <f t="shared" si="0"/>
        <v>0</v>
      </c>
      <c r="AE98" s="20">
        <f t="shared" si="0"/>
        <v>0</v>
      </c>
      <c r="AF98" s="20">
        <f t="shared" si="0"/>
        <v>0</v>
      </c>
      <c r="AG98" s="20">
        <f t="shared" si="0"/>
        <v>6.4169434621670271E-4</v>
      </c>
      <c r="AH98" s="20">
        <f t="shared" si="0"/>
        <v>1.3457095133209738E-5</v>
      </c>
      <c r="AI98" s="20">
        <f t="shared" si="0"/>
        <v>8.8348606597630965E-4</v>
      </c>
      <c r="AJ98" s="20">
        <f t="shared" si="0"/>
        <v>6.4118758508783971E-2</v>
      </c>
      <c r="AK98" s="20">
        <f t="shared" si="0"/>
        <v>0.48224409857944872</v>
      </c>
      <c r="AL98" s="20">
        <f t="shared" si="0"/>
        <v>0</v>
      </c>
      <c r="AM98" s="20">
        <f t="shared" si="0"/>
        <v>1.3945624499249473E-4</v>
      </c>
      <c r="AN98" s="20">
        <f t="shared" si="0"/>
        <v>0</v>
      </c>
      <c r="AO98" s="20">
        <f t="shared" si="0"/>
        <v>0</v>
      </c>
      <c r="AP98" s="20">
        <f t="shared" si="0"/>
        <v>9.1736484244658634</v>
      </c>
      <c r="AQ98" s="20">
        <f t="shared" si="0"/>
        <v>0.13206162891110979</v>
      </c>
      <c r="AR98" s="20">
        <f t="shared" si="0"/>
        <v>1.4436008704821056E-3</v>
      </c>
      <c r="AS98" s="20">
        <f t="shared" si="0"/>
        <v>3.591003951693544E-3</v>
      </c>
      <c r="AT98" s="20">
        <f t="shared" si="0"/>
        <v>8.1057107051288248E-4</v>
      </c>
      <c r="AU98" s="20">
        <f t="shared" si="0"/>
        <v>0</v>
      </c>
      <c r="AV98" s="20">
        <f t="shared" si="0"/>
        <v>0</v>
      </c>
      <c r="AW98" s="20">
        <f t="shared" si="0"/>
        <v>0</v>
      </c>
      <c r="AX98" s="20">
        <f t="shared" si="0"/>
        <v>1.3314490297041306E-3</v>
      </c>
      <c r="AY98" s="20">
        <f t="shared" si="0"/>
        <v>0</v>
      </c>
      <c r="AZ98" s="20">
        <f t="shared" si="0"/>
        <v>7.4991599681656904E-4</v>
      </c>
      <c r="BA98" s="20">
        <f t="shared" si="0"/>
        <v>0</v>
      </c>
      <c r="BB98" s="20">
        <f t="shared" si="0"/>
        <v>0</v>
      </c>
      <c r="BC98" s="20">
        <f t="shared" si="0"/>
        <v>0</v>
      </c>
      <c r="BD98" s="20">
        <f t="shared" si="0"/>
        <v>0</v>
      </c>
      <c r="BE98" s="20">
        <f t="shared" si="0"/>
        <v>0.37100746518266248</v>
      </c>
      <c r="BF98" s="20">
        <f t="shared" si="0"/>
        <v>0</v>
      </c>
      <c r="BG98" s="20">
        <f t="shared" si="0"/>
        <v>0</v>
      </c>
      <c r="BH98" s="20">
        <f t="shared" si="0"/>
        <v>0</v>
      </c>
      <c r="BI98" s="20"/>
      <c r="BJ98" s="20"/>
      <c r="BK98" s="20">
        <f>SUM(BK2:BK96)</f>
        <v>10.201028339620136</v>
      </c>
      <c r="BL98" s="20">
        <f>SUM(BL2:BL96)</f>
        <v>4.2574679999999994</v>
      </c>
      <c r="BM98" s="20"/>
      <c r="BN98" s="20">
        <f>SUM(BN2:BN96)</f>
        <v>9.3955695018179775</v>
      </c>
      <c r="BO98" s="20">
        <f>SUM(BO2:BO96)</f>
        <v>5.2263872092968091</v>
      </c>
      <c r="BP98" s="20">
        <f>SUM(BP2:BP96)</f>
        <v>4.0162805905622196</v>
      </c>
      <c r="BQ98" s="20"/>
      <c r="BR98" s="20">
        <f>SUM(BR2:BR96)</f>
        <v>19.188357149907219</v>
      </c>
    </row>
    <row r="99" spans="1:70" x14ac:dyDescent="0.35">
      <c r="B99" s="21"/>
    </row>
    <row r="104" spans="1:70" x14ac:dyDescent="0.35">
      <c r="A104" t="s">
        <v>485</v>
      </c>
      <c r="B104">
        <f>J98/R98</f>
        <v>15.985935470766677</v>
      </c>
    </row>
    <row r="105" spans="1:70" x14ac:dyDescent="0.35">
      <c r="A105" t="s">
        <v>484</v>
      </c>
      <c r="B105">
        <v>200</v>
      </c>
    </row>
    <row r="106" spans="1:70" x14ac:dyDescent="0.35">
      <c r="A106" t="s">
        <v>486</v>
      </c>
      <c r="B106">
        <f>((C98*B104)-(30*C98))/(30-B105)</f>
        <v>10.969440313862631</v>
      </c>
    </row>
    <row r="107" spans="1:70" x14ac:dyDescent="0.35">
      <c r="A107" t="s">
        <v>487</v>
      </c>
      <c r="B107">
        <f>((C98*B104)+(B106*B105))/(C98+B106)</f>
        <v>29.999999999999996</v>
      </c>
    </row>
  </sheetData>
  <autoFilter ref="B1:B98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V48"/>
  <sheetViews>
    <sheetView tabSelected="1" topLeftCell="A31" zoomScale="97" zoomScaleNormal="115" workbookViewId="0">
      <selection activeCell="J42" sqref="J42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2" x14ac:dyDescent="0.35">
      <c r="A1" s="1" t="s">
        <v>521</v>
      </c>
      <c r="B1" s="1" t="s">
        <v>386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437</v>
      </c>
      <c r="O1" t="s">
        <v>647</v>
      </c>
      <c r="P1" t="s">
        <v>648</v>
      </c>
      <c r="R1" t="s">
        <v>522</v>
      </c>
    </row>
    <row r="2" spans="1:22" x14ac:dyDescent="0.35">
      <c r="A2" s="2" t="s">
        <v>308</v>
      </c>
      <c r="B2" s="2">
        <f>'Composition (mass)'!BR98/B39</f>
        <v>0.14420108078587593</v>
      </c>
      <c r="C2" s="2" t="s">
        <v>532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(B2*B$39)/(L2*0.001)</f>
        <v>106.60198416615123</v>
      </c>
      <c r="O2">
        <f>F2*N2*12</f>
        <v>7675.3428599628878</v>
      </c>
      <c r="R2" t="s">
        <v>524</v>
      </c>
      <c r="S2" t="s">
        <v>309</v>
      </c>
      <c r="T2" t="s">
        <v>6</v>
      </c>
      <c r="U2" t="s">
        <v>525</v>
      </c>
      <c r="V2" t="s">
        <v>17</v>
      </c>
    </row>
    <row r="3" spans="1:22" x14ac:dyDescent="0.35">
      <c r="A3" s="2" t="s">
        <v>6</v>
      </c>
      <c r="B3" s="2">
        <f>'Composition (mass)'!BO98/B39</f>
        <v>3.9276456983693468E-2</v>
      </c>
      <c r="C3" s="2" t="s">
        <v>532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0">($F3*12)+($G3*1)+($H3*16)+($I3*14)</f>
        <v>352</v>
      </c>
      <c r="M3">
        <v>1</v>
      </c>
      <c r="N3">
        <f>(B3*B$39)/(L3*0.001)</f>
        <v>14.847690935502301</v>
      </c>
      <c r="O3">
        <f>F3*N3*12</f>
        <v>2850.756659616442</v>
      </c>
      <c r="P3">
        <f>I3*N3*14</f>
        <v>831.4706923881289</v>
      </c>
      <c r="Q3" t="s">
        <v>467</v>
      </c>
      <c r="R3">
        <f>(F4-(G4/4)-(H4/2))</f>
        <v>12.25</v>
      </c>
      <c r="S3">
        <f>F5-(G5/4)-(H5/2)</f>
        <v>1</v>
      </c>
      <c r="T3">
        <f>(F3-(G3/4)-(H3/2)+((3*I3)/4))</f>
        <v>10.5</v>
      </c>
      <c r="U3">
        <f>F2-(G2/4)-(H2/2)</f>
        <v>0</v>
      </c>
      <c r="V3">
        <f>F7-(G7/4)-(H7/2)</f>
        <v>9.5</v>
      </c>
    </row>
    <row r="4" spans="1:22" x14ac:dyDescent="0.35">
      <c r="A4" s="2" t="s">
        <v>7</v>
      </c>
      <c r="B4" s="2">
        <f>'Composition (mass)'!BP98/B39</f>
        <v>3.0182469367952561E-2</v>
      </c>
      <c r="C4" s="2" t="s">
        <v>532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7" si="1">(B4*B$39)/(L4*0.001)</f>
        <v>10.219543487435672</v>
      </c>
      <c r="O4">
        <f>F4*N4*12</f>
        <v>3065.8630462307015</v>
      </c>
      <c r="Q4" t="s">
        <v>468</v>
      </c>
      <c r="R4">
        <f>(F4/2)-(G4/8)+(H4/4)</f>
        <v>7.625</v>
      </c>
      <c r="S4">
        <f>(F5/2)-(G5/8)+(H5/4)</f>
        <v>5</v>
      </c>
      <c r="T4">
        <f>(F3/2)-(G3/8)+(H3/4)+((3*I3)/8)</f>
        <v>7.75</v>
      </c>
      <c r="U4">
        <f>(F2/2)-(G2/8)+(H2/4)</f>
        <v>3</v>
      </c>
      <c r="V4">
        <f>(F7/2)-(G7/8)+(H7/4)</f>
        <v>7.75</v>
      </c>
    </row>
    <row r="5" spans="1:22" x14ac:dyDescent="0.35">
      <c r="A5" s="2" t="s">
        <v>309</v>
      </c>
      <c r="B5" s="33">
        <f>'Composition (mass)'!BL98/B39</f>
        <v>3.1995000000000003E-2</v>
      </c>
      <c r="C5" s="2" t="s">
        <v>532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1"/>
        <v>15.097404255319145</v>
      </c>
      <c r="O5">
        <f t="shared" ref="O5:O7" si="2">F5*N5*12</f>
        <v>1811.6885106382974</v>
      </c>
      <c r="Q5" t="s">
        <v>469</v>
      </c>
      <c r="R5">
        <f>(F4/2)+(G4/8)-(H4/4)</f>
        <v>17.375</v>
      </c>
      <c r="S5">
        <f>(F5/2)+(G5/8)-(H5/4)</f>
        <v>5</v>
      </c>
      <c r="T5">
        <f>(F3/2)+(G3/8)-(H3/4)-((3*I3)/8)</f>
        <v>8.25</v>
      </c>
      <c r="U5">
        <f>(F2/2)+(G2/8)-(H2/4)</f>
        <v>3</v>
      </c>
      <c r="V5">
        <f>(F7/2)+(G7/8)-(H7/4)</f>
        <v>12.25</v>
      </c>
    </row>
    <row r="6" spans="1:22" x14ac:dyDescent="0.35">
      <c r="A6" s="2" t="s">
        <v>11</v>
      </c>
      <c r="B6" s="2">
        <f>'Composition (mass)'!BK98/B39</f>
        <v>7.6661034616383808E-2</v>
      </c>
      <c r="C6" s="2" t="s">
        <v>532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1"/>
        <v>56.67237966455631</v>
      </c>
      <c r="O6">
        <f t="shared" si="2"/>
        <v>4080.4113358480545</v>
      </c>
      <c r="Q6" t="s">
        <v>470</v>
      </c>
      <c r="T6">
        <f>I3</f>
        <v>4</v>
      </c>
    </row>
    <row r="7" spans="1:22" x14ac:dyDescent="0.35">
      <c r="A7" s="2" t="s">
        <v>17</v>
      </c>
      <c r="B7" s="2">
        <f>'Composition (mass)'!BN98/B39</f>
        <v>7.060798723811107E-2</v>
      </c>
      <c r="C7" s="2" t="s">
        <v>532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1"/>
        <v>25.67095492299994</v>
      </c>
      <c r="O7">
        <f t="shared" si="2"/>
        <v>6161.0291815199862</v>
      </c>
      <c r="Q7" t="s">
        <v>523</v>
      </c>
      <c r="R7">
        <f>(R5*16)/L4</f>
        <v>0.70737913486005088</v>
      </c>
      <c r="S7">
        <f>(S5*16)/L5</f>
        <v>0.28368794326241137</v>
      </c>
      <c r="T7">
        <f>(T5*16)/L3</f>
        <v>0.375</v>
      </c>
      <c r="U7">
        <f>(U5*16)/L2</f>
        <v>0.26666666666666666</v>
      </c>
      <c r="V7">
        <f>(V5*16)/L7</f>
        <v>0.53551912568306015</v>
      </c>
    </row>
    <row r="8" spans="1:22" x14ac:dyDescent="0.35">
      <c r="A8" s="2" t="s">
        <v>282</v>
      </c>
      <c r="B8" s="2">
        <f>'Composition (mass)'!G98/B39</f>
        <v>1.4233772234426081E-2</v>
      </c>
      <c r="C8" s="2" t="s">
        <v>532</v>
      </c>
      <c r="D8" s="2" t="s">
        <v>283</v>
      </c>
      <c r="L8">
        <f t="shared" si="0"/>
        <v>0</v>
      </c>
      <c r="M8">
        <v>6</v>
      </c>
    </row>
    <row r="9" spans="1:22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22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22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</row>
    <row r="12" spans="1:22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0"/>
        <v>138</v>
      </c>
      <c r="M12">
        <v>10</v>
      </c>
    </row>
    <row r="13" spans="1:22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22" x14ac:dyDescent="0.35">
      <c r="A14" s="2" t="s">
        <v>21</v>
      </c>
      <c r="B14">
        <f>(B39*0.01)/B39/10</f>
        <v>1E-3</v>
      </c>
      <c r="C14" s="2" t="s">
        <v>532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2" x14ac:dyDescent="0.35">
      <c r="A15" s="2" t="s">
        <v>28</v>
      </c>
      <c r="B15">
        <f>(B39*0.01)/B39/10</f>
        <v>1E-3</v>
      </c>
      <c r="C15" s="2" t="s">
        <v>532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22" x14ac:dyDescent="0.35">
      <c r="A16" s="2" t="s">
        <v>30</v>
      </c>
      <c r="B16">
        <f>(B39*0.01)/B39/10</f>
        <v>1E-3</v>
      </c>
      <c r="C16" s="2" t="s">
        <v>532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32</v>
      </c>
      <c r="B17">
        <f>(B39*0.01)/B39/10</f>
        <v>1E-3</v>
      </c>
      <c r="C17" s="2" t="s">
        <v>532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34</v>
      </c>
      <c r="B18">
        <f>(B39*0.01)/B39/10</f>
        <v>1E-3</v>
      </c>
      <c r="C18" s="2" t="s">
        <v>532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>($F18*12)+($G18*1)+($H18*16)+($I18*14)</f>
        <v>247</v>
      </c>
      <c r="M18">
        <v>16</v>
      </c>
    </row>
    <row r="19" spans="1:13" x14ac:dyDescent="0.35">
      <c r="A19" s="2" t="s">
        <v>36</v>
      </c>
      <c r="B19">
        <f>(B39*0.01)/B39/10</f>
        <v>1E-3</v>
      </c>
      <c r="C19" s="2" t="s">
        <v>532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388</v>
      </c>
      <c r="B20">
        <f>(B39*0.01)/B39/10</f>
        <v>1E-3</v>
      </c>
      <c r="C20" s="2" t="s">
        <v>532</v>
      </c>
      <c r="D20" s="2" t="s">
        <v>445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</row>
    <row r="21" spans="1:13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343</v>
      </c>
      <c r="B22">
        <f>'Composition (mass)'!D98/B39</f>
        <v>0.55222957356695179</v>
      </c>
      <c r="C22" s="2" t="s">
        <v>532</v>
      </c>
      <c r="D22" s="2" t="s">
        <v>338</v>
      </c>
      <c r="G22">
        <v>2</v>
      </c>
      <c r="H22">
        <v>1</v>
      </c>
      <c r="L22">
        <f t="shared" si="0"/>
        <v>18</v>
      </c>
    </row>
    <row r="23" spans="1:13" x14ac:dyDescent="0.35">
      <c r="A23" s="2" t="s">
        <v>351</v>
      </c>
      <c r="B23">
        <v>0</v>
      </c>
      <c r="C23" s="2" t="s">
        <v>5</v>
      </c>
      <c r="D23" s="2" t="s">
        <v>352</v>
      </c>
      <c r="H23">
        <v>2</v>
      </c>
      <c r="L23">
        <f t="shared" si="0"/>
        <v>32</v>
      </c>
    </row>
    <row r="24" spans="1:13" x14ac:dyDescent="0.35">
      <c r="A24" s="2" t="s">
        <v>353</v>
      </c>
      <c r="C24" s="2" t="s">
        <v>5</v>
      </c>
      <c r="D24" s="2" t="s">
        <v>354</v>
      </c>
      <c r="F24">
        <v>1</v>
      </c>
      <c r="H24">
        <v>2</v>
      </c>
      <c r="L24">
        <f t="shared" si="0"/>
        <v>44</v>
      </c>
    </row>
    <row r="25" spans="1:13" x14ac:dyDescent="0.35">
      <c r="A25" s="2" t="s">
        <v>638</v>
      </c>
      <c r="C25" s="2"/>
      <c r="D25" s="2" t="s">
        <v>639</v>
      </c>
      <c r="E25" t="s">
        <v>640</v>
      </c>
      <c r="H25">
        <v>3</v>
      </c>
      <c r="I25">
        <v>1</v>
      </c>
      <c r="L25">
        <f t="shared" si="0"/>
        <v>62</v>
      </c>
    </row>
    <row r="26" spans="1:13" x14ac:dyDescent="0.35">
      <c r="A26" s="2" t="s">
        <v>383</v>
      </c>
      <c r="B26">
        <f>(('Composition (mass)'!R98)-(Variables!P3*0.001))/B39</f>
        <v>2.6342445179046583E-4</v>
      </c>
      <c r="C26" s="2" t="s">
        <v>5</v>
      </c>
      <c r="D26" s="2" t="s">
        <v>20</v>
      </c>
      <c r="G26">
        <v>3</v>
      </c>
      <c r="I26">
        <v>1</v>
      </c>
      <c r="L26">
        <f t="shared" si="0"/>
        <v>17</v>
      </c>
    </row>
    <row r="27" spans="1:13" x14ac:dyDescent="0.35">
      <c r="A27" s="2" t="s">
        <v>355</v>
      </c>
      <c r="C27" s="2" t="s">
        <v>350</v>
      </c>
      <c r="D27" s="2" t="s">
        <v>369</v>
      </c>
    </row>
    <row r="28" spans="1:13" x14ac:dyDescent="0.35">
      <c r="A28" s="2" t="s">
        <v>356</v>
      </c>
      <c r="C28" s="2" t="s">
        <v>350</v>
      </c>
      <c r="D28" s="2" t="s">
        <v>370</v>
      </c>
    </row>
    <row r="29" spans="1:13" x14ac:dyDescent="0.35">
      <c r="A29" s="2" t="s">
        <v>357</v>
      </c>
      <c r="C29" s="2" t="s">
        <v>350</v>
      </c>
      <c r="D29" s="2" t="s">
        <v>371</v>
      </c>
    </row>
    <row r="30" spans="1:13" x14ac:dyDescent="0.35">
      <c r="A30" s="2" t="s">
        <v>358</v>
      </c>
      <c r="C30" s="2" t="s">
        <v>350</v>
      </c>
      <c r="D30" s="2" t="s">
        <v>372</v>
      </c>
    </row>
    <row r="31" spans="1:13" x14ac:dyDescent="0.35">
      <c r="A31" s="2" t="s">
        <v>359</v>
      </c>
      <c r="C31" s="2" t="s">
        <v>350</v>
      </c>
      <c r="D31" s="2" t="s">
        <v>373</v>
      </c>
    </row>
    <row r="32" spans="1:13" x14ac:dyDescent="0.35">
      <c r="A32" s="2" t="s">
        <v>360</v>
      </c>
      <c r="C32" s="2" t="s">
        <v>350</v>
      </c>
      <c r="D32" s="2" t="s">
        <v>362</v>
      </c>
    </row>
    <row r="33" spans="1:4" x14ac:dyDescent="0.35">
      <c r="A33" s="2" t="s">
        <v>361</v>
      </c>
      <c r="C33" s="2" t="s">
        <v>350</v>
      </c>
      <c r="D33" s="2" t="s">
        <v>363</v>
      </c>
    </row>
    <row r="34" spans="1:4" x14ac:dyDescent="0.35">
      <c r="A34" s="2" t="s">
        <v>357</v>
      </c>
      <c r="C34" s="2" t="s">
        <v>350</v>
      </c>
      <c r="D34" s="2" t="s">
        <v>364</v>
      </c>
    </row>
    <row r="35" spans="1:4" x14ac:dyDescent="0.35">
      <c r="A35" s="2" t="s">
        <v>358</v>
      </c>
      <c r="C35" s="2" t="s">
        <v>350</v>
      </c>
      <c r="D35" s="2" t="s">
        <v>365</v>
      </c>
    </row>
    <row r="36" spans="1:4" x14ac:dyDescent="0.35">
      <c r="A36" s="2" t="s">
        <v>359</v>
      </c>
      <c r="C36" s="2" t="s">
        <v>350</v>
      </c>
      <c r="D36" s="2" t="s">
        <v>366</v>
      </c>
    </row>
    <row r="37" spans="1:4" x14ac:dyDescent="0.35">
      <c r="A37" s="2" t="s">
        <v>336</v>
      </c>
      <c r="C37" s="2" t="s">
        <v>367</v>
      </c>
      <c r="D37" s="2" t="s">
        <v>385</v>
      </c>
    </row>
    <row r="38" spans="1:4" x14ac:dyDescent="0.35">
      <c r="A38" s="2" t="s">
        <v>368</v>
      </c>
      <c r="C38" s="2" t="s">
        <v>367</v>
      </c>
      <c r="D38" s="2" t="s">
        <v>384</v>
      </c>
    </row>
    <row r="39" spans="1:4" x14ac:dyDescent="0.35">
      <c r="A39" s="2" t="s">
        <v>529</v>
      </c>
      <c r="B39">
        <f>'Composition (mass)'!C98</f>
        <v>133.06666666666663</v>
      </c>
      <c r="C39" s="2" t="s">
        <v>5</v>
      </c>
      <c r="D39" s="2" t="s">
        <v>528</v>
      </c>
    </row>
    <row r="40" spans="1:4" x14ac:dyDescent="0.35">
      <c r="A40" s="2" t="s">
        <v>559</v>
      </c>
      <c r="C40" s="2" t="s">
        <v>560</v>
      </c>
    </row>
    <row r="41" spans="1:4" x14ac:dyDescent="0.35">
      <c r="A41" s="2" t="s">
        <v>576</v>
      </c>
      <c r="B41" s="39">
        <v>2E-3</v>
      </c>
      <c r="C41" s="2" t="s">
        <v>577</v>
      </c>
      <c r="D41" s="2" t="s">
        <v>578</v>
      </c>
    </row>
    <row r="46" spans="1:4" x14ac:dyDescent="0.35">
      <c r="A46" t="s">
        <v>641</v>
      </c>
      <c r="B46">
        <f>SUM(O2:O7)</f>
        <v>25645.091593816367</v>
      </c>
    </row>
    <row r="47" spans="1:4" x14ac:dyDescent="0.35">
      <c r="A47" t="s">
        <v>642</v>
      </c>
      <c r="B47">
        <f>(B46*0.001)/B39</f>
        <v>0.19272363422206693</v>
      </c>
    </row>
    <row r="48" spans="1:4" x14ac:dyDescent="0.35">
      <c r="A48" t="s">
        <v>654</v>
      </c>
      <c r="B48">
        <f>(P3*0.001)/B39</f>
        <v>6.2485272474057793E-3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AL28"/>
  <sheetViews>
    <sheetView workbookViewId="0">
      <selection activeCell="J3" sqref="J3"/>
    </sheetView>
  </sheetViews>
  <sheetFormatPr baseColWidth="10" defaultRowHeight="14.5" x14ac:dyDescent="0.35"/>
  <sheetData>
    <row r="1" spans="1:38" x14ac:dyDescent="0.35">
      <c r="B1" t="s">
        <v>605</v>
      </c>
      <c r="C1" t="s">
        <v>606</v>
      </c>
      <c r="D1" t="s">
        <v>607</v>
      </c>
      <c r="E1" t="s">
        <v>608</v>
      </c>
      <c r="F1" t="s">
        <v>609</v>
      </c>
      <c r="G1" t="s">
        <v>637</v>
      </c>
      <c r="H1" t="s">
        <v>619</v>
      </c>
      <c r="L1" t="s">
        <v>649</v>
      </c>
    </row>
    <row r="2" spans="1:38" x14ac:dyDescent="0.35">
      <c r="A2" t="s">
        <v>581</v>
      </c>
      <c r="B2">
        <v>0.35</v>
      </c>
      <c r="C2">
        <f>(Variables!L14/Variables!L23)*(stoe!B3/(6-(5*stoe!B3)))</f>
        <v>0.61286157024793375</v>
      </c>
      <c r="D2">
        <f>(Variables!M14/Variables!L26)</f>
        <v>0.70588235294117652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620</v>
      </c>
      <c r="J2">
        <v>0.71648550724637672</v>
      </c>
      <c r="L2">
        <f>C2*(Variables!L$23/Variables!L$14)</f>
        <v>0.17355371900826441</v>
      </c>
      <c r="O2">
        <v>0.17355371900826441</v>
      </c>
      <c r="P2">
        <v>9.8678414096916287E-2</v>
      </c>
      <c r="Q2">
        <v>4.4403195867968683E-2</v>
      </c>
      <c r="R2">
        <v>0.17355371900826441</v>
      </c>
      <c r="S2">
        <v>9.8678414096916287E-2</v>
      </c>
      <c r="T2">
        <v>4.4403195867968683E-2</v>
      </c>
      <c r="U2">
        <v>0.17355371900826441</v>
      </c>
      <c r="V2">
        <v>9.8678414096916287E-2</v>
      </c>
      <c r="W2">
        <v>4.4403195867968683E-2</v>
      </c>
      <c r="X2">
        <v>5.4361283061339333E-2</v>
      </c>
      <c r="Y2">
        <v>0.17355371900826441</v>
      </c>
      <c r="Z2">
        <v>9.8678414096916287E-2</v>
      </c>
      <c r="AA2">
        <v>4.4403195867968683E-2</v>
      </c>
      <c r="AB2">
        <v>5.4361283061339333E-2</v>
      </c>
      <c r="AC2">
        <v>7.6782449725776941E-2</v>
      </c>
      <c r="AD2">
        <v>4.4286279161724E-2</v>
      </c>
      <c r="AE2">
        <v>1.9267471870961863E-2</v>
      </c>
      <c r="AF2">
        <v>2.4607076444965226E-2</v>
      </c>
      <c r="AG2">
        <v>2.7217966832750799E-2</v>
      </c>
      <c r="AH2">
        <v>7.6782449725776941E-2</v>
      </c>
      <c r="AI2">
        <v>4.4286279161724E-2</v>
      </c>
      <c r="AJ2">
        <v>1.9267471870961863E-2</v>
      </c>
      <c r="AK2">
        <v>2.4607076444965226E-2</v>
      </c>
      <c r="AL2">
        <v>2.7217966832750799E-2</v>
      </c>
    </row>
    <row r="3" spans="1:38" x14ac:dyDescent="0.35">
      <c r="A3" t="s">
        <v>582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(Variables!L14/Variables!L24)*(stoe!B4/(15-(5*stoe!B4)))</f>
        <v>0.29323447636700645</v>
      </c>
      <c r="F3">
        <f>(Variables!L14/Variables!L22)*(stoe!B4/(6-(2*stoe!B4)))</f>
        <v>1.7919884666872614</v>
      </c>
      <c r="H3" t="s">
        <v>621</v>
      </c>
      <c r="J3">
        <v>1.7919884666872614</v>
      </c>
      <c r="L3">
        <f>C3*(Variables!L$23/Variables!L$14)</f>
        <v>9.8678414096916287E-2</v>
      </c>
    </row>
    <row r="4" spans="1:38" x14ac:dyDescent="0.35">
      <c r="A4" t="s">
        <v>583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622</v>
      </c>
      <c r="J4">
        <v>0.38083634706418507</v>
      </c>
      <c r="L4">
        <f>C4*(Variables!L$23/Variables!L$14)</f>
        <v>4.4403195867968683E-2</v>
      </c>
    </row>
    <row r="5" spans="1:38" x14ac:dyDescent="0.35">
      <c r="A5" t="s">
        <v>584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623</v>
      </c>
      <c r="J5">
        <v>0.71648550724637672</v>
      </c>
      <c r="L5">
        <f>C5*(Variables!L$23/Variables!L$14)</f>
        <v>0.17355371900826441</v>
      </c>
    </row>
    <row r="6" spans="1:38" x14ac:dyDescent="0.35">
      <c r="A6" t="s">
        <v>585</v>
      </c>
      <c r="B6">
        <v>0.35</v>
      </c>
      <c r="C6">
        <f t="shared" ref="C6:F6" si="1">C3</f>
        <v>0.34845814977973566</v>
      </c>
      <c r="D6">
        <f t="shared" si="1"/>
        <v>2.4906254472591955</v>
      </c>
      <c r="E6">
        <f t="shared" si="1"/>
        <v>0.29323447636700645</v>
      </c>
      <c r="F6">
        <f t="shared" si="1"/>
        <v>1.7919884666872614</v>
      </c>
      <c r="H6" t="s">
        <v>624</v>
      </c>
      <c r="J6">
        <v>1.7919884666872614</v>
      </c>
      <c r="L6">
        <f>C6*(Variables!L$23/Variables!L$14)</f>
        <v>9.8678414096916287E-2</v>
      </c>
    </row>
    <row r="7" spans="1:38" x14ac:dyDescent="0.35">
      <c r="A7" t="s">
        <v>586</v>
      </c>
      <c r="B7">
        <v>0.35</v>
      </c>
      <c r="C7">
        <f t="shared" ref="C7:F7" si="2">C4</f>
        <v>0.15679878540876441</v>
      </c>
      <c r="D7">
        <f t="shared" si="2"/>
        <v>6.6470588235294121</v>
      </c>
      <c r="E7">
        <f t="shared" si="2"/>
        <v>0.16528408426291219</v>
      </c>
      <c r="F7">
        <f t="shared" si="2"/>
        <v>0.38083634706418507</v>
      </c>
      <c r="H7" t="s">
        <v>625</v>
      </c>
      <c r="J7">
        <v>0.38083634706418507</v>
      </c>
      <c r="L7">
        <f>C7*(Variables!L$23/Variables!L$14)</f>
        <v>4.4403195867968683E-2</v>
      </c>
    </row>
    <row r="8" spans="1:38" x14ac:dyDescent="0.35">
      <c r="A8" t="s">
        <v>587</v>
      </c>
      <c r="B8">
        <v>0.35</v>
      </c>
      <c r="C8">
        <f t="shared" ref="C8:F8" si="3">C2</f>
        <v>0.61286157024793375</v>
      </c>
      <c r="D8">
        <f t="shared" si="3"/>
        <v>0.70588235294117652</v>
      </c>
      <c r="E8">
        <f t="shared" si="3"/>
        <v>0.44571750563486096</v>
      </c>
      <c r="F8">
        <f t="shared" si="3"/>
        <v>0.71648550724637672</v>
      </c>
      <c r="H8" t="s">
        <v>626</v>
      </c>
      <c r="J8">
        <v>0.71648550724637672</v>
      </c>
      <c r="L8">
        <f>C8*(Variables!L$23/Variables!L$14)</f>
        <v>0.17355371900826441</v>
      </c>
    </row>
    <row r="9" spans="1:38" x14ac:dyDescent="0.35">
      <c r="A9" t="s">
        <v>588</v>
      </c>
      <c r="B9">
        <v>0.35</v>
      </c>
      <c r="C9">
        <f t="shared" ref="C9:F9" si="4">C3</f>
        <v>0.34845814977973566</v>
      </c>
      <c r="D9">
        <f t="shared" si="4"/>
        <v>2.4906254472591955</v>
      </c>
      <c r="E9">
        <f t="shared" si="4"/>
        <v>0.29323447636700645</v>
      </c>
      <c r="F9">
        <f t="shared" si="4"/>
        <v>1.7919884666872614</v>
      </c>
      <c r="H9" t="s">
        <v>627</v>
      </c>
      <c r="J9">
        <v>1.7919884666872614</v>
      </c>
      <c r="L9">
        <f>C9*(Variables!L$23/Variables!L$14)</f>
        <v>9.8678414096916287E-2</v>
      </c>
    </row>
    <row r="10" spans="1:38" x14ac:dyDescent="0.35">
      <c r="A10" t="s">
        <v>589</v>
      </c>
      <c r="B10">
        <v>0.35</v>
      </c>
      <c r="C10">
        <f t="shared" ref="C10:F10" si="5">C4</f>
        <v>0.15679878540876441</v>
      </c>
      <c r="D10">
        <f t="shared" si="5"/>
        <v>6.6470588235294121</v>
      </c>
      <c r="E10">
        <f t="shared" si="5"/>
        <v>0.16528408426291219</v>
      </c>
      <c r="F10">
        <f t="shared" si="5"/>
        <v>0.38083634706418507</v>
      </c>
      <c r="H10" t="s">
        <v>628</v>
      </c>
      <c r="J10">
        <v>0.38083634706418507</v>
      </c>
      <c r="L10">
        <f>C10*(Variables!L$23/Variables!L$14)</f>
        <v>4.4403195867968683E-2</v>
      </c>
    </row>
    <row r="11" spans="1:38" x14ac:dyDescent="0.35">
      <c r="A11" t="s">
        <v>590</v>
      </c>
      <c r="B11">
        <v>0.35</v>
      </c>
      <c r="C11">
        <f>(Variables!L16/Variables!L23)*(stoe!B6/(10-(5*stoe!B6)))</f>
        <v>0.19196328081035452</v>
      </c>
      <c r="D11">
        <f>(Variables!L16/Variables!L26)</f>
        <v>6.6470588235294121</v>
      </c>
      <c r="E11">
        <f>(Variables!L16/Variables!L24)*(stoe!B6/(10-(5*stoe!B6)))</f>
        <v>0.13960965877116693</v>
      </c>
      <c r="F11">
        <f>(Variables!L16/Variables!L22)*(stoe!B6/(9-(2*stoe!B6)))</f>
        <v>0.32944009850789513</v>
      </c>
      <c r="H11" t="s">
        <v>629</v>
      </c>
      <c r="J11">
        <v>0.32944009850789513</v>
      </c>
      <c r="L11">
        <f>C11*(Variables!L$23/Variables!L$14)</f>
        <v>5.4361283061339333E-2</v>
      </c>
    </row>
    <row r="12" spans="1:38" x14ac:dyDescent="0.35">
      <c r="A12" t="s">
        <v>591</v>
      </c>
      <c r="B12">
        <v>0.35</v>
      </c>
      <c r="C12">
        <f t="shared" ref="C12:F12" si="6">C2</f>
        <v>0.61286157024793375</v>
      </c>
      <c r="D12">
        <f t="shared" si="6"/>
        <v>0.70588235294117652</v>
      </c>
      <c r="E12">
        <f t="shared" si="6"/>
        <v>0.44571750563486096</v>
      </c>
      <c r="F12">
        <f t="shared" si="6"/>
        <v>0.71648550724637672</v>
      </c>
      <c r="H12" t="s">
        <v>630</v>
      </c>
      <c r="J12">
        <v>0.71648550724637672</v>
      </c>
      <c r="L12">
        <f>C12*(Variables!L$23/Variables!L$14)</f>
        <v>0.17355371900826441</v>
      </c>
    </row>
    <row r="13" spans="1:38" x14ac:dyDescent="0.35">
      <c r="A13" t="s">
        <v>592</v>
      </c>
      <c r="B13">
        <v>0.35</v>
      </c>
      <c r="C13">
        <f t="shared" ref="C13:F13" si="7">C3</f>
        <v>0.34845814977973566</v>
      </c>
      <c r="D13">
        <f t="shared" si="7"/>
        <v>2.4906254472591955</v>
      </c>
      <c r="E13">
        <f t="shared" si="7"/>
        <v>0.29323447636700645</v>
      </c>
      <c r="F13">
        <f t="shared" si="7"/>
        <v>1.7919884666872614</v>
      </c>
      <c r="H13" t="s">
        <v>631</v>
      </c>
      <c r="J13">
        <v>1.7919884666872614</v>
      </c>
      <c r="L13">
        <f>C13*(Variables!L$23/Variables!L$14)</f>
        <v>9.8678414096916287E-2</v>
      </c>
    </row>
    <row r="14" spans="1:38" x14ac:dyDescent="0.35">
      <c r="A14" t="s">
        <v>593</v>
      </c>
      <c r="B14">
        <v>0.35</v>
      </c>
      <c r="C14">
        <f t="shared" ref="C14:F14" si="8">C4</f>
        <v>0.15679878540876441</v>
      </c>
      <c r="D14">
        <f t="shared" si="8"/>
        <v>6.6470588235294121</v>
      </c>
      <c r="E14">
        <f t="shared" si="8"/>
        <v>0.16528408426291219</v>
      </c>
      <c r="F14">
        <f t="shared" si="8"/>
        <v>0.38083634706418507</v>
      </c>
      <c r="H14" t="s">
        <v>632</v>
      </c>
      <c r="J14">
        <v>0.38083634706418507</v>
      </c>
      <c r="L14">
        <f>C14*(Variables!L$23/Variables!L$14)</f>
        <v>4.4403195867968683E-2</v>
      </c>
    </row>
    <row r="15" spans="1:38" x14ac:dyDescent="0.35">
      <c r="A15" t="s">
        <v>594</v>
      </c>
      <c r="B15">
        <v>0.35</v>
      </c>
      <c r="C15">
        <f t="shared" ref="C15:F15" si="9">C11</f>
        <v>0.19196328081035452</v>
      </c>
      <c r="D15">
        <f t="shared" si="9"/>
        <v>6.6470588235294121</v>
      </c>
      <c r="E15">
        <f t="shared" si="9"/>
        <v>0.13960965877116693</v>
      </c>
      <c r="F15">
        <f t="shared" si="9"/>
        <v>0.32944009850789513</v>
      </c>
      <c r="H15" t="s">
        <v>633</v>
      </c>
      <c r="J15">
        <v>0.32944009850789513</v>
      </c>
      <c r="L15">
        <f>C15*(Variables!L$23/Variables!L$14)</f>
        <v>5.4361283061339333E-2</v>
      </c>
    </row>
    <row r="16" spans="1:38" x14ac:dyDescent="0.35">
      <c r="A16" t="s">
        <v>595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634</v>
      </c>
      <c r="J16">
        <v>0.83045148895292964</v>
      </c>
      <c r="L16">
        <f>C16*(Variables!L$23/Variables!L$18)</f>
        <v>7.6782449725776941E-2</v>
      </c>
    </row>
    <row r="17" spans="1:12" x14ac:dyDescent="0.35">
      <c r="A17" t="s">
        <v>596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610</v>
      </c>
      <c r="J17">
        <v>2.7284986729789824</v>
      </c>
      <c r="L17">
        <f>C17*(Variables!L$23/Variables!L$18)</f>
        <v>4.4286279161724E-2</v>
      </c>
    </row>
    <row r="18" spans="1:12" x14ac:dyDescent="0.35">
      <c r="A18" t="s">
        <v>597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612</v>
      </c>
      <c r="J18">
        <v>0.41080205601442249</v>
      </c>
      <c r="L18">
        <f>C18*(Variables!L$23/Variables!L$18)</f>
        <v>1.9267471870961863E-2</v>
      </c>
    </row>
    <row r="19" spans="1:12" x14ac:dyDescent="0.35">
      <c r="A19" t="s">
        <v>598</v>
      </c>
      <c r="B19">
        <v>0.35</v>
      </c>
      <c r="C19">
        <f>(Variables!L19/Variables!L23)*(stoe!B10/(10-((21/2)*stoe!B10)))</f>
        <v>0.18993587130957534</v>
      </c>
      <c r="D19">
        <f>Variables!L19/Variables!L26</f>
        <v>14.529411764705882</v>
      </c>
      <c r="E19">
        <f>(Variables!L19/Variables!L24)*(stoe!B10/(10-(10*stoe!B10)))</f>
        <v>0.13645628402800014</v>
      </c>
      <c r="F19">
        <f>(Variables!L19/Variables!L22)*(stoe!B10/(9-(7*stoe!B10)))</f>
        <v>0.35162784939961444</v>
      </c>
      <c r="H19" t="s">
        <v>614</v>
      </c>
      <c r="J19">
        <v>0.35162784939961444</v>
      </c>
      <c r="L19">
        <f>C19*(Variables!L$23/Variables!L$18)</f>
        <v>2.4607076444965226E-2</v>
      </c>
    </row>
    <row r="20" spans="1:12" x14ac:dyDescent="0.35">
      <c r="A20" t="s">
        <v>599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616</v>
      </c>
      <c r="J20">
        <v>0.6259362128927346</v>
      </c>
      <c r="L20">
        <f>C20*(Variables!L$23/Variables!L$18)</f>
        <v>2.7217966832750799E-2</v>
      </c>
    </row>
    <row r="21" spans="1:12" x14ac:dyDescent="0.35">
      <c r="A21" t="s">
        <v>600</v>
      </c>
      <c r="B21">
        <v>0.35</v>
      </c>
      <c r="C21">
        <f t="shared" ref="C21:F21" si="10">C16</f>
        <v>0.59266453382084072</v>
      </c>
      <c r="D21">
        <f t="shared" si="10"/>
        <v>14.529411764705882</v>
      </c>
      <c r="E21">
        <f t="shared" si="10"/>
        <v>0.41509282970550565</v>
      </c>
      <c r="F21">
        <f t="shared" si="10"/>
        <v>0.83045148895292964</v>
      </c>
      <c r="H21" t="s">
        <v>617</v>
      </c>
      <c r="J21">
        <v>0.83045148895292964</v>
      </c>
      <c r="L21">
        <f>C21*(Variables!L$23/Variables!L$18)</f>
        <v>7.6782449725776941E-2</v>
      </c>
    </row>
    <row r="22" spans="1:12" x14ac:dyDescent="0.35">
      <c r="A22" t="s">
        <v>601</v>
      </c>
      <c r="B22">
        <v>0.35</v>
      </c>
      <c r="C22">
        <f t="shared" ref="C22:F22" si="11">C17</f>
        <v>0.34183471727955711</v>
      </c>
      <c r="D22">
        <f t="shared" si="11"/>
        <v>2.0698699461283123</v>
      </c>
      <c r="E22">
        <f t="shared" si="11"/>
        <v>0.25426470588235289</v>
      </c>
      <c r="F22">
        <f t="shared" si="11"/>
        <v>2.7284986729789824</v>
      </c>
      <c r="H22" t="s">
        <v>611</v>
      </c>
      <c r="J22">
        <v>2.7284986729789824</v>
      </c>
      <c r="L22">
        <f>C22*(Variables!L$23/Variables!L$18)</f>
        <v>4.4286279161724E-2</v>
      </c>
    </row>
    <row r="23" spans="1:12" x14ac:dyDescent="0.35">
      <c r="A23" t="s">
        <v>602</v>
      </c>
      <c r="B23">
        <v>0.35</v>
      </c>
      <c r="C23">
        <f t="shared" ref="C23:F23" si="12">C18</f>
        <v>0.14872079850398687</v>
      </c>
      <c r="D23">
        <f t="shared" si="12"/>
        <v>14.529411764705882</v>
      </c>
      <c r="E23">
        <f t="shared" si="12"/>
        <v>0.16088252564187555</v>
      </c>
      <c r="F23">
        <f t="shared" si="12"/>
        <v>0.41080205601442249</v>
      </c>
      <c r="H23" t="s">
        <v>613</v>
      </c>
      <c r="J23">
        <v>0.41080205601442249</v>
      </c>
      <c r="L23">
        <f>C23*(Variables!L$23/Variables!L$18)</f>
        <v>1.9267471870961863E-2</v>
      </c>
    </row>
    <row r="24" spans="1:12" x14ac:dyDescent="0.35">
      <c r="A24" t="s">
        <v>603</v>
      </c>
      <c r="B24">
        <v>0.35</v>
      </c>
      <c r="C24">
        <f t="shared" ref="C24:F24" si="13">C19</f>
        <v>0.18993587130957534</v>
      </c>
      <c r="D24">
        <f t="shared" si="13"/>
        <v>14.529411764705882</v>
      </c>
      <c r="E24">
        <f t="shared" si="13"/>
        <v>0.13645628402800014</v>
      </c>
      <c r="F24">
        <f t="shared" si="13"/>
        <v>0.35162784939961444</v>
      </c>
      <c r="H24" t="s">
        <v>615</v>
      </c>
      <c r="J24">
        <v>0.35162784939961444</v>
      </c>
      <c r="L24">
        <f>C24*(Variables!L$23/Variables!L$18)</f>
        <v>2.4607076444965226E-2</v>
      </c>
    </row>
    <row r="25" spans="1:12" x14ac:dyDescent="0.35">
      <c r="A25" t="s">
        <v>604</v>
      </c>
      <c r="B25">
        <v>0.35</v>
      </c>
      <c r="C25">
        <f t="shared" ref="C25:F25" si="14">C20</f>
        <v>0.21008868149029522</v>
      </c>
      <c r="D25">
        <f t="shared" si="14"/>
        <v>14.529411764705882</v>
      </c>
      <c r="E25">
        <f t="shared" si="14"/>
        <v>0.19653096971353326</v>
      </c>
      <c r="F25">
        <f t="shared" si="14"/>
        <v>0.6259362128927346</v>
      </c>
      <c r="H25" t="s">
        <v>618</v>
      </c>
      <c r="J25">
        <v>0.6259362128927346</v>
      </c>
      <c r="L25">
        <f>C25*(Variables!L$23/Variables!L$18)</f>
        <v>2.7217966832750799E-2</v>
      </c>
    </row>
    <row r="26" spans="1:12" x14ac:dyDescent="0.35">
      <c r="A26" t="s">
        <v>635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636</v>
      </c>
    </row>
    <row r="28" spans="1:12" x14ac:dyDescent="0.35">
      <c r="A28" t="s">
        <v>650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3" sqref="B3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389</v>
      </c>
      <c r="B1" t="s">
        <v>390</v>
      </c>
    </row>
    <row r="2" spans="1:3" x14ac:dyDescent="0.35">
      <c r="A2" t="s">
        <v>391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387</v>
      </c>
      <c r="B12" s="2">
        <v>0.2</v>
      </c>
    </row>
    <row r="13" spans="1:3" x14ac:dyDescent="0.35">
      <c r="A13" s="2" t="s">
        <v>433</v>
      </c>
      <c r="B13">
        <v>1.83</v>
      </c>
      <c r="C13" t="s">
        <v>439</v>
      </c>
    </row>
    <row r="14" spans="1:3" x14ac:dyDescent="0.35">
      <c r="A14" s="2" t="s">
        <v>434</v>
      </c>
      <c r="B14">
        <v>1.98</v>
      </c>
    </row>
    <row r="15" spans="1:3" x14ac:dyDescent="0.35">
      <c r="A15" s="2" t="s">
        <v>435</v>
      </c>
      <c r="B15">
        <v>2.1000000000000001E-2</v>
      </c>
    </row>
    <row r="16" spans="1:3" x14ac:dyDescent="0.35">
      <c r="A16" s="2" t="s">
        <v>436</v>
      </c>
      <c r="B16">
        <v>1.0409999999999999</v>
      </c>
    </row>
    <row r="17" spans="1:2" x14ac:dyDescent="0.35">
      <c r="A17" s="2" t="s">
        <v>437</v>
      </c>
      <c r="B17">
        <v>0.98</v>
      </c>
    </row>
    <row r="18" spans="1:2" x14ac:dyDescent="0.35">
      <c r="A18" s="2" t="s">
        <v>438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6"/>
  <sheetViews>
    <sheetView topLeftCell="A29" workbookViewId="0">
      <selection activeCell="A51" sqref="A51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504</v>
      </c>
      <c r="G1" s="1" t="s">
        <v>505</v>
      </c>
      <c r="H1" s="1" t="s">
        <v>502</v>
      </c>
      <c r="I1" s="1" t="s">
        <v>503</v>
      </c>
    </row>
    <row r="2" spans="1:11" x14ac:dyDescent="0.35">
      <c r="A2" s="2" t="s">
        <v>490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509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491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509</v>
      </c>
      <c r="K3" s="2">
        <f t="shared" si="0"/>
        <v>0.48</v>
      </c>
    </row>
    <row r="4" spans="1:11" x14ac:dyDescent="0.35">
      <c r="A4" s="2" t="s">
        <v>492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509</v>
      </c>
      <c r="K4" s="2">
        <f t="shared" si="0"/>
        <v>0.24</v>
      </c>
    </row>
    <row r="5" spans="1:11" x14ac:dyDescent="0.35">
      <c r="A5" s="2" t="s">
        <v>493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509</v>
      </c>
      <c r="K5" s="2">
        <f t="shared" si="0"/>
        <v>0.48</v>
      </c>
    </row>
    <row r="6" spans="1:11" x14ac:dyDescent="0.35">
      <c r="A6" s="2" t="s">
        <v>494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509</v>
      </c>
      <c r="K6" s="2">
        <f t="shared" si="0"/>
        <v>0.96</v>
      </c>
    </row>
    <row r="7" spans="1:11" x14ac:dyDescent="0.35">
      <c r="A7" s="2" t="s">
        <v>495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509</v>
      </c>
      <c r="K7" s="2">
        <f t="shared" si="0"/>
        <v>0.24</v>
      </c>
    </row>
    <row r="8" spans="1:11" x14ac:dyDescent="0.35">
      <c r="A8" s="2" t="s">
        <v>496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509</v>
      </c>
      <c r="K8" s="2">
        <f t="shared" si="0"/>
        <v>0.21599999999999997</v>
      </c>
    </row>
    <row r="9" spans="1:11" x14ac:dyDescent="0.35">
      <c r="A9" s="2" t="s">
        <v>497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509</v>
      </c>
      <c r="K9" s="2">
        <f t="shared" si="0"/>
        <v>0.16800000000000001</v>
      </c>
    </row>
    <row r="10" spans="1:11" x14ac:dyDescent="0.35">
      <c r="A10" s="2" t="s">
        <v>498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509</v>
      </c>
      <c r="K10" s="2">
        <f t="shared" si="0"/>
        <v>0.16800000000000001</v>
      </c>
    </row>
    <row r="11" spans="1:11" x14ac:dyDescent="0.35">
      <c r="A11" s="2" t="s">
        <v>499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509</v>
      </c>
      <c r="K11" s="2">
        <f t="shared" si="0"/>
        <v>0.21599999999999997</v>
      </c>
    </row>
    <row r="12" spans="1:11" x14ac:dyDescent="0.35">
      <c r="A12" s="2" t="s">
        <v>500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509</v>
      </c>
      <c r="K12" s="2">
        <f t="shared" si="0"/>
        <v>0.16800000000000001</v>
      </c>
    </row>
    <row r="13" spans="1:11" x14ac:dyDescent="0.35">
      <c r="A13" s="2" t="s">
        <v>501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509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509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509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509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509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509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509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509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509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509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509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509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509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509</v>
      </c>
      <c r="K26" s="2">
        <f t="shared" si="0"/>
        <v>0.06</v>
      </c>
    </row>
    <row r="27" spans="1:11" x14ac:dyDescent="0.35">
      <c r="A27" s="23" t="s">
        <v>431</v>
      </c>
      <c r="B27" s="23">
        <v>0.03</v>
      </c>
      <c r="C27" s="23" t="s">
        <v>255</v>
      </c>
      <c r="D27" s="23" t="s">
        <v>432</v>
      </c>
      <c r="E27" s="23">
        <v>25</v>
      </c>
      <c r="F27" s="23" t="s">
        <v>506</v>
      </c>
      <c r="G27" s="23" t="s">
        <v>507</v>
      </c>
    </row>
    <row r="28" spans="1:11" x14ac:dyDescent="0.35">
      <c r="A28" s="27" t="s">
        <v>440</v>
      </c>
      <c r="B28" s="2">
        <v>4.2000000000000003E-2</v>
      </c>
      <c r="C28" s="2" t="s">
        <v>537</v>
      </c>
      <c r="D28" s="2" t="s">
        <v>442</v>
      </c>
      <c r="E28" s="23">
        <v>26</v>
      </c>
      <c r="F28" s="23" t="s">
        <v>506</v>
      </c>
      <c r="G28" s="23" t="s">
        <v>508</v>
      </c>
      <c r="H28" s="27">
        <v>1</v>
      </c>
      <c r="I28" s="27" t="s">
        <v>441</v>
      </c>
    </row>
    <row r="29" spans="1:11" x14ac:dyDescent="0.35">
      <c r="A29" s="2" t="s">
        <v>443</v>
      </c>
      <c r="B29" s="2">
        <v>8.3000000000000001E-3</v>
      </c>
      <c r="C29" s="23" t="s">
        <v>255</v>
      </c>
      <c r="D29" s="2" t="s">
        <v>444</v>
      </c>
      <c r="E29" s="23">
        <v>27</v>
      </c>
      <c r="F29" s="23" t="s">
        <v>506</v>
      </c>
      <c r="G29" s="23" t="s">
        <v>507</v>
      </c>
    </row>
    <row r="30" spans="1:11" hidden="1" x14ac:dyDescent="0.35">
      <c r="A30" s="2" t="s">
        <v>374</v>
      </c>
      <c r="B30" s="24">
        <v>9.9999999999999995E-8</v>
      </c>
      <c r="C30" s="2" t="s">
        <v>375</v>
      </c>
      <c r="D30" s="2" t="s">
        <v>380</v>
      </c>
      <c r="E30" s="23">
        <v>25</v>
      </c>
      <c r="F30" s="2" t="s">
        <v>509</v>
      </c>
    </row>
    <row r="31" spans="1:11" hidden="1" x14ac:dyDescent="0.35">
      <c r="A31" s="2" t="s">
        <v>376</v>
      </c>
      <c r="B31" s="24">
        <v>9.9999999999999995E-7</v>
      </c>
      <c r="C31" s="2" t="s">
        <v>375</v>
      </c>
      <c r="D31" s="2" t="s">
        <v>379</v>
      </c>
      <c r="E31" s="23">
        <v>26</v>
      </c>
      <c r="F31" s="2" t="s">
        <v>509</v>
      </c>
    </row>
    <row r="32" spans="1:11" hidden="1" x14ac:dyDescent="0.35">
      <c r="A32" s="2" t="s">
        <v>377</v>
      </c>
      <c r="B32" s="24">
        <v>9.9999999999999995E-8</v>
      </c>
      <c r="C32" s="2" t="s">
        <v>375</v>
      </c>
      <c r="D32" s="2" t="s">
        <v>381</v>
      </c>
      <c r="E32" s="23">
        <v>27</v>
      </c>
      <c r="F32" s="2" t="s">
        <v>509</v>
      </c>
    </row>
    <row r="33" spans="1:8" hidden="1" x14ac:dyDescent="0.35">
      <c r="A33" s="2" t="s">
        <v>378</v>
      </c>
      <c r="B33" s="24">
        <v>9.9999999999999995E-8</v>
      </c>
      <c r="C33" s="2" t="s">
        <v>375</v>
      </c>
      <c r="D33" s="2" t="s">
        <v>382</v>
      </c>
      <c r="E33" s="23">
        <v>28</v>
      </c>
      <c r="F33" s="2" t="s">
        <v>509</v>
      </c>
    </row>
    <row r="34" spans="1:8" x14ac:dyDescent="0.35">
      <c r="A34" s="2" t="s">
        <v>392</v>
      </c>
      <c r="B34" s="24">
        <v>1E-4</v>
      </c>
      <c r="C34" s="2" t="s">
        <v>531</v>
      </c>
      <c r="D34" s="2" t="s">
        <v>520</v>
      </c>
      <c r="E34" s="23">
        <v>29</v>
      </c>
      <c r="F34" s="2" t="s">
        <v>509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509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509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509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509</v>
      </c>
    </row>
    <row r="39" spans="1:8" x14ac:dyDescent="0.35">
      <c r="A39" s="2" t="s">
        <v>428</v>
      </c>
      <c r="B39" s="2">
        <v>57.2</v>
      </c>
      <c r="C39" s="2" t="s">
        <v>323</v>
      </c>
      <c r="D39" s="2" t="s">
        <v>330</v>
      </c>
      <c r="F39" s="2" t="s">
        <v>509</v>
      </c>
    </row>
    <row r="40" spans="1:8" x14ac:dyDescent="0.35">
      <c r="A40" s="2" t="s">
        <v>427</v>
      </c>
      <c r="B40" s="2">
        <v>65.5</v>
      </c>
      <c r="C40" s="23" t="s">
        <v>323</v>
      </c>
      <c r="D40" s="2" t="s">
        <v>331</v>
      </c>
      <c r="F40" s="2" t="s">
        <v>509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347</v>
      </c>
    </row>
    <row r="42" spans="1:8" s="26" customFormat="1" x14ac:dyDescent="0.35">
      <c r="A42" s="28" t="s">
        <v>534</v>
      </c>
      <c r="B42" s="26">
        <v>0.2</v>
      </c>
      <c r="C42" s="26" t="s">
        <v>535</v>
      </c>
      <c r="D42" s="28" t="s">
        <v>527</v>
      </c>
      <c r="F42" s="2" t="s">
        <v>509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509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509</v>
      </c>
    </row>
    <row r="45" spans="1:8" s="26" customFormat="1" x14ac:dyDescent="0.35">
      <c r="A45" s="27" t="s">
        <v>344</v>
      </c>
      <c r="C45" s="27" t="s">
        <v>334</v>
      </c>
      <c r="D45" s="27" t="s">
        <v>345</v>
      </c>
      <c r="E45" s="26" t="s">
        <v>347</v>
      </c>
      <c r="F45" s="2" t="s">
        <v>509</v>
      </c>
    </row>
    <row r="46" spans="1:8" x14ac:dyDescent="0.35">
      <c r="A46" s="2" t="s">
        <v>346</v>
      </c>
      <c r="B46" s="24">
        <v>4.9999999999999998E-8</v>
      </c>
      <c r="C46" s="2" t="s">
        <v>530</v>
      </c>
      <c r="D46" s="2" t="s">
        <v>533</v>
      </c>
      <c r="F46" s="2" t="s">
        <v>509</v>
      </c>
    </row>
    <row r="47" spans="1:8" x14ac:dyDescent="0.35">
      <c r="A47" s="2" t="s">
        <v>348</v>
      </c>
      <c r="B47" s="24">
        <v>6.2000000000000003E-5</v>
      </c>
      <c r="C47" s="2" t="s">
        <v>530</v>
      </c>
      <c r="D47" s="2" t="s">
        <v>349</v>
      </c>
      <c r="F47" s="2" t="s">
        <v>509</v>
      </c>
    </row>
    <row r="48" spans="1:8" x14ac:dyDescent="0.35">
      <c r="A48" s="23" t="s">
        <v>536</v>
      </c>
      <c r="B48" s="36">
        <v>8.4000000000000005E-2</v>
      </c>
      <c r="C48" s="2" t="s">
        <v>530</v>
      </c>
    </row>
    <row r="49" spans="1:8" s="34" customFormat="1" hidden="1" x14ac:dyDescent="0.35">
      <c r="A49" s="34" t="s">
        <v>403</v>
      </c>
      <c r="B49" s="34">
        <v>404</v>
      </c>
      <c r="C49" s="34" t="s">
        <v>404</v>
      </c>
      <c r="D49" s="34" t="s">
        <v>405</v>
      </c>
      <c r="E49" s="34" t="s">
        <v>406</v>
      </c>
    </row>
    <row r="50" spans="1:8" s="34" customFormat="1" hidden="1" x14ac:dyDescent="0.35">
      <c r="A50" s="34" t="s">
        <v>407</v>
      </c>
      <c r="B50" s="34">
        <v>1005</v>
      </c>
      <c r="C50" s="34" t="s">
        <v>409</v>
      </c>
      <c r="D50" s="34" t="s">
        <v>408</v>
      </c>
      <c r="E50" s="34" t="s">
        <v>410</v>
      </c>
    </row>
    <row r="51" spans="1:8" s="34" customFormat="1" hidden="1" x14ac:dyDescent="0.35">
      <c r="A51" s="34" t="s">
        <v>414</v>
      </c>
      <c r="B51" s="34">
        <v>710</v>
      </c>
      <c r="C51" s="34" t="s">
        <v>409</v>
      </c>
      <c r="D51" s="34" t="s">
        <v>423</v>
      </c>
      <c r="E51" s="34" t="s">
        <v>421</v>
      </c>
      <c r="F51" s="34" t="s">
        <v>424</v>
      </c>
    </row>
    <row r="52" spans="1:8" s="34" customFormat="1" hidden="1" x14ac:dyDescent="0.35">
      <c r="A52" s="34" t="s">
        <v>415</v>
      </c>
      <c r="B52" s="34">
        <v>1000</v>
      </c>
      <c r="C52" s="34" t="s">
        <v>409</v>
      </c>
    </row>
    <row r="53" spans="1:8" s="34" customFormat="1" hidden="1" x14ac:dyDescent="0.35">
      <c r="A53" s="34" t="s">
        <v>416</v>
      </c>
      <c r="B53" s="35">
        <v>1260</v>
      </c>
      <c r="C53" s="34" t="s">
        <v>409</v>
      </c>
      <c r="D53" s="34" t="s">
        <v>419</v>
      </c>
      <c r="E53" s="34" t="s">
        <v>420</v>
      </c>
    </row>
    <row r="54" spans="1:8" s="34" customFormat="1" hidden="1" x14ac:dyDescent="0.35">
      <c r="A54" s="34" t="s">
        <v>417</v>
      </c>
      <c r="B54" s="34">
        <v>1542</v>
      </c>
      <c r="C54" s="34" t="s">
        <v>409</v>
      </c>
      <c r="D54" s="34" t="s">
        <v>425</v>
      </c>
      <c r="E54" s="34" t="s">
        <v>426</v>
      </c>
    </row>
    <row r="55" spans="1:8" s="34" customFormat="1" x14ac:dyDescent="0.35">
      <c r="A55" s="34" t="s">
        <v>418</v>
      </c>
      <c r="B55" s="34">
        <v>1305</v>
      </c>
      <c r="C55" s="34" t="s">
        <v>409</v>
      </c>
      <c r="E55" s="34" t="s">
        <v>422</v>
      </c>
    </row>
    <row r="56" spans="1:8" x14ac:dyDescent="0.35">
      <c r="A56" s="2" t="s">
        <v>429</v>
      </c>
      <c r="B56" s="23">
        <v>0.2</v>
      </c>
      <c r="C56"/>
      <c r="D56" s="2" t="s">
        <v>430</v>
      </c>
      <c r="E56" s="23">
        <v>54</v>
      </c>
      <c r="F56" s="23" t="s">
        <v>506</v>
      </c>
      <c r="G56" s="23" t="s">
        <v>507</v>
      </c>
    </row>
    <row r="57" spans="1:8" x14ac:dyDescent="0.35">
      <c r="A57" s="26" t="s">
        <v>538</v>
      </c>
      <c r="B57" s="26">
        <v>0.2</v>
      </c>
      <c r="C57" s="26" t="s">
        <v>446</v>
      </c>
      <c r="D57" s="27" t="s">
        <v>447</v>
      </c>
      <c r="F57" s="23" t="s">
        <v>506</v>
      </c>
      <c r="G57" s="23" t="s">
        <v>539</v>
      </c>
    </row>
    <row r="58" spans="1:8" x14ac:dyDescent="0.35">
      <c r="A58" s="23" t="s">
        <v>471</v>
      </c>
      <c r="B58" s="38">
        <v>5.352E-4</v>
      </c>
      <c r="C58" s="26" t="s">
        <v>557</v>
      </c>
      <c r="D58" s="27" t="s">
        <v>489</v>
      </c>
      <c r="F58" s="37" t="s">
        <v>558</v>
      </c>
    </row>
    <row r="59" spans="1:8" x14ac:dyDescent="0.35">
      <c r="A59" s="23" t="s">
        <v>488</v>
      </c>
      <c r="B59" s="26">
        <v>0.72</v>
      </c>
      <c r="C59" s="26" t="s">
        <v>530</v>
      </c>
      <c r="D59" s="27" t="s">
        <v>510</v>
      </c>
      <c r="F59" s="23" t="s">
        <v>556</v>
      </c>
      <c r="G59" s="23" t="s">
        <v>508</v>
      </c>
    </row>
    <row r="60" spans="1:8" x14ac:dyDescent="0.35">
      <c r="A60" s="23" t="s">
        <v>515</v>
      </c>
      <c r="B60" s="26">
        <v>3.3000000000000002E-2</v>
      </c>
      <c r="C60" s="23" t="s">
        <v>535</v>
      </c>
      <c r="D60" s="23" t="s">
        <v>516</v>
      </c>
      <c r="F60" s="23" t="s">
        <v>556</v>
      </c>
    </row>
    <row r="61" spans="1:8" x14ac:dyDescent="0.35">
      <c r="A61" s="23" t="s">
        <v>517</v>
      </c>
      <c r="B61" s="38">
        <v>400000</v>
      </c>
      <c r="C61" s="23" t="s">
        <v>555</v>
      </c>
      <c r="D61" s="23" t="s">
        <v>518</v>
      </c>
      <c r="F61" s="23" t="s">
        <v>519</v>
      </c>
    </row>
    <row r="62" spans="1:8" x14ac:dyDescent="0.35">
      <c r="A62" s="23" t="s">
        <v>526</v>
      </c>
      <c r="B62" s="36">
        <v>1.9000000000000001E-5</v>
      </c>
      <c r="C62" s="23" t="s">
        <v>535</v>
      </c>
      <c r="G62" s="26">
        <v>0.6</v>
      </c>
      <c r="H62" s="23" t="s">
        <v>335</v>
      </c>
    </row>
    <row r="63" spans="1:8" x14ac:dyDescent="0.35">
      <c r="A63" s="23" t="s">
        <v>337</v>
      </c>
      <c r="B63" s="26">
        <v>0.4</v>
      </c>
    </row>
    <row r="64" spans="1:8" x14ac:dyDescent="0.35">
      <c r="A64" s="23" t="s">
        <v>340</v>
      </c>
      <c r="B64" s="26">
        <v>0.6</v>
      </c>
    </row>
    <row r="65" spans="1:6" x14ac:dyDescent="0.35">
      <c r="A65" s="23" t="s">
        <v>550</v>
      </c>
      <c r="B65" s="23">
        <v>0.26700000000000002</v>
      </c>
      <c r="C65" s="23" t="s">
        <v>540</v>
      </c>
      <c r="D65" s="23" t="s">
        <v>541</v>
      </c>
    </row>
    <row r="66" spans="1:6" x14ac:dyDescent="0.35">
      <c r="A66" s="23" t="s">
        <v>551</v>
      </c>
      <c r="B66" s="23">
        <v>0.375</v>
      </c>
      <c r="C66" s="23" t="s">
        <v>542</v>
      </c>
      <c r="D66" s="23" t="s">
        <v>543</v>
      </c>
    </row>
    <row r="67" spans="1:6" x14ac:dyDescent="0.35">
      <c r="A67" s="23" t="s">
        <v>552</v>
      </c>
      <c r="B67" s="23">
        <v>0.70699999999999996</v>
      </c>
      <c r="C67" s="23" t="s">
        <v>544</v>
      </c>
      <c r="D67" s="23" t="s">
        <v>545</v>
      </c>
    </row>
    <row r="68" spans="1:6" x14ac:dyDescent="0.35">
      <c r="A68" s="23" t="s">
        <v>553</v>
      </c>
      <c r="B68" s="23">
        <v>0.28399999999999997</v>
      </c>
      <c r="C68" s="23" t="s">
        <v>546</v>
      </c>
      <c r="D68" s="23" t="s">
        <v>547</v>
      </c>
    </row>
    <row r="69" spans="1:6" x14ac:dyDescent="0.35">
      <c r="A69" s="23" t="s">
        <v>554</v>
      </c>
      <c r="B69" s="23">
        <v>0.53500000000000003</v>
      </c>
      <c r="C69" s="23" t="s">
        <v>548</v>
      </c>
      <c r="D69" s="23" t="s">
        <v>549</v>
      </c>
    </row>
    <row r="70" spans="1:6" x14ac:dyDescent="0.35">
      <c r="A70" s="23" t="s">
        <v>561</v>
      </c>
      <c r="B70" s="23">
        <v>1.1200000000000001</v>
      </c>
      <c r="C70" s="23" t="s">
        <v>563</v>
      </c>
      <c r="D70" t="s">
        <v>562</v>
      </c>
      <c r="F70" t="s">
        <v>564</v>
      </c>
    </row>
    <row r="71" spans="1:6" x14ac:dyDescent="0.35">
      <c r="A71" s="23" t="s">
        <v>565</v>
      </c>
      <c r="B71" s="23">
        <v>440</v>
      </c>
      <c r="C71" s="23" t="s">
        <v>566</v>
      </c>
      <c r="D71" s="23" t="s">
        <v>567</v>
      </c>
    </row>
    <row r="72" spans="1:6" x14ac:dyDescent="0.35">
      <c r="A72" s="26" t="s">
        <v>511</v>
      </c>
      <c r="B72" s="26">
        <v>0.44</v>
      </c>
      <c r="C72" s="26" t="s">
        <v>512</v>
      </c>
      <c r="D72" s="27" t="s">
        <v>513</v>
      </c>
      <c r="E72" s="26"/>
      <c r="F72" s="26" t="s">
        <v>514</v>
      </c>
    </row>
    <row r="73" spans="1:6" x14ac:dyDescent="0.35">
      <c r="A73" s="23" t="s">
        <v>568</v>
      </c>
      <c r="B73" s="36">
        <v>1.0049999999999999</v>
      </c>
      <c r="C73" s="23" t="s">
        <v>570</v>
      </c>
    </row>
    <row r="74" spans="1:6" x14ac:dyDescent="0.35">
      <c r="A74" s="23" t="s">
        <v>569</v>
      </c>
    </row>
    <row r="75" spans="1:6" x14ac:dyDescent="0.35">
      <c r="A75" s="23" t="s">
        <v>644</v>
      </c>
      <c r="B75" s="36">
        <v>600</v>
      </c>
      <c r="C75" s="23" t="s">
        <v>645</v>
      </c>
    </row>
    <row r="76" spans="1:6" x14ac:dyDescent="0.35">
      <c r="A76" s="23" t="s">
        <v>646</v>
      </c>
      <c r="B76" s="23">
        <v>1.2929999999999999</v>
      </c>
      <c r="C76" s="23" t="s">
        <v>645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topLeftCell="A4" workbookViewId="0">
      <selection activeCell="A17" sqref="A17"/>
    </sheetView>
  </sheetViews>
  <sheetFormatPr baseColWidth="10" defaultRowHeight="14.5" x14ac:dyDescent="0.35"/>
  <cols>
    <col min="1" max="1" width="11" customWidth="1"/>
    <col min="2" max="2" width="29.17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401</v>
      </c>
      <c r="C1" s="2" t="s">
        <v>399</v>
      </c>
      <c r="D1" s="2" t="s">
        <v>411</v>
      </c>
      <c r="E1" s="2" t="s">
        <v>643</v>
      </c>
      <c r="J1" t="s">
        <v>460</v>
      </c>
    </row>
    <row r="2" spans="1:14" x14ac:dyDescent="0.35">
      <c r="A2" s="2" t="s">
        <v>461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456</v>
      </c>
      <c r="J2" t="s">
        <v>458</v>
      </c>
      <c r="K2">
        <v>0.12</v>
      </c>
      <c r="N2" s="31" t="s">
        <v>448</v>
      </c>
    </row>
    <row r="3" spans="1:14" x14ac:dyDescent="0.35">
      <c r="A3" s="2" t="s">
        <v>462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394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459</v>
      </c>
      <c r="K4">
        <v>0.2</v>
      </c>
    </row>
    <row r="5" spans="1:14" x14ac:dyDescent="0.35">
      <c r="A5" s="2" t="s">
        <v>395</v>
      </c>
      <c r="B5" s="2">
        <v>10</v>
      </c>
      <c r="C5" s="2">
        <v>15</v>
      </c>
      <c r="D5">
        <v>20</v>
      </c>
    </row>
    <row r="6" spans="1:14" x14ac:dyDescent="0.35">
      <c r="A6" s="2" t="s">
        <v>396</v>
      </c>
      <c r="B6" s="2" t="s">
        <v>457</v>
      </c>
      <c r="C6" s="2" t="s">
        <v>337</v>
      </c>
      <c r="D6" s="2" t="s">
        <v>413</v>
      </c>
      <c r="E6">
        <f>0.066</f>
        <v>6.6000000000000003E-2</v>
      </c>
    </row>
    <row r="7" spans="1:14" x14ac:dyDescent="0.35">
      <c r="A7" s="2" t="s">
        <v>397</v>
      </c>
      <c r="B7" s="2" t="s">
        <v>398</v>
      </c>
      <c r="C7" s="2" t="s">
        <v>400</v>
      </c>
      <c r="D7" s="2" t="s">
        <v>412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452</v>
      </c>
      <c r="C9" s="2" t="s">
        <v>449</v>
      </c>
      <c r="D9" t="s">
        <v>472</v>
      </c>
      <c r="E9" s="2" t="s">
        <v>474</v>
      </c>
      <c r="F9" s="2" t="s">
        <v>473</v>
      </c>
    </row>
    <row r="10" spans="1:14" ht="24.5" x14ac:dyDescent="0.35">
      <c r="A10" s="2" t="s">
        <v>454</v>
      </c>
      <c r="B10" s="30" t="s">
        <v>453</v>
      </c>
      <c r="C10" s="2">
        <f>(1.01*1*4)+(1.01*1.01)</f>
        <v>5.0601000000000003</v>
      </c>
      <c r="D10">
        <f>(1/(0.018/0.12))</f>
        <v>6.666666666666667</v>
      </c>
      <c r="F10" t="s">
        <v>450</v>
      </c>
      <c r="G10" s="31" t="s">
        <v>451</v>
      </c>
    </row>
    <row r="11" spans="1:14" ht="24.5" x14ac:dyDescent="0.35">
      <c r="A11" s="2" t="s">
        <v>455</v>
      </c>
      <c r="B11" s="30" t="s">
        <v>453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394</v>
      </c>
      <c r="B12" s="30" t="s">
        <v>465</v>
      </c>
      <c r="C12">
        <f>(1.5*0.8*3)+(1.5*1)</f>
        <v>5.1000000000000005</v>
      </c>
      <c r="D12">
        <f>(1/(0.018/0.12))</f>
        <v>6.666666666666667</v>
      </c>
      <c r="F12" t="s">
        <v>463</v>
      </c>
      <c r="G12" s="31" t="s">
        <v>464</v>
      </c>
    </row>
    <row r="13" spans="1:14" x14ac:dyDescent="0.35">
      <c r="A13" s="2" t="s">
        <v>579</v>
      </c>
      <c r="B13" s="30" t="s">
        <v>580</v>
      </c>
      <c r="G13" s="31"/>
    </row>
    <row r="14" spans="1:14" x14ac:dyDescent="0.35">
      <c r="A14" s="2" t="s">
        <v>466</v>
      </c>
    </row>
    <row r="15" spans="1:14" x14ac:dyDescent="0.35">
      <c r="A15" s="2" t="s">
        <v>475</v>
      </c>
    </row>
    <row r="16" spans="1:14" x14ac:dyDescent="0.35">
      <c r="A16" s="2" t="s">
        <v>477</v>
      </c>
    </row>
    <row r="17" spans="1:7" x14ac:dyDescent="0.35">
      <c r="A17" s="2" t="s">
        <v>478</v>
      </c>
      <c r="G17" t="s">
        <v>436</v>
      </c>
    </row>
    <row r="18" spans="1:7" x14ac:dyDescent="0.35">
      <c r="A18" s="2" t="s">
        <v>479</v>
      </c>
      <c r="G18" t="s">
        <v>337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3" sqref="C3"/>
    </sheetView>
  </sheetViews>
  <sheetFormatPr baseColWidth="10" defaultRowHeight="14.5" x14ac:dyDescent="0.35"/>
  <sheetData>
    <row r="1" spans="1:3" x14ac:dyDescent="0.35">
      <c r="B1" t="s">
        <v>411</v>
      </c>
    </row>
    <row r="2" spans="1:3" x14ac:dyDescent="0.35">
      <c r="A2" t="s">
        <v>571</v>
      </c>
      <c r="B2">
        <f>0.0000015*3600*('Composition (mass)'!C98-aer!D97)</f>
        <v>0.71855999999999987</v>
      </c>
      <c r="C2" t="s">
        <v>574</v>
      </c>
    </row>
    <row r="3" spans="1:3" x14ac:dyDescent="0.35">
      <c r="A3" t="s">
        <v>572</v>
      </c>
      <c r="B3">
        <f>0.0006*1.2*60*'Composition (mass)'!C98</f>
        <v>5.748479999999998</v>
      </c>
      <c r="C3" t="s">
        <v>575</v>
      </c>
    </row>
    <row r="4" spans="1:3" x14ac:dyDescent="0.35">
      <c r="B4" t="s">
        <v>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393</v>
      </c>
    </row>
    <row r="2" spans="1:2" x14ac:dyDescent="0.35">
      <c r="A2" t="s">
        <v>402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Xyield</vt:lpstr>
      <vt:lpstr>stoe</vt:lpstr>
      <vt:lpstr>kinetics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2024-08-19T13:48:00Z</dcterms:modified>
</cp:coreProperties>
</file>